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120" yWindow="300" windowWidth="21060" windowHeight="9315" tabRatio="948" activeTab="3"/>
  </bookViews>
  <sheets>
    <sheet name="Input data" sheetId="69" r:id="rId1"/>
    <sheet name="VYSVETLIVKY" sheetId="51" r:id="rId2"/>
    <sheet name="Notes-SK Cover sheet" sheetId="85" r:id="rId3"/>
    <sheet name="Notes Template" sheetId="71" r:id="rId4"/>
    <sheet name="BS" sheetId="60" r:id="rId5"/>
    <sheet name="P&amp;L" sheetId="61" r:id="rId6"/>
    <sheet name="Cash Flow" sheetId="62" r:id="rId7"/>
    <sheet name="1" sheetId="1" state="hidden" r:id="rId8"/>
    <sheet name="2" sheetId="4" state="hidden" r:id="rId9"/>
    <sheet name="2_tabulka 2" sheetId="52" state="hidden" r:id="rId10"/>
    <sheet name="3" sheetId="5" state="hidden" r:id="rId11"/>
    <sheet name="4" sheetId="6" state="hidden" r:id="rId12"/>
    <sheet name="5" sheetId="7" state="hidden" r:id="rId13"/>
    <sheet name="6" sheetId="8" state="hidden" r:id="rId14"/>
    <sheet name="7" sheetId="9" state="hidden" r:id="rId15"/>
    <sheet name="8" sheetId="10" state="hidden" r:id="rId16"/>
    <sheet name="9" sheetId="11" state="hidden" r:id="rId17"/>
    <sheet name="10" sheetId="12" state="hidden" r:id="rId18"/>
    <sheet name="11" sheetId="13" state="hidden" r:id="rId19"/>
    <sheet name="12" sheetId="14" state="hidden" r:id="rId20"/>
    <sheet name="12_tabulka c.2" sheetId="53" state="hidden" r:id="rId21"/>
    <sheet name="13" sheetId="15" state="hidden" r:id="rId22"/>
    <sheet name="14_tabulka 1 a 3" sheetId="56" state="hidden" r:id="rId23"/>
    <sheet name="14_tabulka 2 a 4" sheetId="57" state="hidden" r:id="rId24"/>
    <sheet name="15" sheetId="17" state="hidden" r:id="rId25"/>
    <sheet name="16" sheetId="18" state="hidden" r:id="rId26"/>
    <sheet name="16_tabulka c.2" sheetId="54" state="hidden" r:id="rId27"/>
    <sheet name="17" sheetId="19" state="hidden" r:id="rId28"/>
    <sheet name="18" sheetId="20" state="hidden" r:id="rId29"/>
    <sheet name="18_tabulka c.2" sheetId="55" state="hidden" r:id="rId30"/>
    <sheet name="19" sheetId="21" state="hidden" r:id="rId31"/>
    <sheet name="20" sheetId="22" state="hidden" r:id="rId32"/>
    <sheet name="21" sheetId="23" state="hidden" r:id="rId33"/>
    <sheet name="22" sheetId="24" state="hidden" r:id="rId34"/>
    <sheet name="23" sheetId="25" state="hidden" r:id="rId35"/>
    <sheet name="24" sheetId="26" state="hidden" r:id="rId36"/>
    <sheet name="24_tabulky 3 a 4" sheetId="50" state="hidden" r:id="rId37"/>
    <sheet name="25" sheetId="27" state="hidden" r:id="rId38"/>
    <sheet name="26" sheetId="28" state="hidden" r:id="rId39"/>
    <sheet name="27" sheetId="30" state="hidden" r:id="rId40"/>
    <sheet name="28" sheetId="31" state="hidden" r:id="rId41"/>
    <sheet name="29" sheetId="32" state="hidden" r:id="rId42"/>
    <sheet name="30" sheetId="29" state="hidden" r:id="rId43"/>
    <sheet name="31" sheetId="33" state="hidden" r:id="rId44"/>
    <sheet name="32" sheetId="34" state="hidden" r:id="rId45"/>
    <sheet name="32_tabulka 2" sheetId="59" state="hidden" r:id="rId46"/>
    <sheet name="33" sheetId="35" state="hidden" r:id="rId47"/>
    <sheet name="34" sheetId="36" state="hidden" r:id="rId48"/>
    <sheet name="42" sheetId="44" state="hidden" r:id="rId49"/>
    <sheet name="43" sheetId="45" state="hidden" r:id="rId50"/>
    <sheet name="44" sheetId="46" state="hidden" r:id="rId51"/>
    <sheet name="35" sheetId="37" state="hidden" r:id="rId52"/>
    <sheet name="36" sheetId="38" state="hidden" r:id="rId53"/>
    <sheet name="37" sheetId="39" state="hidden" r:id="rId54"/>
    <sheet name="38" sheetId="40" state="hidden" r:id="rId55"/>
    <sheet name="39" sheetId="41" state="hidden" r:id="rId56"/>
    <sheet name="40" sheetId="42" state="hidden" r:id="rId57"/>
    <sheet name="41" sheetId="43" state="hidden" r:id="rId58"/>
    <sheet name="45" sheetId="47" state="hidden" r:id="rId59"/>
    <sheet name="46" sheetId="48" state="hidden" r:id="rId60"/>
    <sheet name="BS-SK Cover sheet" sheetId="65" r:id="rId61"/>
    <sheet name="BS-SK Statutory " sheetId="66" r:id="rId62"/>
    <sheet name="IS-SK Cover sheet" sheetId="67" r:id="rId63"/>
    <sheet name="IS-SK Statutory " sheetId="68" r:id="rId64"/>
    <sheet name="BS-E Cover sheet" sheetId="72" r:id="rId65"/>
    <sheet name="BS- E Statutory" sheetId="78" r:id="rId66"/>
    <sheet name="IS-E Cover sheet" sheetId="75" r:id="rId67"/>
    <sheet name="IS-E Statutory" sheetId="76" r:id="rId68"/>
    <sheet name="BS-G Cover sheet" sheetId="83" r:id="rId69"/>
    <sheet name="BS - G Statutory" sheetId="80" r:id="rId70"/>
    <sheet name="IS-G Cover sheet" sheetId="84" r:id="rId71"/>
    <sheet name="IS-G Statutory" sheetId="82" r:id="rId72"/>
  </sheets>
  <externalReferences>
    <externalReference r:id="rId73"/>
  </externalReferences>
  <definedNames>
    <definedName name="_Fill" localSheetId="69" hidden="1">#REF!</definedName>
    <definedName name="_Fill" localSheetId="68" hidden="1">#REF!</definedName>
    <definedName name="_Fill" localSheetId="60" hidden="1">#REF!</definedName>
    <definedName name="_Fill" localSheetId="61" hidden="1">#REF!</definedName>
    <definedName name="_Fill" localSheetId="0" hidden="1">#REF!</definedName>
    <definedName name="_Fill" localSheetId="70" hidden="1">#REF!</definedName>
    <definedName name="_Fill" localSheetId="71" hidden="1">#REF!</definedName>
    <definedName name="_Fill" localSheetId="62" hidden="1">#REF!</definedName>
    <definedName name="_Fill" localSheetId="63" hidden="1">#REF!</definedName>
    <definedName name="_Fill" localSheetId="2" hidden="1">#REF!</definedName>
    <definedName name="_Fill" hidden="1">#REF!</definedName>
    <definedName name="_Toc474124192" localSheetId="3">'Notes Template'!#REF!</definedName>
    <definedName name="cisla2lo">[1]Sheet1!$D$4:$E$66</definedName>
    <definedName name="cislalo">[1]Sheet1!$E$5:$J$45,[1]Sheet1!$E$50:$J$69,[1]Sheet1!$G$75:$J$88,[1]Sheet1!$G$92:$J$128</definedName>
    <definedName name="ClientName">[1]Sheet2!$F$5</definedName>
    <definedName name="Print" localSheetId="2">#REF!</definedName>
    <definedName name="Print">#REF!</definedName>
    <definedName name="_xlnm.Print_Area" localSheetId="4">BS!$A$5:$G$142</definedName>
    <definedName name="_xlnm.Print_Area" localSheetId="69">'BS - G Statutory'!$A$1:$J$210</definedName>
    <definedName name="_xlnm.Print_Area" localSheetId="65">'BS- E Statutory'!$A$1:$J$210</definedName>
    <definedName name="_xlnm.Print_Area" localSheetId="64">'BS-E Cover sheet'!$A$1:$AN$53</definedName>
    <definedName name="_xlnm.Print_Area" localSheetId="68">'BS-G Cover sheet'!$A$1:$AM$54</definedName>
    <definedName name="_xlnm.Print_Area" localSheetId="60">'BS-SK Cover sheet'!$A$1:$AM$55</definedName>
    <definedName name="_xlnm.Print_Area" localSheetId="61">'BS-SK Statutory '!$A$1:$J$210</definedName>
    <definedName name="_xlnm.Print_Area" localSheetId="6">'Cash Flow'!$A$1:$G$96</definedName>
    <definedName name="_xlnm.Print_Area" localSheetId="66">'IS-E Cover sheet'!$A$1:$AN$53</definedName>
    <definedName name="_xlnm.Print_Area" localSheetId="67">'IS-E Statutory'!$A$1:$F$66</definedName>
    <definedName name="_xlnm.Print_Area" localSheetId="70">'IS-G Cover sheet'!$A$1:$AM$55</definedName>
    <definedName name="_xlnm.Print_Area" localSheetId="71">'IS-G Statutory'!$A$1:$F$66</definedName>
    <definedName name="_xlnm.Print_Area" localSheetId="62">'IS-SK Cover sheet'!$A$1:$AM$55</definedName>
    <definedName name="_xlnm.Print_Area" localSheetId="63">'IS-SK Statutory '!$A$1:$F$66</definedName>
    <definedName name="_xlnm.Print_Area" localSheetId="3">'Notes Template'!$B$2:$AH$710</definedName>
    <definedName name="_xlnm.Print_Area" localSheetId="2">'Notes-SK Cover sheet'!$A$1:$AM$55</definedName>
    <definedName name="_xlnm.Print_Area" localSheetId="5">'P&amp;L'!$A$4:$E$68</definedName>
    <definedName name="_xlnm.Print_Area">#REF!</definedName>
    <definedName name="_xlnm.Print_Titles" localSheetId="69">'BS - G Statutory'!$1:$3</definedName>
    <definedName name="_xlnm.Print_Titles" localSheetId="65">'BS- E Statutory'!$1:$3</definedName>
    <definedName name="_xlnm.Print_Titles" localSheetId="61">'BS-SK Statutory '!$1:$3</definedName>
    <definedName name="_xlnm.Print_Titles" localSheetId="67">'IS-E Statutory'!$1:$5</definedName>
    <definedName name="_xlnm.Print_Titles" localSheetId="71">'IS-G Statutory'!$1:$5</definedName>
    <definedName name="_xlnm.Print_Titles" localSheetId="63">'IS-SK Statutory '!$1:$5</definedName>
    <definedName name="Účty">[1]Sheet3!$A$4:$BF$371</definedName>
    <definedName name="VER_CF_BALANCES" localSheetId="69">#REF!</definedName>
    <definedName name="VER_CF_BALANCES" localSheetId="65">#REF!</definedName>
    <definedName name="VER_CF_BALANCES" localSheetId="64">#REF!</definedName>
    <definedName name="VER_CF_BALANCES" localSheetId="68">#REF!</definedName>
    <definedName name="VER_CF_BALANCES" localSheetId="60">#REF!</definedName>
    <definedName name="VER_CF_BALANCES" localSheetId="61">#REF!</definedName>
    <definedName name="VER_CF_BALANCES" localSheetId="0">#REF!</definedName>
    <definedName name="VER_CF_BALANCES" localSheetId="66">#REF!</definedName>
    <definedName name="VER_CF_BALANCES" localSheetId="67">#REF!</definedName>
    <definedName name="VER_CF_BALANCES" localSheetId="70">#REF!</definedName>
    <definedName name="VER_CF_BALANCES" localSheetId="71">#REF!</definedName>
    <definedName name="VER_CF_BALANCES" localSheetId="62">#REF!</definedName>
    <definedName name="VER_CF_BALANCES" localSheetId="63">#REF!</definedName>
    <definedName name="VER_CF_BALANCES" localSheetId="2">#REF!</definedName>
    <definedName name="VER_CF_BALANCES">#REF!</definedName>
    <definedName name="VER_SH_RATIOS" localSheetId="69">#REF!</definedName>
    <definedName name="VER_SH_RATIOS" localSheetId="65">#REF!</definedName>
    <definedName name="VER_SH_RATIOS" localSheetId="64">#REF!</definedName>
    <definedName name="VER_SH_RATIOS" localSheetId="68">#REF!</definedName>
    <definedName name="VER_SH_RATIOS" localSheetId="60">#REF!</definedName>
    <definedName name="VER_SH_RATIOS" localSheetId="61">#REF!</definedName>
    <definedName name="VER_SH_RATIOS" localSheetId="0">#REF!</definedName>
    <definedName name="VER_SH_RATIOS" localSheetId="66">#REF!</definedName>
    <definedName name="VER_SH_RATIOS" localSheetId="67">#REF!</definedName>
    <definedName name="VER_SH_RATIOS" localSheetId="70">#REF!</definedName>
    <definedName name="VER_SH_RATIOS" localSheetId="71">#REF!</definedName>
    <definedName name="VER_SH_RATIOS" localSheetId="62">#REF!</definedName>
    <definedName name="VER_SH_RATIOS" localSheetId="63">#REF!</definedName>
    <definedName name="VER_SH_RATIOS" localSheetId="2">#REF!</definedName>
    <definedName name="VER_SH_RATIOS">#REF!</definedName>
    <definedName name="VER_SCH_10" localSheetId="69">#REF!</definedName>
    <definedName name="VER_SCH_10" localSheetId="65">#REF!</definedName>
    <definedName name="VER_SCH_10" localSheetId="64">#REF!</definedName>
    <definedName name="VER_SCH_10" localSheetId="68">#REF!</definedName>
    <definedName name="VER_SCH_10" localSheetId="60">#REF!</definedName>
    <definedName name="VER_SCH_10" localSheetId="61">#REF!</definedName>
    <definedName name="VER_SCH_10" localSheetId="0">#REF!</definedName>
    <definedName name="VER_SCH_10" localSheetId="66">#REF!</definedName>
    <definedName name="VER_SCH_10" localSheetId="67">#REF!</definedName>
    <definedName name="VER_SCH_10" localSheetId="70">#REF!</definedName>
    <definedName name="VER_SCH_10" localSheetId="71">#REF!</definedName>
    <definedName name="VER_SCH_10" localSheetId="62">#REF!</definedName>
    <definedName name="VER_SCH_10" localSheetId="63">#REF!</definedName>
    <definedName name="VER_SCH_10" localSheetId="2">#REF!</definedName>
    <definedName name="VER_SCH_10">#REF!</definedName>
    <definedName name="VER_SCH_14" localSheetId="2">#REF!</definedName>
    <definedName name="VER_SCH_14">#REF!</definedName>
    <definedName name="VER_SCH_2" localSheetId="2">#REF!</definedName>
    <definedName name="VER_SCH_2">#REF!</definedName>
    <definedName name="VER_SCH_7" localSheetId="2">#REF!</definedName>
    <definedName name="VER_SCH_7">#REF!</definedName>
    <definedName name="Visit">[1]Sheet2!$I$3</definedName>
    <definedName name="YearEnd">[1]Sheet2!$I$2</definedName>
    <definedName name="Z_4D14509E_B826_11D1_8159_444553540000_.wvu.Cols" localSheetId="4" hidden="1">BS!#REF!</definedName>
    <definedName name="Z_4D14509E_B826_11D1_8159_444553540000_.wvu.Cols" localSheetId="5" hidden="1">'P&amp;L'!#REF!</definedName>
  </definedNames>
  <calcPr calcId="145621"/>
</workbook>
</file>

<file path=xl/calcChain.xml><?xml version="1.0" encoding="utf-8"?>
<calcChain xmlns="http://schemas.openxmlformats.org/spreadsheetml/2006/main">
  <c r="R596" i="71" l="1"/>
  <c r="J596" i="71"/>
  <c r="N596" i="71"/>
  <c r="N595" i="71"/>
  <c r="N422" i="71" l="1"/>
  <c r="N423" i="71"/>
  <c r="R600" i="71" l="1"/>
  <c r="R593" i="71"/>
  <c r="R599" i="71"/>
  <c r="R595" i="71"/>
  <c r="N597" i="71" l="1"/>
  <c r="R597" i="71" s="1"/>
  <c r="AD599" i="71"/>
  <c r="AD593" i="71"/>
  <c r="Z597" i="71"/>
  <c r="Z598" i="71" s="1"/>
  <c r="AD598" i="71" s="1"/>
  <c r="Z595" i="71"/>
  <c r="AD595" i="71" s="1"/>
  <c r="AD597" i="71" l="1"/>
  <c r="N598" i="71"/>
  <c r="R598" i="71" s="1"/>
  <c r="N554" i="71"/>
  <c r="N549" i="71" s="1"/>
  <c r="N419" i="71" l="1"/>
  <c r="X383" i="71" l="1"/>
  <c r="S383" i="71"/>
  <c r="AD601" i="71" l="1"/>
  <c r="AD600" i="71"/>
  <c r="N557" i="71" l="1"/>
  <c r="D62" i="62" l="1"/>
  <c r="N389" i="71" l="1"/>
  <c r="AC388" i="71"/>
  <c r="AC384" i="71"/>
  <c r="N390" i="71"/>
  <c r="AC390" i="71" s="1"/>
  <c r="AC386" i="71"/>
  <c r="AC389" i="71" l="1"/>
  <c r="N383" i="71"/>
  <c r="AM401" i="71"/>
  <c r="Z602" i="71" l="1"/>
  <c r="AC38" i="85" l="1"/>
  <c r="U38" i="85"/>
  <c r="L38" i="85"/>
  <c r="J37" i="85"/>
  <c r="I37" i="85"/>
  <c r="H37" i="85"/>
  <c r="G37" i="85"/>
  <c r="E37" i="85"/>
  <c r="D37" i="85"/>
  <c r="B37" i="85"/>
  <c r="A37" i="85"/>
  <c r="J34" i="85"/>
  <c r="I34" i="85"/>
  <c r="H34" i="85"/>
  <c r="G34" i="85"/>
  <c r="E34" i="85"/>
  <c r="D34" i="85"/>
  <c r="B34" i="85"/>
  <c r="A34" i="85"/>
  <c r="AK31" i="85"/>
  <c r="AJ31" i="85"/>
  <c r="AI31" i="85"/>
  <c r="AH31" i="85"/>
  <c r="AG31" i="85"/>
  <c r="AF31" i="85"/>
  <c r="AE31" i="85"/>
  <c r="AD31" i="85"/>
  <c r="AC31" i="85"/>
  <c r="AB31" i="85"/>
  <c r="AA31" i="85"/>
  <c r="Z31" i="85"/>
  <c r="Y31" i="85"/>
  <c r="X31" i="85"/>
  <c r="W31" i="85"/>
  <c r="V31" i="85"/>
  <c r="U31" i="85"/>
  <c r="T31" i="85"/>
  <c r="S31" i="85"/>
  <c r="R31" i="85"/>
  <c r="Q31" i="85"/>
  <c r="P31" i="85"/>
  <c r="O31" i="85"/>
  <c r="N31" i="85"/>
  <c r="M31" i="85"/>
  <c r="L31" i="85"/>
  <c r="K31" i="85"/>
  <c r="J31" i="85"/>
  <c r="I31" i="85"/>
  <c r="H31" i="85"/>
  <c r="G31" i="85"/>
  <c r="F31" i="85"/>
  <c r="E31" i="85"/>
  <c r="D31" i="85"/>
  <c r="C31" i="85"/>
  <c r="B31" i="85"/>
  <c r="A31" i="85"/>
  <c r="AA29" i="85"/>
  <c r="Z29" i="85"/>
  <c r="Y29" i="85"/>
  <c r="X29" i="85"/>
  <c r="W29" i="85"/>
  <c r="V29" i="85"/>
  <c r="U29" i="85"/>
  <c r="T29" i="85"/>
  <c r="R29" i="85"/>
  <c r="Q29" i="85"/>
  <c r="P29" i="85"/>
  <c r="M29" i="85"/>
  <c r="L29" i="85"/>
  <c r="K29" i="85"/>
  <c r="J29" i="85"/>
  <c r="I29" i="85"/>
  <c r="H29" i="85"/>
  <c r="G29" i="85"/>
  <c r="F29" i="85"/>
  <c r="D29" i="85"/>
  <c r="C29" i="85"/>
  <c r="B29" i="85"/>
  <c r="AK27" i="85"/>
  <c r="AJ27" i="85"/>
  <c r="AI27" i="85"/>
  <c r="AH27" i="85"/>
  <c r="AG27" i="85"/>
  <c r="AF27" i="85"/>
  <c r="AE27" i="85"/>
  <c r="AD27" i="85"/>
  <c r="AC27" i="85"/>
  <c r="AB27" i="85"/>
  <c r="AA27" i="85"/>
  <c r="Z27" i="85"/>
  <c r="Y27" i="85"/>
  <c r="X27" i="85"/>
  <c r="W27" i="85"/>
  <c r="V27" i="85"/>
  <c r="U27" i="85"/>
  <c r="T27" i="85"/>
  <c r="S27" i="85"/>
  <c r="R27" i="85"/>
  <c r="Q27" i="85"/>
  <c r="P27" i="85"/>
  <c r="O27" i="85"/>
  <c r="N27" i="85"/>
  <c r="M27" i="85"/>
  <c r="L27" i="85"/>
  <c r="K27" i="85"/>
  <c r="J27" i="85"/>
  <c r="I27" i="85"/>
  <c r="H27" i="85"/>
  <c r="G27" i="85"/>
  <c r="E27" i="85"/>
  <c r="D27" i="85"/>
  <c r="C27" i="85"/>
  <c r="B27" i="85"/>
  <c r="A27" i="85"/>
  <c r="AK25" i="85"/>
  <c r="AJ25" i="85"/>
  <c r="AI25" i="85"/>
  <c r="AH25" i="85"/>
  <c r="AG25" i="85"/>
  <c r="AF25" i="85"/>
  <c r="AE25" i="85"/>
  <c r="AD25" i="85"/>
  <c r="AB25" i="85"/>
  <c r="AA25" i="85"/>
  <c r="Z25" i="85"/>
  <c r="Y25" i="85"/>
  <c r="X25" i="85"/>
  <c r="W25" i="85"/>
  <c r="V25" i="85"/>
  <c r="U25" i="85"/>
  <c r="T25" i="85"/>
  <c r="S25" i="85"/>
  <c r="R25" i="85"/>
  <c r="Q25" i="85"/>
  <c r="P25" i="85"/>
  <c r="O25" i="85"/>
  <c r="N25" i="85"/>
  <c r="M25" i="85"/>
  <c r="L25" i="85"/>
  <c r="K25" i="85"/>
  <c r="J25" i="85"/>
  <c r="I25" i="85"/>
  <c r="H25" i="85"/>
  <c r="G25" i="85"/>
  <c r="F25" i="85"/>
  <c r="E25" i="85"/>
  <c r="D25" i="85"/>
  <c r="C25" i="85"/>
  <c r="B25" i="85"/>
  <c r="A25" i="85"/>
  <c r="AK22" i="85"/>
  <c r="AJ22" i="85"/>
  <c r="AI22" i="85"/>
  <c r="AH22" i="85"/>
  <c r="AG22" i="85"/>
  <c r="AF22" i="85"/>
  <c r="AE22" i="85"/>
  <c r="AD22" i="85"/>
  <c r="AC22" i="85"/>
  <c r="AB22" i="85"/>
  <c r="AA22" i="85"/>
  <c r="Z22" i="85"/>
  <c r="Y22" i="85"/>
  <c r="X22" i="85"/>
  <c r="W22" i="85"/>
  <c r="V22" i="85"/>
  <c r="U22" i="85"/>
  <c r="T22" i="85"/>
  <c r="S22" i="85"/>
  <c r="R22" i="85"/>
  <c r="Q22" i="85"/>
  <c r="P22" i="85"/>
  <c r="O22" i="85"/>
  <c r="N22" i="85"/>
  <c r="M22" i="85"/>
  <c r="L22" i="85"/>
  <c r="K22" i="85"/>
  <c r="J22" i="85"/>
  <c r="I22" i="85"/>
  <c r="H22" i="85"/>
  <c r="G22" i="85"/>
  <c r="AK20" i="85"/>
  <c r="AJ20" i="85"/>
  <c r="AI20" i="85"/>
  <c r="AH20" i="85"/>
  <c r="AG20" i="85"/>
  <c r="AF20" i="85"/>
  <c r="AE20" i="85"/>
  <c r="AD20" i="85"/>
  <c r="AC20" i="85"/>
  <c r="AB20" i="85"/>
  <c r="AA20" i="85"/>
  <c r="Z20" i="85"/>
  <c r="Y20" i="85"/>
  <c r="X20" i="85"/>
  <c r="W20" i="85"/>
  <c r="V20" i="85"/>
  <c r="U20" i="85"/>
  <c r="T20" i="85"/>
  <c r="S20" i="85"/>
  <c r="R20" i="85"/>
  <c r="Q20" i="85"/>
  <c r="P20" i="85"/>
  <c r="O20" i="85"/>
  <c r="N20" i="85"/>
  <c r="M20" i="85"/>
  <c r="L20" i="85"/>
  <c r="K20" i="85"/>
  <c r="J20" i="85"/>
  <c r="I20" i="85"/>
  <c r="H20" i="85"/>
  <c r="G20" i="85"/>
  <c r="F20" i="85"/>
  <c r="E20" i="85"/>
  <c r="D20" i="85"/>
  <c r="C20" i="85"/>
  <c r="B20" i="85"/>
  <c r="A20" i="85"/>
  <c r="AK19" i="85"/>
  <c r="AJ19" i="85"/>
  <c r="AI19" i="85"/>
  <c r="AH19" i="85"/>
  <c r="AG19" i="85"/>
  <c r="AF19" i="85"/>
  <c r="AE19" i="85"/>
  <c r="AD19" i="85"/>
  <c r="AC19" i="85"/>
  <c r="AB19" i="85"/>
  <c r="AA19" i="85"/>
  <c r="Z19" i="85"/>
  <c r="Y19" i="85"/>
  <c r="X19" i="85"/>
  <c r="W19" i="85"/>
  <c r="V19" i="85"/>
  <c r="U19" i="85"/>
  <c r="T19" i="85"/>
  <c r="S19" i="85"/>
  <c r="R19" i="85"/>
  <c r="Q19" i="85"/>
  <c r="P19" i="85"/>
  <c r="O19" i="85"/>
  <c r="N19" i="85"/>
  <c r="M19" i="85"/>
  <c r="L19" i="85"/>
  <c r="K19" i="85"/>
  <c r="J19" i="85"/>
  <c r="I19" i="85"/>
  <c r="H19" i="85"/>
  <c r="G19" i="85"/>
  <c r="F19" i="85"/>
  <c r="E19" i="85"/>
  <c r="D19" i="85"/>
  <c r="C19" i="85"/>
  <c r="B19" i="85"/>
  <c r="A19" i="85"/>
  <c r="G15" i="85"/>
  <c r="E15" i="85"/>
  <c r="D15" i="85"/>
  <c r="B15" i="85"/>
  <c r="A15" i="85"/>
  <c r="R12" i="85"/>
  <c r="L12" i="85"/>
  <c r="H13" i="85"/>
  <c r="G13" i="85"/>
  <c r="F13" i="85"/>
  <c r="E13" i="85"/>
  <c r="D13" i="85"/>
  <c r="C13" i="85"/>
  <c r="B13" i="85"/>
  <c r="A13" i="85"/>
  <c r="R11" i="85"/>
  <c r="L11" i="85"/>
  <c r="J11" i="85"/>
  <c r="I11" i="85"/>
  <c r="H11" i="85"/>
  <c r="G11" i="85"/>
  <c r="F11" i="85"/>
  <c r="E11" i="85"/>
  <c r="D11" i="85"/>
  <c r="C11" i="85"/>
  <c r="B11" i="85"/>
  <c r="A11" i="85"/>
  <c r="AD36" i="72" l="1"/>
  <c r="V36" i="72"/>
  <c r="M36" i="72"/>
  <c r="AD36" i="75"/>
  <c r="V36" i="75"/>
  <c r="M36" i="75"/>
  <c r="E6" i="82"/>
  <c r="E6" i="68"/>
  <c r="AD38" i="84" l="1"/>
  <c r="V38" i="84"/>
  <c r="M38" i="84"/>
  <c r="J37" i="84"/>
  <c r="I37" i="84"/>
  <c r="H37" i="84"/>
  <c r="G37" i="84"/>
  <c r="E37" i="84"/>
  <c r="D37" i="84"/>
  <c r="B37" i="84"/>
  <c r="A37" i="84"/>
  <c r="J34" i="84"/>
  <c r="I34" i="84"/>
  <c r="H34" i="84"/>
  <c r="G34" i="84"/>
  <c r="E34" i="84"/>
  <c r="D34" i="84"/>
  <c r="B34" i="84"/>
  <c r="A34" i="84"/>
  <c r="AK31" i="84"/>
  <c r="AJ31" i="84"/>
  <c r="AI31" i="84"/>
  <c r="AH31" i="84"/>
  <c r="AG31" i="84"/>
  <c r="AF31" i="84"/>
  <c r="AE31" i="84"/>
  <c r="AD31" i="84"/>
  <c r="AC31" i="84"/>
  <c r="AB31" i="84"/>
  <c r="AA31" i="84"/>
  <c r="Z31" i="84"/>
  <c r="Y31" i="84"/>
  <c r="X31" i="84"/>
  <c r="W31" i="84"/>
  <c r="V31" i="84"/>
  <c r="U31" i="84"/>
  <c r="T31" i="84"/>
  <c r="S31" i="84"/>
  <c r="R31" i="84"/>
  <c r="Q31" i="84"/>
  <c r="P31" i="84"/>
  <c r="O31" i="84"/>
  <c r="N31" i="84"/>
  <c r="M31" i="84"/>
  <c r="L31" i="84"/>
  <c r="K31" i="84"/>
  <c r="J31" i="84"/>
  <c r="I31" i="84"/>
  <c r="H31" i="84"/>
  <c r="G31" i="84"/>
  <c r="F31" i="84"/>
  <c r="E31" i="84"/>
  <c r="D31" i="84"/>
  <c r="C31" i="84"/>
  <c r="B31" i="84"/>
  <c r="A31" i="84"/>
  <c r="AA29" i="84"/>
  <c r="Z29" i="84"/>
  <c r="Y29" i="84"/>
  <c r="X29" i="84"/>
  <c r="W29" i="84"/>
  <c r="V29" i="84"/>
  <c r="U29" i="84"/>
  <c r="T29" i="84"/>
  <c r="R29" i="84"/>
  <c r="Q29" i="84"/>
  <c r="P29" i="84"/>
  <c r="M29" i="84"/>
  <c r="L29" i="84"/>
  <c r="K29" i="84"/>
  <c r="J29" i="84"/>
  <c r="I29" i="84"/>
  <c r="H29" i="84"/>
  <c r="G29" i="84"/>
  <c r="F29" i="84"/>
  <c r="D29" i="84"/>
  <c r="C29" i="84"/>
  <c r="B29" i="84"/>
  <c r="AK27" i="84"/>
  <c r="AJ27" i="84"/>
  <c r="AI27" i="84"/>
  <c r="AH27" i="84"/>
  <c r="AG27" i="84"/>
  <c r="AF27" i="84"/>
  <c r="AE27" i="84"/>
  <c r="AD27" i="84"/>
  <c r="AC27" i="84"/>
  <c r="AB27" i="84"/>
  <c r="AA27" i="84"/>
  <c r="Z27" i="84"/>
  <c r="Y27" i="84"/>
  <c r="X27" i="84"/>
  <c r="W27" i="84"/>
  <c r="V27" i="84"/>
  <c r="U27" i="84"/>
  <c r="T27" i="84"/>
  <c r="S27" i="84"/>
  <c r="R27" i="84"/>
  <c r="Q27" i="84"/>
  <c r="P27" i="84"/>
  <c r="O27" i="84"/>
  <c r="N27" i="84"/>
  <c r="M27" i="84"/>
  <c r="L27" i="84"/>
  <c r="K27" i="84"/>
  <c r="J27" i="84"/>
  <c r="I27" i="84"/>
  <c r="H27" i="84"/>
  <c r="G27" i="84"/>
  <c r="E27" i="84"/>
  <c r="D27" i="84"/>
  <c r="C27" i="84"/>
  <c r="B27" i="84"/>
  <c r="A27" i="84"/>
  <c r="AK25" i="84"/>
  <c r="AJ25" i="84"/>
  <c r="AI25" i="84"/>
  <c r="AH25" i="84"/>
  <c r="AG25" i="84"/>
  <c r="AF25" i="84"/>
  <c r="AE25" i="84"/>
  <c r="AD25" i="84"/>
  <c r="AB25" i="84"/>
  <c r="AA25" i="84"/>
  <c r="Z25" i="84"/>
  <c r="Y25" i="84"/>
  <c r="X25" i="84"/>
  <c r="W25" i="84"/>
  <c r="V25" i="84"/>
  <c r="U25" i="84"/>
  <c r="T25" i="84"/>
  <c r="S25" i="84"/>
  <c r="R25" i="84"/>
  <c r="Q25" i="84"/>
  <c r="P25" i="84"/>
  <c r="O25" i="84"/>
  <c r="N25" i="84"/>
  <c r="M25" i="84"/>
  <c r="L25" i="84"/>
  <c r="K25" i="84"/>
  <c r="J25" i="84"/>
  <c r="I25" i="84"/>
  <c r="H25" i="84"/>
  <c r="G25" i="84"/>
  <c r="F25" i="84"/>
  <c r="E25" i="84"/>
  <c r="D25" i="84"/>
  <c r="C25" i="84"/>
  <c r="B25" i="84"/>
  <c r="A25" i="84"/>
  <c r="AK22" i="84"/>
  <c r="AJ22" i="84"/>
  <c r="AI22" i="84"/>
  <c r="AH22" i="84"/>
  <c r="AG22" i="84"/>
  <c r="AF22" i="84"/>
  <c r="AE22" i="84"/>
  <c r="AD22" i="84"/>
  <c r="AC22" i="84"/>
  <c r="AB22" i="84"/>
  <c r="AA22" i="84"/>
  <c r="Z22" i="84"/>
  <c r="Y22" i="84"/>
  <c r="X22" i="84"/>
  <c r="W22" i="84"/>
  <c r="V22" i="84"/>
  <c r="U22" i="84"/>
  <c r="T22" i="84"/>
  <c r="S22" i="84"/>
  <c r="R22" i="84"/>
  <c r="Q22" i="84"/>
  <c r="P22" i="84"/>
  <c r="O22" i="84"/>
  <c r="N22" i="84"/>
  <c r="M22" i="84"/>
  <c r="L22" i="84"/>
  <c r="K22" i="84"/>
  <c r="J22" i="84"/>
  <c r="I22" i="84"/>
  <c r="H22" i="84"/>
  <c r="G22" i="84"/>
  <c r="F22" i="84"/>
  <c r="E22" i="84"/>
  <c r="D22" i="84"/>
  <c r="C22" i="84"/>
  <c r="B22" i="84"/>
  <c r="A22" i="84"/>
  <c r="AK21" i="84"/>
  <c r="AJ21" i="84"/>
  <c r="AI21" i="84"/>
  <c r="AH21" i="84"/>
  <c r="AG21" i="84"/>
  <c r="AF21" i="84"/>
  <c r="AE21" i="84"/>
  <c r="AD21" i="84"/>
  <c r="AC21" i="84"/>
  <c r="AB21" i="84"/>
  <c r="AA21" i="84"/>
  <c r="Z21" i="84"/>
  <c r="Y21" i="84"/>
  <c r="X21" i="84"/>
  <c r="W21" i="84"/>
  <c r="V21" i="84"/>
  <c r="U21" i="84"/>
  <c r="T21" i="84"/>
  <c r="S21" i="84"/>
  <c r="R21" i="84"/>
  <c r="Q21" i="84"/>
  <c r="P21" i="84"/>
  <c r="O21" i="84"/>
  <c r="N21" i="84"/>
  <c r="M21" i="84"/>
  <c r="L21" i="84"/>
  <c r="K21" i="84"/>
  <c r="J21" i="84"/>
  <c r="I21" i="84"/>
  <c r="H21" i="84"/>
  <c r="G21" i="84"/>
  <c r="F21" i="84"/>
  <c r="E21" i="84"/>
  <c r="D21" i="84"/>
  <c r="C21" i="84"/>
  <c r="B21" i="84"/>
  <c r="A21" i="84"/>
  <c r="R15" i="84"/>
  <c r="K15" i="84"/>
  <c r="H15" i="84"/>
  <c r="G15" i="84"/>
  <c r="F15" i="84"/>
  <c r="E15" i="84"/>
  <c r="D15" i="84"/>
  <c r="C15" i="84"/>
  <c r="B15" i="84"/>
  <c r="A15" i="84"/>
  <c r="R14" i="84"/>
  <c r="K14" i="84"/>
  <c r="J13" i="84"/>
  <c r="I13" i="84"/>
  <c r="H13" i="84"/>
  <c r="G13" i="84"/>
  <c r="F13" i="84"/>
  <c r="E13" i="84"/>
  <c r="D13" i="84"/>
  <c r="C13" i="84"/>
  <c r="B13" i="84"/>
  <c r="A13" i="84"/>
  <c r="AD37" i="83"/>
  <c r="V37" i="83"/>
  <c r="M37" i="83"/>
  <c r="J36" i="83"/>
  <c r="I36" i="83"/>
  <c r="H36" i="83"/>
  <c r="G36" i="83"/>
  <c r="E36" i="83"/>
  <c r="D36" i="83"/>
  <c r="B36" i="83"/>
  <c r="A36" i="83"/>
  <c r="J33" i="83"/>
  <c r="I33" i="83"/>
  <c r="H33" i="83"/>
  <c r="G33" i="83"/>
  <c r="E33" i="83"/>
  <c r="D33" i="83"/>
  <c r="B33" i="83"/>
  <c r="A33" i="83"/>
  <c r="AK30" i="83"/>
  <c r="AJ30" i="83"/>
  <c r="AI30" i="83"/>
  <c r="AH30" i="83"/>
  <c r="AG30" i="83"/>
  <c r="AF30" i="83"/>
  <c r="AE30" i="83"/>
  <c r="AD30" i="83"/>
  <c r="AC30" i="83"/>
  <c r="AB30" i="83"/>
  <c r="AA30" i="83"/>
  <c r="Z30" i="83"/>
  <c r="Y30" i="83"/>
  <c r="X30" i="83"/>
  <c r="W30" i="83"/>
  <c r="V30" i="83"/>
  <c r="U30" i="83"/>
  <c r="T30" i="83"/>
  <c r="S30" i="83"/>
  <c r="R30" i="83"/>
  <c r="Q30" i="83"/>
  <c r="P30" i="83"/>
  <c r="O30" i="83"/>
  <c r="N30" i="83"/>
  <c r="M30" i="83"/>
  <c r="L30" i="83"/>
  <c r="K30" i="83"/>
  <c r="J30" i="83"/>
  <c r="I30" i="83"/>
  <c r="H30" i="83"/>
  <c r="G30" i="83"/>
  <c r="F30" i="83"/>
  <c r="E30" i="83"/>
  <c r="D30" i="83"/>
  <c r="C30" i="83"/>
  <c r="B30" i="83"/>
  <c r="A30" i="83"/>
  <c r="AA28" i="83"/>
  <c r="Z28" i="83"/>
  <c r="Y28" i="83"/>
  <c r="X28" i="83"/>
  <c r="W28" i="83"/>
  <c r="V28" i="83"/>
  <c r="U28" i="83"/>
  <c r="T28" i="83"/>
  <c r="R28" i="83"/>
  <c r="Q28" i="83"/>
  <c r="P28" i="83"/>
  <c r="M28" i="83"/>
  <c r="L28" i="83"/>
  <c r="K28" i="83"/>
  <c r="J28" i="83"/>
  <c r="I28" i="83"/>
  <c r="H28" i="83"/>
  <c r="G28" i="83"/>
  <c r="F28" i="83"/>
  <c r="D28" i="83"/>
  <c r="C28" i="83"/>
  <c r="B28" i="83"/>
  <c r="AK26" i="83"/>
  <c r="AJ26" i="83"/>
  <c r="AI26" i="83"/>
  <c r="AH26" i="83"/>
  <c r="AG26" i="83"/>
  <c r="AF26" i="83"/>
  <c r="AE26" i="83"/>
  <c r="AD26" i="83"/>
  <c r="AC26" i="83"/>
  <c r="AB26" i="83"/>
  <c r="AA26" i="83"/>
  <c r="Z26" i="83"/>
  <c r="Y26" i="83"/>
  <c r="X26" i="83"/>
  <c r="W26" i="83"/>
  <c r="V26" i="83"/>
  <c r="U26" i="83"/>
  <c r="T26" i="83"/>
  <c r="S26" i="83"/>
  <c r="R26" i="83"/>
  <c r="Q26" i="83"/>
  <c r="P26" i="83"/>
  <c r="O26" i="83"/>
  <c r="N26" i="83"/>
  <c r="M26" i="83"/>
  <c r="L26" i="83"/>
  <c r="K26" i="83"/>
  <c r="J26" i="83"/>
  <c r="I26" i="83"/>
  <c r="H26" i="83"/>
  <c r="G26" i="83"/>
  <c r="E26" i="83"/>
  <c r="D26" i="83"/>
  <c r="C26" i="83"/>
  <c r="B26" i="83"/>
  <c r="A26" i="83"/>
  <c r="AK24" i="83"/>
  <c r="AJ24" i="83"/>
  <c r="AI24" i="83"/>
  <c r="AH24" i="83"/>
  <c r="AG24" i="83"/>
  <c r="AF24" i="83"/>
  <c r="AE24" i="83"/>
  <c r="AD24" i="83"/>
  <c r="AB24" i="83"/>
  <c r="AA24" i="83"/>
  <c r="Z24" i="83"/>
  <c r="Y24" i="83"/>
  <c r="X24" i="83"/>
  <c r="W24" i="83"/>
  <c r="V24" i="83"/>
  <c r="U24" i="83"/>
  <c r="T24" i="83"/>
  <c r="S24" i="83"/>
  <c r="R24" i="83"/>
  <c r="Q24" i="83"/>
  <c r="P24" i="83"/>
  <c r="O24" i="83"/>
  <c r="N24" i="83"/>
  <c r="M24" i="83"/>
  <c r="L24" i="83"/>
  <c r="K24" i="83"/>
  <c r="J24" i="83"/>
  <c r="I24" i="83"/>
  <c r="H24" i="83"/>
  <c r="G24" i="83"/>
  <c r="F24" i="83"/>
  <c r="E24" i="83"/>
  <c r="D24" i="83"/>
  <c r="C24" i="83"/>
  <c r="B24" i="83"/>
  <c r="A24" i="83"/>
  <c r="AK21" i="83"/>
  <c r="AJ21" i="83"/>
  <c r="AI21" i="83"/>
  <c r="AH21" i="83"/>
  <c r="AG21" i="83"/>
  <c r="AF21" i="83"/>
  <c r="AE21" i="83"/>
  <c r="AD21" i="83"/>
  <c r="AC21" i="83"/>
  <c r="AB21" i="83"/>
  <c r="AA21" i="83"/>
  <c r="Z21" i="83"/>
  <c r="Y21" i="83"/>
  <c r="X21" i="83"/>
  <c r="W21" i="83"/>
  <c r="V21" i="83"/>
  <c r="U21" i="83"/>
  <c r="T21" i="83"/>
  <c r="S21" i="83"/>
  <c r="R21" i="83"/>
  <c r="Q21" i="83"/>
  <c r="P21" i="83"/>
  <c r="O21" i="83"/>
  <c r="N21" i="83"/>
  <c r="M21" i="83"/>
  <c r="L21" i="83"/>
  <c r="K21" i="83"/>
  <c r="J21" i="83"/>
  <c r="I21" i="83"/>
  <c r="H21" i="83"/>
  <c r="G21" i="83"/>
  <c r="F21" i="83"/>
  <c r="E21" i="83"/>
  <c r="D21" i="83"/>
  <c r="C21" i="83"/>
  <c r="B21" i="83"/>
  <c r="A21" i="83"/>
  <c r="AK20" i="83"/>
  <c r="AJ20" i="83"/>
  <c r="AI20" i="83"/>
  <c r="AH20" i="83"/>
  <c r="AG20" i="83"/>
  <c r="AF20" i="83"/>
  <c r="AE20" i="83"/>
  <c r="AD20" i="83"/>
  <c r="AC20" i="83"/>
  <c r="AB20" i="83"/>
  <c r="AA20" i="83"/>
  <c r="Z20" i="83"/>
  <c r="Y20" i="83"/>
  <c r="X20" i="83"/>
  <c r="W20" i="83"/>
  <c r="V20" i="83"/>
  <c r="U20" i="83"/>
  <c r="T20" i="83"/>
  <c r="S20" i="83"/>
  <c r="R20" i="83"/>
  <c r="Q20" i="83"/>
  <c r="P20" i="83"/>
  <c r="O20" i="83"/>
  <c r="N20" i="83"/>
  <c r="M20" i="83"/>
  <c r="L20" i="83"/>
  <c r="K20" i="83"/>
  <c r="J20" i="83"/>
  <c r="I20" i="83"/>
  <c r="H20" i="83"/>
  <c r="G20" i="83"/>
  <c r="F20" i="83"/>
  <c r="E20" i="83"/>
  <c r="D20" i="83"/>
  <c r="C20" i="83"/>
  <c r="B20" i="83"/>
  <c r="A20" i="83"/>
  <c r="R14" i="83"/>
  <c r="K14" i="83"/>
  <c r="H14" i="83"/>
  <c r="G14" i="83"/>
  <c r="F14" i="83"/>
  <c r="E14" i="83"/>
  <c r="D14" i="83"/>
  <c r="C14" i="83"/>
  <c r="B14" i="83"/>
  <c r="A14" i="83"/>
  <c r="R13" i="83"/>
  <c r="K13" i="83"/>
  <c r="J12" i="83"/>
  <c r="I12" i="83"/>
  <c r="H12" i="83"/>
  <c r="G12" i="83"/>
  <c r="F12" i="83"/>
  <c r="E12" i="83"/>
  <c r="D12" i="83"/>
  <c r="C12" i="83"/>
  <c r="B12" i="83"/>
  <c r="A12" i="83"/>
  <c r="F66" i="82" l="1"/>
  <c r="E66" i="82"/>
  <c r="F65" i="82"/>
  <c r="E65" i="82"/>
  <c r="F64" i="82"/>
  <c r="E64" i="82"/>
  <c r="F63" i="82"/>
  <c r="E63" i="82"/>
  <c r="F62" i="82"/>
  <c r="E62" i="82"/>
  <c r="F61" i="82"/>
  <c r="E61" i="82"/>
  <c r="F60" i="82"/>
  <c r="E60" i="82"/>
  <c r="F59" i="82"/>
  <c r="E59" i="82"/>
  <c r="F58" i="82"/>
  <c r="E58" i="82"/>
  <c r="F57" i="82"/>
  <c r="E57" i="82"/>
  <c r="F56" i="82"/>
  <c r="E56" i="82"/>
  <c r="F55" i="82"/>
  <c r="E55" i="82"/>
  <c r="F54" i="82"/>
  <c r="E54" i="82"/>
  <c r="F53" i="82"/>
  <c r="E53" i="82"/>
  <c r="F52" i="82"/>
  <c r="E52" i="82"/>
  <c r="F51" i="82"/>
  <c r="E51" i="82"/>
  <c r="F50" i="82"/>
  <c r="E50" i="82"/>
  <c r="F49" i="82"/>
  <c r="E49" i="82"/>
  <c r="F48" i="82"/>
  <c r="E48" i="82"/>
  <c r="F47" i="82"/>
  <c r="E47" i="82"/>
  <c r="F46" i="82"/>
  <c r="E46" i="82"/>
  <c r="F45" i="82"/>
  <c r="E45" i="82"/>
  <c r="F44" i="82"/>
  <c r="E44" i="82"/>
  <c r="F43" i="82"/>
  <c r="E43" i="82"/>
  <c r="F42" i="82"/>
  <c r="E42" i="82"/>
  <c r="F41" i="82"/>
  <c r="E41" i="82"/>
  <c r="F40" i="82"/>
  <c r="E40" i="82"/>
  <c r="F39" i="82"/>
  <c r="E39" i="82"/>
  <c r="F38" i="82"/>
  <c r="E38" i="82"/>
  <c r="F37" i="82"/>
  <c r="E37" i="82"/>
  <c r="F36" i="82"/>
  <c r="E36" i="82"/>
  <c r="F35" i="82"/>
  <c r="E35" i="82"/>
  <c r="F34" i="82"/>
  <c r="E34" i="82"/>
  <c r="F33" i="82"/>
  <c r="E33" i="82"/>
  <c r="F32" i="82"/>
  <c r="E32" i="82"/>
  <c r="F31" i="82"/>
  <c r="E31" i="82"/>
  <c r="F30" i="82"/>
  <c r="E30" i="82"/>
  <c r="F29" i="82"/>
  <c r="E29" i="82"/>
  <c r="F28" i="82"/>
  <c r="E28" i="82"/>
  <c r="F27" i="82"/>
  <c r="E27" i="82"/>
  <c r="F26" i="82"/>
  <c r="E26" i="82"/>
  <c r="F25" i="82"/>
  <c r="E25" i="82"/>
  <c r="F24" i="82"/>
  <c r="E24" i="82"/>
  <c r="F23" i="82"/>
  <c r="E23" i="82"/>
  <c r="F22" i="82"/>
  <c r="E22" i="82"/>
  <c r="F21" i="82"/>
  <c r="E21" i="82"/>
  <c r="F20" i="82"/>
  <c r="E20" i="82"/>
  <c r="F19" i="82"/>
  <c r="E19" i="82"/>
  <c r="F18" i="82"/>
  <c r="E18" i="82"/>
  <c r="F17" i="82"/>
  <c r="E17" i="82"/>
  <c r="F16" i="82"/>
  <c r="E16" i="82"/>
  <c r="F15" i="82"/>
  <c r="E15" i="82"/>
  <c r="F14" i="82"/>
  <c r="E14" i="82"/>
  <c r="F13" i="82"/>
  <c r="E13" i="82"/>
  <c r="F12" i="82"/>
  <c r="E12" i="82"/>
  <c r="F11" i="82"/>
  <c r="E11" i="82"/>
  <c r="F10" i="82"/>
  <c r="E10" i="82"/>
  <c r="F9" i="82"/>
  <c r="E9" i="82"/>
  <c r="F8" i="82"/>
  <c r="E8" i="82"/>
  <c r="F7" i="82"/>
  <c r="E7" i="82"/>
  <c r="F6" i="82"/>
  <c r="I210" i="80"/>
  <c r="G210" i="80"/>
  <c r="I209" i="80"/>
  <c r="G209" i="80"/>
  <c r="I208" i="80"/>
  <c r="G208" i="80"/>
  <c r="I207" i="80"/>
  <c r="G207" i="80"/>
  <c r="I206" i="80"/>
  <c r="G206" i="80"/>
  <c r="I205" i="80"/>
  <c r="G205" i="80"/>
  <c r="I204" i="80"/>
  <c r="G204" i="80"/>
  <c r="I203" i="80"/>
  <c r="G203" i="80"/>
  <c r="I202" i="80"/>
  <c r="G202" i="80"/>
  <c r="I201" i="80"/>
  <c r="G201" i="80"/>
  <c r="I200" i="80"/>
  <c r="G200" i="80"/>
  <c r="I199" i="80"/>
  <c r="G199" i="80"/>
  <c r="I198" i="80"/>
  <c r="G198" i="80"/>
  <c r="I197" i="80"/>
  <c r="G197" i="80"/>
  <c r="I196" i="80"/>
  <c r="G196" i="80"/>
  <c r="I195" i="80"/>
  <c r="G195" i="80"/>
  <c r="I194" i="80"/>
  <c r="G194" i="80"/>
  <c r="I193" i="80"/>
  <c r="G193" i="80"/>
  <c r="I192" i="80"/>
  <c r="G192" i="80"/>
  <c r="I191" i="80"/>
  <c r="G191" i="80"/>
  <c r="I190" i="80"/>
  <c r="G190" i="80"/>
  <c r="I189" i="80"/>
  <c r="G189" i="80"/>
  <c r="I188" i="80"/>
  <c r="G188" i="80"/>
  <c r="I187" i="80"/>
  <c r="G187" i="80"/>
  <c r="I186" i="80"/>
  <c r="G186" i="80"/>
  <c r="I185" i="80"/>
  <c r="G185" i="80"/>
  <c r="I184" i="80"/>
  <c r="G184" i="80"/>
  <c r="I183" i="80"/>
  <c r="G183" i="80"/>
  <c r="I182" i="80"/>
  <c r="G182" i="80"/>
  <c r="I181" i="80"/>
  <c r="G181" i="80"/>
  <c r="I180" i="80"/>
  <c r="G180" i="80"/>
  <c r="I178" i="80"/>
  <c r="G178" i="80"/>
  <c r="I177" i="80"/>
  <c r="G177" i="80"/>
  <c r="I176" i="80"/>
  <c r="G176" i="80"/>
  <c r="I175" i="80"/>
  <c r="G175" i="80"/>
  <c r="I174" i="80"/>
  <c r="G174" i="80"/>
  <c r="I173" i="80"/>
  <c r="G173" i="80"/>
  <c r="I172" i="80"/>
  <c r="G172" i="80"/>
  <c r="I170" i="80"/>
  <c r="G170" i="80"/>
  <c r="I169" i="80"/>
  <c r="G169" i="80"/>
  <c r="I168" i="80"/>
  <c r="G168" i="80"/>
  <c r="I167" i="80"/>
  <c r="G167" i="80"/>
  <c r="I166" i="80"/>
  <c r="G166" i="80"/>
  <c r="I165" i="80"/>
  <c r="G165" i="80"/>
  <c r="I164" i="80"/>
  <c r="G164" i="80"/>
  <c r="I163" i="80"/>
  <c r="G163" i="80"/>
  <c r="I162" i="80"/>
  <c r="G162" i="80"/>
  <c r="I161" i="80"/>
  <c r="G161" i="80"/>
  <c r="I160" i="80"/>
  <c r="G160" i="80"/>
  <c r="I159" i="80"/>
  <c r="G159" i="80"/>
  <c r="I158" i="80"/>
  <c r="G158" i="80"/>
  <c r="I157" i="80"/>
  <c r="G157" i="80"/>
  <c r="I156" i="80"/>
  <c r="G156" i="80"/>
  <c r="I155" i="80"/>
  <c r="G155" i="80"/>
  <c r="I154" i="80"/>
  <c r="G154" i="80"/>
  <c r="I153" i="80"/>
  <c r="G153" i="80"/>
  <c r="I152" i="80"/>
  <c r="G152" i="80"/>
  <c r="H148" i="80"/>
  <c r="D148" i="80"/>
  <c r="G147" i="80"/>
  <c r="D147" i="80"/>
  <c r="H146" i="80"/>
  <c r="D146" i="80"/>
  <c r="G145" i="80"/>
  <c r="D145" i="80"/>
  <c r="H144" i="80"/>
  <c r="D144" i="80"/>
  <c r="G143" i="80"/>
  <c r="D143" i="80"/>
  <c r="H142" i="80"/>
  <c r="D142" i="80"/>
  <c r="G141" i="80"/>
  <c r="D141" i="80"/>
  <c r="H140" i="80"/>
  <c r="D140" i="80"/>
  <c r="G139" i="80"/>
  <c r="D139" i="80"/>
  <c r="H138" i="80"/>
  <c r="D138" i="80"/>
  <c r="G137" i="80"/>
  <c r="D137" i="80"/>
  <c r="H136" i="80"/>
  <c r="D136" i="80"/>
  <c r="G135" i="80"/>
  <c r="D135" i="80"/>
  <c r="H134" i="80"/>
  <c r="D134" i="80"/>
  <c r="G133" i="80"/>
  <c r="D133" i="80"/>
  <c r="H132" i="80"/>
  <c r="D132" i="80"/>
  <c r="G131" i="80"/>
  <c r="D131" i="80"/>
  <c r="H127" i="80"/>
  <c r="D127" i="80"/>
  <c r="G126" i="80"/>
  <c r="D126" i="80"/>
  <c r="H125" i="80"/>
  <c r="D125" i="80"/>
  <c r="G124" i="80"/>
  <c r="D124" i="80"/>
  <c r="H123" i="80"/>
  <c r="D123" i="80"/>
  <c r="G122" i="80"/>
  <c r="D122" i="80"/>
  <c r="H121" i="80"/>
  <c r="D121" i="80"/>
  <c r="G120" i="80"/>
  <c r="D120" i="80"/>
  <c r="H119" i="80"/>
  <c r="D119" i="80"/>
  <c r="G118" i="80"/>
  <c r="D118" i="80"/>
  <c r="H117" i="80"/>
  <c r="D117" i="80"/>
  <c r="G116" i="80"/>
  <c r="D116" i="80"/>
  <c r="H115" i="80"/>
  <c r="D115" i="80"/>
  <c r="G114" i="80"/>
  <c r="D114" i="80"/>
  <c r="H113" i="80"/>
  <c r="D113" i="80"/>
  <c r="G112" i="80"/>
  <c r="D112" i="80"/>
  <c r="H111" i="80"/>
  <c r="D111" i="80"/>
  <c r="G110" i="80"/>
  <c r="D110" i="80"/>
  <c r="H109" i="80"/>
  <c r="D109" i="80"/>
  <c r="G108" i="80"/>
  <c r="D108" i="80"/>
  <c r="H107" i="80"/>
  <c r="D107" i="80"/>
  <c r="G106" i="80"/>
  <c r="D106" i="80"/>
  <c r="H105" i="80"/>
  <c r="D105" i="80"/>
  <c r="G104" i="80"/>
  <c r="D104" i="80"/>
  <c r="H103" i="80"/>
  <c r="D103" i="80"/>
  <c r="G102" i="80"/>
  <c r="D102" i="80"/>
  <c r="H101" i="80"/>
  <c r="D101" i="80"/>
  <c r="G100" i="80"/>
  <c r="D100" i="80"/>
  <c r="H99" i="80"/>
  <c r="D99" i="80"/>
  <c r="G98" i="80"/>
  <c r="D98" i="80"/>
  <c r="H94" i="80"/>
  <c r="D94" i="80"/>
  <c r="G93" i="80"/>
  <c r="D93" i="80"/>
  <c r="H92" i="80"/>
  <c r="D92" i="80"/>
  <c r="G91" i="80"/>
  <c r="D91" i="80"/>
  <c r="H90" i="80"/>
  <c r="D90" i="80"/>
  <c r="G89" i="80"/>
  <c r="D89" i="80"/>
  <c r="H88" i="80"/>
  <c r="D88" i="80"/>
  <c r="G87" i="80"/>
  <c r="D87" i="80"/>
  <c r="H86" i="80"/>
  <c r="D86" i="80"/>
  <c r="G85" i="80"/>
  <c r="D85" i="80"/>
  <c r="H84" i="80"/>
  <c r="D84" i="80"/>
  <c r="G83" i="80"/>
  <c r="D83" i="80"/>
  <c r="H82" i="80"/>
  <c r="D82" i="80"/>
  <c r="G81" i="80"/>
  <c r="D81" i="80"/>
  <c r="H80" i="80"/>
  <c r="D80" i="80"/>
  <c r="G79" i="80"/>
  <c r="D79" i="80"/>
  <c r="H78" i="80"/>
  <c r="D78" i="80"/>
  <c r="G77" i="80"/>
  <c r="D77" i="80"/>
  <c r="H76" i="80"/>
  <c r="D76" i="80"/>
  <c r="G75" i="80"/>
  <c r="D75" i="80"/>
  <c r="H74" i="80"/>
  <c r="D74" i="80"/>
  <c r="G73" i="80"/>
  <c r="D73" i="80"/>
  <c r="H72" i="80"/>
  <c r="D72" i="80"/>
  <c r="G71" i="80"/>
  <c r="D71" i="80"/>
  <c r="H70" i="80"/>
  <c r="D70" i="80"/>
  <c r="G69" i="80"/>
  <c r="D69" i="80"/>
  <c r="H68" i="80"/>
  <c r="D68" i="80"/>
  <c r="G67" i="80"/>
  <c r="D67" i="80"/>
  <c r="H63" i="80"/>
  <c r="D63" i="80"/>
  <c r="G62" i="80"/>
  <c r="D62" i="80"/>
  <c r="H61" i="80"/>
  <c r="D61" i="80"/>
  <c r="G60" i="80"/>
  <c r="D60" i="80"/>
  <c r="H59" i="80"/>
  <c r="D59" i="80"/>
  <c r="G58" i="80"/>
  <c r="D58" i="80"/>
  <c r="H57" i="80"/>
  <c r="D57" i="80"/>
  <c r="G56" i="80"/>
  <c r="D56" i="80"/>
  <c r="H55" i="80"/>
  <c r="D55" i="80"/>
  <c r="G54" i="80"/>
  <c r="D54" i="80"/>
  <c r="H53" i="80"/>
  <c r="D53" i="80"/>
  <c r="G52" i="80"/>
  <c r="D52" i="80"/>
  <c r="H51" i="80"/>
  <c r="D51" i="80"/>
  <c r="G50" i="80"/>
  <c r="D50" i="80"/>
  <c r="H49" i="80"/>
  <c r="D49" i="80"/>
  <c r="G48" i="80"/>
  <c r="D48" i="80"/>
  <c r="H47" i="80"/>
  <c r="D47" i="80"/>
  <c r="G46" i="80"/>
  <c r="D46" i="80"/>
  <c r="H45" i="80"/>
  <c r="D45" i="80"/>
  <c r="G44" i="80"/>
  <c r="D44" i="80"/>
  <c r="H43" i="80"/>
  <c r="D43" i="80"/>
  <c r="G42" i="80"/>
  <c r="D42" i="80"/>
  <c r="H41" i="80"/>
  <c r="D41" i="80"/>
  <c r="G40" i="80"/>
  <c r="D40" i="80"/>
  <c r="H39" i="80"/>
  <c r="D39" i="80"/>
  <c r="G38" i="80"/>
  <c r="D38" i="80"/>
  <c r="H37" i="80"/>
  <c r="D37" i="80"/>
  <c r="G36" i="80"/>
  <c r="D36" i="80"/>
  <c r="H32" i="80"/>
  <c r="D32" i="80"/>
  <c r="G31" i="80"/>
  <c r="D31" i="80"/>
  <c r="H30" i="80"/>
  <c r="D30" i="80"/>
  <c r="G29" i="80"/>
  <c r="D29" i="80"/>
  <c r="H28" i="80"/>
  <c r="D28" i="80"/>
  <c r="G27" i="80"/>
  <c r="D27" i="80"/>
  <c r="H26" i="80"/>
  <c r="D26" i="80"/>
  <c r="G25" i="80"/>
  <c r="D25" i="80"/>
  <c r="H24" i="80"/>
  <c r="D24" i="80"/>
  <c r="G23" i="80"/>
  <c r="D23" i="80"/>
  <c r="H22" i="80"/>
  <c r="D22" i="80"/>
  <c r="G21" i="80"/>
  <c r="D21" i="80"/>
  <c r="H20" i="80"/>
  <c r="D20" i="80"/>
  <c r="G19" i="80"/>
  <c r="D19" i="80"/>
  <c r="H18" i="80"/>
  <c r="D18" i="80"/>
  <c r="G17" i="80"/>
  <c r="D17" i="80"/>
  <c r="H16" i="80"/>
  <c r="D16" i="80"/>
  <c r="G15" i="80"/>
  <c r="D15" i="80"/>
  <c r="H14" i="80"/>
  <c r="D14" i="80"/>
  <c r="G13" i="80"/>
  <c r="D13" i="80"/>
  <c r="H12" i="80"/>
  <c r="D12" i="80"/>
  <c r="G11" i="80"/>
  <c r="D11" i="80"/>
  <c r="H10" i="80"/>
  <c r="D10" i="80"/>
  <c r="G9" i="80"/>
  <c r="D9" i="80"/>
  <c r="H8" i="80"/>
  <c r="D8" i="80"/>
  <c r="G7" i="80"/>
  <c r="D7" i="80"/>
  <c r="F66" i="76" l="1"/>
  <c r="E66" i="76"/>
  <c r="F65" i="76"/>
  <c r="E65" i="76"/>
  <c r="F64" i="76"/>
  <c r="E64" i="76"/>
  <c r="F63" i="76"/>
  <c r="E63" i="76"/>
  <c r="F62" i="76"/>
  <c r="E62" i="76"/>
  <c r="F61" i="76"/>
  <c r="E61" i="76"/>
  <c r="F60" i="76"/>
  <c r="E60" i="76"/>
  <c r="F59" i="76"/>
  <c r="E59" i="76"/>
  <c r="F58" i="76"/>
  <c r="E58" i="76"/>
  <c r="F57" i="76"/>
  <c r="E57" i="76"/>
  <c r="F56" i="76"/>
  <c r="E56" i="76"/>
  <c r="F55" i="76"/>
  <c r="E55" i="76"/>
  <c r="F54" i="76"/>
  <c r="E54" i="76"/>
  <c r="F53" i="76"/>
  <c r="E53" i="76"/>
  <c r="F52" i="76"/>
  <c r="E52" i="76"/>
  <c r="F51" i="76"/>
  <c r="E51" i="76"/>
  <c r="F50" i="76"/>
  <c r="E50" i="76"/>
  <c r="F49" i="76"/>
  <c r="E49" i="76"/>
  <c r="F48" i="76"/>
  <c r="E48" i="76"/>
  <c r="F47" i="76"/>
  <c r="E47" i="76"/>
  <c r="F46" i="76"/>
  <c r="E46" i="76"/>
  <c r="F45" i="76"/>
  <c r="E45" i="76"/>
  <c r="F44" i="76"/>
  <c r="E44" i="76"/>
  <c r="F43" i="76"/>
  <c r="E43" i="76"/>
  <c r="F42" i="76"/>
  <c r="E42" i="76"/>
  <c r="F41" i="76"/>
  <c r="E41" i="76"/>
  <c r="F40" i="76"/>
  <c r="E40" i="76"/>
  <c r="F39" i="76"/>
  <c r="E39" i="76"/>
  <c r="F38" i="76"/>
  <c r="E38" i="76"/>
  <c r="F37" i="76"/>
  <c r="E37" i="76"/>
  <c r="F36" i="76"/>
  <c r="E36" i="76"/>
  <c r="F35" i="76"/>
  <c r="E35" i="76"/>
  <c r="F34" i="76"/>
  <c r="E34" i="76"/>
  <c r="F33" i="76"/>
  <c r="E33" i="76"/>
  <c r="F32" i="76"/>
  <c r="E32" i="76"/>
  <c r="F31" i="76"/>
  <c r="E31" i="76"/>
  <c r="F30" i="76"/>
  <c r="E30" i="76"/>
  <c r="F29" i="76"/>
  <c r="E29" i="76"/>
  <c r="F28" i="76"/>
  <c r="E28" i="76"/>
  <c r="F27" i="76"/>
  <c r="E27" i="76"/>
  <c r="F26" i="76"/>
  <c r="E26" i="76"/>
  <c r="F25" i="76"/>
  <c r="E25" i="76"/>
  <c r="F24" i="76"/>
  <c r="E24" i="76"/>
  <c r="F23" i="76"/>
  <c r="E23" i="76"/>
  <c r="F22" i="76"/>
  <c r="E22" i="76"/>
  <c r="F21" i="76"/>
  <c r="E21" i="76"/>
  <c r="F20" i="76"/>
  <c r="E20" i="76"/>
  <c r="F19" i="76"/>
  <c r="E19" i="76"/>
  <c r="F18" i="76"/>
  <c r="E18" i="76"/>
  <c r="F17" i="76"/>
  <c r="E17" i="76"/>
  <c r="F16" i="76"/>
  <c r="E16" i="76"/>
  <c r="F15" i="76"/>
  <c r="E15" i="76"/>
  <c r="F14" i="76"/>
  <c r="E14" i="76"/>
  <c r="F13" i="76"/>
  <c r="E13" i="76"/>
  <c r="F12" i="76"/>
  <c r="E12" i="76"/>
  <c r="F11" i="76"/>
  <c r="E11" i="76"/>
  <c r="F10" i="76"/>
  <c r="E10" i="76"/>
  <c r="F9" i="76"/>
  <c r="E9" i="76"/>
  <c r="F8" i="76"/>
  <c r="E8" i="76"/>
  <c r="F7" i="76"/>
  <c r="E7" i="76"/>
  <c r="F6" i="76"/>
  <c r="E6" i="76"/>
  <c r="I210" i="78"/>
  <c r="G210" i="78"/>
  <c r="I209" i="78"/>
  <c r="G209" i="78"/>
  <c r="I208" i="78"/>
  <c r="G208" i="78"/>
  <c r="I207" i="78"/>
  <c r="G207" i="78"/>
  <c r="I206" i="78"/>
  <c r="G206" i="78"/>
  <c r="I205" i="78"/>
  <c r="G205" i="78"/>
  <c r="I204" i="78"/>
  <c r="G204" i="78"/>
  <c r="I203" i="78"/>
  <c r="G203" i="78"/>
  <c r="I202" i="78"/>
  <c r="G202" i="78"/>
  <c r="I201" i="78"/>
  <c r="G201" i="78"/>
  <c r="I200" i="78"/>
  <c r="G200" i="78"/>
  <c r="I199" i="78"/>
  <c r="G199" i="78"/>
  <c r="I198" i="78"/>
  <c r="G198" i="78"/>
  <c r="I197" i="78"/>
  <c r="G197" i="78"/>
  <c r="I196" i="78"/>
  <c r="G196" i="78"/>
  <c r="I195" i="78"/>
  <c r="G195" i="78"/>
  <c r="I194" i="78"/>
  <c r="G194" i="78"/>
  <c r="I193" i="78"/>
  <c r="G193" i="78"/>
  <c r="I192" i="78"/>
  <c r="G192" i="78"/>
  <c r="I191" i="78"/>
  <c r="G191" i="78"/>
  <c r="I190" i="78"/>
  <c r="G190" i="78"/>
  <c r="I189" i="78"/>
  <c r="G189" i="78"/>
  <c r="I188" i="78"/>
  <c r="G188" i="78"/>
  <c r="I187" i="78"/>
  <c r="G187" i="78"/>
  <c r="I186" i="78"/>
  <c r="G186" i="78"/>
  <c r="I185" i="78"/>
  <c r="G185" i="78"/>
  <c r="I184" i="78"/>
  <c r="G184" i="78"/>
  <c r="I183" i="78"/>
  <c r="G183" i="78"/>
  <c r="I182" i="78"/>
  <c r="G182" i="78"/>
  <c r="I181" i="78"/>
  <c r="G181" i="78"/>
  <c r="I180" i="78"/>
  <c r="G180" i="78"/>
  <c r="I178" i="78"/>
  <c r="G178" i="78"/>
  <c r="I177" i="78"/>
  <c r="G177" i="78"/>
  <c r="I176" i="78"/>
  <c r="G176" i="78"/>
  <c r="I175" i="78"/>
  <c r="G175" i="78"/>
  <c r="I174" i="78"/>
  <c r="G174" i="78"/>
  <c r="I173" i="78"/>
  <c r="G173" i="78"/>
  <c r="I172" i="78"/>
  <c r="G172" i="78"/>
  <c r="I170" i="78"/>
  <c r="G170" i="78"/>
  <c r="I169" i="78"/>
  <c r="G169" i="78"/>
  <c r="I168" i="78"/>
  <c r="G168" i="78"/>
  <c r="I167" i="78"/>
  <c r="G167" i="78"/>
  <c r="I166" i="78"/>
  <c r="G166" i="78"/>
  <c r="I165" i="78"/>
  <c r="G165" i="78"/>
  <c r="I164" i="78"/>
  <c r="G164" i="78"/>
  <c r="I163" i="78"/>
  <c r="G163" i="78"/>
  <c r="I162" i="78"/>
  <c r="G162" i="78"/>
  <c r="I161" i="78"/>
  <c r="G161" i="78"/>
  <c r="I160" i="78"/>
  <c r="G160" i="78"/>
  <c r="I159" i="78"/>
  <c r="G159" i="78"/>
  <c r="I158" i="78"/>
  <c r="G158" i="78"/>
  <c r="I157" i="78"/>
  <c r="G157" i="78"/>
  <c r="I156" i="78"/>
  <c r="G156" i="78"/>
  <c r="I155" i="78"/>
  <c r="G155" i="78"/>
  <c r="I154" i="78"/>
  <c r="G154" i="78"/>
  <c r="I153" i="78"/>
  <c r="G153" i="78"/>
  <c r="I152" i="78"/>
  <c r="G152" i="78"/>
  <c r="H148" i="78"/>
  <c r="D148" i="78"/>
  <c r="G147" i="78"/>
  <c r="D147" i="78"/>
  <c r="H146" i="78"/>
  <c r="D146" i="78"/>
  <c r="G145" i="78"/>
  <c r="D145" i="78"/>
  <c r="H144" i="78"/>
  <c r="D144" i="78"/>
  <c r="G143" i="78"/>
  <c r="D143" i="78"/>
  <c r="H142" i="78"/>
  <c r="D142" i="78"/>
  <c r="G141" i="78"/>
  <c r="D141" i="78"/>
  <c r="H140" i="78"/>
  <c r="D140" i="78"/>
  <c r="G139" i="78"/>
  <c r="D139" i="78"/>
  <c r="H138" i="78"/>
  <c r="D138" i="78"/>
  <c r="G137" i="78"/>
  <c r="D137" i="78"/>
  <c r="H136" i="78"/>
  <c r="D136" i="78"/>
  <c r="G135" i="78"/>
  <c r="D135" i="78"/>
  <c r="H134" i="78"/>
  <c r="D134" i="78"/>
  <c r="G133" i="78"/>
  <c r="D133" i="78"/>
  <c r="H132" i="78"/>
  <c r="D132" i="78"/>
  <c r="G131" i="78"/>
  <c r="D131" i="78"/>
  <c r="H127" i="78"/>
  <c r="D127" i="78"/>
  <c r="G126" i="78"/>
  <c r="D126" i="78"/>
  <c r="H125" i="78"/>
  <c r="D125" i="78"/>
  <c r="G124" i="78"/>
  <c r="D124" i="78"/>
  <c r="H123" i="78"/>
  <c r="D123" i="78"/>
  <c r="G122" i="78"/>
  <c r="D122" i="78"/>
  <c r="H121" i="78"/>
  <c r="D121" i="78"/>
  <c r="G120" i="78"/>
  <c r="D120" i="78"/>
  <c r="H119" i="78"/>
  <c r="D119" i="78"/>
  <c r="G118" i="78"/>
  <c r="D118" i="78"/>
  <c r="H117" i="78"/>
  <c r="D117" i="78"/>
  <c r="G116" i="78"/>
  <c r="D116" i="78"/>
  <c r="H115" i="78"/>
  <c r="D115" i="78"/>
  <c r="G114" i="78"/>
  <c r="D114" i="78"/>
  <c r="H113" i="78"/>
  <c r="D113" i="78"/>
  <c r="G112" i="78"/>
  <c r="D112" i="78"/>
  <c r="H111" i="78"/>
  <c r="D111" i="78"/>
  <c r="G110" i="78"/>
  <c r="D110" i="78"/>
  <c r="H109" i="78"/>
  <c r="D109" i="78"/>
  <c r="G108" i="78"/>
  <c r="D108" i="78"/>
  <c r="H107" i="78"/>
  <c r="D107" i="78"/>
  <c r="G106" i="78"/>
  <c r="D106" i="78"/>
  <c r="H105" i="78"/>
  <c r="D105" i="78"/>
  <c r="G104" i="78"/>
  <c r="D104" i="78"/>
  <c r="H103" i="78"/>
  <c r="D103" i="78"/>
  <c r="G102" i="78"/>
  <c r="D102" i="78"/>
  <c r="H101" i="78"/>
  <c r="D101" i="78"/>
  <c r="G100" i="78"/>
  <c r="D100" i="78"/>
  <c r="H99" i="78"/>
  <c r="D99" i="78"/>
  <c r="G98" i="78"/>
  <c r="D98" i="78"/>
  <c r="H94" i="78"/>
  <c r="D94" i="78"/>
  <c r="G93" i="78"/>
  <c r="D93" i="78"/>
  <c r="H92" i="78"/>
  <c r="D92" i="78"/>
  <c r="G91" i="78"/>
  <c r="D91" i="78"/>
  <c r="H90" i="78"/>
  <c r="D90" i="78"/>
  <c r="G89" i="78"/>
  <c r="D89" i="78"/>
  <c r="H88" i="78"/>
  <c r="D88" i="78"/>
  <c r="G87" i="78"/>
  <c r="D87" i="78"/>
  <c r="H86" i="78"/>
  <c r="D86" i="78"/>
  <c r="G85" i="78"/>
  <c r="D85" i="78"/>
  <c r="H84" i="78"/>
  <c r="D84" i="78"/>
  <c r="G83" i="78"/>
  <c r="D83" i="78"/>
  <c r="H82" i="78"/>
  <c r="D82" i="78"/>
  <c r="G81" i="78"/>
  <c r="D81" i="78"/>
  <c r="H80" i="78"/>
  <c r="D80" i="78"/>
  <c r="G79" i="78"/>
  <c r="D79" i="78"/>
  <c r="H78" i="78"/>
  <c r="D78" i="78"/>
  <c r="G77" i="78"/>
  <c r="D77" i="78"/>
  <c r="H76" i="78"/>
  <c r="D76" i="78"/>
  <c r="G75" i="78"/>
  <c r="D75" i="78"/>
  <c r="H74" i="78"/>
  <c r="D74" i="78"/>
  <c r="G73" i="78"/>
  <c r="D73" i="78"/>
  <c r="H72" i="78"/>
  <c r="D72" i="78"/>
  <c r="G71" i="78"/>
  <c r="D71" i="78"/>
  <c r="H70" i="78"/>
  <c r="D70" i="78"/>
  <c r="G69" i="78"/>
  <c r="D69" i="78"/>
  <c r="H68" i="78"/>
  <c r="D68" i="78"/>
  <c r="G67" i="78"/>
  <c r="D67" i="78"/>
  <c r="H63" i="78"/>
  <c r="D63" i="78"/>
  <c r="G62" i="78"/>
  <c r="D62" i="78"/>
  <c r="H61" i="78"/>
  <c r="D61" i="78"/>
  <c r="G60" i="78"/>
  <c r="D60" i="78"/>
  <c r="H59" i="78"/>
  <c r="D59" i="78"/>
  <c r="G58" i="78"/>
  <c r="D58" i="78"/>
  <c r="H57" i="78"/>
  <c r="D57" i="78"/>
  <c r="G56" i="78"/>
  <c r="D56" i="78"/>
  <c r="H55" i="78"/>
  <c r="D55" i="78"/>
  <c r="G54" i="78"/>
  <c r="D54" i="78"/>
  <c r="H53" i="78"/>
  <c r="D53" i="78"/>
  <c r="G52" i="78"/>
  <c r="D52" i="78"/>
  <c r="H51" i="78"/>
  <c r="D51" i="78"/>
  <c r="G50" i="78"/>
  <c r="D50" i="78"/>
  <c r="H49" i="78"/>
  <c r="D49" i="78"/>
  <c r="G48" i="78"/>
  <c r="D48" i="78"/>
  <c r="H47" i="78"/>
  <c r="D47" i="78"/>
  <c r="G46" i="78"/>
  <c r="D46" i="78"/>
  <c r="H45" i="78"/>
  <c r="D45" i="78"/>
  <c r="G44" i="78"/>
  <c r="D44" i="78"/>
  <c r="H43" i="78"/>
  <c r="D43" i="78"/>
  <c r="G42" i="78"/>
  <c r="D42" i="78"/>
  <c r="H41" i="78"/>
  <c r="D41" i="78"/>
  <c r="G40" i="78"/>
  <c r="D40" i="78"/>
  <c r="H39" i="78"/>
  <c r="D39" i="78"/>
  <c r="G38" i="78"/>
  <c r="D38" i="78"/>
  <c r="H37" i="78"/>
  <c r="D37" i="78"/>
  <c r="G36" i="78"/>
  <c r="D36" i="78"/>
  <c r="H32" i="78"/>
  <c r="D32" i="78"/>
  <c r="G31" i="78"/>
  <c r="D31" i="78"/>
  <c r="H30" i="78"/>
  <c r="D30" i="78"/>
  <c r="G29" i="78"/>
  <c r="D29" i="78"/>
  <c r="H28" i="78"/>
  <c r="D28" i="78"/>
  <c r="G27" i="78"/>
  <c r="D27" i="78"/>
  <c r="H26" i="78"/>
  <c r="D26" i="78"/>
  <c r="G25" i="78"/>
  <c r="D25" i="78"/>
  <c r="H24" i="78"/>
  <c r="D24" i="78"/>
  <c r="G23" i="78"/>
  <c r="D23" i="78"/>
  <c r="H22" i="78"/>
  <c r="D22" i="78"/>
  <c r="G21" i="78"/>
  <c r="D21" i="78"/>
  <c r="H20" i="78"/>
  <c r="D20" i="78"/>
  <c r="G19" i="78"/>
  <c r="D19" i="78"/>
  <c r="H18" i="78"/>
  <c r="D18" i="78"/>
  <c r="G17" i="78"/>
  <c r="D17" i="78"/>
  <c r="H16" i="78"/>
  <c r="D16" i="78"/>
  <c r="G15" i="78"/>
  <c r="D15" i="78"/>
  <c r="H14" i="78"/>
  <c r="D14" i="78"/>
  <c r="G13" i="78"/>
  <c r="D13" i="78"/>
  <c r="H12" i="78"/>
  <c r="D12" i="78"/>
  <c r="G11" i="78"/>
  <c r="D11" i="78"/>
  <c r="H10" i="78"/>
  <c r="D10" i="78"/>
  <c r="G9" i="78"/>
  <c r="D9" i="78"/>
  <c r="H8" i="78"/>
  <c r="D8" i="78"/>
  <c r="G7" i="78"/>
  <c r="D7" i="78"/>
  <c r="D7" i="66"/>
  <c r="J35" i="75"/>
  <c r="I35" i="75"/>
  <c r="H35" i="75"/>
  <c r="G35" i="75"/>
  <c r="E35" i="75"/>
  <c r="D35" i="75"/>
  <c r="B35" i="75"/>
  <c r="A35" i="75"/>
  <c r="J32" i="75"/>
  <c r="I32" i="75"/>
  <c r="H32" i="75"/>
  <c r="G32" i="75"/>
  <c r="E32" i="75"/>
  <c r="D32" i="75"/>
  <c r="B32" i="75"/>
  <c r="A32" i="75"/>
  <c r="AK29" i="75"/>
  <c r="AJ29" i="75"/>
  <c r="AI29" i="75"/>
  <c r="AH29" i="75"/>
  <c r="AG29" i="75"/>
  <c r="AF29" i="75"/>
  <c r="AE29" i="75"/>
  <c r="AD29" i="75"/>
  <c r="AC29" i="75"/>
  <c r="AB29" i="75"/>
  <c r="AA29" i="75"/>
  <c r="Z29" i="75"/>
  <c r="Y29" i="75"/>
  <c r="X29" i="75"/>
  <c r="W29" i="75"/>
  <c r="V29" i="75"/>
  <c r="U29" i="75"/>
  <c r="T29" i="75"/>
  <c r="S29" i="75"/>
  <c r="R29" i="75"/>
  <c r="Q29" i="75"/>
  <c r="P29" i="75"/>
  <c r="O29" i="75"/>
  <c r="N29" i="75"/>
  <c r="M29" i="75"/>
  <c r="L29" i="75"/>
  <c r="K29" i="75"/>
  <c r="J29" i="75"/>
  <c r="I29" i="75"/>
  <c r="H29" i="75"/>
  <c r="G29" i="75"/>
  <c r="F29" i="75"/>
  <c r="E29" i="75"/>
  <c r="D29" i="75"/>
  <c r="C29" i="75"/>
  <c r="B29" i="75"/>
  <c r="A29" i="75"/>
  <c r="AA27" i="75"/>
  <c r="Z27" i="75"/>
  <c r="Y27" i="75"/>
  <c r="X27" i="75"/>
  <c r="W27" i="75"/>
  <c r="V27" i="75"/>
  <c r="U27" i="75"/>
  <c r="T27" i="75"/>
  <c r="R27" i="75"/>
  <c r="Q27" i="75"/>
  <c r="P27" i="75"/>
  <c r="M27" i="75"/>
  <c r="L27" i="75"/>
  <c r="K27" i="75"/>
  <c r="J27" i="75"/>
  <c r="I27" i="75"/>
  <c r="H27" i="75"/>
  <c r="G27" i="75"/>
  <c r="F27" i="75"/>
  <c r="D27" i="75"/>
  <c r="C27" i="75"/>
  <c r="B27" i="75"/>
  <c r="AK25" i="75"/>
  <c r="AJ25" i="75"/>
  <c r="AI25" i="75"/>
  <c r="AH25" i="75"/>
  <c r="AG25" i="75"/>
  <c r="AF25" i="75"/>
  <c r="AE25" i="75"/>
  <c r="AD25" i="75"/>
  <c r="AC25" i="75"/>
  <c r="AB25" i="75"/>
  <c r="AA25" i="75"/>
  <c r="Z25" i="75"/>
  <c r="Y25" i="75"/>
  <c r="X25" i="75"/>
  <c r="W25" i="75"/>
  <c r="V25" i="75"/>
  <c r="U25" i="75"/>
  <c r="T25" i="75"/>
  <c r="S25" i="75"/>
  <c r="R25" i="75"/>
  <c r="Q25" i="75"/>
  <c r="P25" i="75"/>
  <c r="O25" i="75"/>
  <c r="N25" i="75"/>
  <c r="M25" i="75"/>
  <c r="L25" i="75"/>
  <c r="K25" i="75"/>
  <c r="J25" i="75"/>
  <c r="I25" i="75"/>
  <c r="H25" i="75"/>
  <c r="G25" i="75"/>
  <c r="E25" i="75"/>
  <c r="D25" i="75"/>
  <c r="C25" i="75"/>
  <c r="B25" i="75"/>
  <c r="A25" i="75"/>
  <c r="AK23" i="75"/>
  <c r="AJ23" i="75"/>
  <c r="AI23" i="75"/>
  <c r="AH23" i="75"/>
  <c r="AG23" i="75"/>
  <c r="AF23" i="75"/>
  <c r="AE23" i="75"/>
  <c r="AD23" i="75"/>
  <c r="AB23" i="75"/>
  <c r="AA23" i="75"/>
  <c r="Z23" i="75"/>
  <c r="Y23" i="75"/>
  <c r="X23" i="75"/>
  <c r="W23" i="75"/>
  <c r="V23" i="75"/>
  <c r="U23" i="75"/>
  <c r="T23" i="75"/>
  <c r="S23" i="75"/>
  <c r="R23" i="75"/>
  <c r="Q23" i="75"/>
  <c r="P23" i="75"/>
  <c r="O23" i="75"/>
  <c r="N23" i="75"/>
  <c r="M23" i="75"/>
  <c r="L23" i="75"/>
  <c r="K23" i="75"/>
  <c r="J23" i="75"/>
  <c r="I23" i="75"/>
  <c r="H23" i="75"/>
  <c r="G23" i="75"/>
  <c r="F23" i="75"/>
  <c r="E23" i="75"/>
  <c r="D23" i="75"/>
  <c r="C23" i="75"/>
  <c r="B23" i="75"/>
  <c r="A23" i="75"/>
  <c r="AK20" i="75"/>
  <c r="AJ20" i="75"/>
  <c r="AI20" i="75"/>
  <c r="AH20" i="75"/>
  <c r="AG20" i="75"/>
  <c r="AF20" i="75"/>
  <c r="AE20" i="75"/>
  <c r="AD20" i="75"/>
  <c r="AC20" i="75"/>
  <c r="AB20" i="75"/>
  <c r="AA20" i="75"/>
  <c r="Z20" i="75"/>
  <c r="Y20" i="75"/>
  <c r="X20" i="75"/>
  <c r="W20" i="75"/>
  <c r="V20" i="75"/>
  <c r="U20" i="75"/>
  <c r="T20" i="75"/>
  <c r="S20" i="75"/>
  <c r="R20" i="75"/>
  <c r="Q20" i="75"/>
  <c r="P20" i="75"/>
  <c r="O20" i="75"/>
  <c r="N20" i="75"/>
  <c r="M20" i="75"/>
  <c r="L20" i="75"/>
  <c r="K20" i="75"/>
  <c r="J20" i="75"/>
  <c r="I20" i="75"/>
  <c r="H20" i="75"/>
  <c r="G20" i="75"/>
  <c r="F20" i="75"/>
  <c r="E20" i="75"/>
  <c r="D20" i="75"/>
  <c r="C20" i="75"/>
  <c r="B20" i="75"/>
  <c r="A20" i="75"/>
  <c r="AK19" i="75"/>
  <c r="AJ19" i="75"/>
  <c r="AI19" i="75"/>
  <c r="AH19" i="75"/>
  <c r="AG19" i="75"/>
  <c r="AF19" i="75"/>
  <c r="AE19" i="75"/>
  <c r="AD19" i="75"/>
  <c r="AC19" i="75"/>
  <c r="AB19" i="75"/>
  <c r="AA19" i="75"/>
  <c r="Z19" i="75"/>
  <c r="Y19" i="75"/>
  <c r="X19" i="75"/>
  <c r="W19" i="75"/>
  <c r="V19" i="75"/>
  <c r="U19" i="75"/>
  <c r="T19" i="75"/>
  <c r="S19" i="75"/>
  <c r="R19" i="75"/>
  <c r="Q19" i="75"/>
  <c r="P19" i="75"/>
  <c r="O19" i="75"/>
  <c r="N19" i="75"/>
  <c r="M19" i="75"/>
  <c r="L19" i="75"/>
  <c r="K19" i="75"/>
  <c r="J19" i="75"/>
  <c r="I19" i="75"/>
  <c r="H19" i="75"/>
  <c r="G19" i="75"/>
  <c r="F19" i="75"/>
  <c r="E19" i="75"/>
  <c r="D19" i="75"/>
  <c r="C19" i="75"/>
  <c r="B19" i="75"/>
  <c r="A19" i="75"/>
  <c r="F15" i="75"/>
  <c r="C15" i="75"/>
  <c r="R13" i="75"/>
  <c r="L13" i="75"/>
  <c r="H13" i="75"/>
  <c r="G13" i="75"/>
  <c r="F13" i="75"/>
  <c r="E13" i="75"/>
  <c r="D13" i="75"/>
  <c r="C13" i="75"/>
  <c r="B13" i="75"/>
  <c r="A13" i="75"/>
  <c r="R12" i="75"/>
  <c r="L12" i="75"/>
  <c r="J11" i="75"/>
  <c r="I11" i="75"/>
  <c r="H11" i="75"/>
  <c r="G11" i="75"/>
  <c r="F11" i="75"/>
  <c r="E11" i="75"/>
  <c r="D11" i="75"/>
  <c r="C11" i="75"/>
  <c r="B11" i="75"/>
  <c r="A11" i="75"/>
  <c r="J35" i="72" l="1"/>
  <c r="I35" i="72"/>
  <c r="H35" i="72"/>
  <c r="G35" i="72"/>
  <c r="E35" i="72"/>
  <c r="D35" i="72"/>
  <c r="B35" i="72"/>
  <c r="A35" i="72"/>
  <c r="J32" i="72"/>
  <c r="I32" i="72"/>
  <c r="H32" i="72"/>
  <c r="G32" i="72"/>
  <c r="E32" i="72"/>
  <c r="D32" i="72"/>
  <c r="B32" i="72"/>
  <c r="A32" i="72"/>
  <c r="AK29" i="72"/>
  <c r="AJ29" i="72"/>
  <c r="AI29" i="72"/>
  <c r="AH29" i="72"/>
  <c r="AG29" i="72"/>
  <c r="AF29" i="72"/>
  <c r="AE29" i="72"/>
  <c r="AD29" i="72"/>
  <c r="AC29" i="72"/>
  <c r="AB29" i="72"/>
  <c r="AA29" i="72"/>
  <c r="Z29" i="72"/>
  <c r="Y29" i="72"/>
  <c r="X29" i="72"/>
  <c r="W29" i="72"/>
  <c r="V29" i="72"/>
  <c r="U29" i="72"/>
  <c r="T29" i="72"/>
  <c r="S29" i="72"/>
  <c r="R29" i="72"/>
  <c r="Q29" i="72"/>
  <c r="P29" i="72"/>
  <c r="O29" i="72"/>
  <c r="N29" i="72"/>
  <c r="M29" i="72"/>
  <c r="L29" i="72"/>
  <c r="K29" i="72"/>
  <c r="J29" i="72"/>
  <c r="I29" i="72"/>
  <c r="H29" i="72"/>
  <c r="G29" i="72"/>
  <c r="F29" i="72"/>
  <c r="E29" i="72"/>
  <c r="D29" i="72"/>
  <c r="C29" i="72"/>
  <c r="B29" i="72"/>
  <c r="A29" i="72"/>
  <c r="AA27" i="72"/>
  <c r="Z27" i="72"/>
  <c r="Y27" i="72"/>
  <c r="X27" i="72"/>
  <c r="W27" i="72"/>
  <c r="V27" i="72"/>
  <c r="U27" i="72"/>
  <c r="T27" i="72"/>
  <c r="R27" i="72"/>
  <c r="Q27" i="72"/>
  <c r="P27" i="72"/>
  <c r="M27" i="72"/>
  <c r="L27" i="72"/>
  <c r="K27" i="72"/>
  <c r="J27" i="72"/>
  <c r="I27" i="72"/>
  <c r="H27" i="72"/>
  <c r="G27" i="72"/>
  <c r="F27" i="72"/>
  <c r="D27" i="72"/>
  <c r="C27" i="72"/>
  <c r="B27" i="72"/>
  <c r="AK25" i="72"/>
  <c r="AJ25" i="72"/>
  <c r="AI25" i="72"/>
  <c r="AH25" i="72"/>
  <c r="AG25" i="72"/>
  <c r="AF25" i="72"/>
  <c r="AE25" i="72"/>
  <c r="AD25" i="72"/>
  <c r="AC25" i="72"/>
  <c r="AB25" i="72"/>
  <c r="AA25" i="72"/>
  <c r="Z25" i="72"/>
  <c r="Y25" i="72"/>
  <c r="X25" i="72"/>
  <c r="W25" i="72"/>
  <c r="V25" i="72"/>
  <c r="U25" i="72"/>
  <c r="T25" i="72"/>
  <c r="S25" i="72"/>
  <c r="R25" i="72"/>
  <c r="Q25" i="72"/>
  <c r="P25" i="72"/>
  <c r="O25" i="72"/>
  <c r="N25" i="72"/>
  <c r="M25" i="72"/>
  <c r="L25" i="72"/>
  <c r="K25" i="72"/>
  <c r="J25" i="72"/>
  <c r="I25" i="72"/>
  <c r="H25" i="72"/>
  <c r="G25" i="72"/>
  <c r="E25" i="72"/>
  <c r="D25" i="72"/>
  <c r="C25" i="72"/>
  <c r="B25" i="72"/>
  <c r="A25" i="72"/>
  <c r="AK23" i="72"/>
  <c r="AJ23" i="72"/>
  <c r="AI23" i="72"/>
  <c r="AH23" i="72"/>
  <c r="AG23" i="72"/>
  <c r="AF23" i="72"/>
  <c r="AE23" i="72"/>
  <c r="AD23" i="72"/>
  <c r="AB23" i="72"/>
  <c r="AA23" i="72"/>
  <c r="Z23" i="72"/>
  <c r="Y23" i="72"/>
  <c r="X23" i="72"/>
  <c r="W23" i="72"/>
  <c r="V23" i="72"/>
  <c r="U23" i="72"/>
  <c r="T23" i="72"/>
  <c r="S23" i="72"/>
  <c r="R23" i="72"/>
  <c r="Q23" i="72"/>
  <c r="P23" i="72"/>
  <c r="O23" i="72"/>
  <c r="N23" i="72"/>
  <c r="M23" i="72"/>
  <c r="L23" i="72"/>
  <c r="K23" i="72"/>
  <c r="J23" i="72"/>
  <c r="I23" i="72"/>
  <c r="H23" i="72"/>
  <c r="G23" i="72"/>
  <c r="F23" i="72"/>
  <c r="E23" i="72"/>
  <c r="D23" i="72"/>
  <c r="C23" i="72"/>
  <c r="B23" i="72"/>
  <c r="A23" i="72"/>
  <c r="AK20" i="72"/>
  <c r="AJ20" i="72"/>
  <c r="AI20" i="72"/>
  <c r="AH20" i="72"/>
  <c r="AG20" i="72"/>
  <c r="AF20" i="72"/>
  <c r="AE20" i="72"/>
  <c r="AD20" i="72"/>
  <c r="AC20" i="72"/>
  <c r="AB20" i="72"/>
  <c r="AA20" i="72"/>
  <c r="Z20" i="72"/>
  <c r="Y20" i="72"/>
  <c r="X20" i="72"/>
  <c r="W20" i="72"/>
  <c r="V20" i="72"/>
  <c r="U20" i="72"/>
  <c r="T20" i="72"/>
  <c r="S20" i="72"/>
  <c r="R20" i="72"/>
  <c r="Q20" i="72"/>
  <c r="P20" i="72"/>
  <c r="O20" i="72"/>
  <c r="N20" i="72"/>
  <c r="M20" i="72"/>
  <c r="L20" i="72"/>
  <c r="K20" i="72"/>
  <c r="J20" i="72"/>
  <c r="I20" i="72"/>
  <c r="H20" i="72"/>
  <c r="G20" i="72"/>
  <c r="F20" i="72"/>
  <c r="E20" i="72"/>
  <c r="D20" i="72"/>
  <c r="C20" i="72"/>
  <c r="B20" i="72"/>
  <c r="A20" i="72"/>
  <c r="AK19" i="72"/>
  <c r="AJ19" i="72"/>
  <c r="AI19" i="72"/>
  <c r="AH19" i="72"/>
  <c r="AG19" i="72"/>
  <c r="AF19" i="72"/>
  <c r="AE19" i="72"/>
  <c r="AD19" i="72"/>
  <c r="AC19" i="72"/>
  <c r="AB19" i="72"/>
  <c r="AA19" i="72"/>
  <c r="Z19" i="72"/>
  <c r="Y19" i="72"/>
  <c r="X19" i="72"/>
  <c r="W19" i="72"/>
  <c r="V19" i="72"/>
  <c r="U19" i="72"/>
  <c r="T19" i="72"/>
  <c r="S19" i="72"/>
  <c r="R19" i="72"/>
  <c r="Q19" i="72"/>
  <c r="P19" i="72"/>
  <c r="O19" i="72"/>
  <c r="N19" i="72"/>
  <c r="M19" i="72"/>
  <c r="L19" i="72"/>
  <c r="K19" i="72"/>
  <c r="J19" i="72"/>
  <c r="I19" i="72"/>
  <c r="H19" i="72"/>
  <c r="G19" i="72"/>
  <c r="F19" i="72"/>
  <c r="E19" i="72"/>
  <c r="D19" i="72"/>
  <c r="C19" i="72"/>
  <c r="B19" i="72"/>
  <c r="A19" i="72"/>
  <c r="R13" i="72"/>
  <c r="L13" i="72"/>
  <c r="H13" i="72"/>
  <c r="G13" i="72"/>
  <c r="F13" i="72"/>
  <c r="E13" i="72"/>
  <c r="D13" i="72"/>
  <c r="C13" i="72"/>
  <c r="B13" i="72"/>
  <c r="A13" i="72"/>
  <c r="R12" i="72"/>
  <c r="L12" i="72"/>
  <c r="J11" i="72"/>
  <c r="I11" i="72"/>
  <c r="H11" i="72"/>
  <c r="G11" i="72"/>
  <c r="F11" i="72"/>
  <c r="E11" i="72"/>
  <c r="D11" i="72"/>
  <c r="C11" i="72"/>
  <c r="B11" i="72"/>
  <c r="A11" i="72"/>
  <c r="F65" i="68" l="1"/>
  <c r="E65" i="68"/>
  <c r="F62" i="68"/>
  <c r="E62" i="68"/>
  <c r="F61" i="68"/>
  <c r="E61" i="68"/>
  <c r="F58" i="68"/>
  <c r="E58" i="68"/>
  <c r="F57" i="68"/>
  <c r="E57" i="68"/>
  <c r="F55" i="68"/>
  <c r="E55" i="68"/>
  <c r="F54" i="68"/>
  <c r="E54" i="68"/>
  <c r="F50" i="68"/>
  <c r="E50" i="68"/>
  <c r="F49" i="68"/>
  <c r="E49" i="68"/>
  <c r="F48" i="68"/>
  <c r="E48" i="68"/>
  <c r="F47" i="68"/>
  <c r="E47" i="68"/>
  <c r="F46" i="68"/>
  <c r="E46" i="68"/>
  <c r="F45" i="68"/>
  <c r="E45" i="68"/>
  <c r="F44" i="68"/>
  <c r="E44" i="68"/>
  <c r="F43" i="68"/>
  <c r="E43" i="68"/>
  <c r="F42" i="68"/>
  <c r="E42" i="68"/>
  <c r="F41" i="68"/>
  <c r="E41" i="68"/>
  <c r="F40" i="68"/>
  <c r="E40" i="68"/>
  <c r="F39" i="68"/>
  <c r="E39" i="68"/>
  <c r="F38" i="68"/>
  <c r="E38" i="68"/>
  <c r="F37" i="68"/>
  <c r="E37" i="68"/>
  <c r="F36" i="68"/>
  <c r="E36" i="68"/>
  <c r="F35" i="68"/>
  <c r="E35" i="68"/>
  <c r="F33" i="68"/>
  <c r="E33" i="68"/>
  <c r="F32" i="68"/>
  <c r="E32" i="68"/>
  <c r="F30" i="68"/>
  <c r="E30" i="68"/>
  <c r="F29" i="68"/>
  <c r="E29" i="68"/>
  <c r="F28" i="68"/>
  <c r="E28" i="68"/>
  <c r="F27" i="68"/>
  <c r="E27" i="68"/>
  <c r="F26" i="68"/>
  <c r="E26" i="68"/>
  <c r="F25" i="68"/>
  <c r="E25" i="68"/>
  <c r="F24" i="68"/>
  <c r="E24" i="68"/>
  <c r="F23" i="68"/>
  <c r="E23" i="68"/>
  <c r="F22" i="68"/>
  <c r="E22" i="68"/>
  <c r="F21" i="68"/>
  <c r="E21" i="68"/>
  <c r="F20" i="68"/>
  <c r="E20" i="68"/>
  <c r="F19" i="68"/>
  <c r="E19" i="68"/>
  <c r="F18" i="68"/>
  <c r="E18" i="68"/>
  <c r="F15" i="68"/>
  <c r="E15" i="68"/>
  <c r="F14" i="68"/>
  <c r="E14" i="68"/>
  <c r="F12" i="68"/>
  <c r="E12" i="68"/>
  <c r="F11" i="68"/>
  <c r="E11" i="68"/>
  <c r="F10" i="68"/>
  <c r="E10" i="68"/>
  <c r="F7" i="68"/>
  <c r="E7" i="68"/>
  <c r="F6" i="68"/>
  <c r="AC38" i="67"/>
  <c r="U38" i="67"/>
  <c r="L38" i="67"/>
  <c r="J37" i="67"/>
  <c r="I37" i="67"/>
  <c r="H37" i="67"/>
  <c r="G37" i="67"/>
  <c r="E37" i="67"/>
  <c r="D37" i="67"/>
  <c r="B37" i="67"/>
  <c r="A37" i="67"/>
  <c r="J34" i="67"/>
  <c r="I34" i="67"/>
  <c r="H34" i="67"/>
  <c r="G34" i="67"/>
  <c r="E34" i="67"/>
  <c r="D34" i="67"/>
  <c r="B34" i="67"/>
  <c r="A34" i="67"/>
  <c r="AK31" i="67"/>
  <c r="AJ31" i="67"/>
  <c r="AI31" i="67"/>
  <c r="AH31" i="67"/>
  <c r="AG31" i="67"/>
  <c r="AF31" i="67"/>
  <c r="AE31" i="67"/>
  <c r="AD31" i="67"/>
  <c r="AC31" i="67"/>
  <c r="AB31" i="67"/>
  <c r="AA31" i="67"/>
  <c r="Z31" i="67"/>
  <c r="Y31" i="67"/>
  <c r="X31" i="67"/>
  <c r="W31" i="67"/>
  <c r="V31" i="67"/>
  <c r="U31" i="67"/>
  <c r="T31" i="67"/>
  <c r="S31" i="67"/>
  <c r="R31" i="67"/>
  <c r="Q31" i="67"/>
  <c r="P31" i="67"/>
  <c r="O31" i="67"/>
  <c r="N31" i="67"/>
  <c r="M31" i="67"/>
  <c r="L31" i="67"/>
  <c r="K31" i="67"/>
  <c r="J31" i="67"/>
  <c r="I31" i="67"/>
  <c r="H31" i="67"/>
  <c r="G31" i="67"/>
  <c r="F31" i="67"/>
  <c r="E31" i="67"/>
  <c r="D31" i="67"/>
  <c r="C31" i="67"/>
  <c r="B31" i="67"/>
  <c r="A31" i="67"/>
  <c r="AA29" i="67"/>
  <c r="Z29" i="67"/>
  <c r="Y29" i="67"/>
  <c r="X29" i="67"/>
  <c r="W29" i="67"/>
  <c r="V29" i="67"/>
  <c r="U29" i="67"/>
  <c r="T29" i="67"/>
  <c r="R29" i="67"/>
  <c r="Q29" i="67"/>
  <c r="P29" i="67"/>
  <c r="M29" i="67"/>
  <c r="L29" i="67"/>
  <c r="K29" i="67"/>
  <c r="J29" i="67"/>
  <c r="I29" i="67"/>
  <c r="H29" i="67"/>
  <c r="G29" i="67"/>
  <c r="F29" i="67"/>
  <c r="D29" i="67"/>
  <c r="C29" i="67"/>
  <c r="B29" i="67"/>
  <c r="AK27" i="67"/>
  <c r="AJ27" i="67"/>
  <c r="AI27" i="67"/>
  <c r="AH27" i="67"/>
  <c r="AG27" i="67"/>
  <c r="AF27" i="67"/>
  <c r="AE27" i="67"/>
  <c r="AD27" i="67"/>
  <c r="AC27" i="67"/>
  <c r="AB27" i="67"/>
  <c r="AA27" i="67"/>
  <c r="Z27" i="67"/>
  <c r="Y27" i="67"/>
  <c r="X27" i="67"/>
  <c r="W27" i="67"/>
  <c r="V27" i="67"/>
  <c r="U27" i="67"/>
  <c r="T27" i="67"/>
  <c r="S27" i="67"/>
  <c r="R27" i="67"/>
  <c r="Q27" i="67"/>
  <c r="P27" i="67"/>
  <c r="O27" i="67"/>
  <c r="N27" i="67"/>
  <c r="M27" i="67"/>
  <c r="L27" i="67"/>
  <c r="K27" i="67"/>
  <c r="J27" i="67"/>
  <c r="I27" i="67"/>
  <c r="H27" i="67"/>
  <c r="G27" i="67"/>
  <c r="E27" i="67"/>
  <c r="D27" i="67"/>
  <c r="C27" i="67"/>
  <c r="B27" i="67"/>
  <c r="A27" i="67"/>
  <c r="AK25" i="67"/>
  <c r="AJ25" i="67"/>
  <c r="AI25" i="67"/>
  <c r="AH25" i="67"/>
  <c r="AG25" i="67"/>
  <c r="AF25" i="67"/>
  <c r="AE25" i="67"/>
  <c r="AD25" i="67"/>
  <c r="AB25" i="67"/>
  <c r="AA25" i="67"/>
  <c r="Z25" i="67"/>
  <c r="Y25" i="67"/>
  <c r="X25" i="67"/>
  <c r="W25" i="67"/>
  <c r="V25" i="67"/>
  <c r="U25" i="67"/>
  <c r="T25" i="67"/>
  <c r="S25" i="67"/>
  <c r="R25" i="67"/>
  <c r="Q25" i="67"/>
  <c r="P25" i="67"/>
  <c r="O25" i="67"/>
  <c r="N25" i="67"/>
  <c r="M25" i="67"/>
  <c r="L25" i="67"/>
  <c r="K25" i="67"/>
  <c r="J25" i="67"/>
  <c r="I25" i="67"/>
  <c r="H25" i="67"/>
  <c r="G25" i="67"/>
  <c r="F25" i="67"/>
  <c r="E25" i="67"/>
  <c r="D25" i="67"/>
  <c r="C25" i="67"/>
  <c r="B25" i="67"/>
  <c r="A25" i="67"/>
  <c r="AK22" i="67"/>
  <c r="AJ22" i="67"/>
  <c r="AI22" i="67"/>
  <c r="AH22" i="67"/>
  <c r="AG22" i="67"/>
  <c r="AF22" i="67"/>
  <c r="AE22" i="67"/>
  <c r="AD22" i="67"/>
  <c r="AC22" i="67"/>
  <c r="AB22" i="67"/>
  <c r="AA22" i="67"/>
  <c r="Z22" i="67"/>
  <c r="Y22" i="67"/>
  <c r="X22" i="67"/>
  <c r="W22" i="67"/>
  <c r="V22" i="67"/>
  <c r="U22" i="67"/>
  <c r="T22" i="67"/>
  <c r="S22" i="67"/>
  <c r="R22" i="67"/>
  <c r="Q22" i="67"/>
  <c r="P22" i="67"/>
  <c r="O22" i="67"/>
  <c r="N22" i="67"/>
  <c r="M22" i="67"/>
  <c r="L22" i="67"/>
  <c r="K22" i="67"/>
  <c r="J22" i="67"/>
  <c r="I22" i="67"/>
  <c r="H22" i="67"/>
  <c r="G22" i="67"/>
  <c r="AK20" i="67"/>
  <c r="AJ20" i="67"/>
  <c r="AI20" i="67"/>
  <c r="AH20" i="67"/>
  <c r="AG20" i="67"/>
  <c r="AF20" i="67"/>
  <c r="AE20" i="67"/>
  <c r="AD20" i="67"/>
  <c r="AC20" i="67"/>
  <c r="AB20" i="67"/>
  <c r="AA20" i="67"/>
  <c r="Z20" i="67"/>
  <c r="Y20" i="67"/>
  <c r="X20" i="67"/>
  <c r="W20" i="67"/>
  <c r="V20" i="67"/>
  <c r="U20" i="67"/>
  <c r="T20" i="67"/>
  <c r="S20" i="67"/>
  <c r="R20" i="67"/>
  <c r="Q20" i="67"/>
  <c r="P20" i="67"/>
  <c r="O20" i="67"/>
  <c r="N20" i="67"/>
  <c r="M20" i="67"/>
  <c r="L20" i="67"/>
  <c r="K20" i="67"/>
  <c r="J20" i="67"/>
  <c r="I20" i="67"/>
  <c r="H20" i="67"/>
  <c r="G20" i="67"/>
  <c r="F20" i="67"/>
  <c r="E20" i="67"/>
  <c r="D20" i="67"/>
  <c r="C20" i="67"/>
  <c r="B20" i="67"/>
  <c r="A20" i="67"/>
  <c r="AK19" i="67"/>
  <c r="AJ19" i="67"/>
  <c r="AI19" i="67"/>
  <c r="AH19" i="67"/>
  <c r="AG19" i="67"/>
  <c r="AF19" i="67"/>
  <c r="AE19" i="67"/>
  <c r="AD19" i="67"/>
  <c r="AC19" i="67"/>
  <c r="AB19" i="67"/>
  <c r="AA19" i="67"/>
  <c r="Z19" i="67"/>
  <c r="Y19" i="67"/>
  <c r="X19" i="67"/>
  <c r="W19" i="67"/>
  <c r="V19" i="67"/>
  <c r="U19" i="67"/>
  <c r="T19" i="67"/>
  <c r="S19" i="67"/>
  <c r="R19" i="67"/>
  <c r="Q19" i="67"/>
  <c r="P19" i="67"/>
  <c r="O19" i="67"/>
  <c r="N19" i="67"/>
  <c r="M19" i="67"/>
  <c r="L19" i="67"/>
  <c r="K19" i="67"/>
  <c r="J19" i="67"/>
  <c r="I19" i="67"/>
  <c r="H19" i="67"/>
  <c r="G19" i="67"/>
  <c r="F19" i="67"/>
  <c r="E19" i="67"/>
  <c r="D19" i="67"/>
  <c r="C19" i="67"/>
  <c r="B19" i="67"/>
  <c r="A19" i="67"/>
  <c r="G15" i="67"/>
  <c r="E15" i="67"/>
  <c r="D15" i="67"/>
  <c r="B15" i="67"/>
  <c r="A15" i="67"/>
  <c r="R13" i="67"/>
  <c r="L13" i="67"/>
  <c r="H13" i="67"/>
  <c r="G13" i="67"/>
  <c r="F13" i="67"/>
  <c r="E13" i="67"/>
  <c r="D13" i="67"/>
  <c r="C13" i="67"/>
  <c r="B13" i="67"/>
  <c r="A13" i="67"/>
  <c r="R12" i="67"/>
  <c r="L12" i="67"/>
  <c r="J11" i="67"/>
  <c r="I11" i="67"/>
  <c r="H11" i="67"/>
  <c r="G11" i="67"/>
  <c r="F11" i="67"/>
  <c r="E11" i="67"/>
  <c r="D11" i="67"/>
  <c r="C11" i="67"/>
  <c r="B11" i="67"/>
  <c r="A11" i="67"/>
  <c r="I210" i="66"/>
  <c r="G210" i="66"/>
  <c r="I209" i="66"/>
  <c r="G209" i="66"/>
  <c r="I208" i="66"/>
  <c r="G208" i="66"/>
  <c r="I207" i="66"/>
  <c r="G207" i="66"/>
  <c r="I205" i="66"/>
  <c r="G205" i="66"/>
  <c r="I204" i="66"/>
  <c r="G204" i="66"/>
  <c r="I201" i="66"/>
  <c r="G201" i="66"/>
  <c r="I200" i="66"/>
  <c r="G200" i="66"/>
  <c r="I199" i="66"/>
  <c r="G199" i="66"/>
  <c r="I198" i="66"/>
  <c r="G198" i="66"/>
  <c r="I197" i="66"/>
  <c r="G197" i="66"/>
  <c r="I196" i="66"/>
  <c r="G196" i="66"/>
  <c r="I195" i="66"/>
  <c r="G195" i="66"/>
  <c r="I194" i="66"/>
  <c r="G194" i="66"/>
  <c r="I193" i="66"/>
  <c r="G193" i="66"/>
  <c r="I192" i="66"/>
  <c r="G192" i="66"/>
  <c r="I190" i="66"/>
  <c r="G190" i="66"/>
  <c r="I189" i="66"/>
  <c r="G189" i="66"/>
  <c r="I188" i="66"/>
  <c r="G188" i="66"/>
  <c r="I187" i="66"/>
  <c r="G187" i="66"/>
  <c r="I186" i="66"/>
  <c r="G186" i="66"/>
  <c r="I185" i="66"/>
  <c r="G185" i="66"/>
  <c r="I184" i="66"/>
  <c r="G184" i="66"/>
  <c r="I183" i="66"/>
  <c r="G183" i="66"/>
  <c r="I182" i="66"/>
  <c r="G182" i="66"/>
  <c r="I181" i="66"/>
  <c r="G181" i="66"/>
  <c r="I180" i="66"/>
  <c r="G180" i="66"/>
  <c r="I177" i="66"/>
  <c r="G177" i="66"/>
  <c r="I176" i="66"/>
  <c r="G176" i="66"/>
  <c r="I175" i="66"/>
  <c r="G175" i="66"/>
  <c r="I174" i="66"/>
  <c r="G174" i="66"/>
  <c r="I170" i="66"/>
  <c r="G170" i="66"/>
  <c r="I169" i="66"/>
  <c r="G169" i="66"/>
  <c r="I167" i="66"/>
  <c r="G167" i="66"/>
  <c r="I166" i="66"/>
  <c r="G166" i="66"/>
  <c r="I165" i="66"/>
  <c r="G165" i="66"/>
  <c r="I163" i="66"/>
  <c r="G163" i="66"/>
  <c r="I162" i="66"/>
  <c r="G162" i="66"/>
  <c r="I161" i="66"/>
  <c r="G161" i="66"/>
  <c r="I160" i="66"/>
  <c r="G160" i="66"/>
  <c r="I159" i="66"/>
  <c r="G159" i="66"/>
  <c r="I158" i="66"/>
  <c r="G158" i="66"/>
  <c r="I156" i="66"/>
  <c r="G156" i="66"/>
  <c r="I155" i="66"/>
  <c r="G155" i="66"/>
  <c r="I154" i="66"/>
  <c r="G154" i="66"/>
  <c r="I153" i="66"/>
  <c r="G153" i="66"/>
  <c r="H148" i="66"/>
  <c r="D148" i="66"/>
  <c r="G147" i="66"/>
  <c r="D147" i="66"/>
  <c r="H146" i="66"/>
  <c r="D146" i="66"/>
  <c r="G145" i="66"/>
  <c r="D145" i="66"/>
  <c r="H144" i="66"/>
  <c r="D144" i="66"/>
  <c r="D143" i="66"/>
  <c r="H142" i="66"/>
  <c r="D142" i="66"/>
  <c r="D141" i="66"/>
  <c r="D138" i="66"/>
  <c r="D137" i="66"/>
  <c r="D136" i="66"/>
  <c r="D135" i="66"/>
  <c r="H134" i="66"/>
  <c r="D134" i="66"/>
  <c r="D133" i="66"/>
  <c r="H132" i="66"/>
  <c r="D132" i="66"/>
  <c r="D131" i="66"/>
  <c r="H127" i="66"/>
  <c r="D127" i="66"/>
  <c r="D126" i="66"/>
  <c r="D124" i="66"/>
  <c r="H123" i="66"/>
  <c r="D123" i="66"/>
  <c r="D122" i="66"/>
  <c r="H121" i="66"/>
  <c r="D121" i="66"/>
  <c r="D120" i="66"/>
  <c r="H119" i="66"/>
  <c r="D119" i="66"/>
  <c r="D118" i="66"/>
  <c r="H117" i="66"/>
  <c r="D117" i="66"/>
  <c r="D116" i="66"/>
  <c r="H115" i="66"/>
  <c r="D115" i="66"/>
  <c r="D114" i="66"/>
  <c r="H113" i="66"/>
  <c r="D113" i="66"/>
  <c r="D112" i="66"/>
  <c r="H111" i="66"/>
  <c r="D111" i="66"/>
  <c r="D110" i="66"/>
  <c r="H109" i="66"/>
  <c r="D109" i="66"/>
  <c r="D108" i="66"/>
  <c r="H105" i="66"/>
  <c r="D105" i="66"/>
  <c r="D104" i="66"/>
  <c r="H103" i="66"/>
  <c r="D103" i="66"/>
  <c r="D102" i="66"/>
  <c r="H101" i="66"/>
  <c r="D101" i="66"/>
  <c r="G100" i="66"/>
  <c r="D100" i="66"/>
  <c r="H99" i="66"/>
  <c r="D99" i="66"/>
  <c r="G98" i="66"/>
  <c r="D98" i="66"/>
  <c r="H94" i="66"/>
  <c r="D94" i="66"/>
  <c r="D93" i="66"/>
  <c r="H92" i="66"/>
  <c r="D92" i="66"/>
  <c r="D91" i="66"/>
  <c r="H90" i="66"/>
  <c r="D90" i="66"/>
  <c r="G89" i="66"/>
  <c r="D89" i="66"/>
  <c r="H86" i="66"/>
  <c r="D86" i="66"/>
  <c r="D85" i="66"/>
  <c r="H84" i="66"/>
  <c r="D84" i="66"/>
  <c r="D83" i="66"/>
  <c r="H82" i="66"/>
  <c r="D82" i="66"/>
  <c r="D81" i="66"/>
  <c r="H80" i="66"/>
  <c r="D80" i="66"/>
  <c r="D79" i="66"/>
  <c r="H78" i="66"/>
  <c r="D78" i="66"/>
  <c r="D77" i="66"/>
  <c r="H76" i="66"/>
  <c r="D76" i="66"/>
  <c r="D75" i="66"/>
  <c r="H70" i="66"/>
  <c r="D70" i="66"/>
  <c r="D69" i="66"/>
  <c r="H68" i="66"/>
  <c r="D68" i="66"/>
  <c r="D67" i="66"/>
  <c r="H63" i="66"/>
  <c r="D63" i="66"/>
  <c r="D62" i="66"/>
  <c r="H61" i="66"/>
  <c r="D61" i="66"/>
  <c r="D60" i="66"/>
  <c r="H59" i="66"/>
  <c r="D59" i="66"/>
  <c r="D58" i="66"/>
  <c r="H57" i="66"/>
  <c r="D57" i="66"/>
  <c r="D56" i="66"/>
  <c r="H55" i="66"/>
  <c r="D55" i="66"/>
  <c r="D54" i="66"/>
  <c r="H53" i="66"/>
  <c r="D53" i="66"/>
  <c r="D52" i="66"/>
  <c r="H49" i="66"/>
  <c r="D49" i="66"/>
  <c r="D48" i="66"/>
  <c r="H47" i="66"/>
  <c r="D47" i="66"/>
  <c r="D46" i="66"/>
  <c r="H45" i="66"/>
  <c r="D45" i="66"/>
  <c r="D44" i="66"/>
  <c r="H43" i="66"/>
  <c r="D43" i="66"/>
  <c r="D42" i="66"/>
  <c r="H41" i="66"/>
  <c r="D41" i="66"/>
  <c r="D40" i="66"/>
  <c r="H39" i="66"/>
  <c r="D39" i="66"/>
  <c r="D38" i="66"/>
  <c r="H37" i="66"/>
  <c r="D37" i="66"/>
  <c r="D36" i="66"/>
  <c r="H32" i="66"/>
  <c r="D32" i="66"/>
  <c r="D31" i="66"/>
  <c r="H30" i="66"/>
  <c r="D30" i="66"/>
  <c r="D29" i="66"/>
  <c r="D27" i="66"/>
  <c r="H26" i="66"/>
  <c r="D26" i="66"/>
  <c r="D25" i="66"/>
  <c r="H24" i="66"/>
  <c r="D24" i="66"/>
  <c r="D23" i="66"/>
  <c r="H22" i="66"/>
  <c r="D22" i="66"/>
  <c r="D21" i="66"/>
  <c r="H20" i="66"/>
  <c r="D20" i="66"/>
  <c r="D19" i="66"/>
  <c r="H18" i="66"/>
  <c r="D18" i="66"/>
  <c r="D17" i="66"/>
  <c r="H16" i="66"/>
  <c r="D16" i="66"/>
  <c r="D15" i="66"/>
  <c r="H14" i="66"/>
  <c r="D14" i="66"/>
  <c r="D13" i="66"/>
  <c r="AC38" i="65"/>
  <c r="U38" i="65"/>
  <c r="L38" i="65"/>
  <c r="J37" i="65"/>
  <c r="I37" i="65"/>
  <c r="H37" i="65"/>
  <c r="G37" i="65"/>
  <c r="E37" i="65"/>
  <c r="D37" i="65"/>
  <c r="B37" i="65"/>
  <c r="A37" i="65"/>
  <c r="J34" i="65"/>
  <c r="I34" i="65"/>
  <c r="H34" i="65"/>
  <c r="G34" i="65"/>
  <c r="E34" i="65"/>
  <c r="D34" i="65"/>
  <c r="B34" i="65"/>
  <c r="A34" i="65"/>
  <c r="AK31" i="65"/>
  <c r="AJ31" i="65"/>
  <c r="AI31" i="65"/>
  <c r="AH31" i="65"/>
  <c r="AG31" i="65"/>
  <c r="AF31" i="65"/>
  <c r="AE31" i="65"/>
  <c r="AD31" i="65"/>
  <c r="AC31" i="65"/>
  <c r="AB31" i="65"/>
  <c r="AA31" i="65"/>
  <c r="Z31" i="65"/>
  <c r="Y31" i="65"/>
  <c r="X31" i="65"/>
  <c r="W31" i="65"/>
  <c r="V31" i="65"/>
  <c r="U31" i="65"/>
  <c r="T31" i="65"/>
  <c r="S31" i="65"/>
  <c r="R31" i="65"/>
  <c r="Q31" i="65"/>
  <c r="P31" i="65"/>
  <c r="O31" i="65"/>
  <c r="N31" i="65"/>
  <c r="M31" i="65"/>
  <c r="L31" i="65"/>
  <c r="K31" i="65"/>
  <c r="J31" i="65"/>
  <c r="I31" i="65"/>
  <c r="H31" i="65"/>
  <c r="G31" i="65"/>
  <c r="F31" i="65"/>
  <c r="E31" i="65"/>
  <c r="D31" i="65"/>
  <c r="C31" i="65"/>
  <c r="B31" i="65"/>
  <c r="A31" i="65"/>
  <c r="AA29" i="65"/>
  <c r="Z29" i="65"/>
  <c r="Y29" i="65"/>
  <c r="X29" i="65"/>
  <c r="W29" i="65"/>
  <c r="V29" i="65"/>
  <c r="U29" i="65"/>
  <c r="T29" i="65"/>
  <c r="R29" i="65"/>
  <c r="Q29" i="65"/>
  <c r="P29" i="65"/>
  <c r="M29" i="65"/>
  <c r="L29" i="65"/>
  <c r="K29" i="65"/>
  <c r="J29" i="65"/>
  <c r="I29" i="65"/>
  <c r="H29" i="65"/>
  <c r="G29" i="65"/>
  <c r="F29" i="65"/>
  <c r="D29" i="65"/>
  <c r="C29" i="65"/>
  <c r="B29" i="65"/>
  <c r="AK27" i="65"/>
  <c r="AJ27" i="65"/>
  <c r="AI27" i="65"/>
  <c r="AH27" i="65"/>
  <c r="AG27" i="65"/>
  <c r="AF27" i="65"/>
  <c r="AE27" i="65"/>
  <c r="AD27" i="65"/>
  <c r="AC27" i="65"/>
  <c r="AB27" i="65"/>
  <c r="AA27" i="65"/>
  <c r="Z27" i="65"/>
  <c r="Y27" i="65"/>
  <c r="X27" i="65"/>
  <c r="W27" i="65"/>
  <c r="V27" i="65"/>
  <c r="U27" i="65"/>
  <c r="T27" i="65"/>
  <c r="S27" i="65"/>
  <c r="R27" i="65"/>
  <c r="Q27" i="65"/>
  <c r="P27" i="65"/>
  <c r="O27" i="65"/>
  <c r="N27" i="65"/>
  <c r="M27" i="65"/>
  <c r="L27" i="65"/>
  <c r="K27" i="65"/>
  <c r="J27" i="65"/>
  <c r="I27" i="65"/>
  <c r="H27" i="65"/>
  <c r="G27" i="65"/>
  <c r="E27" i="65"/>
  <c r="D27" i="65"/>
  <c r="C27" i="65"/>
  <c r="B27" i="65"/>
  <c r="A27" i="65"/>
  <c r="AK25" i="65"/>
  <c r="AJ25" i="65"/>
  <c r="AI25" i="65"/>
  <c r="AH25" i="65"/>
  <c r="AG25" i="65"/>
  <c r="AF25" i="65"/>
  <c r="AE25" i="65"/>
  <c r="AD25" i="65"/>
  <c r="AB25" i="65"/>
  <c r="AA25" i="65"/>
  <c r="Z25" i="65"/>
  <c r="Y25" i="65"/>
  <c r="X25" i="65"/>
  <c r="W25" i="65"/>
  <c r="V25" i="65"/>
  <c r="U25" i="65"/>
  <c r="T25" i="65"/>
  <c r="S25" i="65"/>
  <c r="R25" i="65"/>
  <c r="Q25" i="65"/>
  <c r="P25" i="65"/>
  <c r="O25" i="65"/>
  <c r="N25" i="65"/>
  <c r="M25" i="65"/>
  <c r="L25" i="65"/>
  <c r="K25" i="65"/>
  <c r="J25" i="65"/>
  <c r="I25" i="65"/>
  <c r="H25" i="65"/>
  <c r="G25" i="65"/>
  <c r="F25" i="65"/>
  <c r="E25" i="65"/>
  <c r="D25" i="65"/>
  <c r="C25" i="65"/>
  <c r="B25" i="65"/>
  <c r="A25" i="65"/>
  <c r="AK22" i="65"/>
  <c r="AJ22" i="65"/>
  <c r="AI22" i="65"/>
  <c r="AH22" i="65"/>
  <c r="AG22" i="65"/>
  <c r="AF22" i="65"/>
  <c r="AE22" i="65"/>
  <c r="AD22" i="65"/>
  <c r="AC22" i="65"/>
  <c r="AB22" i="65"/>
  <c r="AA22" i="65"/>
  <c r="Z22" i="65"/>
  <c r="Y22" i="65"/>
  <c r="X22" i="65"/>
  <c r="W22" i="65"/>
  <c r="V22" i="65"/>
  <c r="U22" i="65"/>
  <c r="T22" i="65"/>
  <c r="S22" i="65"/>
  <c r="R22" i="65"/>
  <c r="Q22" i="65"/>
  <c r="P22" i="65"/>
  <c r="O22" i="65"/>
  <c r="N22" i="65"/>
  <c r="M22" i="65"/>
  <c r="L22" i="65"/>
  <c r="K22" i="65"/>
  <c r="J22" i="65"/>
  <c r="I22" i="65"/>
  <c r="H22" i="65"/>
  <c r="G22" i="65"/>
  <c r="AK20" i="65"/>
  <c r="AJ20" i="65"/>
  <c r="AI20" i="65"/>
  <c r="AH20" i="65"/>
  <c r="AG20" i="65"/>
  <c r="AF20" i="65"/>
  <c r="AE20" i="65"/>
  <c r="AD20" i="65"/>
  <c r="AC20" i="65"/>
  <c r="AB20" i="65"/>
  <c r="AA20" i="65"/>
  <c r="Z20" i="65"/>
  <c r="Y20" i="65"/>
  <c r="X20" i="65"/>
  <c r="W20" i="65"/>
  <c r="V20" i="65"/>
  <c r="U20" i="65"/>
  <c r="T20" i="65"/>
  <c r="S20" i="65"/>
  <c r="R20" i="65"/>
  <c r="Q20" i="65"/>
  <c r="P20" i="65"/>
  <c r="O20" i="65"/>
  <c r="N20" i="65"/>
  <c r="M20" i="65"/>
  <c r="L20" i="65"/>
  <c r="K20" i="65"/>
  <c r="J20" i="65"/>
  <c r="I20" i="65"/>
  <c r="H20" i="65"/>
  <c r="G20" i="65"/>
  <c r="F20" i="65"/>
  <c r="E20" i="65"/>
  <c r="D20" i="65"/>
  <c r="C20" i="65"/>
  <c r="B20" i="65"/>
  <c r="A20" i="65"/>
  <c r="AK19" i="65"/>
  <c r="AJ19" i="65"/>
  <c r="AI19" i="65"/>
  <c r="AH19" i="65"/>
  <c r="AG19" i="65"/>
  <c r="AF19" i="65"/>
  <c r="AE19" i="65"/>
  <c r="AD19" i="65"/>
  <c r="AC19" i="65"/>
  <c r="AB19" i="65"/>
  <c r="AA19" i="65"/>
  <c r="Z19" i="65"/>
  <c r="Y19" i="65"/>
  <c r="X19" i="65"/>
  <c r="W19" i="65"/>
  <c r="V19" i="65"/>
  <c r="U19" i="65"/>
  <c r="T19" i="65"/>
  <c r="S19" i="65"/>
  <c r="R19" i="65"/>
  <c r="Q19" i="65"/>
  <c r="P19" i="65"/>
  <c r="O19" i="65"/>
  <c r="N19" i="65"/>
  <c r="M19" i="65"/>
  <c r="L19" i="65"/>
  <c r="K19" i="65"/>
  <c r="J19" i="65"/>
  <c r="I19" i="65"/>
  <c r="H19" i="65"/>
  <c r="G19" i="65"/>
  <c r="F19" i="65"/>
  <c r="E19" i="65"/>
  <c r="D19" i="65"/>
  <c r="C19" i="65"/>
  <c r="B19" i="65"/>
  <c r="A19" i="65"/>
  <c r="G15" i="65"/>
  <c r="E15" i="65"/>
  <c r="D15" i="65"/>
  <c r="B15" i="65"/>
  <c r="A15" i="65"/>
  <c r="R13" i="65"/>
  <c r="L13" i="65"/>
  <c r="H13" i="65"/>
  <c r="G13" i="65"/>
  <c r="F13" i="65"/>
  <c r="E13" i="65"/>
  <c r="D13" i="65"/>
  <c r="C13" i="65"/>
  <c r="B13" i="65"/>
  <c r="A13" i="65"/>
  <c r="R12" i="65"/>
  <c r="L12" i="65"/>
  <c r="J11" i="65"/>
  <c r="I11" i="65"/>
  <c r="H11" i="65"/>
  <c r="G11" i="65"/>
  <c r="F11" i="65"/>
  <c r="E11" i="65"/>
  <c r="D11" i="65"/>
  <c r="C11" i="65"/>
  <c r="B11" i="65"/>
  <c r="A11" i="65"/>
  <c r="B22" i="69"/>
  <c r="B21" i="69"/>
  <c r="B19" i="69"/>
  <c r="B18" i="69"/>
  <c r="B16" i="69"/>
  <c r="B14" i="69"/>
  <c r="B13" i="69"/>
  <c r="B12" i="69"/>
  <c r="B11" i="69"/>
  <c r="B9" i="69"/>
  <c r="B8" i="69"/>
  <c r="AE11" i="65" s="1"/>
  <c r="B6" i="69"/>
  <c r="F12" i="43"/>
  <c r="C12" i="43"/>
  <c r="K11" i="43"/>
  <c r="J11" i="43"/>
  <c r="K10" i="43"/>
  <c r="J10" i="43"/>
  <c r="I25" i="41"/>
  <c r="H25" i="41"/>
  <c r="F25" i="41"/>
  <c r="E25" i="41"/>
  <c r="F22" i="41"/>
  <c r="E22" i="41"/>
  <c r="I20" i="41"/>
  <c r="H20" i="41"/>
  <c r="I19" i="41"/>
  <c r="H19" i="41"/>
  <c r="F19" i="41"/>
  <c r="E19" i="41"/>
  <c r="F14" i="41"/>
  <c r="E14" i="41"/>
  <c r="F10" i="41"/>
  <c r="E10" i="41"/>
  <c r="F4" i="41"/>
  <c r="E4" i="41"/>
  <c r="I3" i="41"/>
  <c r="H3" i="41"/>
  <c r="F3" i="41"/>
  <c r="E3" i="41"/>
  <c r="C9" i="40"/>
  <c r="F9" i="40" s="1"/>
  <c r="B9" i="40"/>
  <c r="E9" i="40" s="1"/>
  <c r="I7" i="40"/>
  <c r="H7" i="40"/>
  <c r="I5" i="40"/>
  <c r="H5" i="40"/>
  <c r="I3" i="40"/>
  <c r="I4" i="40" s="1"/>
  <c r="H3" i="40"/>
  <c r="H4" i="40" s="1"/>
  <c r="F17" i="39"/>
  <c r="E17" i="39"/>
  <c r="F11" i="39"/>
  <c r="E11" i="39"/>
  <c r="R12" i="38"/>
  <c r="Q12" i="38"/>
  <c r="F7" i="38"/>
  <c r="L12" i="38" s="1"/>
  <c r="E7" i="38"/>
  <c r="K12" i="38" s="1"/>
  <c r="D7" i="38"/>
  <c r="J7" i="38" s="1"/>
  <c r="C7" i="38"/>
  <c r="B7" i="38"/>
  <c r="O6" i="38"/>
  <c r="N6" i="38"/>
  <c r="L6" i="38"/>
  <c r="K6" i="38"/>
  <c r="O5" i="38"/>
  <c r="N5" i="38"/>
  <c r="L5" i="38"/>
  <c r="K5" i="38"/>
  <c r="O4" i="38"/>
  <c r="N4" i="38"/>
  <c r="L4" i="38"/>
  <c r="K4" i="38"/>
  <c r="G8" i="37"/>
  <c r="F8" i="37"/>
  <c r="E8" i="37"/>
  <c r="D8" i="37"/>
  <c r="C8" i="37"/>
  <c r="B8" i="37"/>
  <c r="G7" i="36"/>
  <c r="O7" i="36" s="1"/>
  <c r="F7" i="36"/>
  <c r="N7" i="36" s="1"/>
  <c r="E7" i="36"/>
  <c r="M7" i="36" s="1"/>
  <c r="D7" i="36"/>
  <c r="L7" i="36" s="1"/>
  <c r="C7" i="36"/>
  <c r="K7" i="36" s="1"/>
  <c r="B7" i="36"/>
  <c r="J7" i="36" s="1"/>
  <c r="C8" i="35"/>
  <c r="B8" i="35"/>
  <c r="C13" i="33"/>
  <c r="F13" i="33" s="1"/>
  <c r="B13" i="33"/>
  <c r="E13" i="33" s="1"/>
  <c r="C9" i="33"/>
  <c r="I9" i="33" s="1"/>
  <c r="B9" i="33"/>
  <c r="E9" i="33" s="1"/>
  <c r="C6" i="33"/>
  <c r="B6" i="33"/>
  <c r="H6" i="33" s="1"/>
  <c r="E3" i="33"/>
  <c r="C3" i="33"/>
  <c r="I3" i="33" s="1"/>
  <c r="B3" i="33"/>
  <c r="H3" i="33" s="1"/>
  <c r="H19" i="32"/>
  <c r="I8" i="32"/>
  <c r="H8" i="32"/>
  <c r="I4" i="32"/>
  <c r="H4" i="32"/>
  <c r="C7" i="30"/>
  <c r="C9" i="30" s="1"/>
  <c r="B7" i="30"/>
  <c r="E7" i="30" s="1"/>
  <c r="C8" i="28"/>
  <c r="B8" i="28"/>
  <c r="E8" i="28" s="1"/>
  <c r="C5" i="28"/>
  <c r="F5" i="28" s="1"/>
  <c r="B5" i="28"/>
  <c r="E5" i="28" s="1"/>
  <c r="F35" i="27"/>
  <c r="F34" i="27"/>
  <c r="L34" i="27" s="1"/>
  <c r="F33" i="27"/>
  <c r="F32" i="27"/>
  <c r="L32" i="27" s="1"/>
  <c r="F31" i="27"/>
  <c r="N13" i="27" s="1"/>
  <c r="F30" i="27"/>
  <c r="L30" i="27" s="1"/>
  <c r="E29" i="27"/>
  <c r="K29" i="27" s="1"/>
  <c r="D29" i="27"/>
  <c r="J29" i="27" s="1"/>
  <c r="C29" i="27"/>
  <c r="I29" i="27" s="1"/>
  <c r="B29" i="27"/>
  <c r="H29" i="27" s="1"/>
  <c r="F28" i="27"/>
  <c r="N10" i="27" s="1"/>
  <c r="F27" i="27"/>
  <c r="L27" i="27" s="1"/>
  <c r="F26" i="27"/>
  <c r="L26" i="27" s="1"/>
  <c r="F25" i="27"/>
  <c r="L25" i="27" s="1"/>
  <c r="F24" i="27"/>
  <c r="N6" i="27" s="1"/>
  <c r="E23" i="27"/>
  <c r="K23" i="27" s="1"/>
  <c r="D23" i="27"/>
  <c r="J23" i="27" s="1"/>
  <c r="C23" i="27"/>
  <c r="I23" i="27" s="1"/>
  <c r="B23" i="27"/>
  <c r="H23" i="27" s="1"/>
  <c r="F17" i="27"/>
  <c r="L17" i="27" s="1"/>
  <c r="N16" i="27"/>
  <c r="F16" i="27"/>
  <c r="L16" i="27" s="1"/>
  <c r="F15" i="27"/>
  <c r="L15" i="27" s="1"/>
  <c r="N14" i="27"/>
  <c r="F14" i="27"/>
  <c r="L14" i="27" s="1"/>
  <c r="F13" i="27"/>
  <c r="L13" i="27" s="1"/>
  <c r="F12" i="27"/>
  <c r="L12" i="27" s="1"/>
  <c r="E11" i="27"/>
  <c r="K11" i="27" s="1"/>
  <c r="D11" i="27"/>
  <c r="J11" i="27" s="1"/>
  <c r="C11" i="27"/>
  <c r="I11" i="27" s="1"/>
  <c r="B11" i="27"/>
  <c r="H11" i="27" s="1"/>
  <c r="F10" i="27"/>
  <c r="L10" i="27" s="1"/>
  <c r="N9" i="27"/>
  <c r="F9" i="27"/>
  <c r="L9" i="27" s="1"/>
  <c r="F8" i="27"/>
  <c r="L8" i="27" s="1"/>
  <c r="N7" i="27"/>
  <c r="F7" i="27"/>
  <c r="L7" i="27" s="1"/>
  <c r="F6" i="27"/>
  <c r="L6" i="27" s="1"/>
  <c r="E5" i="27"/>
  <c r="K5" i="27" s="1"/>
  <c r="D5" i="27"/>
  <c r="J5" i="27" s="1"/>
  <c r="C5" i="27"/>
  <c r="I5" i="27" s="1"/>
  <c r="B5" i="27"/>
  <c r="I44" i="50"/>
  <c r="F44" i="50"/>
  <c r="F43" i="50"/>
  <c r="F42" i="50"/>
  <c r="K20" i="50" s="1"/>
  <c r="I41" i="50"/>
  <c r="F41" i="50"/>
  <c r="F40" i="50"/>
  <c r="I40" i="50" s="1"/>
  <c r="F39" i="50"/>
  <c r="M39" i="50" s="1"/>
  <c r="F38" i="50"/>
  <c r="M38" i="50" s="1"/>
  <c r="F37" i="50"/>
  <c r="K15" i="50" s="1"/>
  <c r="F36" i="50"/>
  <c r="I36" i="50" s="1"/>
  <c r="F35" i="50"/>
  <c r="M35" i="50" s="1"/>
  <c r="F34" i="50"/>
  <c r="I34" i="50" s="1"/>
  <c r="F33" i="50"/>
  <c r="F32" i="50"/>
  <c r="M32" i="50" s="1"/>
  <c r="F31" i="50"/>
  <c r="F30" i="50"/>
  <c r="M30" i="50" s="1"/>
  <c r="I29" i="50"/>
  <c r="F29" i="50"/>
  <c r="M29" i="50" s="1"/>
  <c r="F28" i="50"/>
  <c r="F27" i="50"/>
  <c r="I27" i="50" s="1"/>
  <c r="K22" i="50"/>
  <c r="F22" i="50"/>
  <c r="I22" i="50" s="1"/>
  <c r="F21" i="50"/>
  <c r="I21" i="50" s="1"/>
  <c r="F20" i="50"/>
  <c r="I20" i="50" s="1"/>
  <c r="F19" i="50"/>
  <c r="I19" i="50" s="1"/>
  <c r="F18" i="50"/>
  <c r="F17" i="50"/>
  <c r="M17" i="50" s="1"/>
  <c r="I16" i="50"/>
  <c r="F16" i="50"/>
  <c r="M16" i="50" s="1"/>
  <c r="F15" i="50"/>
  <c r="M14" i="50"/>
  <c r="I14" i="50"/>
  <c r="F14" i="50"/>
  <c r="F13" i="50"/>
  <c r="M13" i="50" s="1"/>
  <c r="F12" i="50"/>
  <c r="M12" i="50" s="1"/>
  <c r="F11" i="50"/>
  <c r="F10" i="50"/>
  <c r="M10" i="50" s="1"/>
  <c r="I9" i="50"/>
  <c r="F9" i="50"/>
  <c r="M9" i="50" s="1"/>
  <c r="K8" i="50"/>
  <c r="F8" i="50"/>
  <c r="K7" i="50"/>
  <c r="F7" i="50"/>
  <c r="F6" i="50"/>
  <c r="M6" i="50" s="1"/>
  <c r="F5" i="50"/>
  <c r="M5" i="50" s="1"/>
  <c r="B26" i="26"/>
  <c r="D26" i="26" s="1"/>
  <c r="B14" i="26"/>
  <c r="D14" i="26" s="1"/>
  <c r="G7" i="25"/>
  <c r="O7" i="25" s="1"/>
  <c r="F7" i="25"/>
  <c r="N7" i="25" s="1"/>
  <c r="E7" i="25"/>
  <c r="M7" i="25" s="1"/>
  <c r="D7" i="25"/>
  <c r="L7" i="25" s="1"/>
  <c r="C7" i="25"/>
  <c r="K7" i="25" s="1"/>
  <c r="B7" i="25"/>
  <c r="J7" i="25" s="1"/>
  <c r="C12" i="24"/>
  <c r="I12" i="24" s="1"/>
  <c r="B12" i="24"/>
  <c r="C9" i="24"/>
  <c r="F9" i="24" s="1"/>
  <c r="B9" i="24"/>
  <c r="C6" i="24"/>
  <c r="I6" i="24" s="1"/>
  <c r="B6" i="24"/>
  <c r="H6" i="24" s="1"/>
  <c r="C3" i="24"/>
  <c r="F3" i="24" s="1"/>
  <c r="B3" i="24"/>
  <c r="E5" i="21"/>
  <c r="L5" i="21" s="1"/>
  <c r="D5" i="21"/>
  <c r="K5" i="21" s="1"/>
  <c r="C5" i="21"/>
  <c r="J5" i="21" s="1"/>
  <c r="B5" i="21"/>
  <c r="I5" i="21" s="1"/>
  <c r="F4" i="21"/>
  <c r="M4" i="21" s="1"/>
  <c r="F3" i="21"/>
  <c r="M3" i="21" s="1"/>
  <c r="D13" i="55"/>
  <c r="I13" i="55" s="1"/>
  <c r="C13" i="55"/>
  <c r="H13" i="55" s="1"/>
  <c r="B13" i="55"/>
  <c r="G13" i="55" s="1"/>
  <c r="E12" i="55"/>
  <c r="J12" i="55" s="1"/>
  <c r="E11" i="55"/>
  <c r="J11" i="55" s="1"/>
  <c r="E10" i="55"/>
  <c r="J10" i="55" s="1"/>
  <c r="E9" i="55"/>
  <c r="J9" i="55" s="1"/>
  <c r="E8" i="55"/>
  <c r="J8" i="55" s="1"/>
  <c r="E7" i="55"/>
  <c r="F8" i="20"/>
  <c r="C8" i="20"/>
  <c r="I8" i="20" s="1"/>
  <c r="B8" i="20"/>
  <c r="H8" i="20" s="1"/>
  <c r="I6" i="20"/>
  <c r="H6" i="20"/>
  <c r="I5" i="20"/>
  <c r="H5" i="20"/>
  <c r="I4" i="20"/>
  <c r="I7" i="20" s="1"/>
  <c r="H4" i="20"/>
  <c r="H7" i="20" s="1"/>
  <c r="C10" i="54"/>
  <c r="B10" i="54"/>
  <c r="C7" i="54"/>
  <c r="F7" i="54" s="1"/>
  <c r="B7" i="54"/>
  <c r="H7" i="54" s="1"/>
  <c r="C19" i="18"/>
  <c r="G19" i="18" s="1"/>
  <c r="B19" i="18"/>
  <c r="F19" i="18" s="1"/>
  <c r="D18" i="18"/>
  <c r="D17" i="18"/>
  <c r="J16" i="18"/>
  <c r="D16" i="18"/>
  <c r="H16" i="18" s="1"/>
  <c r="D15" i="18"/>
  <c r="J15" i="18" s="1"/>
  <c r="D14" i="18"/>
  <c r="J14" i="18" s="1"/>
  <c r="D13" i="18"/>
  <c r="D12" i="18"/>
  <c r="J12" i="18" s="1"/>
  <c r="C10" i="18"/>
  <c r="G10" i="18" s="1"/>
  <c r="B10" i="18"/>
  <c r="F10" i="18" s="1"/>
  <c r="D9" i="18"/>
  <c r="D8" i="18"/>
  <c r="J7" i="18"/>
  <c r="D7" i="18"/>
  <c r="H7" i="18" s="1"/>
  <c r="D6" i="18"/>
  <c r="J6" i="18" s="1"/>
  <c r="D5" i="18"/>
  <c r="J5" i="18" s="1"/>
  <c r="E9" i="17"/>
  <c r="D9" i="17"/>
  <c r="C9" i="17"/>
  <c r="B9" i="17"/>
  <c r="F8" i="17"/>
  <c r="N8" i="17" s="1"/>
  <c r="F7" i="17"/>
  <c r="N7" i="17" s="1"/>
  <c r="F6" i="17"/>
  <c r="N6" i="17" s="1"/>
  <c r="F5" i="17"/>
  <c r="F4" i="17"/>
  <c r="N4" i="17" s="1"/>
  <c r="D13" i="56"/>
  <c r="J13" i="56" s="1"/>
  <c r="C13" i="56"/>
  <c r="I13" i="56" s="1"/>
  <c r="B13" i="56"/>
  <c r="H13" i="56" s="1"/>
  <c r="D6" i="56"/>
  <c r="J6" i="56" s="1"/>
  <c r="C6" i="56"/>
  <c r="I6" i="56" s="1"/>
  <c r="B6" i="56"/>
  <c r="H6" i="56" s="1"/>
  <c r="E12" i="14"/>
  <c r="K12" i="14" s="1"/>
  <c r="D12" i="14"/>
  <c r="J12" i="14" s="1"/>
  <c r="C12" i="14"/>
  <c r="I12" i="14" s="1"/>
  <c r="B12" i="14"/>
  <c r="H12" i="14" s="1"/>
  <c r="F11" i="14"/>
  <c r="N11" i="14" s="1"/>
  <c r="L10" i="14"/>
  <c r="F10" i="14"/>
  <c r="L9" i="14"/>
  <c r="F9" i="14"/>
  <c r="N9" i="14" s="1"/>
  <c r="F8" i="14"/>
  <c r="N8" i="14" s="1"/>
  <c r="F7" i="14"/>
  <c r="F6" i="14"/>
  <c r="N6" i="14" s="1"/>
  <c r="F5" i="14"/>
  <c r="N5" i="14" s="1"/>
  <c r="E7" i="13"/>
  <c r="K7" i="13" s="1"/>
  <c r="D7" i="13"/>
  <c r="J7" i="13" s="1"/>
  <c r="C7" i="13"/>
  <c r="I7" i="13" s="1"/>
  <c r="B7" i="13"/>
  <c r="H7" i="13" s="1"/>
  <c r="F6" i="13"/>
  <c r="L6" i="13" s="1"/>
  <c r="F5" i="13"/>
  <c r="L5" i="13" s="1"/>
  <c r="F4" i="13"/>
  <c r="L4" i="13" s="1"/>
  <c r="F3" i="13"/>
  <c r="L3" i="13" s="1"/>
  <c r="F7" i="12"/>
  <c r="L7" i="12" s="1"/>
  <c r="E7" i="12"/>
  <c r="K7" i="12" s="1"/>
  <c r="D7" i="12"/>
  <c r="J7" i="12" s="1"/>
  <c r="C7" i="12"/>
  <c r="I7" i="12" s="1"/>
  <c r="G6" i="12"/>
  <c r="M6" i="12" s="1"/>
  <c r="G5" i="12"/>
  <c r="M5" i="12" s="1"/>
  <c r="G4" i="12"/>
  <c r="M4" i="12" s="1"/>
  <c r="G3" i="12"/>
  <c r="F19" i="11"/>
  <c r="I46" i="9"/>
  <c r="S46" i="9" s="1"/>
  <c r="H46" i="9"/>
  <c r="R46" i="9" s="1"/>
  <c r="G46" i="9"/>
  <c r="Q46" i="9" s="1"/>
  <c r="F46" i="9"/>
  <c r="P46" i="9" s="1"/>
  <c r="E46" i="9"/>
  <c r="O46" i="9" s="1"/>
  <c r="D46" i="9"/>
  <c r="N46" i="9" s="1"/>
  <c r="C46" i="9"/>
  <c r="M46" i="9" s="1"/>
  <c r="B46" i="9"/>
  <c r="L46" i="9" s="1"/>
  <c r="I44" i="9"/>
  <c r="S44" i="9" s="1"/>
  <c r="H44" i="9"/>
  <c r="R44" i="9" s="1"/>
  <c r="G44" i="9"/>
  <c r="F44" i="9"/>
  <c r="P44" i="9" s="1"/>
  <c r="E44" i="9"/>
  <c r="O44" i="9" s="1"/>
  <c r="D44" i="9"/>
  <c r="N44" i="9" s="1"/>
  <c r="C44" i="9"/>
  <c r="W17" i="9" s="1"/>
  <c r="B44" i="9"/>
  <c r="J43" i="9"/>
  <c r="T43" i="9" s="1"/>
  <c r="J42" i="9"/>
  <c r="T42" i="9" s="1"/>
  <c r="J41" i="9"/>
  <c r="I39" i="9"/>
  <c r="S39" i="9" s="1"/>
  <c r="H39" i="9"/>
  <c r="G39" i="9"/>
  <c r="F39" i="9"/>
  <c r="P39" i="9" s="1"/>
  <c r="E39" i="9"/>
  <c r="Y12" i="9" s="1"/>
  <c r="D39" i="9"/>
  <c r="C39" i="9"/>
  <c r="B39" i="9"/>
  <c r="L39" i="9" s="1"/>
  <c r="J38" i="9"/>
  <c r="T38" i="9" s="1"/>
  <c r="J37" i="9"/>
  <c r="T37" i="9" s="1"/>
  <c r="J36" i="9"/>
  <c r="I34" i="9"/>
  <c r="S34" i="9" s="1"/>
  <c r="H34" i="9"/>
  <c r="G34" i="9"/>
  <c r="F34" i="9"/>
  <c r="E34" i="9"/>
  <c r="Y6" i="9" s="1"/>
  <c r="D34" i="9"/>
  <c r="C34" i="9"/>
  <c r="W6" i="9" s="1"/>
  <c r="B34" i="9"/>
  <c r="J33" i="9"/>
  <c r="T33" i="9" s="1"/>
  <c r="J32" i="9"/>
  <c r="T32" i="9" s="1"/>
  <c r="J31" i="9"/>
  <c r="T31" i="9" s="1"/>
  <c r="J30" i="9"/>
  <c r="T30" i="9" s="1"/>
  <c r="I22" i="9"/>
  <c r="S22" i="9" s="1"/>
  <c r="H22" i="9"/>
  <c r="R22" i="9" s="1"/>
  <c r="G22" i="9"/>
  <c r="Q22" i="9" s="1"/>
  <c r="F22" i="9"/>
  <c r="E22" i="9"/>
  <c r="D22" i="9"/>
  <c r="N22" i="9" s="1"/>
  <c r="C22" i="9"/>
  <c r="M22" i="9" s="1"/>
  <c r="B22" i="9"/>
  <c r="I20" i="9"/>
  <c r="S20" i="9" s="1"/>
  <c r="H20" i="9"/>
  <c r="R20" i="9" s="1"/>
  <c r="G20" i="9"/>
  <c r="Q20" i="9" s="1"/>
  <c r="F20" i="9"/>
  <c r="E20" i="9"/>
  <c r="O20" i="9" s="1"/>
  <c r="D20" i="9"/>
  <c r="N20" i="9" s="1"/>
  <c r="C20" i="9"/>
  <c r="B20" i="9"/>
  <c r="L20" i="9" s="1"/>
  <c r="J19" i="9"/>
  <c r="T19" i="9" s="1"/>
  <c r="T18" i="9"/>
  <c r="J18" i="9"/>
  <c r="AB17" i="9"/>
  <c r="J17" i="9"/>
  <c r="I15" i="9"/>
  <c r="H15" i="9"/>
  <c r="G15" i="9"/>
  <c r="Q15" i="9" s="1"/>
  <c r="F15" i="9"/>
  <c r="E15" i="9"/>
  <c r="D15" i="9"/>
  <c r="C15" i="9"/>
  <c r="M15" i="9" s="1"/>
  <c r="B15" i="9"/>
  <c r="J14" i="9"/>
  <c r="T14" i="9" s="1"/>
  <c r="J13" i="9"/>
  <c r="T13" i="9" s="1"/>
  <c r="AC12" i="9"/>
  <c r="V12" i="9"/>
  <c r="J12" i="9"/>
  <c r="T12" i="9" s="1"/>
  <c r="I10" i="9"/>
  <c r="AM10" i="9" s="1"/>
  <c r="H10" i="9"/>
  <c r="G10" i="9"/>
  <c r="Q10" i="9" s="1"/>
  <c r="F10" i="9"/>
  <c r="AJ10" i="9" s="1"/>
  <c r="E10" i="9"/>
  <c r="AI10" i="9" s="1"/>
  <c r="D10" i="9"/>
  <c r="C10" i="9"/>
  <c r="B10" i="9"/>
  <c r="AF10" i="9" s="1"/>
  <c r="J9" i="9"/>
  <c r="T9" i="9" s="1"/>
  <c r="J8" i="9"/>
  <c r="T8" i="9" s="1"/>
  <c r="J7" i="9"/>
  <c r="Z6" i="9"/>
  <c r="V6" i="9"/>
  <c r="J6" i="9"/>
  <c r="T6" i="9" s="1"/>
  <c r="I46" i="7"/>
  <c r="S46" i="7" s="1"/>
  <c r="H46" i="7"/>
  <c r="R46" i="7" s="1"/>
  <c r="G46" i="7"/>
  <c r="Q46" i="7" s="1"/>
  <c r="F46" i="7"/>
  <c r="P46" i="7" s="1"/>
  <c r="E46" i="7"/>
  <c r="O46" i="7" s="1"/>
  <c r="D46" i="7"/>
  <c r="N46" i="7" s="1"/>
  <c r="C46" i="7"/>
  <c r="M46" i="7" s="1"/>
  <c r="B46" i="7"/>
  <c r="L46" i="7" s="1"/>
  <c r="I44" i="7"/>
  <c r="AC17" i="7" s="1"/>
  <c r="H44" i="7"/>
  <c r="R44" i="7" s="1"/>
  <c r="G44" i="7"/>
  <c r="Q44" i="7" s="1"/>
  <c r="F44" i="7"/>
  <c r="Z17" i="7" s="1"/>
  <c r="E44" i="7"/>
  <c r="Y17" i="7" s="1"/>
  <c r="D44" i="7"/>
  <c r="C44" i="7"/>
  <c r="B44" i="7"/>
  <c r="V17" i="7" s="1"/>
  <c r="J43" i="7"/>
  <c r="T43" i="7" s="1"/>
  <c r="J42" i="7"/>
  <c r="T42" i="7" s="1"/>
  <c r="J41" i="7"/>
  <c r="T41" i="7" s="1"/>
  <c r="I39" i="7"/>
  <c r="H39" i="7"/>
  <c r="R39" i="7" s="1"/>
  <c r="G39" i="7"/>
  <c r="F39" i="7"/>
  <c r="Z12" i="7" s="1"/>
  <c r="E39" i="7"/>
  <c r="O39" i="7" s="1"/>
  <c r="D39" i="7"/>
  <c r="N39" i="7" s="1"/>
  <c r="C39" i="7"/>
  <c r="B39" i="7"/>
  <c r="L39" i="7" s="1"/>
  <c r="J38" i="7"/>
  <c r="T38" i="7" s="1"/>
  <c r="J37" i="7"/>
  <c r="T37" i="7" s="1"/>
  <c r="J36" i="7"/>
  <c r="N34" i="7"/>
  <c r="I34" i="7"/>
  <c r="S34" i="7" s="1"/>
  <c r="H34" i="7"/>
  <c r="R34" i="7" s="1"/>
  <c r="G34" i="7"/>
  <c r="G47" i="7" s="1"/>
  <c r="F34" i="7"/>
  <c r="Z6" i="7" s="1"/>
  <c r="E34" i="7"/>
  <c r="O34" i="7" s="1"/>
  <c r="D34" i="7"/>
  <c r="C34" i="7"/>
  <c r="B34" i="7"/>
  <c r="V6" i="7" s="1"/>
  <c r="J33" i="7"/>
  <c r="T33" i="7" s="1"/>
  <c r="J32" i="7"/>
  <c r="T32" i="7" s="1"/>
  <c r="J31" i="7"/>
  <c r="T31" i="7" s="1"/>
  <c r="T30" i="7"/>
  <c r="J30" i="7"/>
  <c r="I22" i="7"/>
  <c r="H22" i="7"/>
  <c r="R22" i="7" s="1"/>
  <c r="G22" i="7"/>
  <c r="Q22" i="7" s="1"/>
  <c r="F22" i="7"/>
  <c r="P22" i="7" s="1"/>
  <c r="E22" i="7"/>
  <c r="D22" i="7"/>
  <c r="C22" i="7"/>
  <c r="M22" i="7" s="1"/>
  <c r="B22" i="7"/>
  <c r="L22" i="7" s="1"/>
  <c r="I20" i="7"/>
  <c r="S20" i="7" s="1"/>
  <c r="H20" i="7"/>
  <c r="R20" i="7" s="1"/>
  <c r="G20" i="7"/>
  <c r="Q20" i="7" s="1"/>
  <c r="F20" i="7"/>
  <c r="P20" i="7" s="1"/>
  <c r="E20" i="7"/>
  <c r="O20" i="7" s="1"/>
  <c r="D20" i="7"/>
  <c r="N20" i="7" s="1"/>
  <c r="C20" i="7"/>
  <c r="B20" i="7"/>
  <c r="L20" i="7" s="1"/>
  <c r="J19" i="7"/>
  <c r="T19" i="7" s="1"/>
  <c r="J18" i="7"/>
  <c r="J17" i="7"/>
  <c r="I15" i="7"/>
  <c r="H15" i="7"/>
  <c r="R15" i="7" s="1"/>
  <c r="G15" i="7"/>
  <c r="AK15" i="7" s="1"/>
  <c r="F15" i="7"/>
  <c r="P15" i="7" s="1"/>
  <c r="E15" i="7"/>
  <c r="D15" i="7"/>
  <c r="C15" i="7"/>
  <c r="M15" i="7" s="1"/>
  <c r="B15" i="7"/>
  <c r="L15" i="7" s="1"/>
  <c r="J14" i="7"/>
  <c r="T14" i="7" s="1"/>
  <c r="J13" i="7"/>
  <c r="T13" i="7" s="1"/>
  <c r="Y12" i="7"/>
  <c r="X12" i="7"/>
  <c r="J12" i="7"/>
  <c r="T12" i="7" s="1"/>
  <c r="I10" i="7"/>
  <c r="S10" i="7" s="1"/>
  <c r="H10" i="7"/>
  <c r="AL10" i="7" s="1"/>
  <c r="G10" i="7"/>
  <c r="F10" i="7"/>
  <c r="E10" i="7"/>
  <c r="O10" i="7" s="1"/>
  <c r="D10" i="7"/>
  <c r="N10" i="7" s="1"/>
  <c r="C10" i="7"/>
  <c r="B10" i="7"/>
  <c r="L10" i="7" s="1"/>
  <c r="J9" i="7"/>
  <c r="T9" i="7" s="1"/>
  <c r="J8" i="7"/>
  <c r="J10" i="7" s="1"/>
  <c r="J7" i="7"/>
  <c r="T7" i="7" s="1"/>
  <c r="AB6" i="7"/>
  <c r="Y6" i="7"/>
  <c r="X6" i="7"/>
  <c r="J6" i="7"/>
  <c r="H47" i="5"/>
  <c r="Q47" i="5" s="1"/>
  <c r="G47" i="5"/>
  <c r="P47" i="5" s="1"/>
  <c r="F47" i="5"/>
  <c r="O47" i="5" s="1"/>
  <c r="E47" i="5"/>
  <c r="N47" i="5" s="1"/>
  <c r="D47" i="5"/>
  <c r="M47" i="5" s="1"/>
  <c r="C47" i="5"/>
  <c r="L47" i="5" s="1"/>
  <c r="B47" i="5"/>
  <c r="K47" i="5" s="1"/>
  <c r="H45" i="5"/>
  <c r="Q45" i="5" s="1"/>
  <c r="G45" i="5"/>
  <c r="P45" i="5" s="1"/>
  <c r="F45" i="5"/>
  <c r="E45" i="5"/>
  <c r="N45" i="5" s="1"/>
  <c r="D45" i="5"/>
  <c r="V17" i="5" s="1"/>
  <c r="C45" i="5"/>
  <c r="L45" i="5" s="1"/>
  <c r="B45" i="5"/>
  <c r="K45" i="5" s="1"/>
  <c r="I44" i="5"/>
  <c r="R44" i="5" s="1"/>
  <c r="I43" i="5"/>
  <c r="R43" i="5" s="1"/>
  <c r="I42" i="5"/>
  <c r="H40" i="5"/>
  <c r="Q40" i="5" s="1"/>
  <c r="G40" i="5"/>
  <c r="Y12" i="5" s="1"/>
  <c r="F40" i="5"/>
  <c r="O40" i="5" s="1"/>
  <c r="E40" i="5"/>
  <c r="D40" i="5"/>
  <c r="M40" i="5" s="1"/>
  <c r="C40" i="5"/>
  <c r="B40" i="5"/>
  <c r="T12" i="5" s="1"/>
  <c r="I39" i="5"/>
  <c r="R39" i="5" s="1"/>
  <c r="I38" i="5"/>
  <c r="I37" i="5"/>
  <c r="R37" i="5" s="1"/>
  <c r="H35" i="5"/>
  <c r="Q35" i="5" s="1"/>
  <c r="G35" i="5"/>
  <c r="Y6" i="5" s="1"/>
  <c r="F35" i="5"/>
  <c r="X6" i="5" s="1"/>
  <c r="E35" i="5"/>
  <c r="W6" i="5" s="1"/>
  <c r="D35" i="5"/>
  <c r="V6" i="5" s="1"/>
  <c r="C35" i="5"/>
  <c r="U6" i="5" s="1"/>
  <c r="B35" i="5"/>
  <c r="I34" i="5"/>
  <c r="R34" i="5" s="1"/>
  <c r="I33" i="5"/>
  <c r="R33" i="5" s="1"/>
  <c r="I32" i="5"/>
  <c r="R32" i="5" s="1"/>
  <c r="I31" i="5"/>
  <c r="R31" i="5" s="1"/>
  <c r="H22" i="5"/>
  <c r="G22" i="5"/>
  <c r="P22" i="5" s="1"/>
  <c r="F22" i="5"/>
  <c r="E22" i="5"/>
  <c r="D22" i="5"/>
  <c r="C22" i="5"/>
  <c r="B22" i="5"/>
  <c r="K22" i="5" s="1"/>
  <c r="H20" i="5"/>
  <c r="Q20" i="5" s="1"/>
  <c r="G20" i="5"/>
  <c r="P20" i="5" s="1"/>
  <c r="F20" i="5"/>
  <c r="O20" i="5" s="1"/>
  <c r="E20" i="5"/>
  <c r="N20" i="5" s="1"/>
  <c r="D20" i="5"/>
  <c r="M20" i="5" s="1"/>
  <c r="C20" i="5"/>
  <c r="L20" i="5" s="1"/>
  <c r="B20" i="5"/>
  <c r="K20" i="5" s="1"/>
  <c r="I19" i="5"/>
  <c r="R19" i="5" s="1"/>
  <c r="I18" i="5"/>
  <c r="R18" i="5" s="1"/>
  <c r="U17" i="5"/>
  <c r="I17" i="5"/>
  <c r="H15" i="5"/>
  <c r="G15" i="5"/>
  <c r="AH15" i="5" s="1"/>
  <c r="F15" i="5"/>
  <c r="E15" i="5"/>
  <c r="N15" i="5" s="1"/>
  <c r="D15" i="5"/>
  <c r="C15" i="5"/>
  <c r="AD15" i="5" s="1"/>
  <c r="B15" i="5"/>
  <c r="K15" i="5" s="1"/>
  <c r="I14" i="5"/>
  <c r="R14" i="5" s="1"/>
  <c r="I13" i="5"/>
  <c r="Z12" i="5"/>
  <c r="I12" i="5"/>
  <c r="R12" i="5" s="1"/>
  <c r="H10" i="5"/>
  <c r="G10" i="5"/>
  <c r="F10" i="5"/>
  <c r="O10" i="5" s="1"/>
  <c r="E10" i="5"/>
  <c r="D10" i="5"/>
  <c r="C10" i="5"/>
  <c r="B10" i="5"/>
  <c r="K10" i="5" s="1"/>
  <c r="I9" i="5"/>
  <c r="R9" i="5" s="1"/>
  <c r="I8" i="5"/>
  <c r="R8" i="5" s="1"/>
  <c r="I7" i="5"/>
  <c r="R7" i="5" s="1"/>
  <c r="Z6" i="5"/>
  <c r="T6" i="5"/>
  <c r="I6" i="5"/>
  <c r="R6" i="5" s="1"/>
  <c r="F9" i="52"/>
  <c r="E9" i="52"/>
  <c r="D9" i="52"/>
  <c r="C9" i="52"/>
  <c r="E10" i="4"/>
  <c r="D10" i="4"/>
  <c r="C10" i="4"/>
  <c r="B10" i="4"/>
  <c r="E88" i="62"/>
  <c r="D71" i="62"/>
  <c r="D88" i="62" s="1"/>
  <c r="E61" i="62"/>
  <c r="D29" i="62"/>
  <c r="D15" i="62"/>
  <c r="F60" i="68"/>
  <c r="F59" i="68"/>
  <c r="E59" i="68"/>
  <c r="E53" i="68"/>
  <c r="E51" i="68"/>
  <c r="F17" i="68"/>
  <c r="E17" i="68"/>
  <c r="F13" i="68"/>
  <c r="E13" i="68"/>
  <c r="F9" i="68"/>
  <c r="E9" i="68"/>
  <c r="I206" i="66"/>
  <c r="G206" i="66"/>
  <c r="I203" i="66"/>
  <c r="G203" i="66"/>
  <c r="G202" i="66"/>
  <c r="I191" i="66"/>
  <c r="G191" i="66"/>
  <c r="I178" i="66"/>
  <c r="G178" i="66"/>
  <c r="I173" i="66"/>
  <c r="I172" i="66"/>
  <c r="I168" i="66"/>
  <c r="G168" i="66"/>
  <c r="I164" i="66"/>
  <c r="G164" i="66"/>
  <c r="I157" i="66"/>
  <c r="G157" i="66"/>
  <c r="I152" i="66"/>
  <c r="G143" i="66"/>
  <c r="H140" i="66"/>
  <c r="D140" i="66"/>
  <c r="D139" i="66"/>
  <c r="H138" i="66"/>
  <c r="G137" i="66"/>
  <c r="H136" i="66"/>
  <c r="G135" i="66"/>
  <c r="G133" i="66"/>
  <c r="G131" i="66"/>
  <c r="G126" i="66"/>
  <c r="D125" i="66"/>
  <c r="G122" i="66"/>
  <c r="G120" i="66"/>
  <c r="G118" i="66"/>
  <c r="G116" i="66"/>
  <c r="G114" i="66"/>
  <c r="G112" i="66"/>
  <c r="G110" i="66"/>
  <c r="G108" i="66"/>
  <c r="H107" i="66"/>
  <c r="G106" i="66"/>
  <c r="D107" i="66"/>
  <c r="D106" i="66"/>
  <c r="G104" i="66"/>
  <c r="G102" i="66"/>
  <c r="G93" i="66"/>
  <c r="G91" i="66"/>
  <c r="H88" i="66"/>
  <c r="D88" i="66"/>
  <c r="D87" i="66"/>
  <c r="G85" i="66"/>
  <c r="G83" i="66"/>
  <c r="G81" i="66"/>
  <c r="G79" i="66"/>
  <c r="G77" i="66"/>
  <c r="H74" i="66"/>
  <c r="D74" i="66"/>
  <c r="D73" i="66"/>
  <c r="D72" i="66"/>
  <c r="D71" i="66"/>
  <c r="G69" i="66"/>
  <c r="G67" i="66"/>
  <c r="G62" i="66"/>
  <c r="G60" i="66"/>
  <c r="G58" i="66"/>
  <c r="G56" i="66"/>
  <c r="G54" i="66"/>
  <c r="H51" i="66"/>
  <c r="D51" i="66"/>
  <c r="D50" i="66"/>
  <c r="G48" i="66"/>
  <c r="G46" i="66"/>
  <c r="G44" i="66"/>
  <c r="G42" i="66"/>
  <c r="G40" i="66"/>
  <c r="G38" i="66"/>
  <c r="G36" i="66"/>
  <c r="G31" i="66"/>
  <c r="G29" i="66"/>
  <c r="H28" i="66"/>
  <c r="G25" i="66"/>
  <c r="G23" i="66"/>
  <c r="G21" i="66"/>
  <c r="G19" i="66"/>
  <c r="G17" i="66"/>
  <c r="G15" i="66"/>
  <c r="H12" i="66"/>
  <c r="D12" i="66"/>
  <c r="Q10" i="60"/>
  <c r="Q9" i="60"/>
  <c r="Q8" i="60"/>
  <c r="Q7" i="60"/>
  <c r="Q6" i="60"/>
  <c r="Q5" i="60"/>
  <c r="AP602" i="71"/>
  <c r="AO602" i="71"/>
  <c r="AP601" i="71"/>
  <c r="AO601" i="71"/>
  <c r="AP600" i="71"/>
  <c r="AO600" i="71"/>
  <c r="AP567" i="71"/>
  <c r="AO567" i="71"/>
  <c r="AM567" i="71"/>
  <c r="AL567" i="71"/>
  <c r="AM564" i="71"/>
  <c r="AL564" i="71"/>
  <c r="AP562" i="71"/>
  <c r="AO562" i="71"/>
  <c r="AP561" i="71"/>
  <c r="AO561" i="71"/>
  <c r="AM561" i="71"/>
  <c r="AL561" i="71"/>
  <c r="AM557" i="71"/>
  <c r="AL557" i="71"/>
  <c r="AM553" i="71"/>
  <c r="AL553" i="71"/>
  <c r="AM543" i="71"/>
  <c r="AL543" i="71"/>
  <c r="AP542" i="71"/>
  <c r="AO542" i="71"/>
  <c r="AM542" i="71"/>
  <c r="AL542" i="71"/>
  <c r="X533" i="71"/>
  <c r="N533" i="71"/>
  <c r="AP529" i="71"/>
  <c r="AO529" i="71"/>
  <c r="AP527" i="71"/>
  <c r="AP528" i="71" s="1"/>
  <c r="AO527" i="71"/>
  <c r="AO528" i="71" s="1"/>
  <c r="AP521" i="71"/>
  <c r="AO521" i="71"/>
  <c r="AP517" i="71"/>
  <c r="AO517" i="71"/>
  <c r="AP516" i="71"/>
  <c r="AO516" i="71"/>
  <c r="N502" i="71"/>
  <c r="J502" i="71"/>
  <c r="AD488" i="71"/>
  <c r="AN488" i="71" s="1"/>
  <c r="Z488" i="71"/>
  <c r="AM488" i="71" s="1"/>
  <c r="V488" i="71"/>
  <c r="AL488" i="71" s="1"/>
  <c r="R488" i="71"/>
  <c r="AK488" i="71" s="1"/>
  <c r="N488" i="71"/>
  <c r="AJ488" i="71" s="1"/>
  <c r="J488" i="71"/>
  <c r="AI488" i="71" s="1"/>
  <c r="AP476" i="71"/>
  <c r="AO476" i="71"/>
  <c r="AM476" i="71"/>
  <c r="AL476" i="71"/>
  <c r="X462" i="71"/>
  <c r="AP464" i="71" s="1"/>
  <c r="N462" i="71"/>
  <c r="AO464" i="71" s="1"/>
  <c r="AP422" i="71"/>
  <c r="AL422" i="71"/>
  <c r="AM402" i="71"/>
  <c r="AM400" i="71"/>
  <c r="AM398" i="71"/>
  <c r="AM397" i="71"/>
  <c r="AO396" i="71"/>
  <c r="AC395" i="71"/>
  <c r="AL382" i="71" s="1"/>
  <c r="AM390" i="71"/>
  <c r="AM388" i="71"/>
  <c r="AM387" i="71"/>
  <c r="AM386" i="71"/>
  <c r="AM384" i="71"/>
  <c r="AC382" i="71"/>
  <c r="AD689" i="71"/>
  <c r="AM689" i="71" s="1"/>
  <c r="AD688" i="71"/>
  <c r="AM688" i="71" s="1"/>
  <c r="AD687" i="71"/>
  <c r="AM687" i="71" s="1"/>
  <c r="AD686" i="71"/>
  <c r="AM686" i="71" s="1"/>
  <c r="AD685" i="71"/>
  <c r="AO685" i="71" s="1"/>
  <c r="AD684" i="71"/>
  <c r="AL660" i="71" s="1"/>
  <c r="AD683" i="71"/>
  <c r="AO683" i="71" s="1"/>
  <c r="AD682" i="71"/>
  <c r="AO682" i="71" s="1"/>
  <c r="AD681" i="71"/>
  <c r="AO681" i="71" s="1"/>
  <c r="AD680" i="71"/>
  <c r="AD679" i="71"/>
  <c r="AM679" i="71" s="1"/>
  <c r="AD678" i="71"/>
  <c r="AO678" i="71" s="1"/>
  <c r="AD677" i="71"/>
  <c r="AO677" i="71" s="1"/>
  <c r="AD676" i="71"/>
  <c r="AD675" i="71"/>
  <c r="AM675" i="71" s="1"/>
  <c r="AD674" i="71"/>
  <c r="AO674" i="71" s="1"/>
  <c r="AD673" i="71"/>
  <c r="AL649" i="71" s="1"/>
  <c r="AD672" i="71"/>
  <c r="AD665" i="71"/>
  <c r="AM665" i="71" s="1"/>
  <c r="AD664" i="71"/>
  <c r="AM664" i="71" s="1"/>
  <c r="AD663" i="71"/>
  <c r="AM663" i="71" s="1"/>
  <c r="AD662" i="71"/>
  <c r="AD661" i="71"/>
  <c r="AD659" i="71"/>
  <c r="AD658" i="71"/>
  <c r="AD657" i="71"/>
  <c r="AD656" i="71"/>
  <c r="AD655" i="71"/>
  <c r="AD654" i="71"/>
  <c r="AD653" i="71"/>
  <c r="AD652" i="71"/>
  <c r="AD651" i="71"/>
  <c r="AD650" i="71"/>
  <c r="AD649" i="71"/>
  <c r="AD648" i="71"/>
  <c r="R374" i="71"/>
  <c r="AM374" i="71" s="1"/>
  <c r="R363" i="71"/>
  <c r="AM363" i="71" s="1"/>
  <c r="AP324" i="71"/>
  <c r="AO324" i="71"/>
  <c r="AM324" i="71"/>
  <c r="AL324" i="71"/>
  <c r="AP321" i="71"/>
  <c r="AO321" i="71"/>
  <c r="AM321" i="71"/>
  <c r="AL321" i="71"/>
  <c r="AP317" i="71"/>
  <c r="AO317" i="71"/>
  <c r="AM317" i="71"/>
  <c r="AL317" i="71"/>
  <c r="AP314" i="71"/>
  <c r="AO314" i="71"/>
  <c r="AM314" i="71"/>
  <c r="AL314" i="71"/>
  <c r="X304" i="71"/>
  <c r="N304" i="71"/>
  <c r="AO304" i="71" s="1"/>
  <c r="AP302" i="71"/>
  <c r="AO302" i="71"/>
  <c r="AP301" i="71"/>
  <c r="AO301" i="71"/>
  <c r="AP300" i="71"/>
  <c r="AP303" i="71" s="1"/>
  <c r="AO300" i="71"/>
  <c r="AO303" i="71" s="1"/>
  <c r="AM293" i="71"/>
  <c r="AL293" i="71"/>
  <c r="Y293" i="71"/>
  <c r="AP293" i="71" s="1"/>
  <c r="AO293" i="71"/>
  <c r="AM290" i="71"/>
  <c r="AL290" i="71"/>
  <c r="AP290" i="71"/>
  <c r="AO290" i="71"/>
  <c r="T285" i="71"/>
  <c r="AL285" i="71" s="1"/>
  <c r="M285" i="71"/>
  <c r="AK285" i="71" s="1"/>
  <c r="AA284" i="71"/>
  <c r="AA283" i="71"/>
  <c r="AM283" i="71" s="1"/>
  <c r="AA282" i="71"/>
  <c r="AM282" i="71" s="1"/>
  <c r="AA281" i="71"/>
  <c r="AO281" i="71" s="1"/>
  <c r="AA280" i="71"/>
  <c r="AA279" i="71"/>
  <c r="AM279" i="71" s="1"/>
  <c r="AA278" i="71"/>
  <c r="AO278" i="71" s="1"/>
  <c r="T276" i="71"/>
  <c r="AL276" i="71" s="1"/>
  <c r="M276" i="71"/>
  <c r="AK276" i="71" s="1"/>
  <c r="AA275" i="71"/>
  <c r="AA274" i="71"/>
  <c r="AA273" i="71"/>
  <c r="AM273" i="71" s="1"/>
  <c r="AA272" i="71"/>
  <c r="AO272" i="71" s="1"/>
  <c r="AA271" i="71"/>
  <c r="X263" i="71"/>
  <c r="AL263" i="71" s="1"/>
  <c r="S263" i="71"/>
  <c r="AK263" i="71" s="1"/>
  <c r="N263" i="71"/>
  <c r="AJ263" i="71" s="1"/>
  <c r="I263" i="71"/>
  <c r="AI263" i="71" s="1"/>
  <c r="AC262" i="71"/>
  <c r="AM262" i="71" s="1"/>
  <c r="AC261" i="71"/>
  <c r="AC260" i="71"/>
  <c r="AC259" i="71"/>
  <c r="AM258" i="71"/>
  <c r="AC238" i="71"/>
  <c r="AP238" i="71" s="1"/>
  <c r="Z238" i="71"/>
  <c r="AO238" i="71" s="1"/>
  <c r="W238" i="71"/>
  <c r="AN238" i="71" s="1"/>
  <c r="T238" i="71"/>
  <c r="AM238" i="71" s="1"/>
  <c r="Q238" i="71"/>
  <c r="AL238" i="71" s="1"/>
  <c r="N238" i="71"/>
  <c r="AK238" i="71" s="1"/>
  <c r="K238" i="71"/>
  <c r="AJ238" i="71" s="1"/>
  <c r="H238" i="71"/>
  <c r="AI238" i="71" s="1"/>
  <c r="AC236" i="71"/>
  <c r="AZ210" i="71" s="1"/>
  <c r="Z236" i="71"/>
  <c r="AY210" i="71" s="1"/>
  <c r="W236" i="71"/>
  <c r="AN236" i="71" s="1"/>
  <c r="T236" i="71"/>
  <c r="Q236" i="71"/>
  <c r="AV210" i="71" s="1"/>
  <c r="N236" i="71"/>
  <c r="AU210" i="71" s="1"/>
  <c r="K236" i="71"/>
  <c r="AJ236" i="71" s="1"/>
  <c r="H236" i="71"/>
  <c r="AF235" i="71"/>
  <c r="AQ235" i="71" s="1"/>
  <c r="AF234" i="71"/>
  <c r="AQ234" i="71" s="1"/>
  <c r="AF233" i="71"/>
  <c r="AQ233" i="71" s="1"/>
  <c r="AC231" i="71"/>
  <c r="AP231" i="71" s="1"/>
  <c r="Z231" i="71"/>
  <c r="AO231" i="71" s="1"/>
  <c r="W231" i="71"/>
  <c r="T231" i="71"/>
  <c r="AM231" i="71" s="1"/>
  <c r="Q231" i="71"/>
  <c r="AV205" i="71" s="1"/>
  <c r="N231" i="71"/>
  <c r="AK231" i="71" s="1"/>
  <c r="K231" i="71"/>
  <c r="H231" i="71"/>
  <c r="AI231" i="71" s="1"/>
  <c r="AF230" i="71"/>
  <c r="AQ230" i="71" s="1"/>
  <c r="AF229" i="71"/>
  <c r="AQ229" i="71" s="1"/>
  <c r="AF228" i="71"/>
  <c r="AQ228" i="71" s="1"/>
  <c r="AM226" i="71"/>
  <c r="AC226" i="71"/>
  <c r="AP226" i="71" s="1"/>
  <c r="Z226" i="71"/>
  <c r="W226" i="71"/>
  <c r="T226" i="71"/>
  <c r="Q226" i="71"/>
  <c r="AV199" i="71" s="1"/>
  <c r="N226" i="71"/>
  <c r="K226" i="71"/>
  <c r="H226" i="71"/>
  <c r="AF225" i="71"/>
  <c r="AQ225" i="71" s="1"/>
  <c r="AF224" i="71"/>
  <c r="AQ224" i="71" s="1"/>
  <c r="AF223" i="71"/>
  <c r="AQ223" i="71" s="1"/>
  <c r="AF222" i="71"/>
  <c r="AC215" i="71"/>
  <c r="Z215" i="71"/>
  <c r="W215" i="71"/>
  <c r="AN215" i="71" s="1"/>
  <c r="T215" i="71"/>
  <c r="AM215" i="71" s="1"/>
  <c r="Q215" i="71"/>
  <c r="N215" i="71"/>
  <c r="K215" i="71"/>
  <c r="AJ215" i="71" s="1"/>
  <c r="H215" i="71"/>
  <c r="AI215" i="71" s="1"/>
  <c r="AC213" i="71"/>
  <c r="AP213" i="71" s="1"/>
  <c r="Z213" i="71"/>
  <c r="AO213" i="71" s="1"/>
  <c r="W213" i="71"/>
  <c r="AN213" i="71" s="1"/>
  <c r="T213" i="71"/>
  <c r="AM213" i="71" s="1"/>
  <c r="Q213" i="71"/>
  <c r="AL213" i="71" s="1"/>
  <c r="N213" i="71"/>
  <c r="AK213" i="71" s="1"/>
  <c r="K213" i="71"/>
  <c r="AJ213" i="71" s="1"/>
  <c r="H213" i="71"/>
  <c r="AF212" i="71"/>
  <c r="AQ212" i="71" s="1"/>
  <c r="AF211" i="71"/>
  <c r="AQ211" i="71" s="1"/>
  <c r="AF210" i="71"/>
  <c r="AC208" i="71"/>
  <c r="Z208" i="71"/>
  <c r="AO208" i="71" s="1"/>
  <c r="W208" i="71"/>
  <c r="T208" i="71"/>
  <c r="AM208" i="71" s="1"/>
  <c r="Q208" i="71"/>
  <c r="N208" i="71"/>
  <c r="K208" i="71"/>
  <c r="AJ208" i="71" s="1"/>
  <c r="H208" i="71"/>
  <c r="AI208" i="71" s="1"/>
  <c r="AF207" i="71"/>
  <c r="AQ207" i="71" s="1"/>
  <c r="AF206" i="71"/>
  <c r="AQ206" i="71" s="1"/>
  <c r="AF205" i="71"/>
  <c r="AQ205" i="71" s="1"/>
  <c r="AM203" i="71"/>
  <c r="AC203" i="71"/>
  <c r="BJ203" i="71" s="1"/>
  <c r="Z203" i="71"/>
  <c r="AO203" i="71" s="1"/>
  <c r="W203" i="71"/>
  <c r="T203" i="71"/>
  <c r="Q203" i="71"/>
  <c r="N203" i="71"/>
  <c r="BE203" i="71" s="1"/>
  <c r="K203" i="71"/>
  <c r="H203" i="71"/>
  <c r="AF202" i="71"/>
  <c r="AQ202" i="71" s="1"/>
  <c r="AF201" i="71"/>
  <c r="AF200" i="71"/>
  <c r="AQ200" i="71" s="1"/>
  <c r="AF199" i="71"/>
  <c r="AQ199" i="71" s="1"/>
  <c r="AC35" i="71"/>
  <c r="X35" i="71"/>
  <c r="S35" i="71"/>
  <c r="N35" i="71"/>
  <c r="M45" i="5" l="1"/>
  <c r="Y17" i="9"/>
  <c r="L5" i="14"/>
  <c r="K16" i="50"/>
  <c r="I32" i="50"/>
  <c r="P39" i="7"/>
  <c r="F23" i="9"/>
  <c r="AJ23" i="9" s="1"/>
  <c r="I9" i="24"/>
  <c r="K10" i="50"/>
  <c r="I13" i="50"/>
  <c r="I30" i="50"/>
  <c r="V12" i="5"/>
  <c r="T17" i="5"/>
  <c r="AM10" i="7"/>
  <c r="AB12" i="7"/>
  <c r="AB17" i="7"/>
  <c r="N12" i="27"/>
  <c r="E6" i="33"/>
  <c r="T8" i="7"/>
  <c r="AF15" i="7"/>
  <c r="B47" i="7"/>
  <c r="V22" i="7" s="1"/>
  <c r="O44" i="7"/>
  <c r="AC6" i="9"/>
  <c r="O10" i="9"/>
  <c r="X17" i="9"/>
  <c r="P20" i="9"/>
  <c r="O34" i="9"/>
  <c r="O39" i="9"/>
  <c r="L8" i="17"/>
  <c r="H6" i="18"/>
  <c r="H15" i="18"/>
  <c r="F12" i="24"/>
  <c r="M34" i="50"/>
  <c r="F7" i="30"/>
  <c r="L35" i="5"/>
  <c r="AC6" i="7"/>
  <c r="AH10" i="7"/>
  <c r="AJ15" i="7"/>
  <c r="F23" i="7"/>
  <c r="AJ23" i="7" s="1"/>
  <c r="F3" i="33"/>
  <c r="I13" i="33"/>
  <c r="AE15" i="5"/>
  <c r="Y17" i="5"/>
  <c r="AI10" i="7"/>
  <c r="E23" i="7"/>
  <c r="AI23" i="7" s="1"/>
  <c r="I23" i="7"/>
  <c r="AM23" i="7" s="1"/>
  <c r="D47" i="7"/>
  <c r="AH47" i="7" s="1"/>
  <c r="Z12" i="9"/>
  <c r="Z17" i="9"/>
  <c r="L7" i="17"/>
  <c r="E7" i="54"/>
  <c r="E8" i="20"/>
  <c r="E6" i="24"/>
  <c r="I38" i="50"/>
  <c r="O45" i="5"/>
  <c r="X17" i="5"/>
  <c r="J39" i="7"/>
  <c r="AD12" i="7" s="1"/>
  <c r="T36" i="7"/>
  <c r="N15" i="9"/>
  <c r="AH15" i="9"/>
  <c r="AC15" i="5"/>
  <c r="I40" i="5"/>
  <c r="AA12" i="5" s="1"/>
  <c r="Q34" i="9"/>
  <c r="AA6" i="9"/>
  <c r="M39" i="9"/>
  <c r="W12" i="9"/>
  <c r="Q39" i="9"/>
  <c r="AA12" i="9"/>
  <c r="L44" i="9"/>
  <c r="V17" i="9"/>
  <c r="R38" i="5"/>
  <c r="AL15" i="9"/>
  <c r="R15" i="9"/>
  <c r="O15" i="5"/>
  <c r="AG15" i="5"/>
  <c r="M22" i="5"/>
  <c r="L40" i="5"/>
  <c r="U12" i="5"/>
  <c r="C48" i="5"/>
  <c r="AD48" i="5" s="1"/>
  <c r="P40" i="5"/>
  <c r="G48" i="5"/>
  <c r="Y22" i="5" s="1"/>
  <c r="S39" i="7"/>
  <c r="AC12" i="7"/>
  <c r="N44" i="7"/>
  <c r="X17" i="7"/>
  <c r="R4" i="85"/>
  <c r="AD12" i="85"/>
  <c r="AE12" i="85"/>
  <c r="S4" i="85"/>
  <c r="AF15" i="5"/>
  <c r="M35" i="5"/>
  <c r="J22" i="7"/>
  <c r="T22" i="7" s="1"/>
  <c r="Q15" i="7"/>
  <c r="J20" i="7"/>
  <c r="T20" i="7" s="1"/>
  <c r="P10" i="9"/>
  <c r="P34" i="9"/>
  <c r="G7" i="12"/>
  <c r="M7" i="12" s="1"/>
  <c r="L11" i="14"/>
  <c r="E13" i="55"/>
  <c r="J13" i="55" s="1"/>
  <c r="I3" i="24"/>
  <c r="F6" i="24"/>
  <c r="I6" i="50"/>
  <c r="I10" i="50"/>
  <c r="I12" i="50"/>
  <c r="M27" i="50"/>
  <c r="I37" i="50"/>
  <c r="I42" i="50"/>
  <c r="N8" i="27"/>
  <c r="L24" i="27"/>
  <c r="L28" i="27"/>
  <c r="L31" i="27"/>
  <c r="L7" i="38"/>
  <c r="I7" i="38"/>
  <c r="AH11" i="85"/>
  <c r="AI11" i="85"/>
  <c r="AG11" i="85"/>
  <c r="AJ11" i="85"/>
  <c r="AH12" i="85"/>
  <c r="V4" i="85"/>
  <c r="W4" i="85"/>
  <c r="AG12" i="85"/>
  <c r="U4" i="85"/>
  <c r="AJ12" i="85"/>
  <c r="X4" i="85"/>
  <c r="AI12" i="85"/>
  <c r="AD15" i="85"/>
  <c r="AE15" i="85"/>
  <c r="AG14" i="65"/>
  <c r="AH14" i="85"/>
  <c r="AG14" i="85"/>
  <c r="AJ14" i="85"/>
  <c r="AI14" i="85"/>
  <c r="W17" i="5"/>
  <c r="D48" i="5"/>
  <c r="M48" i="5" s="1"/>
  <c r="T6" i="7"/>
  <c r="R10" i="7"/>
  <c r="V12" i="7"/>
  <c r="T18" i="7"/>
  <c r="J44" i="7"/>
  <c r="AD17" i="7" s="1"/>
  <c r="L44" i="7"/>
  <c r="S44" i="7"/>
  <c r="S10" i="9"/>
  <c r="AC17" i="9"/>
  <c r="M3" i="12"/>
  <c r="F12" i="14"/>
  <c r="N12" i="14" s="1"/>
  <c r="L6" i="14"/>
  <c r="L8" i="14"/>
  <c r="L4" i="17"/>
  <c r="L6" i="17"/>
  <c r="H5" i="18"/>
  <c r="H12" i="18"/>
  <c r="H14" i="18"/>
  <c r="J7" i="55"/>
  <c r="I5" i="50"/>
  <c r="K12" i="50"/>
  <c r="I17" i="50"/>
  <c r="M37" i="50"/>
  <c r="F9" i="33"/>
  <c r="H13" i="33"/>
  <c r="M4" i="67"/>
  <c r="P4" i="85"/>
  <c r="O4" i="85"/>
  <c r="AI15" i="85"/>
  <c r="AH15" i="85"/>
  <c r="AJ15" i="85"/>
  <c r="AG15" i="85"/>
  <c r="AE11" i="85"/>
  <c r="AD11" i="85"/>
  <c r="AC10" i="5"/>
  <c r="J46" i="7"/>
  <c r="L34" i="7"/>
  <c r="L10" i="9"/>
  <c r="AG15" i="9"/>
  <c r="B47" i="9"/>
  <c r="F47" i="9"/>
  <c r="AJ47" i="9" s="1"/>
  <c r="L34" i="9"/>
  <c r="F7" i="13"/>
  <c r="L7" i="13" s="1"/>
  <c r="K5" i="50"/>
  <c r="H9" i="33"/>
  <c r="AE14" i="85"/>
  <c r="AD14" i="85"/>
  <c r="AM385" i="71"/>
  <c r="AC383" i="71"/>
  <c r="AO383" i="71" s="1"/>
  <c r="AL385" i="71"/>
  <c r="AL654" i="71"/>
  <c r="AM678" i="71"/>
  <c r="AL664" i="71"/>
  <c r="AP236" i="71"/>
  <c r="AZ199" i="71"/>
  <c r="AL663" i="71"/>
  <c r="AM419" i="71"/>
  <c r="AO419" i="71"/>
  <c r="Q216" i="71"/>
  <c r="BF216" i="71" s="1"/>
  <c r="AS205" i="71"/>
  <c r="H216" i="71"/>
  <c r="BC216" i="71" s="1"/>
  <c r="AK203" i="71"/>
  <c r="AW205" i="71"/>
  <c r="AL384" i="71"/>
  <c r="AL462" i="71"/>
  <c r="AL651" i="71"/>
  <c r="AL657" i="71"/>
  <c r="AU205" i="71"/>
  <c r="AO422" i="71"/>
  <c r="AM462" i="71"/>
  <c r="AM422" i="71"/>
  <c r="BI203" i="71"/>
  <c r="BG208" i="71"/>
  <c r="AO236" i="71"/>
  <c r="AL383" i="71"/>
  <c r="AL387" i="71"/>
  <c r="AO279" i="71"/>
  <c r="AO273" i="71"/>
  <c r="AL650" i="71"/>
  <c r="AM674" i="71"/>
  <c r="AL659" i="71"/>
  <c r="AL226" i="71"/>
  <c r="AM272" i="71"/>
  <c r="AO283" i="71"/>
  <c r="AM683" i="71"/>
  <c r="AM396" i="71"/>
  <c r="BD208" i="71"/>
  <c r="AK236" i="71"/>
  <c r="AL665" i="71"/>
  <c r="AO675" i="71"/>
  <c r="AO679" i="71"/>
  <c r="AO258" i="71"/>
  <c r="AM278" i="71"/>
  <c r="AY205" i="71"/>
  <c r="AO262" i="71"/>
  <c r="AL304" i="71"/>
  <c r="AL653" i="71"/>
  <c r="AL655" i="71"/>
  <c r="AM681" i="71"/>
  <c r="AL388" i="71"/>
  <c r="N239" i="71"/>
  <c r="AU215" i="71" s="1"/>
  <c r="AK226" i="71"/>
  <c r="AO215" i="71"/>
  <c r="AM403" i="71"/>
  <c r="AL390" i="71"/>
  <c r="AU199" i="71"/>
  <c r="AZ205" i="71"/>
  <c r="AM274" i="71"/>
  <c r="AO274" i="71"/>
  <c r="AL662" i="71"/>
  <c r="AM682" i="71"/>
  <c r="Z239" i="71"/>
  <c r="AO239" i="71" s="1"/>
  <c r="AO226" i="71"/>
  <c r="AY199" i="71"/>
  <c r="AM304" i="71"/>
  <c r="AP304" i="71"/>
  <c r="AL203" i="71"/>
  <c r="BF203" i="71"/>
  <c r="AP203" i="71"/>
  <c r="AL231" i="71"/>
  <c r="BH208" i="71"/>
  <c r="AN208" i="71"/>
  <c r="AT210" i="71"/>
  <c r="AW210" i="71"/>
  <c r="AM236" i="71"/>
  <c r="AF236" i="71"/>
  <c r="BA210" i="71" s="1"/>
  <c r="AM259" i="71"/>
  <c r="AO259" i="71"/>
  <c r="AL658" i="71"/>
  <c r="AO533" i="71"/>
  <c r="AL533" i="71"/>
  <c r="AA285" i="71"/>
  <c r="AO285" i="71" s="1"/>
  <c r="AM281" i="71"/>
  <c r="Q239" i="71"/>
  <c r="BF239" i="71" s="1"/>
  <c r="AC239" i="71"/>
  <c r="AP239" i="71" s="1"/>
  <c r="AF231" i="71"/>
  <c r="AQ231" i="71" s="1"/>
  <c r="AL236" i="71"/>
  <c r="AE12" i="65"/>
  <c r="AG14" i="67"/>
  <c r="E2" i="82"/>
  <c r="G2" i="80"/>
  <c r="G2" i="78"/>
  <c r="E2" i="76"/>
  <c r="AE15" i="65"/>
  <c r="AE17" i="84"/>
  <c r="AE16" i="83"/>
  <c r="AD17" i="84"/>
  <c r="AD16" i="83"/>
  <c r="AD15" i="75"/>
  <c r="AE15" i="75"/>
  <c r="AD15" i="72"/>
  <c r="AE15" i="72"/>
  <c r="AJ17" i="84"/>
  <c r="AJ16" i="83"/>
  <c r="AI16" i="83"/>
  <c r="AH16" i="83"/>
  <c r="AG17" i="84"/>
  <c r="AG16" i="83"/>
  <c r="AI17" i="84"/>
  <c r="AH17" i="84"/>
  <c r="AI15" i="75"/>
  <c r="AH15" i="75"/>
  <c r="AJ15" i="75"/>
  <c r="AG15" i="75"/>
  <c r="AG15" i="72"/>
  <c r="AJ15" i="72"/>
  <c r="AH15" i="72"/>
  <c r="AI15" i="72"/>
  <c r="AD15" i="67"/>
  <c r="AJ14" i="67"/>
  <c r="AH16" i="84"/>
  <c r="AJ15" i="83"/>
  <c r="AG16" i="84"/>
  <c r="AH15" i="83"/>
  <c r="AI16" i="84"/>
  <c r="AG15" i="83"/>
  <c r="AI15" i="83"/>
  <c r="AJ16" i="84"/>
  <c r="AI14" i="75"/>
  <c r="AG14" i="75"/>
  <c r="AJ14" i="75"/>
  <c r="AH14" i="75"/>
  <c r="AI14" i="72"/>
  <c r="AG14" i="72"/>
  <c r="AJ14" i="72"/>
  <c r="AH14" i="72"/>
  <c r="AJ14" i="65"/>
  <c r="AH14" i="67"/>
  <c r="AE15" i="83"/>
  <c r="AD15" i="83"/>
  <c r="AE16" i="84"/>
  <c r="AD16" i="84"/>
  <c r="AD14" i="75"/>
  <c r="AE14" i="75"/>
  <c r="AD14" i="72"/>
  <c r="AE14" i="72"/>
  <c r="R4" i="65"/>
  <c r="AH14" i="84"/>
  <c r="U5" i="84"/>
  <c r="AH13" i="83"/>
  <c r="U4" i="83"/>
  <c r="T5" i="84"/>
  <c r="T4" i="83"/>
  <c r="S5" i="84"/>
  <c r="S4" i="83"/>
  <c r="AI14" i="84"/>
  <c r="R5" i="84"/>
  <c r="AI13" i="83"/>
  <c r="R4" i="83"/>
  <c r="AG14" i="84"/>
  <c r="AG13" i="83"/>
  <c r="AJ14" i="84"/>
  <c r="AJ13" i="83"/>
  <c r="AI12" i="75"/>
  <c r="R4" i="75"/>
  <c r="U4" i="75"/>
  <c r="AG12" i="75"/>
  <c r="AJ12" i="75"/>
  <c r="S4" i="75"/>
  <c r="AH12" i="75"/>
  <c r="T4" i="75"/>
  <c r="AI12" i="72"/>
  <c r="R4" i="72"/>
  <c r="AH12" i="72"/>
  <c r="U4" i="72"/>
  <c r="AG12" i="72"/>
  <c r="AJ12" i="72"/>
  <c r="S4" i="72"/>
  <c r="T4" i="72"/>
  <c r="AE12" i="67"/>
  <c r="P5" i="84"/>
  <c r="P4" i="83"/>
  <c r="AE14" i="84"/>
  <c r="AE13" i="83"/>
  <c r="AD14" i="84"/>
  <c r="AD13" i="83"/>
  <c r="O5" i="84"/>
  <c r="O4" i="83"/>
  <c r="AD12" i="75"/>
  <c r="O4" i="75"/>
  <c r="AE12" i="75"/>
  <c r="P4" i="75"/>
  <c r="AD12" i="72"/>
  <c r="P4" i="72"/>
  <c r="O4" i="72"/>
  <c r="AE12" i="72"/>
  <c r="L5" i="84"/>
  <c r="L4" i="83"/>
  <c r="M5" i="84"/>
  <c r="M4" i="83"/>
  <c r="L4" i="75"/>
  <c r="M4" i="75"/>
  <c r="L4" i="72"/>
  <c r="M4" i="72"/>
  <c r="P4" i="65"/>
  <c r="AE11" i="67"/>
  <c r="AE12" i="83"/>
  <c r="AD12" i="83"/>
  <c r="AE13" i="84"/>
  <c r="AD13" i="84"/>
  <c r="AE11" i="75"/>
  <c r="AD11" i="75"/>
  <c r="AD11" i="72"/>
  <c r="AE11" i="72"/>
  <c r="AG11" i="67"/>
  <c r="AH13" i="84"/>
  <c r="AJ12" i="83"/>
  <c r="AJ13" i="84"/>
  <c r="AI13" i="84"/>
  <c r="AG13" i="84"/>
  <c r="AI12" i="83"/>
  <c r="AH12" i="83"/>
  <c r="AG12" i="83"/>
  <c r="AI11" i="75"/>
  <c r="AG11" i="75"/>
  <c r="AJ11" i="75"/>
  <c r="AH11" i="75"/>
  <c r="AI11" i="72"/>
  <c r="AH11" i="72"/>
  <c r="AJ11" i="72"/>
  <c r="AG11" i="72"/>
  <c r="A17" i="84"/>
  <c r="A16" i="83"/>
  <c r="A15" i="72"/>
  <c r="A15" i="75" s="1"/>
  <c r="G17" i="84"/>
  <c r="G16" i="83"/>
  <c r="G15" i="72"/>
  <c r="G15" i="75" s="1"/>
  <c r="D16" i="83"/>
  <c r="D17" i="84"/>
  <c r="D15" i="72"/>
  <c r="D15" i="75" s="1"/>
  <c r="E16" i="83"/>
  <c r="E17" i="84"/>
  <c r="E15" i="72"/>
  <c r="E15" i="75" s="1"/>
  <c r="B16" i="83"/>
  <c r="B17" i="84"/>
  <c r="B15" i="72"/>
  <c r="B15" i="75" s="1"/>
  <c r="BG203" i="71"/>
  <c r="T216" i="71"/>
  <c r="BG216" i="71" s="1"/>
  <c r="AF203" i="71"/>
  <c r="AQ210" i="71"/>
  <c r="AF238" i="71"/>
  <c r="AQ238" i="71" s="1"/>
  <c r="AQ222" i="71"/>
  <c r="AN231" i="71"/>
  <c r="AX205" i="71"/>
  <c r="AO260" i="71"/>
  <c r="AM260" i="71"/>
  <c r="AO651" i="71"/>
  <c r="AM651" i="71"/>
  <c r="I202" i="66"/>
  <c r="I19" i="32"/>
  <c r="P10" i="5"/>
  <c r="G23" i="5"/>
  <c r="AH23" i="5" s="1"/>
  <c r="AH10" i="5"/>
  <c r="K40" i="5"/>
  <c r="AA17" i="9"/>
  <c r="Q44" i="9"/>
  <c r="G47" i="9"/>
  <c r="Q47" i="9" s="1"/>
  <c r="L12" i="14"/>
  <c r="AQ201" i="71"/>
  <c r="BH203" i="71"/>
  <c r="W216" i="71"/>
  <c r="BH216" i="71" s="1"/>
  <c r="AN203" i="71"/>
  <c r="AL215" i="71"/>
  <c r="AS210" i="71"/>
  <c r="AI236" i="71"/>
  <c r="AL464" i="71"/>
  <c r="G173" i="66"/>
  <c r="G172" i="66"/>
  <c r="AE10" i="5"/>
  <c r="D23" i="5"/>
  <c r="AE23" i="5" s="1"/>
  <c r="M10" i="5"/>
  <c r="I15" i="5"/>
  <c r="R15" i="5" s="1"/>
  <c r="M44" i="7"/>
  <c r="W17" i="7"/>
  <c r="H239" i="71"/>
  <c r="AI239" i="71" s="1"/>
  <c r="AS199" i="71"/>
  <c r="AI226" i="71"/>
  <c r="AW199" i="71"/>
  <c r="AF226" i="71"/>
  <c r="AQ226" i="71" s="1"/>
  <c r="T239" i="71"/>
  <c r="AM239" i="71" s="1"/>
  <c r="AO657" i="71"/>
  <c r="AM657" i="71"/>
  <c r="AO659" i="71"/>
  <c r="AM659" i="71"/>
  <c r="AO661" i="71"/>
  <c r="AM661" i="71"/>
  <c r="AO672" i="71"/>
  <c r="AM672" i="71"/>
  <c r="AL648" i="71"/>
  <c r="AO676" i="71"/>
  <c r="AM676" i="71"/>
  <c r="AL652" i="71"/>
  <c r="H10" i="66"/>
  <c r="G13" i="66"/>
  <c r="D28" i="66"/>
  <c r="G124" i="66"/>
  <c r="D91" i="62"/>
  <c r="G139" i="66"/>
  <c r="G141" i="66"/>
  <c r="E60" i="68"/>
  <c r="J12" i="43"/>
  <c r="U22" i="5"/>
  <c r="L22" i="5"/>
  <c r="AN10" i="7"/>
  <c r="T10" i="7"/>
  <c r="M20" i="7"/>
  <c r="AG15" i="7"/>
  <c r="C47" i="7"/>
  <c r="M47" i="7" s="1"/>
  <c r="M34" i="7"/>
  <c r="W6" i="7"/>
  <c r="Q47" i="7"/>
  <c r="Q34" i="7"/>
  <c r="AA6" i="7"/>
  <c r="P23" i="9"/>
  <c r="H9" i="24"/>
  <c r="E9" i="24"/>
  <c r="M28" i="50"/>
  <c r="I28" i="50"/>
  <c r="K6" i="50"/>
  <c r="BC203" i="71"/>
  <c r="AJ231" i="71"/>
  <c r="AT205" i="71"/>
  <c r="AO649" i="71"/>
  <c r="AM649" i="71"/>
  <c r="AM533" i="71"/>
  <c r="AP533" i="71"/>
  <c r="F8" i="68"/>
  <c r="C23" i="5"/>
  <c r="AD23" i="5" s="1"/>
  <c r="L10" i="5"/>
  <c r="AD10" i="5"/>
  <c r="R13" i="5"/>
  <c r="Q15" i="5"/>
  <c r="AI15" i="5"/>
  <c r="AK47" i="7"/>
  <c r="AA22" i="7"/>
  <c r="M44" i="9"/>
  <c r="BD203" i="71"/>
  <c r="K216" i="71"/>
  <c r="BD216" i="71" s="1"/>
  <c r="AJ203" i="71"/>
  <c r="AI203" i="71"/>
  <c r="AP215" i="71"/>
  <c r="K239" i="71"/>
  <c r="AO261" i="71"/>
  <c r="AM261" i="71"/>
  <c r="AM685" i="71"/>
  <c r="Q10" i="5"/>
  <c r="H23" i="5"/>
  <c r="AI23" i="5" s="1"/>
  <c r="AI10" i="5"/>
  <c r="X12" i="5"/>
  <c r="M15" i="5"/>
  <c r="AF47" i="7"/>
  <c r="AF215" i="71"/>
  <c r="BF208" i="71"/>
  <c r="AL208" i="71"/>
  <c r="BJ208" i="71"/>
  <c r="AP208" i="71"/>
  <c r="AC216" i="71"/>
  <c r="BC208" i="71"/>
  <c r="AI213" i="71"/>
  <c r="AF213" i="71"/>
  <c r="AQ213" i="71" s="1"/>
  <c r="AO653" i="71"/>
  <c r="AM653" i="71"/>
  <c r="AO655" i="71"/>
  <c r="AM655" i="71"/>
  <c r="AL661" i="71"/>
  <c r="AO673" i="71"/>
  <c r="AM673" i="71"/>
  <c r="D11" i="66"/>
  <c r="G27" i="66"/>
  <c r="G75" i="66"/>
  <c r="G87" i="66"/>
  <c r="Q22" i="5"/>
  <c r="P23" i="5"/>
  <c r="AE48" i="5"/>
  <c r="AA17" i="7"/>
  <c r="AK15" i="9"/>
  <c r="G23" i="9"/>
  <c r="AK23" i="9" s="1"/>
  <c r="M20" i="9"/>
  <c r="E10" i="54"/>
  <c r="H10" i="54"/>
  <c r="AJ226" i="71"/>
  <c r="AT199" i="71"/>
  <c r="AN226" i="71"/>
  <c r="AX199" i="71"/>
  <c r="W239" i="71"/>
  <c r="AN239" i="71" s="1"/>
  <c r="AC263" i="71"/>
  <c r="AO271" i="71"/>
  <c r="AA276" i="71"/>
  <c r="AM271" i="71"/>
  <c r="AO280" i="71"/>
  <c r="AM280" i="71"/>
  <c r="AO648" i="71"/>
  <c r="AM648" i="71"/>
  <c r="AO650" i="71"/>
  <c r="AM650" i="71"/>
  <c r="AO652" i="71"/>
  <c r="AM652" i="71"/>
  <c r="AO654" i="71"/>
  <c r="AM654" i="71"/>
  <c r="AO656" i="71"/>
  <c r="AM656" i="71"/>
  <c r="AO658" i="71"/>
  <c r="AM658" i="71"/>
  <c r="AO660" i="71"/>
  <c r="AM660" i="71"/>
  <c r="AM662" i="71"/>
  <c r="AO680" i="71"/>
  <c r="AM680" i="71"/>
  <c r="AO395" i="71"/>
  <c r="AM395" i="71"/>
  <c r="AM464" i="71"/>
  <c r="I45" i="5"/>
  <c r="R45" i="5" s="1"/>
  <c r="R42" i="5"/>
  <c r="N22" i="7"/>
  <c r="J18" i="18"/>
  <c r="H18" i="18"/>
  <c r="I7" i="54"/>
  <c r="F10" i="54"/>
  <c r="I10" i="54"/>
  <c r="N216" i="71"/>
  <c r="BE208" i="71"/>
  <c r="Z216" i="71"/>
  <c r="BI216" i="71" s="1"/>
  <c r="BI208" i="71"/>
  <c r="AK208" i="71"/>
  <c r="AX210" i="71"/>
  <c r="AK215" i="71"/>
  <c r="AO275" i="71"/>
  <c r="AM275" i="71"/>
  <c r="AO282" i="71"/>
  <c r="AO284" i="71"/>
  <c r="AM284" i="71"/>
  <c r="AL656" i="71"/>
  <c r="AM677" i="71"/>
  <c r="AO684" i="71"/>
  <c r="AM684" i="71"/>
  <c r="AO382" i="71"/>
  <c r="AM382" i="71"/>
  <c r="AM399" i="71"/>
  <c r="AL386" i="71"/>
  <c r="E8" i="68"/>
  <c r="W12" i="5"/>
  <c r="N40" i="5"/>
  <c r="D23" i="7"/>
  <c r="AH23" i="7" s="1"/>
  <c r="AH15" i="7"/>
  <c r="H23" i="7"/>
  <c r="AL15" i="7"/>
  <c r="N15" i="7"/>
  <c r="F47" i="7"/>
  <c r="AI15" i="9"/>
  <c r="O15" i="9"/>
  <c r="AM15" i="9"/>
  <c r="S15" i="9"/>
  <c r="E12" i="24"/>
  <c r="H12" i="24"/>
  <c r="I15" i="50"/>
  <c r="M15" i="50"/>
  <c r="I31" i="50"/>
  <c r="M31" i="50"/>
  <c r="K9" i="50"/>
  <c r="F11" i="27"/>
  <c r="I9" i="30"/>
  <c r="F9" i="30"/>
  <c r="AF208" i="71"/>
  <c r="E34" i="68"/>
  <c r="E10" i="39"/>
  <c r="Z17" i="5"/>
  <c r="P35" i="5"/>
  <c r="H48" i="5"/>
  <c r="AI48" i="5" s="1"/>
  <c r="AF10" i="7"/>
  <c r="P23" i="7"/>
  <c r="AJ10" i="7"/>
  <c r="P10" i="7"/>
  <c r="T15" i="7"/>
  <c r="AI15" i="7"/>
  <c r="O15" i="7"/>
  <c r="AM15" i="7"/>
  <c r="S15" i="7"/>
  <c r="T17" i="7"/>
  <c r="O22" i="7"/>
  <c r="S22" i="7"/>
  <c r="B23" i="7"/>
  <c r="AF23" i="7" s="1"/>
  <c r="S23" i="7"/>
  <c r="M39" i="7"/>
  <c r="W12" i="7"/>
  <c r="Q39" i="7"/>
  <c r="AA12" i="7"/>
  <c r="T44" i="7"/>
  <c r="AH10" i="9"/>
  <c r="D23" i="9"/>
  <c r="AH23" i="9" s="1"/>
  <c r="N10" i="9"/>
  <c r="AL10" i="9"/>
  <c r="H23" i="9"/>
  <c r="AL23" i="9" s="1"/>
  <c r="R10" i="9"/>
  <c r="J20" i="9"/>
  <c r="T20" i="9" s="1"/>
  <c r="AD17" i="9"/>
  <c r="J22" i="9"/>
  <c r="T17" i="9"/>
  <c r="J39" i="9"/>
  <c r="AD12" i="9" s="1"/>
  <c r="T36" i="9"/>
  <c r="J46" i="9"/>
  <c r="T46" i="9" s="1"/>
  <c r="J8" i="18"/>
  <c r="H8" i="18"/>
  <c r="D10" i="18"/>
  <c r="L13" i="55"/>
  <c r="F5" i="21"/>
  <c r="E3" i="24"/>
  <c r="H3" i="24"/>
  <c r="G52" i="66"/>
  <c r="G50" i="66"/>
  <c r="F34" i="68"/>
  <c r="F10" i="39"/>
  <c r="F51" i="68"/>
  <c r="E63" i="68"/>
  <c r="I22" i="5"/>
  <c r="I10" i="5"/>
  <c r="B23" i="5"/>
  <c r="AC23" i="5" s="1"/>
  <c r="F23" i="5"/>
  <c r="AG23" i="5" s="1"/>
  <c r="AG10" i="5"/>
  <c r="I20" i="5"/>
  <c r="R20" i="5" s="1"/>
  <c r="AA17" i="5"/>
  <c r="R17" i="5"/>
  <c r="O22" i="5"/>
  <c r="I47" i="5"/>
  <c r="R47" i="5" s="1"/>
  <c r="L48" i="5"/>
  <c r="AG10" i="7"/>
  <c r="C23" i="7"/>
  <c r="AG23" i="7" s="1"/>
  <c r="M10" i="7"/>
  <c r="AK10" i="7"/>
  <c r="G23" i="7"/>
  <c r="AK23" i="7" s="1"/>
  <c r="Q10" i="7"/>
  <c r="T46" i="7"/>
  <c r="L47" i="7"/>
  <c r="J34" i="7"/>
  <c r="T34" i="7" s="1"/>
  <c r="P34" i="7"/>
  <c r="P44" i="7"/>
  <c r="E23" i="9"/>
  <c r="AI23" i="9" s="1"/>
  <c r="I23" i="9"/>
  <c r="AM23" i="9" s="1"/>
  <c r="J34" i="9"/>
  <c r="T34" i="9" s="1"/>
  <c r="N47" i="9"/>
  <c r="N34" i="9"/>
  <c r="X6" i="9"/>
  <c r="D47" i="9"/>
  <c r="R34" i="9"/>
  <c r="AB6" i="9"/>
  <c r="J44" i="9"/>
  <c r="T44" i="9" s="1"/>
  <c r="T41" i="9"/>
  <c r="H47" i="9"/>
  <c r="R47" i="9" s="1"/>
  <c r="J9" i="18"/>
  <c r="H9" i="18"/>
  <c r="J17" i="18"/>
  <c r="H17" i="18"/>
  <c r="D19" i="18"/>
  <c r="M8" i="50"/>
  <c r="I8" i="50"/>
  <c r="M33" i="50"/>
  <c r="K11" i="50"/>
  <c r="I33" i="50"/>
  <c r="N17" i="27"/>
  <c r="L35" i="27"/>
  <c r="G152" i="66"/>
  <c r="F53" i="68"/>
  <c r="K12" i="43"/>
  <c r="F63" i="68"/>
  <c r="N10" i="5"/>
  <c r="AF10" i="5"/>
  <c r="L15" i="5"/>
  <c r="P15" i="5"/>
  <c r="N22" i="5"/>
  <c r="E23" i="5"/>
  <c r="AF23" i="5" s="1"/>
  <c r="I35" i="5"/>
  <c r="AA6" i="5" s="1"/>
  <c r="N35" i="5"/>
  <c r="E48" i="5"/>
  <c r="AF48" i="5" s="1"/>
  <c r="J15" i="7"/>
  <c r="N47" i="7"/>
  <c r="H47" i="7"/>
  <c r="AL47" i="7" s="1"/>
  <c r="J10" i="9"/>
  <c r="T7" i="9"/>
  <c r="AF15" i="9"/>
  <c r="L15" i="9"/>
  <c r="AJ15" i="9"/>
  <c r="P15" i="9"/>
  <c r="J15" i="9"/>
  <c r="AN15" i="9" s="1"/>
  <c r="O22" i="9"/>
  <c r="B23" i="9"/>
  <c r="C47" i="9"/>
  <c r="M47" i="9" s="1"/>
  <c r="N5" i="17"/>
  <c r="L5" i="17"/>
  <c r="M11" i="50"/>
  <c r="I11" i="50"/>
  <c r="M18" i="50"/>
  <c r="I18" i="50"/>
  <c r="F23" i="27"/>
  <c r="I5" i="28"/>
  <c r="F8" i="28"/>
  <c r="I8" i="28"/>
  <c r="F6" i="33"/>
  <c r="I6" i="33"/>
  <c r="K35" i="5"/>
  <c r="O35" i="5"/>
  <c r="B48" i="5"/>
  <c r="AC48" i="5" s="1"/>
  <c r="F48" i="5"/>
  <c r="AG48" i="5" s="1"/>
  <c r="E47" i="7"/>
  <c r="AI47" i="7" s="1"/>
  <c r="I47" i="7"/>
  <c r="AM47" i="7" s="1"/>
  <c r="AG10" i="9"/>
  <c r="AK10" i="9"/>
  <c r="M10" i="9"/>
  <c r="V22" i="9"/>
  <c r="L22" i="9"/>
  <c r="Z22" i="9"/>
  <c r="P22" i="9"/>
  <c r="C23" i="9"/>
  <c r="AG23" i="9" s="1"/>
  <c r="M34" i="9"/>
  <c r="N39" i="9"/>
  <c r="X12" i="9"/>
  <c r="R39" i="9"/>
  <c r="AB12" i="9"/>
  <c r="N7" i="14"/>
  <c r="L7" i="14"/>
  <c r="F9" i="17"/>
  <c r="J13" i="18"/>
  <c r="H13" i="18"/>
  <c r="M7" i="50"/>
  <c r="I7" i="50"/>
  <c r="AJ11" i="67"/>
  <c r="AI11" i="65"/>
  <c r="AI11" i="67"/>
  <c r="AH11" i="65"/>
  <c r="AH11" i="67"/>
  <c r="AJ11" i="65"/>
  <c r="AJ12" i="67"/>
  <c r="U4" i="67"/>
  <c r="AI12" i="65"/>
  <c r="T4" i="65"/>
  <c r="AI12" i="67"/>
  <c r="T4" i="67"/>
  <c r="AH12" i="65"/>
  <c r="S4" i="65"/>
  <c r="AJ12" i="65"/>
  <c r="AH12" i="67"/>
  <c r="S4" i="67"/>
  <c r="AG12" i="65"/>
  <c r="AG12" i="67"/>
  <c r="U4" i="65"/>
  <c r="AG11" i="65"/>
  <c r="R4" i="67"/>
  <c r="E47" i="9"/>
  <c r="AI47" i="9" s="1"/>
  <c r="I47" i="9"/>
  <c r="AM47" i="9" s="1"/>
  <c r="N5" i="27"/>
  <c r="H5" i="27"/>
  <c r="F5" i="27"/>
  <c r="B9" i="30"/>
  <c r="H9" i="30" s="1"/>
  <c r="M4" i="65"/>
  <c r="L4" i="67"/>
  <c r="L4" i="65"/>
  <c r="AG15" i="67"/>
  <c r="AJ15" i="65"/>
  <c r="AJ15" i="67"/>
  <c r="AI15" i="65"/>
  <c r="AH15" i="65"/>
  <c r="AI15" i="67"/>
  <c r="AG15" i="65"/>
  <c r="AH15" i="67"/>
  <c r="M36" i="50"/>
  <c r="K14" i="50"/>
  <c r="I39" i="50"/>
  <c r="K17" i="50"/>
  <c r="K19" i="50"/>
  <c r="I43" i="50"/>
  <c r="K21" i="50"/>
  <c r="F29" i="27"/>
  <c r="N15" i="27"/>
  <c r="L33" i="27"/>
  <c r="H5" i="28"/>
  <c r="H8" i="28"/>
  <c r="E9" i="30"/>
  <c r="H7" i="38"/>
  <c r="K7" i="38"/>
  <c r="I35" i="50"/>
  <c r="K13" i="50"/>
  <c r="M40" i="50"/>
  <c r="K18" i="50"/>
  <c r="AE14" i="67"/>
  <c r="AD14" i="65"/>
  <c r="AD14" i="67"/>
  <c r="G2" i="66"/>
  <c r="E2" i="68"/>
  <c r="AE14" i="65"/>
  <c r="AH14" i="65"/>
  <c r="AD15" i="65"/>
  <c r="O4" i="67"/>
  <c r="AD11" i="67"/>
  <c r="AD12" i="67"/>
  <c r="AI14" i="67"/>
  <c r="AE15" i="67"/>
  <c r="O4" i="65"/>
  <c r="AD11" i="65"/>
  <c r="AD12" i="65"/>
  <c r="AI14" i="65"/>
  <c r="P4" i="67"/>
  <c r="M23" i="5" l="1"/>
  <c r="Q23" i="9"/>
  <c r="Q23" i="5"/>
  <c r="O23" i="7"/>
  <c r="X22" i="7"/>
  <c r="Y22" i="9"/>
  <c r="R35" i="5"/>
  <c r="R40" i="5"/>
  <c r="P47" i="9"/>
  <c r="AH48" i="5"/>
  <c r="P48" i="5"/>
  <c r="T39" i="7"/>
  <c r="AN15" i="7"/>
  <c r="T39" i="9"/>
  <c r="R23" i="9"/>
  <c r="S47" i="9"/>
  <c r="V22" i="5"/>
  <c r="Q23" i="7"/>
  <c r="M23" i="7"/>
  <c r="K23" i="5"/>
  <c r="N23" i="9"/>
  <c r="S47" i="7"/>
  <c r="X22" i="5"/>
  <c r="N23" i="7"/>
  <c r="L47" i="9"/>
  <c r="AF47" i="9"/>
  <c r="AQ236" i="71"/>
  <c r="AM383" i="71"/>
  <c r="AL419" i="71"/>
  <c r="BK208" i="71"/>
  <c r="AL216" i="71"/>
  <c r="AI216" i="71"/>
  <c r="AP419" i="71"/>
  <c r="BJ239" i="71"/>
  <c r="AZ215" i="71"/>
  <c r="AY215" i="71"/>
  <c r="AJ216" i="71"/>
  <c r="BA205" i="71"/>
  <c r="AL239" i="71"/>
  <c r="BI239" i="71"/>
  <c r="AM285" i="71"/>
  <c r="AV215" i="71"/>
  <c r="AM216" i="71"/>
  <c r="AQ208" i="71"/>
  <c r="AN216" i="71"/>
  <c r="AK239" i="71"/>
  <c r="BE239" i="71"/>
  <c r="L23" i="27"/>
  <c r="P23" i="27"/>
  <c r="AO276" i="71"/>
  <c r="AM276" i="71"/>
  <c r="G11" i="66"/>
  <c r="T15" i="9"/>
  <c r="R47" i="7"/>
  <c r="J19" i="18"/>
  <c r="H19" i="18"/>
  <c r="E16" i="68"/>
  <c r="D9" i="66"/>
  <c r="AQ215" i="71"/>
  <c r="BG239" i="71"/>
  <c r="AW215" i="71"/>
  <c r="P5" i="27"/>
  <c r="L5" i="27"/>
  <c r="M23" i="9"/>
  <c r="O47" i="7"/>
  <c r="AC22" i="9"/>
  <c r="AL47" i="9"/>
  <c r="AB22" i="9"/>
  <c r="J47" i="7"/>
  <c r="AD6" i="7"/>
  <c r="T22" i="5"/>
  <c r="R22" i="5"/>
  <c r="L23" i="7"/>
  <c r="W22" i="5"/>
  <c r="P11" i="27"/>
  <c r="L11" i="27"/>
  <c r="O23" i="9"/>
  <c r="BE216" i="71"/>
  <c r="AK216" i="71"/>
  <c r="AB22" i="7"/>
  <c r="O48" i="5"/>
  <c r="AM263" i="71"/>
  <c r="AO263" i="71"/>
  <c r="Z22" i="5"/>
  <c r="BJ216" i="71"/>
  <c r="AP216" i="71"/>
  <c r="L23" i="5"/>
  <c r="D10" i="66"/>
  <c r="AF239" i="71"/>
  <c r="BA215" i="71" s="1"/>
  <c r="BA199" i="71"/>
  <c r="N48" i="5"/>
  <c r="O47" i="9"/>
  <c r="BK203" i="71"/>
  <c r="AF216" i="71"/>
  <c r="AQ203" i="71"/>
  <c r="AF23" i="9"/>
  <c r="L23" i="9"/>
  <c r="I23" i="5"/>
  <c r="AJ10" i="5"/>
  <c r="N23" i="5"/>
  <c r="AJ47" i="7"/>
  <c r="Z22" i="7"/>
  <c r="BD239" i="71"/>
  <c r="AT215" i="71"/>
  <c r="P29" i="27"/>
  <c r="L29" i="27"/>
  <c r="N11" i="27"/>
  <c r="N9" i="17"/>
  <c r="L9" i="17"/>
  <c r="AH47" i="9"/>
  <c r="X22" i="9"/>
  <c r="J47" i="9"/>
  <c r="AD22" i="9" s="1"/>
  <c r="AD6" i="9"/>
  <c r="O23" i="5"/>
  <c r="R10" i="5"/>
  <c r="J10" i="18"/>
  <c r="H10" i="18"/>
  <c r="Y22" i="7"/>
  <c r="BH239" i="71"/>
  <c r="AX215" i="71"/>
  <c r="G71" i="66"/>
  <c r="G73" i="66"/>
  <c r="P47" i="7"/>
  <c r="AG47" i="9"/>
  <c r="W22" i="9"/>
  <c r="J23" i="9"/>
  <c r="T10" i="9"/>
  <c r="AN10" i="9"/>
  <c r="I48" i="5"/>
  <c r="O5" i="21"/>
  <c r="M5" i="21"/>
  <c r="T22" i="9"/>
  <c r="AC22" i="7"/>
  <c r="Q48" i="5"/>
  <c r="S23" i="9"/>
  <c r="AL23" i="7"/>
  <c r="R23" i="7"/>
  <c r="AO216" i="71"/>
  <c r="K48" i="5"/>
  <c r="AJ239" i="71"/>
  <c r="H125" i="66"/>
  <c r="E91" i="62"/>
  <c r="D90" i="62"/>
  <c r="F16" i="68"/>
  <c r="AG47" i="7"/>
  <c r="W22" i="7"/>
  <c r="J23" i="7"/>
  <c r="BC239" i="71"/>
  <c r="AS215" i="71"/>
  <c r="AJ15" i="5"/>
  <c r="AK47" i="9"/>
  <c r="AA22" i="9"/>
  <c r="AN23" i="9" l="1"/>
  <c r="T23" i="9"/>
  <c r="G9" i="66"/>
  <c r="AJ48" i="5"/>
  <c r="R48" i="5"/>
  <c r="BK239" i="71"/>
  <c r="AQ239" i="71"/>
  <c r="AA22" i="5"/>
  <c r="AJ23" i="5"/>
  <c r="R23" i="5"/>
  <c r="D8" i="66"/>
  <c r="E31" i="68"/>
  <c r="T47" i="7"/>
  <c r="AN47" i="7"/>
  <c r="AD22" i="7"/>
  <c r="AN23" i="7"/>
  <c r="T23" i="7"/>
  <c r="F31" i="68"/>
  <c r="H72" i="66"/>
  <c r="AN47" i="9"/>
  <c r="T47" i="9"/>
  <c r="BK216" i="71"/>
  <c r="AQ216" i="71"/>
  <c r="E52" i="68" l="1"/>
  <c r="AO591" i="71"/>
  <c r="E64" i="68"/>
  <c r="D13" i="62"/>
  <c r="D41" i="62" s="1"/>
  <c r="D89" i="62" s="1"/>
  <c r="D93" i="62" s="1"/>
  <c r="D99" i="62" s="1"/>
  <c r="J4" i="43"/>
  <c r="F52" i="68"/>
  <c r="K4" i="43"/>
  <c r="AP591" i="71"/>
  <c r="E13" i="62"/>
  <c r="E41" i="62" s="1"/>
  <c r="E89" i="62" s="1"/>
  <c r="E93" i="62" s="1"/>
  <c r="E99" i="62" s="1"/>
  <c r="F64" i="68"/>
  <c r="G7" i="66"/>
  <c r="H8" i="66"/>
  <c r="G171" i="80" l="1"/>
  <c r="G171" i="78"/>
  <c r="I171" i="80"/>
  <c r="I171" i="78"/>
  <c r="F56" i="68"/>
  <c r="F66" i="68"/>
  <c r="I171" i="66"/>
  <c r="AO686" i="71"/>
  <c r="M41" i="50"/>
  <c r="E56" i="68"/>
  <c r="E66" i="68"/>
  <c r="G171" i="66"/>
  <c r="M19" i="50"/>
  <c r="AO662" i="71"/>
  <c r="I151" i="80" l="1"/>
  <c r="I151" i="78"/>
  <c r="G151" i="80"/>
  <c r="G151" i="78"/>
  <c r="I151" i="66"/>
  <c r="G151" i="66"/>
  <c r="G150" i="80" l="1"/>
  <c r="G150" i="78"/>
  <c r="I150" i="80"/>
  <c r="I150" i="78"/>
  <c r="I150" i="66"/>
  <c r="G150" i="66"/>
</calcChain>
</file>

<file path=xl/comments1.xml><?xml version="1.0" encoding="utf-8"?>
<comments xmlns="http://schemas.openxmlformats.org/spreadsheetml/2006/main">
  <authors>
    <author>Author</author>
  </authors>
  <commentList>
    <comment ref="E6" authorId="0">
      <text>
        <r>
          <rPr>
            <sz val="8"/>
            <color indexed="81"/>
            <rFont val="Tahoma"/>
            <family val="2"/>
            <charset val="238"/>
          </rPr>
          <t>select type of report with "</t>
        </r>
        <r>
          <rPr>
            <b/>
            <sz val="8"/>
            <color indexed="81"/>
            <rFont val="Tahoma"/>
            <family val="2"/>
            <charset val="238"/>
          </rPr>
          <t>X</t>
        </r>
        <r>
          <rPr>
            <sz val="8"/>
            <color indexed="81"/>
            <rFont val="Tahoma"/>
            <family val="2"/>
            <charset val="238"/>
          </rPr>
          <t xml:space="preserve">"
in cells </t>
        </r>
        <r>
          <rPr>
            <b/>
            <sz val="8"/>
            <color indexed="81"/>
            <rFont val="Tahoma"/>
            <family val="2"/>
            <charset val="238"/>
          </rPr>
          <t>D8, D9, D10</t>
        </r>
      </text>
    </comment>
    <comment ref="B7" authorId="0">
      <text>
        <r>
          <rPr>
            <sz val="8"/>
            <color indexed="81"/>
            <rFont val="Tahoma"/>
            <family val="2"/>
            <charset val="238"/>
          </rPr>
          <t xml:space="preserve">
Enter full date ONLY in this cell</t>
        </r>
      </text>
    </comment>
    <comment ref="B10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
Enter full date ONLY in this cell</t>
        </r>
      </text>
    </comment>
    <comment ref="E12" authorId="0">
      <text>
        <r>
          <rPr>
            <sz val="8"/>
            <color indexed="81"/>
            <rFont val="Tahoma"/>
            <family val="2"/>
            <charset val="238"/>
          </rPr>
          <t xml:space="preserve">Clasification of economic activities in sheet "SK NACE". </t>
        </r>
        <r>
          <rPr>
            <b/>
            <sz val="8"/>
            <color indexed="81"/>
            <rFont val="Tahoma"/>
            <family val="2"/>
            <charset val="238"/>
          </rPr>
          <t>Use values from column A (without dots)</t>
        </r>
      </text>
    </comment>
    <comment ref="E15" authorId="0">
      <text>
        <r>
          <rPr>
            <sz val="8"/>
            <color indexed="81"/>
            <rFont val="Tahoma"/>
            <family val="2"/>
            <charset val="238"/>
          </rPr>
          <t>select type of report with "</t>
        </r>
        <r>
          <rPr>
            <b/>
            <sz val="8"/>
            <color indexed="81"/>
            <rFont val="Tahoma"/>
            <family val="2"/>
            <charset val="238"/>
          </rPr>
          <t>X</t>
        </r>
        <r>
          <rPr>
            <sz val="8"/>
            <color indexed="81"/>
            <rFont val="Tahoma"/>
            <family val="2"/>
            <charset val="238"/>
          </rPr>
          <t xml:space="preserve">"
in cells </t>
        </r>
        <r>
          <rPr>
            <b/>
            <sz val="8"/>
            <color indexed="81"/>
            <rFont val="Tahoma"/>
            <family val="2"/>
            <charset val="238"/>
          </rPr>
          <t>D17, D18</t>
        </r>
      </text>
    </comment>
    <comment ref="B1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
Enter full date ONLY in this cell</t>
        </r>
      </text>
    </comment>
    <comment ref="B20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
Enter full date ONLY in this cell</t>
        </r>
      </text>
    </comment>
    <comment ref="F25" authorId="0">
      <text>
        <r>
          <rPr>
            <b/>
            <sz val="8"/>
            <color indexed="81"/>
            <rFont val="Tahoma"/>
            <family val="2"/>
            <charset val="238"/>
          </rPr>
          <t>Author:</t>
        </r>
        <r>
          <rPr>
            <sz val="8"/>
            <color indexed="81"/>
            <rFont val="Tahoma"/>
            <family val="2"/>
            <charset val="238"/>
          </rPr>
          <t xml:space="preserve">
date on which the FS are prepared </t>
        </r>
      </text>
    </comment>
    <comment ref="F27" authorId="0">
      <text>
        <r>
          <rPr>
            <b/>
            <sz val="8"/>
            <color indexed="81"/>
            <rFont val="Tahoma"/>
            <family val="2"/>
            <charset val="238"/>
          </rPr>
          <t>Author:</t>
        </r>
        <r>
          <rPr>
            <sz val="8"/>
            <color indexed="81"/>
            <rFont val="Tahoma"/>
            <family val="2"/>
            <charset val="238"/>
          </rPr>
          <t xml:space="preserve">
leave blank if not approved yet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O4" authorId="0">
      <text>
        <r>
          <rPr>
            <b/>
            <sz val="8"/>
            <color indexed="81"/>
            <rFont val="Tahoma"/>
            <family val="2"/>
            <charset val="238"/>
          </rPr>
          <t>Author:</t>
        </r>
        <r>
          <rPr>
            <sz val="8"/>
            <color indexed="81"/>
            <rFont val="Tahoma"/>
            <family val="2"/>
            <charset val="238"/>
          </rPr>
          <t xml:space="preserve">
nemusi sediet kvoli opravnej polozke; porovnava sa net value predosleho roka</t>
        </r>
      </text>
    </comment>
  </commentList>
</comments>
</file>

<file path=xl/sharedStrings.xml><?xml version="1.0" encoding="utf-8"?>
<sst xmlns="http://schemas.openxmlformats.org/spreadsheetml/2006/main" count="4999" uniqueCount="2009">
  <si>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</si>
  <si>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</si>
  <si>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</si>
  <si>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</si>
  <si>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</si>
  <si>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</si>
  <si>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</si>
  <si>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2. Informácie k časti B. písm. b) prílohy č. 3 o štruktúre spoločníkov, akcionárov ku dňu, ku ktorému sa zostavuje účtovná závierka a o štruktúre spoločníkov, akcionárov do dňa jej zmeny  vzniknutej v priebehu účtovného obdobia</t>
  </si>
  <si>
    <t>Tabuľka č. 1</t>
  </si>
  <si>
    <t>Spoločník, akcionár</t>
  </si>
  <si>
    <t>Výška podielu na základnom imaní</t>
  </si>
  <si>
    <t>Podiel na hlasovacích právach v %</t>
  </si>
  <si>
    <t>v %</t>
  </si>
  <si>
    <t>absolútne</t>
  </si>
  <si>
    <t>Spolu</t>
  </si>
  <si>
    <t>Tabuľka č. 2</t>
  </si>
  <si>
    <t>Spoločník, akcionár do dňa zmeny  v štruktúre spoločníkov, akcionárov</t>
  </si>
  <si>
    <t>Dátum zmeny</t>
  </si>
  <si>
    <t>x</t>
  </si>
  <si>
    <t>3. Informácie k časti F. písm. a) prílohy č. 3 o dlhodobom nehmotnom majetku</t>
  </si>
  <si>
    <t>Dlhodobý nehmotný majetok</t>
  </si>
  <si>
    <t>Softvér</t>
  </si>
  <si>
    <t>Goodwill</t>
  </si>
  <si>
    <t>Ostatný DNM</t>
  </si>
  <si>
    <t>Poskytnuté preddavky na DNM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</si>
  <si>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</si>
  <si>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</si>
  <si>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</si>
  <si>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</si>
  <si>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</si>
  <si>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</si>
  <si>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</si>
  <si>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</si>
  <si>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</si>
  <si>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 </t>
  </si>
  <si>
    <t>4. Informácie k časti F. písm. c) prílohy č. 3 o dlhodobom nehmotnom majetku</t>
  </si>
  <si>
    <t>Hodnota za bežné účtovné obdobie</t>
  </si>
  <si>
    <t>Dlhodobý nehmotný majetok, na ktorý je zriadené záložné právo</t>
  </si>
  <si>
    <t>Dlhodobý nehmotný majetok, pri ktorom má účtovná jednotka obmedzené právo s ním nakladať</t>
  </si>
  <si>
    <t>5.  Informácie k časti F. písm. a) prílohy č. 3 o dlhodobom hmotnom majetku</t>
  </si>
  <si>
    <t>Dlhodobý hmotný majetok</t>
  </si>
  <si>
    <t>Pozemky</t>
  </si>
  <si>
    <t>Stavby</t>
  </si>
  <si>
    <t>Samostatné hnuteľné veci a súbory hnuteľných vecí</t>
  </si>
  <si>
    <t>Základné stádo a ťažné zvieratá</t>
  </si>
  <si>
    <t>Ostatný DHM</t>
  </si>
  <si>
    <t>Poskytnuté preddavky na DHM</t>
  </si>
  <si>
    <t xml:space="preserve">6. Informácie k časti F. písm. c) prílohy č. 3 o dlhodobom hmotnom majetku </t>
  </si>
  <si>
    <t>Dlhodobý hmotný majetok, na ktorý je zriadené záložné právo</t>
  </si>
  <si>
    <t>Dlhodobý hmotný majetok, pri ktorom má účtovná jednotka obmedzené právo s ním nakladať</t>
  </si>
  <si>
    <t>7. Informácie k časti F. písm. j) prílohy č. 3 o  dlhodobom finančnom majetku</t>
  </si>
  <si>
    <t>Podielové CP a podiely v DÚJ</t>
  </si>
  <si>
    <t>Ostatné dlhodobé CP a podiely</t>
  </si>
  <si>
    <t>Ostatný DFM</t>
  </si>
  <si>
    <t>Pôžičky s dobou splatnosti najviac jeden rok</t>
  </si>
  <si>
    <t>Dlhodobý finančný majetok</t>
  </si>
  <si>
    <t xml:space="preserve">8. Informácie k časti F. písm. m) prílohy č. 3 o dlhodobom finančnom majetku </t>
  </si>
  <si>
    <t>Dlhodobý finančný majetok, na ktorý je zriadené záložné právo</t>
  </si>
  <si>
    <t>Dlhodobý finančný majetok, pri ktorom má účtovná jednotka obmedzené právo s ním nakladať</t>
  </si>
  <si>
    <t>9. Informácie k časti F. písm. i) prílohy č. 3 o štruktúre dlhodobého finančného majetku</t>
  </si>
  <si>
    <t>Obchodné meno a sídlo spoločnosti, v ktorej má ÚJ umiestnený DFM</t>
  </si>
  <si>
    <t>Podiel ÚJ na ZI v  %</t>
  </si>
  <si>
    <t>Podiel ÚJ na hlasovacích právach v %</t>
  </si>
  <si>
    <t>Hodnota</t>
  </si>
  <si>
    <t>Účtovná hodnota DFM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</si>
  <si>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</si>
  <si>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</si>
  <si>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</si>
  <si>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</si>
  <si>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Dlhodobý finančný majetok spolu</t>
  </si>
  <si>
    <t>10. Informácie k časti F. písm. j) a l) prílohy č. 3 o dlhových CP držaných do splatnosti</t>
  </si>
  <si>
    <t>Druh CP</t>
  </si>
  <si>
    <t>Zvýšenie hodnoty</t>
  </si>
  <si>
    <t>Zníženie hodnoty</t>
  </si>
  <si>
    <t>Do splatnosti viac ako päť rokov</t>
  </si>
  <si>
    <t>Do splatnosti  od troch rokov do piatich rokov vrátane</t>
  </si>
  <si>
    <t>Do splatnosti od jedného roka do troch rokov vrátane</t>
  </si>
  <si>
    <t>Do splatnosti do jedného roka vrátane</t>
  </si>
  <si>
    <t>Dlhové CP držané do splatnosti spolu</t>
  </si>
  <si>
    <t>Stav na konci účtovného obdobia</t>
  </si>
  <si>
    <t>11. Informácie k časti F. písm. j) a l) prílohy č. 3 o poskytnutých dlhodobých pôžičkách</t>
  </si>
  <si>
    <t>Dlhodobé pôžičky</t>
  </si>
  <si>
    <t>Do splatnosti od troch rokov do piatich rokov vrátane</t>
  </si>
  <si>
    <t>Do splatnosti  od jedného roka do troch rokov vrátane</t>
  </si>
  <si>
    <t>Dlhodobé pôžičky spolu</t>
  </si>
  <si>
    <t>12. Informácie k časti F. písm. o) prílohy č. 3 o opravných položkách k zásobám</t>
  </si>
  <si>
    <t>Zásoby</t>
  </si>
  <si>
    <t>Stav  OP na začiatku účtovného obdobia</t>
  </si>
  <si>
    <t>Zúčtovanie OP z dôvodu zániku opodstatnenosti</t>
  </si>
  <si>
    <t>Stav OP na konci účtovného obdobia</t>
  </si>
  <si>
    <t>Materiál</t>
  </si>
  <si>
    <t>Výrobky</t>
  </si>
  <si>
    <t xml:space="preserve">Zvieratá </t>
  </si>
  <si>
    <t>Tovar</t>
  </si>
  <si>
    <t>Nehnuteľnosť na predaj</t>
  </si>
  <si>
    <t>Zásoby spolu</t>
  </si>
  <si>
    <t>Náklady na obstarávanie nehnuteľnosti  na predaj za účtovné obdobie</t>
  </si>
  <si>
    <t>Náklady na obstaranie nehnuteľnosti na predaj od začiatku obstarávania</t>
  </si>
  <si>
    <t>Nedokončená výroba a polotovary vlastnej výroby</t>
  </si>
  <si>
    <t>13. Informácie k časti F. písm. p) prílohy č. 3 o zásobách, na ktoré je zriadené záložné právo a o zásobách, pri ktorých má účtovná jednotka obmedzené právo s nimi nakladať</t>
  </si>
  <si>
    <t>Zásoby, na ktoré je zriadené záložné právo</t>
  </si>
  <si>
    <t>Zásoby, pri ktorých má účtovná jednotka obmedzené právo s nimi nakladať</t>
  </si>
  <si>
    <t>14. Informácie k časti F. písm. q) prílohy č. 3 o zákazkovej výrobe a o zákazkovej výstavbe nehnuteľnosti určenej na predaj</t>
  </si>
  <si>
    <t>Za bežné účtovné obdobie</t>
  </si>
  <si>
    <t>Za bezprostredne predchádzajúce účtovné obdobie</t>
  </si>
  <si>
    <t>Sumár od začiatku zákazkovej výroby až do konca bežného účtovného obdobia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</si>
  <si>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</si>
  <si>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</si>
  <si>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</si>
  <si>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</si>
  <si>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</si>
  <si>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</si>
  <si>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 xml:space="preserve">Suma prijatých preddavkov </t>
  </si>
  <si>
    <t>Suma zadržanej platby</t>
  </si>
  <si>
    <t>Tabuľka č. 3</t>
  </si>
  <si>
    <t xml:space="preserve">Výnosy zo zákazkovej výstavby nehnuteľnosti určenej na predaj 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</si>
  <si>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</si>
  <si>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</si>
  <si>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</si>
  <si>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</si>
  <si>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Suma prijatých preddavkov</t>
  </si>
  <si>
    <t>15. Informácie k časti F. písm. r) prílohy č. 3 o vývoji opravnej položky  k pohľadávkam</t>
  </si>
  <si>
    <t>Pohľadávky</t>
  </si>
  <si>
    <t>Stav OP na začiatku účtovného obdobia</t>
  </si>
  <si>
    <t>Tvorba</t>
  </si>
  <si>
    <t xml:space="preserve">Pohľadávky z obchodného styku </t>
  </si>
  <si>
    <t>Pohľadávky voči dcérskej účtovnej jednotke a materskej účtovnej jednotke</t>
  </si>
  <si>
    <t>Pohľadávky voči spoločníkom, členom a združeniu</t>
  </si>
  <si>
    <t>Iné pohľadávky</t>
  </si>
  <si>
    <t>Pohľadávky spolu</t>
  </si>
  <si>
    <t>16. Informácie k časti F. písm. s) prílohy č. 3 o  vekovej štruktúre pohľadávok</t>
  </si>
  <si>
    <t>Názov položky</t>
  </si>
  <si>
    <t>V lehote splatnosti</t>
  </si>
  <si>
    <t>Po lehote splatnosti</t>
  </si>
  <si>
    <t>Dlhodobé pohľadávky</t>
  </si>
  <si>
    <t>Pohľadávky  z obchodného styku</t>
  </si>
  <si>
    <t>Ostatné pohľadávky v rámci konsolidovaného celku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</si>
  <si>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</si>
  <si>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</si>
  <si>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</si>
  <si>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</si>
  <si>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</si>
  <si>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</si>
  <si>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>Pohľadávky po lehote splatnosti</t>
  </si>
  <si>
    <t>Pohľadávky so zostatkovou dobou splatnosti  jeden rok až päť rokov</t>
  </si>
  <si>
    <t>Pohľadávky so zostatkovou dobou splatnosti dlhšou ako päť rokov</t>
  </si>
  <si>
    <t xml:space="preserve">17. Informácie k časti F. písm. t) a u) prílohy č. 3  o pohľadávkach zabezpečených záložným právom alebo inou formou zabezpečenia   </t>
  </si>
  <si>
    <t>Opis 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</si>
  <si>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</si>
  <si>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</si>
  <si>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</si>
  <si>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</si>
  <si>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>Hodnota pohľadávok, pri ktorých je obmedzené právo s nimi nakladať</t>
  </si>
  <si>
    <t>18. Informácie k časti F. písm. w)  prílohy č. 3 o krátkodobom finančnom majetku</t>
  </si>
  <si>
    <t xml:space="preserve">Tabuľka č. 1 </t>
  </si>
  <si>
    <t>Pokladnica, ceniny</t>
  </si>
  <si>
    <t>Bežné bankové účty</t>
  </si>
  <si>
    <t>Bankové účty termínované</t>
  </si>
  <si>
    <t>Peniaze na ceste</t>
  </si>
  <si>
    <t>Krátkodobý  finančný majetok</t>
  </si>
  <si>
    <t>Majetkové CP na obchodovanie</t>
  </si>
  <si>
    <t>Dlhové CP na obchodovanie</t>
  </si>
  <si>
    <t>Emisné kvóty</t>
  </si>
  <si>
    <t>Dlhové CP so splatnosťou do  jedného roka držané do splatnosti</t>
  </si>
  <si>
    <t>Ostatné realizovateľné CP</t>
  </si>
  <si>
    <t>Obstarávanie krátkodobého finančného majetku</t>
  </si>
  <si>
    <t>Krátkodobý finančný majetok spolu</t>
  </si>
  <si>
    <t>19. Informácie k časti  F. písm. x) prílohy č. 3 o vývoji opravnej položky ku krátkodobému finančnému majetku</t>
  </si>
  <si>
    <t>Krátkodobý finančný majetok</t>
  </si>
  <si>
    <t>Stav OP  na začiatku účtovného obdobia</t>
  </si>
  <si>
    <t>Tvorba OP</t>
  </si>
  <si>
    <t>Stav  OP na konci účtovného obdobia</t>
  </si>
  <si>
    <t>Krátkodobý  finančný majetok, na ktorý bolo zriadené záložné právo</t>
  </si>
  <si>
    <t>Krátkodobý  finančný majetok, pri ktorom je obmedzené právo s ním nakladať</t>
  </si>
  <si>
    <t>20. Informácie k časti F. písm. y) prílohy č. 3 o krátkodobom finančnom majetku, na ktorý bolo zriadené záložné právo a o krátkodobom finančnom majetku, pri ktorom má účtovná jednotka obmedzené právo s ním nakladať</t>
  </si>
  <si>
    <t>21. Informácie k časti F. písm.  za) prílohy č. 3 o ocenení krátkodobého finančného  majetku, ku dňu ku ktorému sa zostavuje účtovná závierka reálnou hodnotou</t>
  </si>
  <si>
    <t>Emisné kvóty (komodity)</t>
  </si>
  <si>
    <t>22. Informácie k časti F. písm.  zb) prílohy č. 3 o významných položkách časového rozlíšenia na strane aktív</t>
  </si>
  <si>
    <t>Opis položky časového rozlíšenia</t>
  </si>
  <si>
    <t xml:space="preserve">Náklady budúcich období dlhodobé,  z toho: </t>
  </si>
  <si>
    <t>Náklady budúcich období krátkodobé, z toho:</t>
  </si>
  <si>
    <t>Príjmy budúcich období dlhodobé, z toho:</t>
  </si>
  <si>
    <t>Príjmy budúcich období krátkodobé, z toho:</t>
  </si>
  <si>
    <t>23. Informácie k časti F. písm. zc) prílohy č. 3 o majetku prenajatom formou finančného prenájmu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</si>
  <si>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</si>
  <si>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</si>
  <si>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</si>
  <si>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</si>
  <si>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</si>
  <si>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</si>
  <si>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 xml:space="preserve">24. Informácie k časti G. písm. a) tretiemu bodu prílohy č. 3 o rozdelení účtovného zisku alebo o vysporiadaní účtovnej straty 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</si>
  <si>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</si>
  <si>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</si>
  <si>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</si>
  <si>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</si>
  <si>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</si>
  <si>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</si>
  <si>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</si>
  <si>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</si>
  <si>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</si>
  <si>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 xml:space="preserve"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</si>
  <si>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</si>
  <si>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</si>
  <si>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</si>
  <si>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</si>
  <si>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</si>
  <si>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</si>
  <si>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</si>
  <si>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 xml:space="preserve">Spolu </t>
  </si>
  <si>
    <t>25. Informácie k časti G. písm. b) prílohy č. 3 o rezervách</t>
  </si>
  <si>
    <t>Použitie</t>
  </si>
  <si>
    <t>Zrušenie</t>
  </si>
  <si>
    <t>Dlhodobé rezervy, z toho:</t>
  </si>
  <si>
    <t>Krátkodobé rezervy, z toho:</t>
  </si>
  <si>
    <t>26. Informácie k časti G. písm. c) a d) prílohy č. 3 o záväzkoch</t>
  </si>
  <si>
    <t>Záväzky po lehote splatnosti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</si>
  <si>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</si>
  <si>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</si>
  <si>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</si>
  <si>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</si>
  <si>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</si>
  <si>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</si>
  <si>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</si>
  <si>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</si>
  <si>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</si>
  <si>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</si>
  <si>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</si>
  <si>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</si>
  <si>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</si>
  <si>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 ako zníženie nákladov</t>
  </si>
  <si>
    <t>Zaúčtovaná do vlastného imania</t>
  </si>
  <si>
    <t>Odložený daňový záväzok</t>
  </si>
  <si>
    <t>Zmena odloženého daňového záväzku</t>
  </si>
  <si>
    <t>Zaúčtovaná ako náklad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</si>
  <si>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</si>
  <si>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</si>
  <si>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</si>
  <si>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</si>
  <si>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</si>
  <si>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</si>
  <si>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</si>
  <si>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Názov vydaného dlhopisu</t>
  </si>
  <si>
    <t>Menovitá hodnota</t>
  </si>
  <si>
    <t>Počet</t>
  </si>
  <si>
    <t>Emisný kurz</t>
  </si>
  <si>
    <t>Úrok</t>
  </si>
  <si>
    <t>Mena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</si>
  <si>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</si>
  <si>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</si>
  <si>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</si>
  <si>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</si>
  <si>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</si>
  <si>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t>31. Informácie k časti G. písm. j) prílohy č. 3 o významných položkách časového rozlíšenia na strane pasív</t>
  </si>
  <si>
    <t>Výdavky budúcich období dlhodobé, z toho:</t>
  </si>
  <si>
    <t>Výdavky budúcich období krátkodobé, z toho:</t>
  </si>
  <si>
    <t>32. Informácie k časti  G. písm. k) prílohy č. 3 o významných položkách derivátov za bežné účtovné obdobie</t>
  </si>
  <si>
    <t>Účtovná hodnota</t>
  </si>
  <si>
    <t>Dohodnutá cena  podkladového nástroja</t>
  </si>
  <si>
    <t>pohľadávky</t>
  </si>
  <si>
    <t>záväzku</t>
  </si>
  <si>
    <t>Deriváty určené na obchodovanie, z toho: </t>
  </si>
  <si>
    <t>Zabezpečovacie deriváty, z toho:</t>
  </si>
  <si>
    <t>Zmena reálnej hodnoty (+/-) s vplyvom na</t>
  </si>
  <si>
    <t>výsledok hospodárenia</t>
  </si>
  <si>
    <t>vlastné imanie</t>
  </si>
  <si>
    <t>33. Informácie k časti G. písm. l) prílohy č. 3 o položkách zabezpečených derivátmi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</si>
  <si>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</si>
  <si>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</si>
  <si>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</si>
  <si>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</si>
  <si>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</si>
  <si>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</si>
  <si>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34. Informácie k časti G. písm. m) prílohy č. 3 o majetku prenajatom formou finančného prenájmu</t>
  </si>
  <si>
    <t>Finančný náklad</t>
  </si>
  <si>
    <t>35. Informácie k časti H. písm. a) prílohy č. 3 o tržbách</t>
  </si>
  <si>
    <t>Oblasť odbytu</t>
  </si>
  <si>
    <t>Typ výrobkov, tovarov, služieb  (napríklad A)</t>
  </si>
  <si>
    <t>Typ výrobkov, tovarov, služieb  (napríklad B)</t>
  </si>
  <si>
    <t>Typ výrobkov, tovarov, služieb  (napríklad C)</t>
  </si>
  <si>
    <t>36. Informácie k časti H. písm. b) prílohy č. 3 o zmene stavu vnútroorganizačných zásob</t>
  </si>
  <si>
    <t>Zmena stavu vnútroorganizačných zásob</t>
  </si>
  <si>
    <t>Konečný zostatok</t>
  </si>
  <si>
    <t>Začiatočný stav</t>
  </si>
  <si>
    <t>Zvieratá</t>
  </si>
  <si>
    <t>Manká a škody</t>
  </si>
  <si>
    <t>Reprezentačné</t>
  </si>
  <si>
    <t>Dary</t>
  </si>
  <si>
    <t>Iné</t>
  </si>
  <si>
    <t>Zmena stavu vnútroorga-nizačných zásob vo výkaze ziskov a strát</t>
  </si>
  <si>
    <t>37.  Informácie k časti H. písm. c) až f)  prílohy č. 3 o výnosoch pri aktivácii nákladov a o výnosoch z hospodárskej činnosti, finančnej činnosti a mimoriadnej činnosti</t>
  </si>
  <si>
    <t>Ostatné významné položky výnosov z hospodárskej činnosti, z toho:</t>
  </si>
  <si>
    <t>Finančné výnosy, z toho:</t>
  </si>
  <si>
    <t>Kurzové zisky, z toho:</t>
  </si>
  <si>
    <t>kurzové zisky ku dňu, ku ktorému sa zostavuje účtovná závierka</t>
  </si>
  <si>
    <t>Ostatné významné položky finančných výnosov, z toho:</t>
  </si>
  <si>
    <t>Mimoriadne výnosy, z toho:</t>
  </si>
  <si>
    <t>38. Informácie k časti H. písm. g)  prílohy č. 3 o čistom obrate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</si>
  <si>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</si>
  <si>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</si>
  <si>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</si>
  <si>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</si>
  <si>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</si>
  <si>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</si>
  <si>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</si>
  <si>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39. Informácie k časti I. prílohy č. 3 o nákladoch</t>
  </si>
  <si>
    <t>Náklady za poskytnuté služby, z toho:</t>
  </si>
  <si>
    <t>Náklady voči audítorovi, audítorskej spoločnosti, z toho: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</si>
  <si>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</si>
  <si>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</si>
  <si>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</si>
  <si>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</si>
  <si>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</si>
  <si>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Ostatné významné položky nákladov za poskytnuté služby, z toho:</t>
  </si>
  <si>
    <t>Ostatné významné položky nákladov z hospodárskej činnosti, z toho:</t>
  </si>
  <si>
    <t>Finančné náklady, z toho:</t>
  </si>
  <si>
    <t>Kurzové straty, z toho:</t>
  </si>
  <si>
    <t>kurzové straty ku dňu, ku ktorému sa zostavuje účtovná závierka</t>
  </si>
  <si>
    <t>Ostatné významné položky finančných nákladov, z toho:</t>
  </si>
  <si>
    <t>Mimoriadne náklady, z toho:</t>
  </si>
  <si>
    <t>40. Informácie k časti J. písm. a) až e) prílohy č. 3 o daniach z príjmov</t>
  </si>
  <si>
    <t>Suma odloženej daňovej pohľadávky účtovanej ako náklad alebo výnos vyplývajúca zo zmeny sadzby dane z príjmov</t>
  </si>
  <si>
    <t>Suma odloženého daňového záväzku účtovaného ako náklad alebo výnos vyplývajúci zo zmeny sadzby dane z príjmov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</si>
  <si>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</si>
  <si>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</si>
  <si>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Suma neuplatneného umorenia daňovej straty, nevyužitých daňových odpočtov a iných nárokov a odpočítateľných dočasných rozdielov, ku ktorým nebola účtovaná odložená daňová pohľadávka</t>
  </si>
  <si>
    <t>Suma odloženej dani z príjmov, ktorá sa vzťahuje na položky účtované priamo na účty vlastného imania bez účtovania na účty nákladov a výnosov</t>
  </si>
  <si>
    <t>41. Informácie k časti J.  písm. f) a g) prílohy č. 3 o daniach z príjmov</t>
  </si>
  <si>
    <t>Základ dane</t>
  </si>
  <si>
    <t>Daň</t>
  </si>
  <si>
    <t>Daň v %</t>
  </si>
  <si>
    <t>Výsledok hospodárenia pred  zdanením, z toho:</t>
  </si>
  <si>
    <t xml:space="preserve"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</si>
  <si>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</si>
  <si>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</si>
  <si>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</si>
  <si>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</si>
  <si>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</si>
  <si>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 xml:space="preserve">Celková daň z príjmov </t>
  </si>
  <si>
    <t>42. Informácie k  časť K. prílohy č. 3 o podsúvahových položkách</t>
  </si>
  <si>
    <t>Prenajatý majetok</t>
  </si>
  <si>
    <t>Majetok v nájme (operatívny prenájom)</t>
  </si>
  <si>
    <t>Majetok prijatý do úschovy</t>
  </si>
  <si>
    <t>Pohľadávky z derivátov</t>
  </si>
  <si>
    <t>Záväzky z opcií derivátov</t>
  </si>
  <si>
    <t>Odpísané pohľadávky</t>
  </si>
  <si>
    <t>Pohľadávky z leasingu</t>
  </si>
  <si>
    <t>Záväzky z leasingu</t>
  </si>
  <si>
    <t>Iné položky</t>
  </si>
  <si>
    <t>43. Informácie k časti L. písm. a) prílohy č. 3 o podmienených záväzkoch</t>
  </si>
  <si>
    <t>Druh podmieneného záväzku</t>
  </si>
  <si>
    <t xml:space="preserve">Bežné účtovné obdobie                      </t>
  </si>
  <si>
    <t>Hodnota celkom</t>
  </si>
  <si>
    <t>Hodnota voči spriazneným osobám</t>
  </si>
  <si>
    <t>Zo súdnych rozhodnutí</t>
  </si>
  <si>
    <t>Z poskytnutých záruk</t>
  </si>
  <si>
    <t>Zo všeobecne záväzných právnych predpisov</t>
  </si>
  <si>
    <t>Zo zmluvy o podriadenom záväzku</t>
  </si>
  <si>
    <t>Z ručenia</t>
  </si>
  <si>
    <t>Iné podmienené záväzky</t>
  </si>
  <si>
    <t xml:space="preserve">Bezprostredne predchádzajúce účtovné obdobie                      </t>
  </si>
  <si>
    <t>44. Informácie k časti L. písm. c) prílohy č. 3 o podmienenom majetku</t>
  </si>
  <si>
    <t>Druh podmieneného majetku</t>
  </si>
  <si>
    <t xml:space="preserve">Bežné účtovné obdobie                               </t>
  </si>
  <si>
    <t xml:space="preserve">Bezprostredne predchádzajúce účtovné obdobie                                                                            </t>
  </si>
  <si>
    <t>Práva zo servisných zmlúv</t>
  </si>
  <si>
    <t>Práva z poistných zmlúv</t>
  </si>
  <si>
    <t>Práva z koncesionárskych zmlúv</t>
  </si>
  <si>
    <t>Práva z licenčných zmlúv</t>
  </si>
  <si>
    <t>Práva z privatizácie</t>
  </si>
  <si>
    <t>Práva zo súdnych sporov</t>
  </si>
  <si>
    <t>Iné práva</t>
  </si>
  <si>
    <t>45. Informácie k časti M. prílohy č. 3 o príjmoch a výhodách členov štatutárnych orgánov, dozorných orgánov a iných orgánov</t>
  </si>
  <si>
    <t>Druh príjmu, výhody</t>
  </si>
  <si>
    <t>Hodnota  príjmu, výhody súčasných členov orgánov</t>
  </si>
  <si>
    <t xml:space="preserve">Hodnota príjmu, výhody bývalých členov orgánov                                                        </t>
  </si>
  <si>
    <t>štatutárnych</t>
  </si>
  <si>
    <t>dozorných</t>
  </si>
  <si>
    <t>iných</t>
  </si>
  <si>
    <t>Časť 1 - Bežné účtovné obdobie</t>
  </si>
  <si>
    <t>Časť 2 - Bezprostredne predchádzajúce účtovné obdobie</t>
  </si>
  <si>
    <t>Peňažné príjmy</t>
  </si>
  <si>
    <t>Nepeňažné príjmy</t>
  </si>
  <si>
    <t>Peňažné  preddavky</t>
  </si>
  <si>
    <t>Nepeňažné preddavky</t>
  </si>
  <si>
    <t>Poskytnuté úvery</t>
  </si>
  <si>
    <t>Poskytnuté záruky</t>
  </si>
  <si>
    <t>46. Informácie k časti N. prílohy č. 3 o ekonomických vzťahoch medzi účtovnou jednotkou a spriaznenými osobami</t>
  </si>
  <si>
    <t>Spriaznená osoba </t>
  </si>
  <si>
    <t>Kód druhu obchodu</t>
  </si>
  <si>
    <t>Hodnotové vyjadrenie obchodu</t>
  </si>
  <si>
    <t xml:space="preserve">Bezprostredne predchádzajúce účtovné obdobie                                             </t>
  </si>
  <si>
    <t xml:space="preserve">Tabuľka č. 2 </t>
  </si>
  <si>
    <t>Stav na konci účtovného obdobia</t>
  </si>
  <si>
    <t>Základné imanie</t>
  </si>
  <si>
    <t>Vlastné akcie a vlastné obchodné podiely</t>
  </si>
  <si>
    <t>Emisné ážio</t>
  </si>
  <si>
    <t>Ostatné kapitálové fondy</t>
  </si>
  <si>
    <t>Zákonný rezervný fond (nedeliteľný fond) z kapitálových vkladov</t>
  </si>
  <si>
    <t>Oceňovacie rozdiely z kapitálových účastín</t>
  </si>
  <si>
    <t>Zákonný rezervný fond</t>
  </si>
  <si>
    <t>Nedeliteľný fond</t>
  </si>
  <si>
    <t>Štatutárne fondy a ostatné fondy</t>
  </si>
  <si>
    <t>Nerozdelený zisk minulých rokov</t>
  </si>
  <si>
    <t>Vyplatené dividendy</t>
  </si>
  <si>
    <t>Ostatné položky vlastného imania</t>
  </si>
  <si>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</si>
  <si>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</si>
  <si>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</si>
  <si>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</si>
  <si>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</si>
  <si>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</si>
  <si>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</si>
  <si>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</si>
  <si>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</si>
  <si>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</si>
  <si>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</si>
  <si>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</si>
  <si>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</si>
  <si>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</si>
  <si>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</si>
  <si>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</si>
  <si>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</si>
  <si>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</si>
  <si>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</si>
  <si>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</si>
  <si>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</si>
  <si>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</si>
  <si>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</si>
  <si>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</si>
  <si>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</si>
  <si>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</si>
  <si>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</si>
  <si>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</si>
  <si>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</si>
  <si>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</si>
  <si>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</si>
  <si>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</si>
  <si>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</si>
  <si>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</si>
  <si>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</si>
  <si>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</si>
  <si>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Aktivované náklady na vývoj</t>
  </si>
  <si>
    <t>Oceniteľné práva</t>
  </si>
  <si>
    <t>Obstarávaný DNM</t>
  </si>
  <si>
    <t>Pestovateľské celky 
trvalých porastov</t>
  </si>
  <si>
    <t>Obstarávaný DHM</t>
  </si>
  <si>
    <t>Obstarávaný  DFM</t>
  </si>
  <si>
    <t>Poskytnuté preddavky na DFM</t>
  </si>
  <si>
    <t>Hodnota vlastného imania ÚJ, v ktorej má ÚJ umiestnený DFM</t>
  </si>
  <si>
    <t>Výsledok hospodárenia ÚJ, v ktorej má ÚJ umiestnený DFM</t>
  </si>
  <si>
    <t>Stav na začiatku účtovného obdobia</t>
  </si>
  <si>
    <t>Vyradenie dlhového CP z účtovníctva v účtovnom období</t>
  </si>
  <si>
    <t>Dlhové CP držané 
do splatnosti</t>
  </si>
  <si>
    <t>Vyradenie pôžičky z účtovníctva 
v účtovnom období</t>
  </si>
  <si>
    <t>Iný podiel na ostatných položkách VI ako na ZI v %</t>
  </si>
  <si>
    <t>Tvorba OP</t>
  </si>
  <si>
    <t>Tvorba 
OP</t>
  </si>
  <si>
    <t>Zúčtovanie OP z dôvodu vyradenia majetku 
z účtovníctva</t>
  </si>
  <si>
    <t>Poskytnuté preddavky 
na zásoby</t>
  </si>
  <si>
    <t>Zúčtovanie OP z dôvodu zániku opodstat-
nenosti</t>
  </si>
  <si>
    <t>Pohľadávky podľa zostatkovej doby splatnosti</t>
  </si>
  <si>
    <t>Pohľadávky so zostatkovou dobou splatnosti 
do jedného roka</t>
  </si>
  <si>
    <t>Zvýšenie/ zníženie hodnoty (+/-)</t>
  </si>
  <si>
    <t>Vplyv ocenenia na výsledok hospodárenia bežného účtovného obdobia</t>
  </si>
  <si>
    <t>Vplyv ocenenia na vlastné imanie</t>
  </si>
  <si>
    <t>Položka vlastného imania</t>
  </si>
  <si>
    <t>Zmena základného imania</t>
  </si>
  <si>
    <t>Pohľadávky za upísané vlastné imanie</t>
  </si>
  <si>
    <t>Oceňovacie rozdiely z precenenia pri zlúčení, splynutí a rozdelení</t>
  </si>
  <si>
    <t>Neuhradená strata minulých rokov</t>
  </si>
  <si>
    <t>Výsledok hospodárenia bežného účtovného obdobia</t>
  </si>
  <si>
    <t>Účet 491 – Vlastné imanie fyzickej osoby – podnikateľa</t>
  </si>
  <si>
    <t>Stav 
na začiatku účtovného obdobia</t>
  </si>
  <si>
    <t>Záväzky so zostatkovou dobou splatnosti 
do jedného roka vrátane</t>
  </si>
  <si>
    <r>
      <t>Dlhodobé pôžičky</t>
    </r>
    <r>
      <rPr>
        <sz val="8"/>
        <color theme="1"/>
        <rFont val="Arial"/>
        <family val="2"/>
        <charset val="238"/>
      </rPr>
      <t> </t>
    </r>
  </si>
  <si>
    <r>
      <t>Krátkodobé pôžičky</t>
    </r>
    <r>
      <rPr>
        <sz val="8"/>
        <color theme="1"/>
        <rFont val="Arial"/>
        <family val="2"/>
        <charset val="238"/>
      </rPr>
      <t> </t>
    </r>
  </si>
  <si>
    <r>
      <t>Krátkodobé finančné výpomoci</t>
    </r>
    <r>
      <rPr>
        <sz val="8"/>
        <color theme="1"/>
        <rFont val="Arial"/>
        <family val="2"/>
        <charset val="238"/>
      </rPr>
      <t> </t>
    </r>
  </si>
  <si>
    <t>Úrok p. a. v %</t>
  </si>
  <si>
    <t>27. Informácie k časti G. písm. g) prílohy č. 3 o záväzkoch zo sociálneho fondu</t>
  </si>
  <si>
    <t>28. Informácie k časti G. písm. h) prílohy č. 3 o vydaných dlhopisoch</t>
  </si>
  <si>
    <t>29. Informácie k časti G. písm. i)  prílohy č. 3 o bankových úveroch, pôžičkách a krátkodobých finančných výpomociach</t>
  </si>
  <si>
    <t>30. Informácie k časti F. písm. v) a časti G. písm. f) prílohy č. 3 o odloženej daňovej pohľadávke alebo o odloženom daňovom záväzku</t>
  </si>
  <si>
    <t>Výnosy budúcich období dlhodobé, 
z toho:</t>
  </si>
  <si>
    <t>Výnosy budúcich období krátkodobé, 
z toho:</t>
  </si>
  <si>
    <t>Bezprostred- 
ne predchádza- 
júce účtovné obdobie</t>
  </si>
  <si>
    <t>Nedokončená výroba a polotovary vlastnej výroby</t>
  </si>
  <si>
    <t>Bezprostred- 
ne predchádza-
júce účtovné obdobie</t>
  </si>
  <si>
    <r>
      <t>Významné položky pri aktivácii nákladov, z toho:</t>
    </r>
    <r>
      <rPr>
        <sz val="8"/>
        <color theme="1"/>
        <rFont val="Arial"/>
        <family val="2"/>
        <charset val="238"/>
      </rPr>
      <t> </t>
    </r>
  </si>
  <si>
    <t>Dcérska účtovná jednotka/
Materská účtovná jednotka</t>
  </si>
  <si>
    <t>Za bežné 
účtovné obdobie</t>
  </si>
  <si>
    <t>Sumár od začiatku zákazkovej výstavby nehnuteľnosti určenej 
na predaj až do konca bežného účtovného obdobia</t>
  </si>
  <si>
    <t>Sumár od začiatku zákazkovej výroby až 
do konca bežného účtovného obdobia</t>
  </si>
  <si>
    <t>Bezprostredne predchádzajúce 
účtovné obdobie</t>
  </si>
  <si>
    <t>Práva z investovania prostriedkov 
získaných oslobodením od dane z príjmov</t>
  </si>
  <si>
    <t>Pôžičky ÚJ 
v kons. celku</t>
  </si>
  <si>
    <t>Podielové CP a podiely 
v spoločnosti
s podstatným
vplyvom</t>
  </si>
  <si>
    <t>50% of PM</t>
  </si>
  <si>
    <t>Client:</t>
  </si>
  <si>
    <t>Pre-tax income</t>
  </si>
  <si>
    <t>75% of PM</t>
  </si>
  <si>
    <t>Subject:</t>
  </si>
  <si>
    <t>Balance sheet</t>
  </si>
  <si>
    <t>Select value</t>
  </si>
  <si>
    <t>Sales revenue</t>
  </si>
  <si>
    <t>Equity</t>
  </si>
  <si>
    <t>Total assets</t>
  </si>
  <si>
    <t>RANGE</t>
  </si>
  <si>
    <t>in EUR</t>
  </si>
  <si>
    <t>Descrip-</t>
  </si>
  <si>
    <t>ASSETS</t>
  </si>
  <si>
    <t>Line</t>
  </si>
  <si>
    <t>Current accountig period</t>
  </si>
  <si>
    <t>Previous acc. period</t>
  </si>
  <si>
    <t>tion</t>
  </si>
  <si>
    <t>No.</t>
  </si>
  <si>
    <t>Brutto</t>
  </si>
  <si>
    <t>Correction</t>
  </si>
  <si>
    <t>Net</t>
  </si>
  <si>
    <t>a</t>
  </si>
  <si>
    <t>b</t>
  </si>
  <si>
    <t>c</t>
  </si>
  <si>
    <t>TOTAL ASSETS l. 002 + l. 030
+ l. 061</t>
  </si>
  <si>
    <t>001</t>
  </si>
  <si>
    <t>A.</t>
  </si>
  <si>
    <t>Non-current assets l. 003 + l. 011
+ l. 021</t>
  </si>
  <si>
    <t>002</t>
  </si>
  <si>
    <t>A.I.</t>
  </si>
  <si>
    <t>Non-current intangible assets  total (l. 004 to 010)</t>
  </si>
  <si>
    <t>003</t>
  </si>
  <si>
    <t>A.I.1.</t>
  </si>
  <si>
    <t>Capitalized development cost (012) - /072, 091A/</t>
  </si>
  <si>
    <t>004</t>
  </si>
  <si>
    <t>2.</t>
  </si>
  <si>
    <t>Software (013) - /073, 091A/</t>
  </si>
  <si>
    <t>005</t>
  </si>
  <si>
    <t>3.</t>
  </si>
  <si>
    <t>Valuable rights (014) - /074, 091A/</t>
  </si>
  <si>
    <t>006</t>
  </si>
  <si>
    <t>4.</t>
  </si>
  <si>
    <t>Goodwill (015)-/075,091A/</t>
  </si>
  <si>
    <t>007</t>
  </si>
  <si>
    <t>5.</t>
  </si>
  <si>
    <t>Other non-current intangible assets (019, 01X) - /079,
07X, 091A/</t>
  </si>
  <si>
    <t>008</t>
  </si>
  <si>
    <t>6.</t>
  </si>
  <si>
    <t>Non-current intangible assets under construction (041) - 093</t>
  </si>
  <si>
    <t>009</t>
  </si>
  <si>
    <t>7.</t>
  </si>
  <si>
    <t>Advance payments for non-current intangible assets (051) - 095A</t>
  </si>
  <si>
    <t>010</t>
  </si>
  <si>
    <t>A.II.</t>
  </si>
  <si>
    <t>Non-current tangible assets  total (l. 012 to 020)</t>
  </si>
  <si>
    <t>011</t>
  </si>
  <si>
    <t>A.II.1.</t>
  </si>
  <si>
    <t>Land (031)-092A</t>
  </si>
  <si>
    <t>012</t>
  </si>
  <si>
    <t>Buildings (021) - /081,092A/</t>
  </si>
  <si>
    <t>013</t>
  </si>
  <si>
    <t>Plant and equipment (022) - /082, 092A/</t>
  </si>
  <si>
    <t>014</t>
  </si>
  <si>
    <t>Perennial crops (025) - /085, 092A/</t>
  </si>
  <si>
    <t>015</t>
  </si>
  <si>
    <t>Livestock and draught animals (026) - /086, 092A/</t>
  </si>
  <si>
    <t>016</t>
  </si>
  <si>
    <t>Other non-current tangible assets (029, 02X, 032) -
/089, 08X, 092A/</t>
  </si>
  <si>
    <t>017</t>
  </si>
  <si>
    <t>Non-current tangible assets under construction (042) - 094</t>
  </si>
  <si>
    <t>018</t>
  </si>
  <si>
    <t>8.</t>
  </si>
  <si>
    <t>Advance payments for non-current tangible assets (052) - 095A</t>
  </si>
  <si>
    <t>019</t>
  </si>
  <si>
    <t>9.</t>
  </si>
  <si>
    <t>Adjustments for assets acquired (+/- 097) +/- 098</t>
  </si>
  <si>
    <t>020</t>
  </si>
  <si>
    <t>A.III.</t>
  </si>
  <si>
    <t xml:space="preserve">Non-current financial assets  total (l. 022 to 029) </t>
  </si>
  <si>
    <t>021</t>
  </si>
  <si>
    <t>A.III.1.</t>
  </si>
  <si>
    <t>Investment in subsidiaries (061) - 096A</t>
  </si>
  <si>
    <t>022</t>
  </si>
  <si>
    <t>Investment in  interest in associates (062) - 096A</t>
  </si>
  <si>
    <t>023</t>
  </si>
  <si>
    <t>Other non-current investments (063, 065) - 096A</t>
  </si>
  <si>
    <t>024</t>
  </si>
  <si>
    <t>Loans to entities in consolidated group (066A) - 096A</t>
  </si>
  <si>
    <t>025</t>
  </si>
  <si>
    <t>Other non-current financial assets (067A, 069, 06XA)
- 096A</t>
  </si>
  <si>
    <t>026</t>
  </si>
  <si>
    <t>Loans with maturity up to one year (066A, 067A, 06XA)
- 096A</t>
  </si>
  <si>
    <t>027</t>
  </si>
  <si>
    <t>Non-current financial assets under construction (043) - 096A</t>
  </si>
  <si>
    <t>028</t>
  </si>
  <si>
    <t>Advance payments for non-current financial assets (053) - 095A</t>
  </si>
  <si>
    <t>029</t>
  </si>
  <si>
    <t>B.</t>
  </si>
  <si>
    <t>Current assets l. 031 + l. 038
+ l. 046 + l. 055</t>
  </si>
  <si>
    <t>030</t>
  </si>
  <si>
    <t>B.I.</t>
  </si>
  <si>
    <t>Inventory total (l. 032 to 037)</t>
  </si>
  <si>
    <t>031</t>
  </si>
  <si>
    <t>B.I.1.</t>
  </si>
  <si>
    <t>Raw material (112, 119, 11X) - /191,19X/</t>
  </si>
  <si>
    <t>032</t>
  </si>
  <si>
    <t>Work in progress and semi-finished goods (121, 122, 12X) -
/192, 193, 19X/</t>
  </si>
  <si>
    <t>033</t>
  </si>
  <si>
    <t>Finished goods (123) - 194</t>
  </si>
  <si>
    <t>034</t>
  </si>
  <si>
    <t>Livestock (124) - 195</t>
  </si>
  <si>
    <t>035</t>
  </si>
  <si>
    <t>Merchandise (132,13,13X,139) -/196,19X/
- /196, 19X/</t>
  </si>
  <si>
    <t>036</t>
  </si>
  <si>
    <t>Advance payments for inventories (314A) - 391A</t>
  </si>
  <si>
    <t>037</t>
  </si>
  <si>
    <t>B.II.</t>
  </si>
  <si>
    <t>Long-term receivables total (l. 039 to 045)</t>
  </si>
  <si>
    <t>038</t>
  </si>
  <si>
    <t>B.II.1.</t>
  </si>
  <si>
    <t>Trade receivables (311A, 312A, 313A, 314A, 315A, 31XA)
- 391A</t>
  </si>
  <si>
    <t>039</t>
  </si>
  <si>
    <t>Net value of construction contracts (316A)</t>
  </si>
  <si>
    <t>040</t>
  </si>
  <si>
    <t>Receivables from subsidiary and controlling entity (351A) - 391A</t>
  </si>
  <si>
    <t>041</t>
  </si>
  <si>
    <t>Other receivables within consolidated group (351A) - 391A</t>
  </si>
  <si>
    <t>042</t>
  </si>
  <si>
    <t>Receivables from partners and consortium members (354A, 355A, 358A,
35XA) - 391A</t>
  </si>
  <si>
    <t>043</t>
  </si>
  <si>
    <t>Other receivables (335A, 33XA, 371A,373A, 374A, 375A,376A, 378A) - 391A</t>
  </si>
  <si>
    <t>044</t>
  </si>
  <si>
    <t>Deferred tax asset (481A)</t>
  </si>
  <si>
    <t>045</t>
  </si>
  <si>
    <t>B.III.</t>
  </si>
  <si>
    <t>Short-term receivables  total (l. 047 to 054)</t>
  </si>
  <si>
    <t>046</t>
  </si>
  <si>
    <t>B.III.1.</t>
  </si>
  <si>
    <t>Trade receivables (311A, 312A, 313A, 314A, 315A, 31XA) - 391A</t>
  </si>
  <si>
    <t>047</t>
  </si>
  <si>
    <t>048</t>
  </si>
  <si>
    <t>Receivables from subsidiary and controlling enterprise (351A) - 391A</t>
  </si>
  <si>
    <t>049</t>
  </si>
  <si>
    <t>050</t>
  </si>
  <si>
    <t>Receivables from partners and consortium members (354A, 355A, 358A,35XA, 398A) - 391A</t>
  </si>
  <si>
    <t>051</t>
  </si>
  <si>
    <t>Social security receivables (336) - 391A</t>
  </si>
  <si>
    <t>052</t>
  </si>
  <si>
    <t>Tax receivables (341, 342, 343, 345, 346, 347) - 391A</t>
  </si>
  <si>
    <t>053</t>
  </si>
  <si>
    <t>Other receivables (335A, 33XA, 371A, 373A, 374A, 375A, 376A, 378A) - 391A</t>
  </si>
  <si>
    <t>054</t>
  </si>
  <si>
    <t>B.IV.</t>
  </si>
  <si>
    <t>Financial assets total (l. 056 to 060)</t>
  </si>
  <si>
    <t>055</t>
  </si>
  <si>
    <t>B.IV.1.</t>
  </si>
  <si>
    <t>Cash (211, 213, 21X)</t>
  </si>
  <si>
    <t>056</t>
  </si>
  <si>
    <t>Bank accounts (221A, 22X +/- 261)</t>
  </si>
  <si>
    <t>057</t>
  </si>
  <si>
    <t>Term deposits exceeding one year 22XA</t>
  </si>
  <si>
    <t>058</t>
  </si>
  <si>
    <t>Short-term financial assets (251, 253, 256, 257, 25X) - /291, 29X/</t>
  </si>
  <si>
    <t>059</t>
  </si>
  <si>
    <t>Short-term financial assets under construction (259, 314A) - 291</t>
  </si>
  <si>
    <t>060</t>
  </si>
  <si>
    <t>C.</t>
  </si>
  <si>
    <t>Accruals and prepayments  total l. 062 and 065</t>
  </si>
  <si>
    <t>061</t>
  </si>
  <si>
    <t>C.1.</t>
  </si>
  <si>
    <t xml:space="preserve">Prepaid expenses long-term (381A, 382A) </t>
  </si>
  <si>
    <t>062</t>
  </si>
  <si>
    <t>Prepaid expenses short-term (381A, 382A)</t>
  </si>
  <si>
    <t>063</t>
  </si>
  <si>
    <t>Accrued revenues  long-term (385A)</t>
  </si>
  <si>
    <t>064</t>
  </si>
  <si>
    <t>Accrued revenues short-term (385A)</t>
  </si>
  <si>
    <t>065</t>
  </si>
  <si>
    <t>Control number  (lines 001-064)</t>
  </si>
  <si>
    <t>LIABILITIES</t>
  </si>
  <si>
    <t>Current accountig</t>
  </si>
  <si>
    <t>Previous accouting</t>
  </si>
  <si>
    <t>period</t>
  </si>
  <si>
    <t>SHAREHOLDERS' EQUITY AND LIABILITIES TOTAL l. 067 + 088 + 121</t>
  </si>
  <si>
    <t>066</t>
  </si>
  <si>
    <t>Shareholders' equity l. 068+ 073+ 080 + 084+ 087</t>
  </si>
  <si>
    <t>067</t>
  </si>
  <si>
    <t>Registered capital total (l. 069 to 072)</t>
  </si>
  <si>
    <t>068</t>
  </si>
  <si>
    <t>Share capital (411 alebo +/- 491)</t>
  </si>
  <si>
    <t>069</t>
  </si>
  <si>
    <t>Own shares and interests (/-/252)</t>
  </si>
  <si>
    <t>070</t>
  </si>
  <si>
    <t>Change in share capital +/- 419</t>
  </si>
  <si>
    <t>071</t>
  </si>
  <si>
    <t>Receivables for subscribed share capital (/-/353)</t>
  </si>
  <si>
    <t>072</t>
  </si>
  <si>
    <t>Capital funds total (l. 074 to 079)</t>
  </si>
  <si>
    <t>073</t>
  </si>
  <si>
    <t>Share premium (412)</t>
  </si>
  <si>
    <t>074</t>
  </si>
  <si>
    <t>Other capital funds (413)</t>
  </si>
  <si>
    <t>075</t>
  </si>
  <si>
    <t>Legal reserve fund (non-distributable fund) from capital contributions (417, 418)</t>
  </si>
  <si>
    <t>076</t>
  </si>
  <si>
    <t>Asset and liabilities revaluation reserve (+/- 414)</t>
  </si>
  <si>
    <t>077</t>
  </si>
  <si>
    <t>Investments revaluation reserve  (+/- 415)</t>
  </si>
  <si>
    <t>078</t>
  </si>
  <si>
    <t>Revaluation reserve for mergers and demergers (+/-416)</t>
  </si>
  <si>
    <t>079</t>
  </si>
  <si>
    <t>Funds created from profit total (l. 081 to 083)</t>
  </si>
  <si>
    <t>080</t>
  </si>
  <si>
    <t>Legal reserve fund (421)</t>
  </si>
  <si>
    <t>081</t>
  </si>
  <si>
    <t>Non-distributable fund  (422)</t>
  </si>
  <si>
    <t>082</t>
  </si>
  <si>
    <t>Statutory and other funds (423, 427, 42X)</t>
  </si>
  <si>
    <t>083</t>
  </si>
  <si>
    <t>A.IV.</t>
  </si>
  <si>
    <t>Retained earnings l. 085 + 086</t>
  </si>
  <si>
    <t>084</t>
  </si>
  <si>
    <t>A.IV.1.</t>
  </si>
  <si>
    <t>Retained profits from previous years (428)</t>
  </si>
  <si>
    <t>085</t>
  </si>
  <si>
    <t>Accumulated loss carried forward (/-/429)</t>
  </si>
  <si>
    <t>086</t>
  </si>
  <si>
    <t>A.V.</t>
  </si>
  <si>
    <t>Profit or loss from current period /+-/ l. 001 - (068 + 073 + 080 + 084 + 088 + 121)</t>
  </si>
  <si>
    <t>087</t>
  </si>
  <si>
    <t>Liabilities l. 89 + 94 + 106 + 117+ 118</t>
  </si>
  <si>
    <t>088</t>
  </si>
  <si>
    <t>Provisions total (l. 090 to 093)</t>
  </si>
  <si>
    <t>089</t>
  </si>
  <si>
    <t>Legal provisions long term (451A)</t>
  </si>
  <si>
    <t>090</t>
  </si>
  <si>
    <t>Legal provisions short term (323A, 451A)</t>
  </si>
  <si>
    <t>091</t>
  </si>
  <si>
    <t>Other long-term provisions (459A, 45XA)</t>
  </si>
  <si>
    <t>092</t>
  </si>
  <si>
    <t>Other short term provisions (323, 32X, 451A, 459A, 45XA)</t>
  </si>
  <si>
    <t>093</t>
  </si>
  <si>
    <t>Non-current liabilities total (l. 095 to 105)</t>
  </si>
  <si>
    <t>094</t>
  </si>
  <si>
    <t>Long-term trade payables (479A)</t>
  </si>
  <si>
    <t>095</t>
  </si>
  <si>
    <t>096</t>
  </si>
  <si>
    <t>Long-term uninvoiced supplies (476A)</t>
  </si>
  <si>
    <t>097</t>
  </si>
  <si>
    <t>Long-term payables to subsidiary and controling enterprise (471A)</t>
  </si>
  <si>
    <t>098</t>
  </si>
  <si>
    <t>Other long-term liabilities within consolidated group (471A)</t>
  </si>
  <si>
    <t>099</t>
  </si>
  <si>
    <t>Long-term advance payaments received (475A)</t>
  </si>
  <si>
    <t>100</t>
  </si>
  <si>
    <t>Long-term bills of exchange payable (478A)</t>
  </si>
  <si>
    <t>101</t>
  </si>
  <si>
    <t>Bonds and debentures issued (473A/-/255A)</t>
  </si>
  <si>
    <t>102</t>
  </si>
  <si>
    <t>Social fund payable (472)</t>
  </si>
  <si>
    <t>103</t>
  </si>
  <si>
    <t>10.</t>
  </si>
  <si>
    <t>Other non-current liabilities (474A, 479A, 47XA, 372A, 373A, 377A)</t>
  </si>
  <si>
    <t>104</t>
  </si>
  <si>
    <t>11.</t>
  </si>
  <si>
    <t>Deferred tax liability (481A)</t>
  </si>
  <si>
    <t>105</t>
  </si>
  <si>
    <t>Current liabilities  total (l. 107 to 116)</t>
  </si>
  <si>
    <t>106</t>
  </si>
  <si>
    <t>Trade payables (321, 322, 324, 325, 32X, 475A, 478A, 479A, 47XA)</t>
  </si>
  <si>
    <t>107</t>
  </si>
  <si>
    <t>108</t>
  </si>
  <si>
    <t>Uninvoiced supplies (326, 476A)</t>
  </si>
  <si>
    <t>109</t>
  </si>
  <si>
    <t>Payables to subsidiary and controlling enterprise (361A, 471A)</t>
  </si>
  <si>
    <t>110</t>
  </si>
  <si>
    <t>Other liabilities within consolidated group (361A, 36XA, 471A, 47XA)</t>
  </si>
  <si>
    <t>111</t>
  </si>
  <si>
    <t>Payables to partners and consortium members (364, 365, 366, 367, 368, 398A, 478A, 479A)</t>
  </si>
  <si>
    <t>112</t>
  </si>
  <si>
    <t>Payables to employees (331, 333, 33X, 479A)</t>
  </si>
  <si>
    <t>113</t>
  </si>
  <si>
    <t>Social security payables (336, 479A)</t>
  </si>
  <si>
    <t>114</t>
  </si>
  <si>
    <t>Tax liabilities and subsidies (341, 342, 343, 345, 346, 347, 34X)</t>
  </si>
  <si>
    <t>115</t>
  </si>
  <si>
    <t>Other short-term liabilities (372A, 373A, 377A, 379A, 474A, 479A, 47X)</t>
  </si>
  <si>
    <t>116</t>
  </si>
  <si>
    <t>Short term financial borrowings (241, 249, 24x, 473A, /-/255A)</t>
  </si>
  <si>
    <t>117</t>
  </si>
  <si>
    <t>B.V.</t>
  </si>
  <si>
    <t>Bank loans (l. 119 to 120)</t>
  </si>
  <si>
    <t>118</t>
  </si>
  <si>
    <t>B.V.1.</t>
  </si>
  <si>
    <t>Long-term bank loans (461A, 46XA)</t>
  </si>
  <si>
    <t>119</t>
  </si>
  <si>
    <t>Current bank loans (221A, 231, 232, 23X, 461A, 46XA)</t>
  </si>
  <si>
    <t>120</t>
  </si>
  <si>
    <t>Accruals and deferred income - total (l. 122 to 125)</t>
  </si>
  <si>
    <t>121</t>
  </si>
  <si>
    <t>Accruals long term (383A)</t>
  </si>
  <si>
    <t>122</t>
  </si>
  <si>
    <t>Accruals short term (383A)</t>
  </si>
  <si>
    <t>123</t>
  </si>
  <si>
    <t>Deferred income long term (384A)</t>
  </si>
  <si>
    <t>124</t>
  </si>
  <si>
    <t>Deferred income short term (384A)</t>
  </si>
  <si>
    <t>125</t>
  </si>
  <si>
    <t>Control number  (lines 061-110)</t>
  </si>
  <si>
    <t>888</t>
  </si>
  <si>
    <t>Profit and loss statement</t>
  </si>
  <si>
    <t xml:space="preserve"> in EUR </t>
  </si>
  <si>
    <t>TEXT</t>
  </si>
  <si>
    <t>Accountig period</t>
  </si>
  <si>
    <t>Current</t>
  </si>
  <si>
    <t>Previous</t>
  </si>
  <si>
    <t xml:space="preserve">     I.</t>
  </si>
  <si>
    <t>01</t>
  </si>
  <si>
    <t>A .</t>
  </si>
  <si>
    <t>Costs of merchandise sold (504, 505A,507)</t>
  </si>
  <si>
    <t>02</t>
  </si>
  <si>
    <t>+</t>
  </si>
  <si>
    <t>Gross margin l. 01 - r. 02</t>
  </si>
  <si>
    <t>03</t>
  </si>
  <si>
    <t xml:space="preserve">     II.</t>
  </si>
  <si>
    <t>Production l. 05 + r. 06 + r. 07</t>
  </si>
  <si>
    <t>04</t>
  </si>
  <si>
    <t>II.1.</t>
  </si>
  <si>
    <t>Revenues from own products and services (601, 602,606)</t>
  </si>
  <si>
    <t>05</t>
  </si>
  <si>
    <t>Change in stock of finished goods and work in progress  (+/- acc. group 61)</t>
  </si>
  <si>
    <t>06</t>
  </si>
  <si>
    <t xml:space="preserve">Own work capitalised (acc. group 62)     </t>
  </si>
  <si>
    <t>07</t>
  </si>
  <si>
    <t>Production costs l. 09 + r. 10</t>
  </si>
  <si>
    <t>08</t>
  </si>
  <si>
    <t>B.1.</t>
  </si>
  <si>
    <t>Material and energy consumption and other unstorable supplies (501, 502, 503, 505A)</t>
  </si>
  <si>
    <t>09</t>
  </si>
  <si>
    <t xml:space="preserve">   2.</t>
  </si>
  <si>
    <t>Services (acc. group 51)</t>
  </si>
  <si>
    <t>10</t>
  </si>
  <si>
    <t>Added value l. 03 + r. 04 - r. 08</t>
  </si>
  <si>
    <t>11</t>
  </si>
  <si>
    <t>Personnel expenses  total (l. 13 až 16)</t>
  </si>
  <si>
    <t>12</t>
  </si>
  <si>
    <t>Wages and salaries (521, 522)</t>
  </si>
  <si>
    <t>13</t>
  </si>
  <si>
    <t>Remuneration of members of the board of companies and co-operatives (523)</t>
  </si>
  <si>
    <t>14</t>
  </si>
  <si>
    <t xml:space="preserve">   3.</t>
  </si>
  <si>
    <t>Social insurance costs (524, 525, 526)</t>
  </si>
  <si>
    <t>15</t>
  </si>
  <si>
    <t xml:space="preserve">   4.</t>
  </si>
  <si>
    <t>Social security costs (527, 528)</t>
  </si>
  <si>
    <t>16</t>
  </si>
  <si>
    <t>D.</t>
  </si>
  <si>
    <t>Indirect taxes and charges (acc. group 53)</t>
  </si>
  <si>
    <t>17</t>
  </si>
  <si>
    <t>E.</t>
  </si>
  <si>
    <t>Depreciation of and provisions to non-current tangible and intangible assets (551, 553)</t>
  </si>
  <si>
    <t>18</t>
  </si>
  <si>
    <t xml:space="preserve">    III.</t>
  </si>
  <si>
    <t>Revenue from sale of non-current assets and material (641, 642)</t>
  </si>
  <si>
    <t>19</t>
  </si>
  <si>
    <t>F.</t>
  </si>
  <si>
    <t>Net book value of non-current assets and material sold (541, 542)</t>
  </si>
  <si>
    <t>20</t>
  </si>
  <si>
    <t>G.</t>
  </si>
  <si>
    <t>Creation and release of provisions to receivables (+/-547)</t>
  </si>
  <si>
    <t>21</t>
  </si>
  <si>
    <t xml:space="preserve">   IV.</t>
  </si>
  <si>
    <t>Other operating revenues (644, 645, 646, 648, 655, 657)</t>
  </si>
  <si>
    <t>22</t>
  </si>
  <si>
    <t>H.</t>
  </si>
  <si>
    <t>Other operating expenses (543, 544, 545, 546, 548, 549, 555, 557)</t>
  </si>
  <si>
    <t>23</t>
  </si>
  <si>
    <t xml:space="preserve">    V.</t>
  </si>
  <si>
    <t>Reclassification of operating revenues (-)(697)</t>
  </si>
  <si>
    <t>24</t>
  </si>
  <si>
    <t>I.</t>
  </si>
  <si>
    <t>Reclassification of operating expenses (-)(597)</t>
  </si>
  <si>
    <t>25</t>
  </si>
  <si>
    <t>*</t>
  </si>
  <si>
    <t>Profit or loss from operating activities
l.11 - 12 - 17- 18 + 19- 20 - 21 + 22 -23
+ (-24) - (-25)</t>
  </si>
  <si>
    <t>26</t>
  </si>
  <si>
    <t xml:space="preserve">    VI.</t>
  </si>
  <si>
    <t>Revenues from sale of securities and ownership interests (661)</t>
  </si>
  <si>
    <t>27</t>
  </si>
  <si>
    <t>J.</t>
  </si>
  <si>
    <t>Book value of securities and ownership interest sold (561)</t>
  </si>
  <si>
    <t>28</t>
  </si>
  <si>
    <t xml:space="preserve"> VII.</t>
  </si>
  <si>
    <t>Income from long-term financial assets l.30 + 31 + 32</t>
  </si>
  <si>
    <t>29</t>
  </si>
  <si>
    <t xml:space="preserve"> VII.1.</t>
  </si>
  <si>
    <t>Income from investments in subsidiaries and associates (665A)</t>
  </si>
  <si>
    <t>30</t>
  </si>
  <si>
    <t xml:space="preserve">      2.</t>
  </si>
  <si>
    <t>Income from other long-term securities and ownership interest (665A)</t>
  </si>
  <si>
    <t>31</t>
  </si>
  <si>
    <t xml:space="preserve">      3.</t>
  </si>
  <si>
    <t>Income from other long-term financial assets (665A)</t>
  </si>
  <si>
    <t>32</t>
  </si>
  <si>
    <t xml:space="preserve"> VIII.</t>
  </si>
  <si>
    <t>Income from short-term financial assets (666)</t>
  </si>
  <si>
    <t>33</t>
  </si>
  <si>
    <t>K.</t>
  </si>
  <si>
    <t>Costs of short-term financial assets (566)</t>
  </si>
  <si>
    <t>34</t>
  </si>
  <si>
    <t xml:space="preserve">  IX .</t>
  </si>
  <si>
    <t>Income from revaluation of securities and income from transactions with derivatives  (664, 667)</t>
  </si>
  <si>
    <t>35</t>
  </si>
  <si>
    <t>L.</t>
  </si>
  <si>
    <t>Expenses for revaluation of securities and expenses for transactions with derivatives  (564, 567)</t>
  </si>
  <si>
    <t>36</t>
  </si>
  <si>
    <t>M.</t>
  </si>
  <si>
    <t>Creation and release of provisions to financial assets              +/- 565</t>
  </si>
  <si>
    <t>37</t>
  </si>
  <si>
    <t xml:space="preserve">   X.</t>
  </si>
  <si>
    <t>Interest income (662)</t>
  </si>
  <si>
    <t>38</t>
  </si>
  <si>
    <t>N.</t>
  </si>
  <si>
    <t>Interest expense (562)</t>
  </si>
  <si>
    <t>39</t>
  </si>
  <si>
    <t xml:space="preserve">   XI.</t>
  </si>
  <si>
    <t>Foreign exchange gains (663)</t>
  </si>
  <si>
    <t>40</t>
  </si>
  <si>
    <t>O.</t>
  </si>
  <si>
    <t>Foreign exchange losses (563)</t>
  </si>
  <si>
    <t>41</t>
  </si>
  <si>
    <t xml:space="preserve">  XII.</t>
  </si>
  <si>
    <t>Other financial revenue (668)</t>
  </si>
  <si>
    <t>42</t>
  </si>
  <si>
    <t>P.</t>
  </si>
  <si>
    <t>Other financial expenses (568, 569)</t>
  </si>
  <si>
    <t>43</t>
  </si>
  <si>
    <t xml:space="preserve"> XIII.</t>
  </si>
  <si>
    <t>Reclassification of financial revenues (-) (698)</t>
  </si>
  <si>
    <t>44</t>
  </si>
  <si>
    <t>R.</t>
  </si>
  <si>
    <t>Reclassification of financial expenses (-) (598)</t>
  </si>
  <si>
    <t>45</t>
  </si>
  <si>
    <t>Profit/(loss) from financial activities l. 27 - 28 + 29 + 33 - 34 + 35 - 36 - 37 + 38 - 39
+ 40 - 41 + 42 -43 + (-44) - (-45)</t>
  </si>
  <si>
    <t>46</t>
  </si>
  <si>
    <t>**</t>
  </si>
  <si>
    <t>Net profit from ordinary activities before tax l.26+l.46</t>
  </si>
  <si>
    <t>47</t>
  </si>
  <si>
    <t>S.</t>
  </si>
  <si>
    <t>Tax on income from ordinary activities l. 49 + l. 50</t>
  </si>
  <si>
    <t>48</t>
  </si>
  <si>
    <t>S.1.</t>
  </si>
  <si>
    <t>- due  (591, 595)</t>
  </si>
  <si>
    <t>49</t>
  </si>
  <si>
    <t>- deferred  (592)</t>
  </si>
  <si>
    <t>50</t>
  </si>
  <si>
    <t>Net profit/(loss) from ordinary activities after tax l. 47 - l. 48</t>
  </si>
  <si>
    <t>51</t>
  </si>
  <si>
    <t xml:space="preserve"> XIV.</t>
  </si>
  <si>
    <t>Extraordinary revenues (acc. group 68)</t>
  </si>
  <si>
    <t>52</t>
  </si>
  <si>
    <t>T.</t>
  </si>
  <si>
    <t>Extraordinary expenses (acc. group 58)</t>
  </si>
  <si>
    <t>53</t>
  </si>
  <si>
    <t>Extraordinary profit/(loss) before tax  l.52 - I.53</t>
  </si>
  <si>
    <t>54</t>
  </si>
  <si>
    <t>U.</t>
  </si>
  <si>
    <t>Tax on income from extraordinary activities l. 56 + l. 57</t>
  </si>
  <si>
    <t>55</t>
  </si>
  <si>
    <t>U.1.</t>
  </si>
  <si>
    <t>- due  (593)</t>
  </si>
  <si>
    <t>56</t>
  </si>
  <si>
    <t>- deferred  (594)</t>
  </si>
  <si>
    <t>57</t>
  </si>
  <si>
    <t>Extraordinary profit/(loss) after tax  l.54-l.55</t>
  </si>
  <si>
    <t>58</t>
  </si>
  <si>
    <t>***</t>
  </si>
  <si>
    <t xml:space="preserve">Net profit/(loss) for the period before tax  (+/-) 1.47+l.54         </t>
  </si>
  <si>
    <t>59</t>
  </si>
  <si>
    <t>V.</t>
  </si>
  <si>
    <t>Profit/(loss) share transferred to owners' account (+/-596)</t>
  </si>
  <si>
    <t>60</t>
  </si>
  <si>
    <t xml:space="preserve">'Net profit/(loss) for the period after tax  (+/-) l.51+l.58-l.60           </t>
  </si>
  <si>
    <t>61</t>
  </si>
  <si>
    <t>Prehľad o peňažných tokoch</t>
  </si>
  <si>
    <t>(v EUR)</t>
  </si>
  <si>
    <t>Označe-nie</t>
  </si>
  <si>
    <t>Text</t>
  </si>
  <si>
    <t>Účtovné obdobie</t>
  </si>
  <si>
    <t>bežné</t>
  </si>
  <si>
    <t>predchádzajúce</t>
  </si>
  <si>
    <t>Z/S</t>
  </si>
  <si>
    <t>Výsledok hospodárenia z bežnej činnosti pred zdanením daňou z príjmov</t>
  </si>
  <si>
    <t>A.1.</t>
  </si>
  <si>
    <t>Nepeňažné operácie ovplyvňujúce hospodársky výsledok z bežnej činnosti</t>
  </si>
  <si>
    <t>A.1.1.</t>
  </si>
  <si>
    <t>Odpisy dlhodobého nehmotného majetku a dlhodobého hmotného majetku</t>
  </si>
  <si>
    <t>A.1.2.</t>
  </si>
  <si>
    <t>Zostatková hodnota dlhodobého nehmotného a hmotného majetku účtovaná pri vyradení (s výnimkou predaja)</t>
  </si>
  <si>
    <t>A.1.3.</t>
  </si>
  <si>
    <t>Odpis opravnej položky k nadobutnutému majetku</t>
  </si>
  <si>
    <t>A.1.4.</t>
  </si>
  <si>
    <t>A.1.5.</t>
  </si>
  <si>
    <t>Zmena stavu opravných položiek</t>
  </si>
  <si>
    <t>A.1.6.</t>
  </si>
  <si>
    <t>Zmena stavu položiek časového rozlíšenia nákladov a výnosov</t>
  </si>
  <si>
    <t>A.1.7.</t>
  </si>
  <si>
    <t>Dividendy a iné podiely na zisku účtované do výnosov</t>
  </si>
  <si>
    <t>A.1.8.</t>
  </si>
  <si>
    <t>Úroky účtované do nákladov</t>
  </si>
  <si>
    <t>A.1.9.</t>
  </si>
  <si>
    <t>Úroky účtované do výnosov</t>
  </si>
  <si>
    <t>A.1.10.</t>
  </si>
  <si>
    <t>Kurzový zisk vyčíslený k peňažným prostriedkom a peňažným ekvivalentom ku dňu účt. závierky</t>
  </si>
  <si>
    <t>A.1.11.</t>
  </si>
  <si>
    <t>Kurzová strata vyčíslená k peňažným prostriedkom a peňažným ekvivalentom ku dňu účt. závierky</t>
  </si>
  <si>
    <t>A.1.12.</t>
  </si>
  <si>
    <t>Výsledok z predaja dlhodobého majetku s výnimkou majetku, ktorý sa považuje za peňažný ekvivalent</t>
  </si>
  <si>
    <t>A.1.13.</t>
  </si>
  <si>
    <t>Ostatné položky nepeňažného charakteru</t>
  </si>
  <si>
    <t>A.2.</t>
  </si>
  <si>
    <t>Vplyv zmien stavu pracovného kapitálu</t>
  </si>
  <si>
    <t>A.2.1.</t>
  </si>
  <si>
    <t>Zmena stavu pohľadávok z prevádzkovej činnosti</t>
  </si>
  <si>
    <t>A.2.2.</t>
  </si>
  <si>
    <t>Zmena stavu záväzkov z prevádzkovej činnosti</t>
  </si>
  <si>
    <t>A.2.3.</t>
  </si>
  <si>
    <t>Zmena stavu zásob</t>
  </si>
  <si>
    <t>A.2.4.</t>
  </si>
  <si>
    <t>Zmena stavu krátkodobého finančného majetku s výnimkou majetku, ktorý je súčasťou peň. prostriedkov</t>
  </si>
  <si>
    <t>A.3.</t>
  </si>
  <si>
    <t>Prijaté úroky, s výnimkou tých, ktoré sa začleňujú do investičných činností</t>
  </si>
  <si>
    <t>A.4.</t>
  </si>
  <si>
    <t>Výdavky na zaplatené úroky, s výnimkou tých, ktoré sa začleňujú do finančných činností</t>
  </si>
  <si>
    <t>A.5.</t>
  </si>
  <si>
    <t>Príjmy z dividend a iných podielov na zisku, s výnimkou tých, ktoré sa začleňujú do investičných činností</t>
  </si>
  <si>
    <t>A.6.</t>
  </si>
  <si>
    <t>Výdavky na vyplatené dividendy a iné podiely na zisku, s výnimkou tých, ktoré sa začleňujú do fin.činností</t>
  </si>
  <si>
    <t>A.7.</t>
  </si>
  <si>
    <t>Výdavky na daň z príjmov účtovnej jednotky, s výnimkou tých, ktoré sa začleňujú do inv.alebo fin.činností</t>
  </si>
  <si>
    <t>A.8.</t>
  </si>
  <si>
    <t>Príjmy mimoriadneho charakteru vzťahujúce sa na prevádzkovú činnosť</t>
  </si>
  <si>
    <t>A.9.</t>
  </si>
  <si>
    <t>Výdavky mimoriadneho charakteru vzťahujúce sa na prevádzkovú činnosť</t>
  </si>
  <si>
    <t>Čisté peňažné toky z prevádzkovej činnosti</t>
  </si>
  <si>
    <t>Výdavky na obstaranie dlhodobého nehmotného majetku</t>
  </si>
  <si>
    <t>B.2.</t>
  </si>
  <si>
    <t>Výdavky na obstaranie dlhodobého hmotného majetku</t>
  </si>
  <si>
    <t>B.3.</t>
  </si>
  <si>
    <t>Výdavky na obstaranie dlhodobých cenných papierov a podielov v iných účtovných jednotkách</t>
  </si>
  <si>
    <t>B.4.</t>
  </si>
  <si>
    <t>Príjmy z predaja dlhodobého nehmotného majetku</t>
  </si>
  <si>
    <t>B.5.</t>
  </si>
  <si>
    <t>Príjmy z predaja dlhodobého hmotného majetku</t>
  </si>
  <si>
    <t>B.6.</t>
  </si>
  <si>
    <t>Príjmy z predaja dlhodobých cenných papierov a podielov v iných účtovných jednotkách</t>
  </si>
  <si>
    <t>B.7.</t>
  </si>
  <si>
    <t>Výdavky na dlhodobé pôžičky poskytnuté účtovnou jednotkou inej účtovnej jednotke v skupine</t>
  </si>
  <si>
    <t xml:space="preserve">B.8. </t>
  </si>
  <si>
    <t>Príjmy zo splácania dlhodobých pôžičiek poskytnutých účtovnou jednotkou inej účtovnej jednotke v skupine</t>
  </si>
  <si>
    <t>B.9.</t>
  </si>
  <si>
    <t>Výdavky na dlhodobé pôžičky poskytnuté účtovnou jednotkou tretím osobám</t>
  </si>
  <si>
    <t>B.10.</t>
  </si>
  <si>
    <t>Príjmy zo splácania dlhodobých pôžičiek poskytnutých účtovnou jednotkou tretím osobám</t>
  </si>
  <si>
    <t>B.11</t>
  </si>
  <si>
    <t>Prijaté úroky, s výnimkou tých, ktoré sa začleňujú do prevádzkových činností</t>
  </si>
  <si>
    <t>B.12.</t>
  </si>
  <si>
    <t>Príjmy z dividend a iných podielov na zisku, s výnimkou tých, ktoré sa začleňujú do prevádzkových činností</t>
  </si>
  <si>
    <t>B.13.</t>
  </si>
  <si>
    <t>Výdavky súvisiace s derivátmi s výnimkou, ak sú určené na predaj alebo na obchodovanie</t>
  </si>
  <si>
    <t>B.14.</t>
  </si>
  <si>
    <t>Príjmy súvisiace s derivátmi s výnimkou, ak sú určené na predaj alebo na obchodovanie</t>
  </si>
  <si>
    <t>B.15.</t>
  </si>
  <si>
    <r>
      <t>Výdavky na daň z príjmov účtovnej jednotky, ak je ju</t>
    </r>
    <r>
      <rPr>
        <sz val="14"/>
        <color indexed="12"/>
        <rFont val="Arial CE"/>
        <family val="2"/>
        <charset val="238"/>
      </rPr>
      <t xml:space="preserve"> </t>
    </r>
    <r>
      <rPr>
        <sz val="14"/>
        <rFont val="Arial CE"/>
        <family val="2"/>
        <charset val="238"/>
      </rPr>
      <t>možné začleniť do investičných činností</t>
    </r>
  </si>
  <si>
    <t>B.16.</t>
  </si>
  <si>
    <t>Príjmy mimoriadneho charakteru vzťahujúce sa na investičnú činnosť</t>
  </si>
  <si>
    <t>B.17.</t>
  </si>
  <si>
    <t>Výdavky mimoriadneho charakteru vzťahujúce sa na investičnú činnosť</t>
  </si>
  <si>
    <t>B.18.</t>
  </si>
  <si>
    <t>Ostatné príjmy vzťahujúce sa na investičnú činnosť</t>
  </si>
  <si>
    <t>B.19.</t>
  </si>
  <si>
    <t>Ostatné výdavky vzťahujúce sa na investičnú činnosť</t>
  </si>
  <si>
    <t>Čisté peňažné toky z investičnej činnosti</t>
  </si>
  <si>
    <t>Peňažné toky vo vlastnom imaní</t>
  </si>
  <si>
    <t>C.1.1.</t>
  </si>
  <si>
    <t>Príjmy z upísaných akcií a obchodných podielov</t>
  </si>
  <si>
    <t>C.1.2.</t>
  </si>
  <si>
    <t>Príjmy z ďalších vkladov do vlastného imania spoločníkmi alebo fyzickou osobou</t>
  </si>
  <si>
    <t>C.1.3.</t>
  </si>
  <si>
    <t>Prijaté peňažné dary</t>
  </si>
  <si>
    <t>C.1.4.</t>
  </si>
  <si>
    <t>Príjmy z úhrady straty spoločníkmi</t>
  </si>
  <si>
    <t>C.1.5</t>
  </si>
  <si>
    <t>Výdavky na obstaranie alebo spätné odkúpenie vlastných akcií a vlastných podielov</t>
  </si>
  <si>
    <t>C.1.6.</t>
  </si>
  <si>
    <t>Výdavky spojené so znížením fondov vytvorených účtovnou jednotkou</t>
  </si>
  <si>
    <t>C.1.7.</t>
  </si>
  <si>
    <t>Výdavky na vyplatenie podielu na vlastnom imaní spoločníkmi účtovnej jednotky a fyzickou osobou</t>
  </si>
  <si>
    <t>C.1.8.</t>
  </si>
  <si>
    <t>Výdavky z iných dôvodov, ktoré súvisia so znížením vlastného imania</t>
  </si>
  <si>
    <t>C.2.</t>
  </si>
  <si>
    <t>Peňažné toky vznikajúce z dlhodobých záväzkov a krátkodobých záväzkov z finančnej činnosti</t>
  </si>
  <si>
    <t>C.2.1.</t>
  </si>
  <si>
    <t>Príjmy z emisie dlhodobých cenných papierov</t>
  </si>
  <si>
    <t>C.2.2.</t>
  </si>
  <si>
    <t>Výdavky na úhradu záväzkov z dlhodobých cenných papierov</t>
  </si>
  <si>
    <t>C.2.3.</t>
  </si>
  <si>
    <t>Príjmy z úverov, ktoré účtovnej jednotke poskytla banka s výnimkou úverov poskytnutých na hlavnú činnosť</t>
  </si>
  <si>
    <t>C.2.4.</t>
  </si>
  <si>
    <t>Výdavky na splácanie úverov s výnimkou úverov poskytnutých na hlavnú činnosť</t>
  </si>
  <si>
    <t>C.2.5.</t>
  </si>
  <si>
    <t>Príjmy z prijatých pôžičiek</t>
  </si>
  <si>
    <t>C.2.6.</t>
  </si>
  <si>
    <t>Výdavky na splácanie pôžičiek</t>
  </si>
  <si>
    <t>C.2.7.</t>
  </si>
  <si>
    <t>Výdavky na úhradu záväzkov z používania majetku, ktorý je predmetom zmluvy o kúpe prenajatej veci</t>
  </si>
  <si>
    <t>C.2.8.</t>
  </si>
  <si>
    <t>Príjmy z ostatných dlhodobých a krátkodobých záväzkov vyplývajúcich z finančnej činnosti</t>
  </si>
  <si>
    <t>C.2.9.</t>
  </si>
  <si>
    <t>Výdavky na splácanie ostatných dlhodobých a krátkodobých záväzkov z finančnej činnosti</t>
  </si>
  <si>
    <t>C.3.</t>
  </si>
  <si>
    <t>Výdavky na zaplatené úroky, s výnimkou tých, ktoré sa začleňujú do prevádzkových činností</t>
  </si>
  <si>
    <t>C.4.</t>
  </si>
  <si>
    <t>Výdavky na vyplatené dividendy a iné podiely na zisku, s výnimkou tých, ktoré sa začleňujú do prev.činností</t>
  </si>
  <si>
    <t>C.5.</t>
  </si>
  <si>
    <t>Výdavky súvisiace s derivátmi s výnimkou, ak sú určené na predaj alebo na obchodovanie alebo na inv.činnosť</t>
  </si>
  <si>
    <t>C.6.</t>
  </si>
  <si>
    <t>Príjmy súvisiace s derivátmi s výnimkou, ak sú určené na predaj alebo na obchodovanie alebo na inv.činnosť</t>
  </si>
  <si>
    <t>C.7.</t>
  </si>
  <si>
    <t>Výdavky na daň z príjmov účtovnej jednotky, ak ich možno začleniť do finančných činností</t>
  </si>
  <si>
    <t>C.8.</t>
  </si>
  <si>
    <t>Príjmy mimoriadneho charakteru vzťahujúce sa na finančnú činnosť</t>
  </si>
  <si>
    <t>C.9.</t>
  </si>
  <si>
    <t>Výdavky mimoriadneho charakteru vzťahujúce sa na finančnú činnosť</t>
  </si>
  <si>
    <t>Čisté peňažné toky z finančnej činnosti</t>
  </si>
  <si>
    <t>Čisté zvýšenie alebo čisté zníženie peňažných prostriedkov</t>
  </si>
  <si>
    <t>Stav peňažných prostriedkov a peňažných ekvivalentov na začiatku účtovného obdobia</t>
  </si>
  <si>
    <t>Stav peňažných prostriedkov a peňažných ekvivalentov na konci účtovného obdobia</t>
  </si>
  <si>
    <t>Kurzové rozdiely vyčíslené k peňažným prostriedkom a peňažným ekvivalentom ku dňu účtovnej závierke</t>
  </si>
  <si>
    <t>Zostatok peňažných prostriedkov a peňažných ekvivalentov na konci účtovného obdobia</t>
  </si>
  <si>
    <t>Musi byt NULA</t>
  </si>
  <si>
    <t>KONTROLA SUCTOV</t>
  </si>
  <si>
    <t>KONTROLA Opening balances</t>
  </si>
  <si>
    <t>KONTROLA na vykazy</t>
  </si>
  <si>
    <t>OPRAVKY + OPRAVNE POLOZKY - KOREKCIA Z BS</t>
  </si>
  <si>
    <t>KONTROLA opening balances</t>
  </si>
  <si>
    <t>UVPOD1v11_1</t>
  </si>
  <si>
    <t>Súvaha Úč POD 1 - 01</t>
  </si>
  <si>
    <t>SÚVAHA</t>
  </si>
  <si>
    <t>k</t>
  </si>
  <si>
    <t>.</t>
  </si>
  <si>
    <t>(v celých eurách)</t>
  </si>
  <si>
    <t>Číselné údaje sa zarovnávajú vpravo, ostatné údaje sa píšu zľava. Nevyplnené riadky sa ponechávajú prázdne.</t>
  </si>
  <si>
    <t>Údaje sa vypĺňajú paličkovým písmom (podľa tohto vzoru), písacím strojom alebo tlačiarňou, a to čiernou alebo tmavomodrou farbou.</t>
  </si>
  <si>
    <t>Á  Ä  B  Č  D  É  F  G  H  Í  J  K  L  M  N  O  P  Q  R  Š  T  Ú  V  X  Ý  Ž      0  1  2  3  4  5  6  7  8  9</t>
  </si>
  <si>
    <t>Daňové identifikačné číslo</t>
  </si>
  <si>
    <t>Účtovná závierka</t>
  </si>
  <si>
    <t>Mesiac</t>
  </si>
  <si>
    <t>Rok</t>
  </si>
  <si>
    <t>Za obdobie</t>
  </si>
  <si>
    <t>od</t>
  </si>
  <si>
    <t>IČO</t>
  </si>
  <si>
    <t>riadna</t>
  </si>
  <si>
    <t>zostavená</t>
  </si>
  <si>
    <t>do</t>
  </si>
  <si>
    <t>mimoriadna</t>
  </si>
  <si>
    <t>schválená</t>
  </si>
  <si>
    <t>Bezprostredne</t>
  </si>
  <si>
    <t>SK NACE</t>
  </si>
  <si>
    <t>(vyznačí sa x)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</si>
  <si>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</si>
  <si>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</si>
  <si>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</si>
  <si>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</si>
  <si>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</si>
  <si>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</si>
  <si>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</si>
  <si>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</si>
  <si>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</si>
  <si>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/</t>
  </si>
  <si>
    <t xml:space="preserve"> </t>
  </si>
  <si>
    <t>E-mailová adresa</t>
  </si>
  <si>
    <t>Zostavená dňa:</t>
  </si>
  <si>
    <t>Podpisový záznam člena štatutárneho orgánu účtovnej jednotky alebo fyzickej osoby, ktorá je účtovnou jednotkou:</t>
  </si>
  <si>
    <t>Podpisový záznam osoby zodpovednej za zostavenie účtovnej závierky:</t>
  </si>
  <si>
    <t>Podpisový záznam osoby zodpovednej za vedenie účtovníctva:</t>
  </si>
  <si>
    <t>Schválená dňa:</t>
  </si>
  <si>
    <t>Záznamy daňového úradu</t>
  </si>
  <si>
    <t>Miesto pre evidenčné číslo</t>
  </si>
  <si>
    <t>Odtlačok prezentačnej pečiatky daňového úradu</t>
  </si>
  <si>
    <t>Výnosy budúcich období krátkodobé (384A)</t>
  </si>
  <si>
    <t>Výnosy budúcich období dlhodobé (384A)</t>
  </si>
  <si>
    <t>Výdavky budúcich období krátkodobé (383A)</t>
  </si>
  <si>
    <t>Výdavky budúcich období dlhodobé (383A)</t>
  </si>
  <si>
    <t>Časové rozlíšenie súčet (r. 122 až r. 125)</t>
  </si>
  <si>
    <t>Bežné bankové úvery
(221A, 231, 232, 23X, 461A, 46XA)</t>
  </si>
  <si>
    <t>Bankové úvery dlhodobé (461A, 46XA)</t>
  </si>
  <si>
    <t>Bankové úvery   r. 119 + r. 120</t>
  </si>
  <si>
    <t>Krátkodobé finančné výpomoci (241, 249, 24X, 473A, /-/255A)</t>
  </si>
  <si>
    <t>Ostatné záväzky
(372A, 373A, 377A, 379A, 474A, 479A, 47X)</t>
  </si>
  <si>
    <t>Daňové záväzky a dotácie
(341, 342, 343, 345, 346, 347, 34X)</t>
  </si>
  <si>
    <t>Záväzky zo sociálneho poistenia (336, 479A)</t>
  </si>
  <si>
    <t>Záväzky voči zamestnancom (331, 333, 33X, 479A)</t>
  </si>
  <si>
    <t>Záväzky voči spoločníkom a združeniu
(364, 365, 366, 367, 368, 398A, 478A, 479A)</t>
  </si>
  <si>
    <t>Ostatné záväzky v rámci konsolidovaného celku
(361A, 36XA, 471A, 47XA)</t>
  </si>
  <si>
    <t>Záväzky voči dcérskej účtovnej jednotke a materskej účtovnej jednotke (361A, 471A)</t>
  </si>
  <si>
    <t>Nevyfakturované dodávky (326, 476A)</t>
  </si>
  <si>
    <t>Čistá hodnota zákazky (316A)</t>
  </si>
  <si>
    <t>Záväzky z obchodného styku
(321, 322, 324, 325, 32X, 475A, 478A, 479A, 47XA)</t>
  </si>
  <si>
    <t>Krátkodobé záväzky súčet (r. 107 až r. 116)</t>
  </si>
  <si>
    <t>Odložený daňový záväzok (481A)</t>
  </si>
  <si>
    <t>Ostatné dlhodobé záväzky
(474A, 479A, 47XA, 372A, 373A, 377A)</t>
  </si>
  <si>
    <t>Záväzky zo sociálneho fondu (472)</t>
  </si>
  <si>
    <t>Vydané dlhopisy(473A/-/255A)</t>
  </si>
  <si>
    <t>Dlhodobé zmenky na úhradu (478A)</t>
  </si>
  <si>
    <t>Dlhodobé prijaté preddavky (475A)</t>
  </si>
  <si>
    <t>Ostatné dlhodobé záväzky v rámci konsolidovaného celku (471A)</t>
  </si>
  <si>
    <t>Dlhodobé záväzky voči dcérskej účtovnej jednotke a materskej účtovnej jednotke (471A)</t>
  </si>
  <si>
    <t>Dlhodobé nevyfakturované dodávky (476A)</t>
  </si>
  <si>
    <t>Dlhodobé záväzky z obchodného styku (479A)</t>
  </si>
  <si>
    <t>Bezprostredne predchádzajúce
účtovné obdobie
5</t>
  </si>
  <si>
    <t>Bežné účtovné obdobie
4</t>
  </si>
  <si>
    <t>Číslo
riadku
c</t>
  </si>
  <si>
    <t>STRANA PASÍV
b</t>
  </si>
  <si>
    <t>Ozna-
čenie
a</t>
  </si>
  <si>
    <t>Dlhodobé záväzky súčet (r. 095 až r.105)</t>
  </si>
  <si>
    <t>Ostatne krátkodobé rezervy (323A, 32X,)</t>
  </si>
  <si>
    <t>Ostatne dlhodobé rezervy (459A, 45XA)</t>
  </si>
  <si>
    <t>Rezervy zákonné krátkodobé (323A)</t>
  </si>
  <si>
    <t>Rezervy zákonné dlhodobé (451A)</t>
  </si>
  <si>
    <t>Rezervy súčet (r. 090 až r. 093)</t>
  </si>
  <si>
    <t>Záväzky
r. 89 + r. 94 + r. 106 + r. 117 + r. 118</t>
  </si>
  <si>
    <t>Výsledok hospodárenia za účtovné obdobie po zdanení /+-/ r. 001 - (r. 068 + r. 073 + r. 080 + r. 084 + r. 088 + r. 121)</t>
  </si>
  <si>
    <t>Neuhradená strata minulých rokov (/-/429)</t>
  </si>
  <si>
    <t>Nerozdelený zisk minulých rokov (428)</t>
  </si>
  <si>
    <t>Výsledok hospodárenia minulých rokov r. 085 + r. 086</t>
  </si>
  <si>
    <t>Štatutárne fondy a ostatné fondy (423, 427, 42X)</t>
  </si>
  <si>
    <t>Nedeliteľný fond (422)</t>
  </si>
  <si>
    <t>Zákonný rezervný fond (421)</t>
  </si>
  <si>
    <t>Fondy zo zisku súčet (r. 081 až r. 083)</t>
  </si>
  <si>
    <t>Oceňovacie rozdiely z precenenia pri zlúčení, splynutí a rozdelení (+/-416)</t>
  </si>
  <si>
    <t>Oceňovacie rozdiely z kapitálových účastín (+/- 415)</t>
  </si>
  <si>
    <t>Oceňovacie rozdiely z precenenia majetku a záväzkov
(+/- 414)</t>
  </si>
  <si>
    <t>Zákonný rezervný fond (Nedeliteľný fond) z kapitálových vkladov (417, 418)</t>
  </si>
  <si>
    <t>Ostatné kapitálové fondy (413)</t>
  </si>
  <si>
    <t>Emisné ážio (412)</t>
  </si>
  <si>
    <t>Kapitálové fondy súčet (r. 074 až 079)</t>
  </si>
  <si>
    <t>Pohľadávky za upísané vlastné imanie (/-/353)</t>
  </si>
  <si>
    <t>Zmena základného imania +/- 419</t>
  </si>
  <si>
    <t>Vlastné akcie a vlastné obchodné podiely (/-/252)</t>
  </si>
  <si>
    <t>Základné imanie (411 alebo +/- 491)</t>
  </si>
  <si>
    <t>Základné imanie súčet (r. 069 až 072)</t>
  </si>
  <si>
    <t>Vlastné imanie r. 068+r. 073+r. 080+r. 084+r. 087</t>
  </si>
  <si>
    <t>SPOLU VLASTNÉ IMANIE A ZÁVÄZKY
r. 067 + r. 088 + r. 121</t>
  </si>
  <si>
    <t>Príjmy budúcich
období krátkodobé
(385A)</t>
  </si>
  <si>
    <t>Príjmy budúcich
období dlhodobé
(385A)</t>
  </si>
  <si>
    <t>Náklady budúcich
období krátkodobé
(381A, 382A)</t>
  </si>
  <si>
    <t>Náklady budúcich
období dlhodobé
(381A, 382A)</t>
  </si>
  <si>
    <t>Časové rozlíšenie
(r. 062 až r. 065)</t>
  </si>
  <si>
    <t>Obstarávaný
krátkodobý finančný
majetok
(259, 314A) - 291</t>
  </si>
  <si>
    <t>Krátkodobý finančný
majetok
(251, 253, 256, 257,
25X) - /291, 29X/</t>
  </si>
  <si>
    <t>Účty v bankách
s dobou viazanosti
dlhšou ako jeden rok
22XA</t>
  </si>
  <si>
    <t>Účty v bankách
(221A, 22X +/- 261)</t>
  </si>
  <si>
    <t>Netto    3</t>
  </si>
  <si>
    <r>
      <t xml:space="preserve">Korekcia - </t>
    </r>
    <r>
      <rPr>
        <sz val="7.5"/>
        <rFont val="Arial"/>
        <family val="2"/>
        <charset val="238"/>
      </rPr>
      <t>časť 2</t>
    </r>
  </si>
  <si>
    <t>Netto    2</t>
  </si>
  <si>
    <r>
      <t xml:space="preserve">Brutto - </t>
    </r>
    <r>
      <rPr>
        <sz val="7.5"/>
        <rFont val="Arial"/>
        <family val="2"/>
        <charset val="238"/>
      </rPr>
      <t>časť 1</t>
    </r>
  </si>
  <si>
    <t>Bezprostredne predchádzajúce
účtovné obdobie</t>
  </si>
  <si>
    <t>STRANA AKTÍV
b</t>
  </si>
  <si>
    <t>Peniaze
(211, 213, 21X)</t>
  </si>
  <si>
    <t>Finančné účty
súčet (r. 056až
r. 060)</t>
  </si>
  <si>
    <t>Iné pohľadávky
(335A, 33XA, 371A,
373A, 374A, 375A,
376A, 378A) - 391A</t>
  </si>
  <si>
    <t>Daňové pohľadávky a dotácie
(341, 342, 343, 345,
346, 347) - 391A</t>
  </si>
  <si>
    <t>Sociálne poistenie
(336) - 391A</t>
  </si>
  <si>
    <t>Pohľadávky voči
spoločníkom,
členom a združeniu
(354A, 355A, 358A,
35XA, 398A) - 391A</t>
  </si>
  <si>
    <t>Ostatné pohľadávky
v rámci
konsolidovaného
celku
(351A) - 391A</t>
  </si>
  <si>
    <t>Pohľadávky voči
dcérskej účtovnej
jednotke a materskej
účtovnej jednotke
(351A) - 391A</t>
  </si>
  <si>
    <t>Čistá hodnota
zákazky
(316A)</t>
  </si>
  <si>
    <t>Pohľadávky
z obchodného styku
(311A, 312A, 313A,
314A, 315A, 31XA) -
391A</t>
  </si>
  <si>
    <t>Krátkodobé
pohľadávky
súčet (r. 047 až
054)</t>
  </si>
  <si>
    <t>Odložená daňová
pohľadávka
(481A)</t>
  </si>
  <si>
    <t>Pohľadávky voči
spoločníkom,
členom a združeniu
(354A, 355A, 358A,
35XA) - 391A</t>
  </si>
  <si>
    <t>Pohľadávky z
obchodného styku
(311A, 312A, 313A,
314A, 315A, 31XA)
- 391A</t>
  </si>
  <si>
    <t>Dlhodobé
pohľadávky
súčet (r. 039 až
045)</t>
  </si>
  <si>
    <t>Poskytnuté
preddavky
na zásoby
(314A) - 391A</t>
  </si>
  <si>
    <t>Tovar
(132, 13X, 139)
- /196, 19X/</t>
  </si>
  <si>
    <t>Zvieratá
(124) - 195</t>
  </si>
  <si>
    <t>Výrobky
(123) - 194</t>
  </si>
  <si>
    <t>Nedokončená
výroba a polotovary vlastnej výrovy
(121, 122, 12X) -
/192, 193, 19X/</t>
  </si>
  <si>
    <t>Materiál
(112, 119, 11X)
-/191,19X/</t>
  </si>
  <si>
    <t>Zásoby
súčet (r. 032 až
037)</t>
  </si>
  <si>
    <t>Obežný majetok
r. 031 + r. 038
+ r. 046 + r. 055</t>
  </si>
  <si>
    <t>Poskytnuté
preddavky
na dlhodobý
finančný majetok
(053) - 095A</t>
  </si>
  <si>
    <t>Obstarávaný
dlhodobý finančný
majetok
(043) - 096A</t>
  </si>
  <si>
    <t>Pôžičky s dobou
splatnosti najviac
jeden rok
(066A, 067A, 06XA)
- 096A</t>
  </si>
  <si>
    <t>Ostatný dlhodobý
finančný majetok
(067A, 069, 06XA)
- 096A</t>
  </si>
  <si>
    <t>Pôžičky účtovnej
jednotke
v konsolidovanom
celku
(066A) - 096A</t>
  </si>
  <si>
    <t>Ostatné dlhodobé
cenné papiere a
podiely
(063, 065) - 096A</t>
  </si>
  <si>
    <t>Podielové cenné
papiere a podiely
v spoločnosti s
podstatným vplyvom
(062) - 096A</t>
  </si>
  <si>
    <t>Podielové cenné
papiere a podiely v
dcérskej účtovnej
jednotke
(061) - 096A</t>
  </si>
  <si>
    <t>Dlhodobý finančný
majetok
súčet (r. 022 až
029)</t>
  </si>
  <si>
    <t>Opravná položka
k nadobudnutému
majetku
(+/- 097) +/- 098</t>
  </si>
  <si>
    <t>Poskytnuté
preddavky na
dlhodobý hmotný
majetok
(052) - 095A</t>
  </si>
  <si>
    <t>Obstarávaný
dlhodobý hmotný
majetok
(042) - 094</t>
  </si>
  <si>
    <t>Ostatný dlhodobý
hmotný majetok
(029, 02X, 032) -
/089, 08X, 092A/</t>
  </si>
  <si>
    <t>Základné stádo a
ťažné zvieratá
(026) - /086, 092A/</t>
  </si>
  <si>
    <t>Pestovateľské celky
trvalých porastov
(025) - /085, 092A/</t>
  </si>
  <si>
    <t>Samostatné
hnuteľné veci a
súbory hnuteľných
vecí
(022) - /082, 092A/</t>
  </si>
  <si>
    <t>Stavby
(021) - /081,092A/</t>
  </si>
  <si>
    <t>Pozemky
(031) - 092A</t>
  </si>
  <si>
    <t>Dlhodobý hmotný
majetok
súčet (r. 012 až 020)</t>
  </si>
  <si>
    <t>Poskytnuté
preddavky
na dlhodobý
nehmotný majetok
(051) - 095A</t>
  </si>
  <si>
    <t>Obstarávaný
dlhodobý nehmotný
majetok
(041) - 093</t>
  </si>
  <si>
    <t>Ostatný dlhodobý
nehmotný majetok
(019, 01X) - /079,
07X, 091A/</t>
  </si>
  <si>
    <t>Goodwill
(015) - /075, 091A/</t>
  </si>
  <si>
    <t>Oceniteľné práva
(014) - /074, 091A/</t>
  </si>
  <si>
    <t>Softvér
(013) - /073, 091A/</t>
  </si>
  <si>
    <t>Aktivované náklady
na vývoj
(012) - /072, 091A/</t>
  </si>
  <si>
    <t>Dlhodobý
nehmotný majetok
súčet (r. 004 až
010)</t>
  </si>
  <si>
    <t>Neobežný majetok
r. 003 + r. 011
+ r. 021</t>
  </si>
  <si>
    <t>SPOLU MAJETOK
r. 002 + r. 030
+ r. 061</t>
  </si>
  <si>
    <t>DIČ</t>
  </si>
  <si>
    <t>Výkaz ziskov a strát Úč POD 2 - 01</t>
  </si>
  <si>
    <t>VÝKAZ                ZISKOV A STRÁT</t>
  </si>
  <si>
    <r>
      <t>UVPOD2v09_1</t>
    </r>
    <r>
      <rPr>
        <sz val="5"/>
        <rFont val="Arial"/>
        <family val="2"/>
        <charset val="238"/>
      </rPr>
      <t/>
    </r>
  </si>
  <si>
    <t>Výsledok hospodárenia za účtovné obdobie po zdanení   (+/-) [r. 51 + r. 58 - r. 60]</t>
  </si>
  <si>
    <t>Prevod podielov na výsledku hospodárenia spoločníkom (+/-596)</t>
  </si>
  <si>
    <t>Výsledok hospodárenia za účtovné obdobie pred zdanením (+/-) [r. 47 + r. 54]</t>
  </si>
  <si>
    <t>Výsledok hospodárenia z mimoriadnej činnosti po zdanení    r. 54 - r. 55</t>
  </si>
  <si>
    <t xml:space="preserve"> - odložená (+/ 594)</t>
  </si>
  <si>
    <t xml:space="preserve"> - splatná (593)</t>
  </si>
  <si>
    <t>Daň z príjmov z mimoriadnej činnosti r. 56 + r. 57</t>
  </si>
  <si>
    <t>Výsledok hospodárenia z mimoriadnej činnosti pred zdanením r. 52 - r. 53</t>
  </si>
  <si>
    <t>Mimoriadne náklady (účtová skupina 58)</t>
  </si>
  <si>
    <t>Mimoriadne výnosy (účtová skupina 68)</t>
  </si>
  <si>
    <t>Výsledok hospodárenia z bežnej činnosti po zdanení
r. 47 - r. 48</t>
  </si>
  <si>
    <t>- odložená (+/- 592)</t>
  </si>
  <si>
    <t>- splatná (591, 595)</t>
  </si>
  <si>
    <t>Daň z príjmov z bežnej činnosti r. 49 + r. 50</t>
  </si>
  <si>
    <t>Výsledok hospodárenia z bežnej činnosti pred zdanením r. 26 + r. 46</t>
  </si>
  <si>
    <t>Výsledok hospodárenia z finančnej činnosti
r. 27 - r. 28 + r. 29 + r. 33 - r. 34 + r. 35 - r. 36 - r. 37 + r. 38 - r. 39 + r. 40 - r. 41 + r. 42 - r. 43 + (- r. 44) - (- r. 45)</t>
  </si>
  <si>
    <t>Prevod finančných nákladov (-) (598)</t>
  </si>
  <si>
    <t>Prevod finančných výnosov (-) (698)</t>
  </si>
  <si>
    <t>Ostatné náklady na finančnú činnosť (568, 569)</t>
  </si>
  <si>
    <t>Ostatné výnosy z finančnej činnosti (668)</t>
  </si>
  <si>
    <t>Kurzové straty (563)</t>
  </si>
  <si>
    <t>Kurzové zisky (663)</t>
  </si>
  <si>
    <t>Nákladové úroky (562)</t>
  </si>
  <si>
    <t>Výnosové úroky (662)</t>
  </si>
  <si>
    <t>Tvorba a zúčtovanie opravných položiek k finančnému majetku +/- 565</t>
  </si>
  <si>
    <t>Náklady na precenenie cenných papierov a náklady na derivátové operácie (564, 567)</t>
  </si>
  <si>
    <t>Výnosy z precenenia cenných papierov a výnosy z
derivátových operácií (664, 667)</t>
  </si>
  <si>
    <t>Náklady na krátkodobý finančný majetok (566)</t>
  </si>
  <si>
    <t>Výnosy z krátkodobého finančného majetku (666)</t>
  </si>
  <si>
    <t>Výnosy z ostatného dlhodobého finančného majetku (665A)</t>
  </si>
  <si>
    <t>Výnosy z ostatných dlhodobých cenných papierov a
podielov (665A)</t>
  </si>
  <si>
    <t>Výnosy z cenných papierov a podielov v dcérskej účtovnej jednotke a v spoločnosti s podstatným vplyvom (665A)</t>
  </si>
  <si>
    <t>Výnosy z dlhodobého finančného majetku
r. 30 + r. 31 + r. 32</t>
  </si>
  <si>
    <t>Predané cenné papiere a podiely (561)</t>
  </si>
  <si>
    <t>Tržby z predaja cenných papierov a podielov (661)</t>
  </si>
  <si>
    <t>Výsledok hospodárenia z hospodárskej činnosti
r. 11 - r. 12 - r. 17- r. 18 + r. 19- r. 20 - r. 21 + r. 22 -r. 23 + (- r. 24) - (- r. 25)</t>
  </si>
  <si>
    <t>Prevod nákladov na hospodársku činnosť (-)(597)</t>
  </si>
  <si>
    <t>Prevod výnosov z hospodárskej činnosti (-)(697)</t>
  </si>
  <si>
    <t>Ostatné náklady na hospodársku činnosť
(543, 544, 545, 546, 548, 549,555, 557)</t>
  </si>
  <si>
    <t>Ostatné výnosy z hospodárskej činnosti
(644, 645, 646, 648,655, 657)</t>
  </si>
  <si>
    <t>Tvorba a zúčtovanie opravných položiek  k pohľadávkam (+/-547)</t>
  </si>
  <si>
    <t>Zostatková cena predaného dlhodobého majetku a
predaného materiálu (541, 542)</t>
  </si>
  <si>
    <t>Tržby z predaja dlhodobého majetku a materiálu (641, 642)</t>
  </si>
  <si>
    <t>Odpisy a opravné položky k dlhodobému nehmotnému majetku a dlhodobému hmotnému majetku (551, 553)</t>
  </si>
  <si>
    <t>Dane a poplatky (účtová skupina 53)</t>
  </si>
  <si>
    <t>Sociálne náklady (527, 528)</t>
  </si>
  <si>
    <t>Náklady na sociálne poistenie (524, 525, 526)</t>
  </si>
  <si>
    <t>Odmeny členom orgánov spoločnosti a družstva (523)</t>
  </si>
  <si>
    <t>Mzdové náklady (521, 522)</t>
  </si>
  <si>
    <t>Osobné náklady súčet (r. 13 až 16)</t>
  </si>
  <si>
    <t>Pridaná hodnota r. 03 + r. 04 - r. 08</t>
  </si>
  <si>
    <t>Služby (účtová skupina 51)</t>
  </si>
  <si>
    <t>Spotreba materiálu, energie a ostatných
neskladovateľných dodávok (501, 502, 503, 505A)</t>
  </si>
  <si>
    <t>Výrobná spotreba r. 09 + r. 10</t>
  </si>
  <si>
    <t>Aktivácia (účtovná skupina 62)</t>
  </si>
  <si>
    <t>Zmeny stavu vnútroorganizačných zásob
(+/- účtová skupina 61)</t>
  </si>
  <si>
    <t>Tržby z predaja vlastných výrobkov a služieb (601, 602,606)</t>
  </si>
  <si>
    <t>Výroba r. 05 + r. 06 + r. 07</t>
  </si>
  <si>
    <t>Obchodná marža r. 01 - r. 02</t>
  </si>
  <si>
    <t>Náklady vynaložené na obstaranie predaného tovaru
(504, 505A)</t>
  </si>
  <si>
    <t>Tržby z predaja tovaru (604)</t>
  </si>
  <si>
    <t>bezprostredne predchádzajúce
účtovné obdobie
2</t>
  </si>
  <si>
    <t>bežné účtovné obdobie
1</t>
  </si>
  <si>
    <t>Text
b</t>
  </si>
  <si>
    <t>Skutočnosť</t>
  </si>
  <si>
    <t>e-mail :</t>
  </si>
  <si>
    <t>Fax number :</t>
  </si>
  <si>
    <t>Name :</t>
  </si>
  <si>
    <t>or a person that is the accounting entity :</t>
  </si>
  <si>
    <t>Phone number :</t>
  </si>
  <si>
    <t>Name of statutory representative</t>
  </si>
  <si>
    <t>Phone area code :</t>
  </si>
  <si>
    <t>for preparing of financial statements :</t>
  </si>
  <si>
    <t>City</t>
  </si>
  <si>
    <t>Person responsible</t>
  </si>
  <si>
    <t>ZIP</t>
  </si>
  <si>
    <t>for accounting :</t>
  </si>
  <si>
    <t>Street No.</t>
  </si>
  <si>
    <t>Entity address:</t>
  </si>
  <si>
    <t>Approved on:</t>
  </si>
  <si>
    <t>INO ("IČO") :</t>
  </si>
  <si>
    <t>Prepared on:</t>
  </si>
  <si>
    <t>DIČ :</t>
  </si>
  <si>
    <t>Year:</t>
  </si>
  <si>
    <t>Month :</t>
  </si>
  <si>
    <t>Report :</t>
  </si>
  <si>
    <t>End of period</t>
  </si>
  <si>
    <t>approved</t>
  </si>
  <si>
    <t>Start of period</t>
  </si>
  <si>
    <t>prepared</t>
  </si>
  <si>
    <t>Previous period :</t>
  </si>
  <si>
    <t>Type of delivery :</t>
  </si>
  <si>
    <t>End - year</t>
  </si>
  <si>
    <t>End - date</t>
  </si>
  <si>
    <t>Year :</t>
  </si>
  <si>
    <t>extraordinary</t>
  </si>
  <si>
    <t>ordinary</t>
  </si>
  <si>
    <t>Curent period :</t>
  </si>
  <si>
    <t>CLIENT</t>
  </si>
  <si>
    <t>Input data for statutory reports</t>
  </si>
  <si>
    <t>Hlavným predmetom činnosti je:</t>
  </si>
  <si>
    <t>1.</t>
  </si>
  <si>
    <t>Informácie o počte zamestnancov</t>
  </si>
  <si>
    <t>Dozorná rada</t>
  </si>
  <si>
    <t>2.1</t>
  </si>
  <si>
    <r>
      <t>3.</t>
    </r>
    <r>
      <rPr>
        <b/>
        <sz val="7"/>
        <color theme="1"/>
        <rFont val="Times New Roman"/>
        <family val="1"/>
        <charset val="238"/>
      </rPr>
      <t>      </t>
    </r>
    <r>
      <rPr>
        <b/>
        <u/>
        <sz val="10"/>
        <color theme="1"/>
        <rFont val="Arial"/>
        <family val="2"/>
        <charset val="238"/>
      </rPr>
      <t>VŠEOBECNÉ ÚČTOVNÉ ZÁSADY A METÓDY</t>
    </r>
  </si>
  <si>
    <r>
      <t>2.</t>
    </r>
    <r>
      <rPr>
        <b/>
        <sz val="7"/>
        <color theme="1"/>
        <rFont val="Times New Roman"/>
        <family val="1"/>
        <charset val="238"/>
      </rPr>
      <t xml:space="preserve">       </t>
    </r>
    <r>
      <rPr>
        <b/>
        <u/>
        <sz val="10"/>
        <color theme="1"/>
        <rFont val="Arial"/>
        <family val="2"/>
        <charset val="238"/>
      </rPr>
      <t>ZÁKLADNÉ VÝCHODISKÁ PRE ZOSTAVENIE ÚČTOVNEJ ZÁVIERKY</t>
    </r>
  </si>
  <si>
    <r>
      <t>1.      </t>
    </r>
    <r>
      <rPr>
        <b/>
        <u/>
        <sz val="10"/>
        <color theme="1"/>
        <rFont val="Arial"/>
        <family val="2"/>
        <charset val="238"/>
      </rPr>
      <t>POPIS SPOLOČNOSTI</t>
    </r>
  </si>
  <si>
    <t>Odpisovanie</t>
  </si>
  <si>
    <t>Predpokladaná doba používania</t>
  </si>
  <si>
    <t>Ročná odpisová sadzba</t>
  </si>
  <si>
    <t>-</t>
  </si>
  <si>
    <t>Metóda     odpisovania</t>
  </si>
  <si>
    <t>Nakupovaný dlhodobý hmotný majetok sa oceňuje v obstarávacích cenách, ktoré zahŕňajú cenu obstarania, náklady na dopravu, clo a ďalšie náklady súvisiace s obstaraním.</t>
  </si>
  <si>
    <t>Náklady na technické zhodnotenie dlhodobého hmotného majetku zvyšujú jeho obstarávaciu cenu. Opravy a údržba sa účtujú do nákladov.</t>
  </si>
  <si>
    <t>Stroje, prístroje a zariadenia</t>
  </si>
  <si>
    <t>Dopravné prostriedky</t>
  </si>
  <si>
    <t>Inventár</t>
  </si>
  <si>
    <t>Iný dlhodobý hmotný majetok</t>
  </si>
  <si>
    <t>Dlhodobý hmotný majetok sa odpisuje do nákladov počas predpokladanej doby životnosti príslušného majetku. Predpokladaná doba používania, metóda odpisovania a odpisová sadzba sú stanovené pre jednotlivé skupiny dlhodobého hmotného majetku  nasledovne:</t>
  </si>
  <si>
    <t>V prípade prechodného zníženia úžitkovej hodnoty dlhodobého hmotného majetku sa tvorí opravná položka vo výške rozdielu jeho zistenej úžitkovej hodnoty a zostatkovej hodnoty.</t>
  </si>
  <si>
    <t>Náklady budúcich období a príjmy budúcich období sa oceňujú ich menovitou hodnotou, pričom sa vykazujú vo výške, ktorá je potrebná na dodržanie zásady vecnej a časovej súvislosti s účtovným obdobím.</t>
  </si>
  <si>
    <t>Rezervy sú záväzky s neurčitým časovým vymedzením alebo výškou, tvoria sa na krytie  známych rizík alebo strát z podnikania. Oceňujú sa v očakávanej výške záväzku.</t>
  </si>
  <si>
    <t>Výdavky budúcich období a výnosy budúcich období sa oceňujú ich menovitou hodnotou, pričom sa vykazujú vo výške, ktorá je potrebná na dodržanie zásady vecnej a časovej súvislosti s účtovným obdobím.</t>
  </si>
  <si>
    <t>Transakcie v cudzej mene sa prepočítavajú na eurá referenčným výmenným kurzom určeným a vyhláseným Európskou centrálnou bankou alebo Národnou bankou Slovenska v deň predchádzajúci dňu uskutočnenia účtovného prípadu.</t>
  </si>
  <si>
    <t>Peňažné aktíva a pasíva vyjadrené v cudzej mene sa prepočítavajú kurzom platným ku dňu zostavenia účtovnej závierky. Vzniknuté kurzové rozdiely sa vykazujú vo výkaze ziskov a strát.</t>
  </si>
  <si>
    <t xml:space="preserve">Kúpa a predaj cudzej meny sa prepočítava na euro kurzom, za ktorý boli tieto hodnoty nakúpené alebo predané.  </t>
  </si>
  <si>
    <t xml:space="preserve">Tržby za vlastné výkony a tovar neobsahujú daň z pridanej hodnoty. Sú tiež znížené o zľavy a zrážky (rabaty, bonusy, skontá, dobropisy a pod.). Tržby sú účtované ku dňu splnenia dodávky alebo služby. </t>
  </si>
  <si>
    <t xml:space="preserve">Majetok obstaraný formou operatívneho lízingu sa účtuje do nákladov počas doby trvania lízingovej zmluvy. Nájomné za majetok obstaraný formou operatívneho lízingu sa účtuje do nákladov rovnomerne počas doby trvania  zmluvy o prenájme. </t>
  </si>
  <si>
    <t>Náklad na daň z príjmov sa počíta pomocou platnej daňovej sadzby z účtovného zisku upraveného o trvalé alebo dočasne daňovo neuznateľné náklady a nezdaňované výnosy. Odložené dane (odložená daňová pohľadávka a odložený daňový záväzok)  sa vzťahujú na:</t>
  </si>
  <si>
    <t>možnosti umorovať daňovú stratu v budúcnosti, pod ktorou sa rozumie možnosť odpočítať daňovú stratu od základu dane v budúcnosti,</t>
  </si>
  <si>
    <t>dočasné rozdiely medzi účtovnou hodnotou majetku a účtovnou hodnotou záväzkov vykázanou v súvahe a ich daňovou základňou,</t>
  </si>
  <si>
    <t>možnosť previesť nevyužité daňové odpočty a iné daňové nároky do budúcich období.</t>
  </si>
  <si>
    <t>O odloženom daňovom záväzku účtuje spoločnosť vždy, o pohľadávke účtuje, ak je realizovateľná.</t>
  </si>
  <si>
    <r>
      <t>4.</t>
    </r>
    <r>
      <rPr>
        <b/>
        <sz val="7"/>
        <color theme="1"/>
        <rFont val="Times New Roman"/>
        <family val="1"/>
        <charset val="238"/>
      </rPr>
      <t>      </t>
    </r>
    <r>
      <rPr>
        <b/>
        <u/>
        <sz val="10"/>
        <color theme="1"/>
        <rFont val="Arial"/>
        <family val="2"/>
        <charset val="238"/>
      </rPr>
      <t>DLHODOBÝ MAJETOK</t>
    </r>
  </si>
  <si>
    <t>Poistenie majetku</t>
  </si>
  <si>
    <t xml:space="preserve">Zúčtovanie OP z dôvodu zániku opodstat-
nenosti
</t>
  </si>
  <si>
    <t>Informácie o vývoji opravnej položky k pohľadávkam</t>
  </si>
  <si>
    <t>Informácie o vekovej štruktúre pohľadávok</t>
  </si>
  <si>
    <t>16.2</t>
  </si>
  <si>
    <t>Informácie o krátkodobom finančnom majetku</t>
  </si>
  <si>
    <t>Informácie o významných položkách časového rozlíšenia</t>
  </si>
  <si>
    <t>Informácie o majetku prenajatom formou finančného prenájmu</t>
  </si>
  <si>
    <t>24.1</t>
  </si>
  <si>
    <t>24.2.</t>
  </si>
  <si>
    <t>Informácie o rezervách</t>
  </si>
  <si>
    <t>25.1</t>
  </si>
  <si>
    <t>25.2</t>
  </si>
  <si>
    <t>Informácie o záväzkoch</t>
  </si>
  <si>
    <t xml:space="preserve">Informácie o odloženej daňovej pohľadávke alebo o odloženom daňovom záväzku </t>
  </si>
  <si>
    <t>Informácie o významných položkách časového rozlíšenia na strane pasív</t>
  </si>
  <si>
    <t xml:space="preserve">Výnosy budúcich období krátkodobé, 
z toho:
</t>
  </si>
  <si>
    <t>Revenues from merchandise (604,607)</t>
  </si>
  <si>
    <t>Tržby</t>
  </si>
  <si>
    <t>Informácie o tržbách</t>
  </si>
  <si>
    <t>Aktivácia</t>
  </si>
  <si>
    <t>Informácie o výnosoch pri aktivácii nákladov a o výnosoch z hospodárskej činnosti, finančnej činnosti a mimoriadnej činnosti</t>
  </si>
  <si>
    <t>Informácie o čistom obrate</t>
  </si>
  <si>
    <t>Náklady</t>
  </si>
  <si>
    <t>Informácie o nákladoch</t>
  </si>
  <si>
    <t>Dane z príjmov</t>
  </si>
  <si>
    <t>Informácie o daniach z príjmov</t>
  </si>
  <si>
    <t>Daň v %</t>
  </si>
  <si>
    <t>46.1</t>
  </si>
  <si>
    <t>strana</t>
  </si>
  <si>
    <r>
      <t xml:space="preserve">Please </t>
    </r>
    <r>
      <rPr>
        <b/>
        <i/>
        <sz val="8"/>
        <color indexed="10"/>
        <rFont val="Arial"/>
        <family val="2"/>
      </rPr>
      <t>read</t>
    </r>
    <r>
      <rPr>
        <i/>
        <sz val="8"/>
        <color indexed="10"/>
        <rFont val="Arial"/>
        <family val="2"/>
      </rPr>
      <t xml:space="preserve"> carefully comments for writing data in </t>
    </r>
    <r>
      <rPr>
        <b/>
        <i/>
        <sz val="8"/>
        <color indexed="10"/>
        <rFont val="Arial"/>
        <family val="2"/>
      </rPr>
      <t>correct</t>
    </r>
    <r>
      <rPr>
        <i/>
        <sz val="8"/>
        <color indexed="10"/>
        <rFont val="Arial"/>
        <family val="2"/>
      </rPr>
      <t xml:space="preserve"> format</t>
    </r>
  </si>
  <si>
    <r>
      <t xml:space="preserve">Name of entity </t>
    </r>
    <r>
      <rPr>
        <b/>
        <sz val="8"/>
        <rFont val="Arial"/>
        <family val="2"/>
        <charset val="238"/>
      </rPr>
      <t>(including legal form)</t>
    </r>
    <r>
      <rPr>
        <b/>
        <sz val="8"/>
        <rFont val="Arial"/>
        <family val="2"/>
      </rPr>
      <t xml:space="preserve"> :</t>
    </r>
  </si>
  <si>
    <t>#</t>
  </si>
  <si>
    <r>
      <t>KONTROLA SUC</t>
    </r>
    <r>
      <rPr>
        <sz val="8"/>
        <color theme="1"/>
        <rFont val="Arial"/>
        <family val="2"/>
        <charset val="238"/>
      </rPr>
      <t>T</t>
    </r>
    <r>
      <rPr>
        <b/>
        <sz val="8"/>
        <color theme="1"/>
        <rFont val="Arial"/>
        <family val="2"/>
        <charset val="238"/>
      </rPr>
      <t>OV</t>
    </r>
  </si>
  <si>
    <t>Informácie o dlhodobom hmotnom majetku</t>
  </si>
  <si>
    <t>5.1</t>
  </si>
  <si>
    <t>Pestovateľ-  ské celky 
trvalých porastov</t>
  </si>
  <si>
    <t>5.2</t>
  </si>
  <si>
    <t>POZNÁMKY</t>
  </si>
  <si>
    <t>priebežná</t>
  </si>
  <si>
    <t>BALANCE SHEET</t>
  </si>
  <si>
    <t>Balance sheet Úč POD 1 - 01</t>
  </si>
  <si>
    <t>as of</t>
  </si>
  <si>
    <t>in full EUR</t>
  </si>
  <si>
    <t>Numerical data must align right, other data must be written from left. Unused rows must be left blank.</t>
  </si>
  <si>
    <t>Data must be written in block letters (based on the example), by typewriter or printer, in black or dark blue ink.</t>
  </si>
  <si>
    <t>Á  Ä  B  Č  D  É  F  G  H  Í  J  K  L  M  N  O  P  Q  R  Š  T  Ú  V  X  Ý  Ž  0  1  2  3  4  5  6  7  8  9</t>
  </si>
  <si>
    <t>Tax identification number</t>
  </si>
  <si>
    <t>Financial statements</t>
  </si>
  <si>
    <t>Month</t>
  </si>
  <si>
    <t>Year</t>
  </si>
  <si>
    <t>For period</t>
  </si>
  <si>
    <t>from</t>
  </si>
  <si>
    <t>Identification number</t>
  </si>
  <si>
    <t>Ordinary</t>
  </si>
  <si>
    <t>Prepared</t>
  </si>
  <si>
    <t>to</t>
  </si>
  <si>
    <t>Extraordinary</t>
  </si>
  <si>
    <t>Approved</t>
  </si>
  <si>
    <t xml:space="preserve">Directly preceding 
period
</t>
  </si>
  <si>
    <t>(marked with x)</t>
  </si>
  <si>
    <t>Business name of entity</t>
  </si>
  <si>
    <t>Registered seat of entity</t>
  </si>
  <si>
    <t>Street</t>
  </si>
  <si>
    <t>Number</t>
  </si>
  <si>
    <t>ZIP Code</t>
  </si>
  <si>
    <t>Town</t>
  </si>
  <si>
    <t>Phone number</t>
  </si>
  <si>
    <t>Fax number</t>
  </si>
  <si>
    <t>E-mail</t>
  </si>
  <si>
    <t>Signature of the person responsible for maintaining the accounting:</t>
  </si>
  <si>
    <t>Signature of the person responsible for the preparation of the financial statements:</t>
  </si>
  <si>
    <t>Signature of the member of the statutory body of the entity or physical person who is the entity:</t>
  </si>
  <si>
    <t>Tax Office records</t>
  </si>
  <si>
    <t>Place for the reference number</t>
  </si>
  <si>
    <t>Stamp of the Tax Office</t>
  </si>
  <si>
    <t>Tax ID</t>
  </si>
  <si>
    <t>Line
a</t>
  </si>
  <si>
    <t>ASSETS
b</t>
  </si>
  <si>
    <t>Line no.
c</t>
  </si>
  <si>
    <t>Current period</t>
  </si>
  <si>
    <t>Prior period</t>
  </si>
  <si>
    <r>
      <t xml:space="preserve">Gross value - </t>
    </r>
    <r>
      <rPr>
        <sz val="7.5"/>
        <rFont val="Arial"/>
        <family val="2"/>
        <charset val="238"/>
      </rPr>
      <t>part 1</t>
    </r>
  </si>
  <si>
    <t>Net value    2</t>
  </si>
  <si>
    <r>
      <t xml:space="preserve">Adjustment - </t>
    </r>
    <r>
      <rPr>
        <sz val="7.5"/>
        <rFont val="Arial"/>
        <family val="2"/>
        <charset val="238"/>
      </rPr>
      <t>part 2</t>
    </r>
  </si>
  <si>
    <t>Net value    3</t>
  </si>
  <si>
    <t>TOTAL ASSETS
l. 002 + l. 030
+ l. 061</t>
  </si>
  <si>
    <t>Non-current assets
l. 003 + l. 011
+ l. 021</t>
  </si>
  <si>
    <t>Non-current intangible assets  total (l. 004 to
010)</t>
  </si>
  <si>
    <t>Capitalized development cost
(012) - /072, 091A/</t>
  </si>
  <si>
    <t>Software
(013) - /073, 091A/</t>
  </si>
  <si>
    <t>Valuable rights
(014) - /074, 091A/</t>
  </si>
  <si>
    <t>Other non-current intangible assets
(019, 01X) - /079,
07X, 091A/</t>
  </si>
  <si>
    <t>Non-current intangible assets under construction
(041) - 093</t>
  </si>
  <si>
    <t>Advance payments for non-current intangible assets
(051) - 095A</t>
  </si>
  <si>
    <t>Land
(031) - 092A</t>
  </si>
  <si>
    <t>Buildings
(021) - /081,092A/</t>
  </si>
  <si>
    <t>Plant and equipment
(022) - /082, 092A/</t>
  </si>
  <si>
    <t>Perennial crops
(025) - /085, 092A/</t>
  </si>
  <si>
    <t>Livestock and draught animals
(026) - /086, 092A/</t>
  </si>
  <si>
    <t>Other non-current tangible assets
(029, 02X, 032) -
/089, 08X, 092A/</t>
  </si>
  <si>
    <t>Non-current tangible assets under construction
(042) - 094</t>
  </si>
  <si>
    <t>Advance payments for non-current tangible assets
(052) - 095A</t>
  </si>
  <si>
    <t>Adjustments for assets acquired
(+/- 097) +/- 098</t>
  </si>
  <si>
    <t>Non-current financial assets  total (l. 022 to 029)</t>
  </si>
  <si>
    <t>Investment in subsidiaries
(061) - 096A</t>
  </si>
  <si>
    <t>Investment in  interest in associates
(062) - 096A</t>
  </si>
  <si>
    <t>Other non-current investments
(063, 065) - 096A</t>
  </si>
  <si>
    <t>Loans to entities in consolidated group
(066A) - 096A</t>
  </si>
  <si>
    <t>Other non-current financial assets
(067A, 069, 06XA)
- 096A</t>
  </si>
  <si>
    <t>Loans with maturity up to one year
(066A, 067A, 06XA)
- 096A</t>
  </si>
  <si>
    <t>Non-current financial assets under construction
(043) - 096A</t>
  </si>
  <si>
    <t>Advance payments for non-current financial assets
(053) - 095A</t>
  </si>
  <si>
    <t>Current assets
l. 031 + l. 038
+ l. 046 + l. 055</t>
  </si>
  <si>
    <t>Raw material
(112, 119, 11X) - /191,19X/</t>
  </si>
  <si>
    <t>Work in progress and semi-finished goods
(121, 122, 12X) -
/192, 193, 19X/</t>
  </si>
  <si>
    <t>Finished goods
(123) - 194</t>
  </si>
  <si>
    <t>Livestock
(124) - 195</t>
  </si>
  <si>
    <t>Merchandise
(132, 13X, 139)
- /196, 19X/</t>
  </si>
  <si>
    <t>Advance payments for inventories
(314A) - 391A</t>
  </si>
  <si>
    <t>Trade receivables
(311A, 312A, 313A,
314A, 315A, 31XA)
- 391A</t>
  </si>
  <si>
    <t>Receivables from subsidiary and controlling entity
(351A) - 391A</t>
  </si>
  <si>
    <t>Other receivables within consolidated group
(351A) - 391A</t>
  </si>
  <si>
    <t>Receivables from partners and consortium members
(354A, 355A, 358A,
35XA) - 391A</t>
  </si>
  <si>
    <t>Other receivables
(335A, 33XA, 371A,
373A, 374A, 375A,
376A, 378A) - 391A</t>
  </si>
  <si>
    <t>Deferred tax asset
(481A)</t>
  </si>
  <si>
    <t>Trade receivables
(311A, 312A, 313A,
314A, 315A, 31XA) -
391A</t>
  </si>
  <si>
    <t>Receivables from subsidiary and controlling enterprise
(351A) - 391A</t>
  </si>
  <si>
    <t>Receivables from partners and consortium members
(354A, 355A, 358A,
35XA, 398A) - 391A</t>
  </si>
  <si>
    <t>Social security receivables
(336) - 391A</t>
  </si>
  <si>
    <t>Tax receivables
(341, 342, 343, 345,
346, 347) - 391A</t>
  </si>
  <si>
    <t>Cash
(211, 213, 21X)</t>
  </si>
  <si>
    <t>Bank accounts
(221A, 22X +/- 261)</t>
  </si>
  <si>
    <t>Term deposits exceeding one year 
22XA</t>
  </si>
  <si>
    <t>Short-term financial assets
(251, 253, 256, 257,
25X) - /291, 29X/</t>
  </si>
  <si>
    <t>Short-term financial assets under construction
(259, 314A) - 291</t>
  </si>
  <si>
    <t>Accruals and prepayments  total
l. 062 and 065</t>
  </si>
  <si>
    <t>Prepaid expenses 
long-term
(381A, 382A)</t>
  </si>
  <si>
    <t>Prepaid expenses 
short-term
(381A, 382A)</t>
  </si>
  <si>
    <t>Accrued revenues 
long-term
(385A)</t>
  </si>
  <si>
    <t>Accrued revenues 
short-term
(385A)</t>
  </si>
  <si>
    <t>LIABILITIES AND EQUITY
b</t>
  </si>
  <si>
    <t>Current period
4</t>
  </si>
  <si>
    <t>Prior period
5</t>
  </si>
  <si>
    <t>SHAREHOLDERS' EQUITY AND LIABILITIES TOTAL
l. 067 + 088 + 121</t>
  </si>
  <si>
    <t>Shareholders' equity 
l. 068+ 073+ 080 + 084+ 087</t>
  </si>
  <si>
    <t>Asset and liabilities revaluation reserve
(+/- 414)</t>
  </si>
  <si>
    <t>Profit or loss from current period /+-/
l. 001 - (068 + 073 + 080 + 084 + 088 + 121)</t>
  </si>
  <si>
    <t>Other non-current liabilities
(474A, 479A, 47XA, 372A, 373A, 377A)</t>
  </si>
  <si>
    <t>Trade payables
(321, 322, 324, 325, 32X, 475A, 478A, 479A, 47XA)</t>
  </si>
  <si>
    <t>Other liabilities within consolidated group
(361A, 36XA, 471A, 47XA)</t>
  </si>
  <si>
    <t>Tax liabilities and subsidies
(341, 342, 343, 345, 346, 347, 34X)</t>
  </si>
  <si>
    <t>Other short-term liabilities
(372A, 373A, 377A, 379A, 474A, 479A, 47X)</t>
  </si>
  <si>
    <t>INCOME STATEMENT</t>
  </si>
  <si>
    <t>Income Statement Úč POD 2-01</t>
  </si>
  <si>
    <t>at</t>
  </si>
  <si>
    <t>Numbers should be justified to the right, other data is justified to the left. Lines not filled out are left blank.</t>
  </si>
  <si>
    <t>The information should be written in block letters (see this example), using a typewriter or printer with black or dark blue ink.</t>
  </si>
  <si>
    <t>(marked with X)</t>
  </si>
  <si>
    <t>Actual result in</t>
  </si>
  <si>
    <t>Line no
c</t>
  </si>
  <si>
    <t>current period
1</t>
  </si>
  <si>
    <t>prior period
2</t>
  </si>
  <si>
    <t>Revnues from merchandise (604)</t>
  </si>
  <si>
    <t>Costs of merchandise sold
(504, 505A)</t>
  </si>
  <si>
    <t>Other operating revenues
(644, 645, 646, 648, 655, 657)</t>
  </si>
  <si>
    <t>Other operating expenses
(543, 544, 545, 546, 548, 549, 555, 557)</t>
  </si>
  <si>
    <t>Income from long-term financial assets
l.30 + 31 + 32</t>
  </si>
  <si>
    <t>Profit/(loss) from financial activities
l. 27 - 28 + 29 + 33 - 34 + 35 - 36 - 37 + 38 - 39
+ 40 - 41 + 42 -43 + (-44) - (-45)</t>
  </si>
  <si>
    <t xml:space="preserve"> - payable (591, 595)</t>
  </si>
  <si>
    <t xml:space="preserve"> - deferred (+/- 592)</t>
  </si>
  <si>
    <t>Net profit/(loss) from ordinary activities after tax
l. 47 - l. 48</t>
  </si>
  <si>
    <t xml:space="preserve"> - payable (593)</t>
  </si>
  <si>
    <t xml:space="preserve"> - deferred (+/ 594)</t>
  </si>
  <si>
    <t>Profit/(loss) share transferred to owners' account
(+/-596)</t>
  </si>
  <si>
    <t>Brutto - časť 1</t>
  </si>
  <si>
    <t>Korekcia - časť 2</t>
  </si>
  <si>
    <t>Bilanz Úč POD 1 - 01</t>
  </si>
  <si>
    <t>BILANZ</t>
  </si>
  <si>
    <t>zum</t>
  </si>
  <si>
    <t>in Euro</t>
  </si>
  <si>
    <t xml:space="preserve">Numerische Angaben werden nach rechts ausgerichtet, sonstige Angaben sind von links zu schreiben. </t>
  </si>
  <si>
    <t>Nicht ausgefüllte Zeilen sollen leer gelassen werden.</t>
  </si>
  <si>
    <t>Die Angaben sind mit Blockschrift  (nach diesem Muster), Schreibmaschine oder Drucker in schwarzer oder dunkelblauer Farbe auszufüllen.</t>
  </si>
  <si>
    <t>Á  Ä  B  Č  D  É  F  G  H  Í  J  K  L  M  N  O  P  Q  R  Š  T  Ú  V  X  Ý  Ž   0  1  2  3  4  5  6  7  8  9</t>
  </si>
  <si>
    <t>Umsatzsteuer-ID</t>
  </si>
  <si>
    <t>Jahresabschluss</t>
  </si>
  <si>
    <t>Monat</t>
  </si>
  <si>
    <t>Jahr</t>
  </si>
  <si>
    <t>Geschäftsjahr</t>
  </si>
  <si>
    <t>von</t>
  </si>
  <si>
    <t>INO</t>
  </si>
  <si>
    <t>Ordnungsmässiger</t>
  </si>
  <si>
    <t>Erstellt</t>
  </si>
  <si>
    <t>bis</t>
  </si>
  <si>
    <t>Ausserordentlicher</t>
  </si>
  <si>
    <t>Genehmigt</t>
  </si>
  <si>
    <t>(bitte ankreuzen)</t>
  </si>
  <si>
    <t>Vorjahr</t>
  </si>
  <si>
    <t>Name des Buchführungspflichtigen</t>
  </si>
  <si>
    <t>Sitz des Buchführungspflichtigen</t>
  </si>
  <si>
    <t>Strasse</t>
  </si>
  <si>
    <t>Nummer</t>
  </si>
  <si>
    <t>Postleitzahl</t>
  </si>
  <si>
    <t>Ort</t>
  </si>
  <si>
    <t>Telefonnummer</t>
  </si>
  <si>
    <t>Fax</t>
  </si>
  <si>
    <t>Email</t>
  </si>
  <si>
    <t>Erstellt am :</t>
  </si>
  <si>
    <t>Verantwortlich für den Jahresabshluss (Name und Unterschrift):</t>
  </si>
  <si>
    <t>Verantwortlich für die Buchführung (Name und Unterschrift)</t>
  </si>
  <si>
    <t>Vertreter des statutarischen Organs oder der buchungspflichtigen natürlichen Person</t>
  </si>
  <si>
    <t>Genehmigt am:</t>
  </si>
  <si>
    <t>Eintragungen des Finanzamtes</t>
  </si>
  <si>
    <t>Platz für die Referenznummer</t>
  </si>
  <si>
    <t>Stempel des Finanzamtes</t>
  </si>
  <si>
    <t>USt-ID</t>
  </si>
  <si>
    <t>Bezei-chnung
a</t>
  </si>
  <si>
    <t>AKTIVA
b</t>
  </si>
  <si>
    <t>Zeile
c</t>
  </si>
  <si>
    <t>Laufendes Jahr</t>
  </si>
  <si>
    <t>Brutto - Teil 1</t>
  </si>
  <si>
    <t>Korrektur - Teil 2</t>
  </si>
  <si>
    <t>Aktiva Gesamt Z. 002+030+061</t>
  </si>
  <si>
    <t>Anlagevermögen Z. 003+011+021</t>
  </si>
  <si>
    <t>Immaterielle Vermögensgegenstände (Z. 004 bis 010)</t>
  </si>
  <si>
    <t>Aktivierte Entwicklungskosten (012) -/072, 091A/</t>
  </si>
  <si>
    <t>Software (013) -/073, 091A/</t>
  </si>
  <si>
    <t>Bewertbare Rechte (014) -/074, 091A/</t>
  </si>
  <si>
    <t>Goodwill (015) -/075, 091A/</t>
  </si>
  <si>
    <t>Sonstige immaterielle Vermögensgegenstände (019, 01x) -/079, 07x, 091A/</t>
  </si>
  <si>
    <t>Im Anschaffungsprozess befindliche immaterielle Vermögensgegenstände (041) - 093</t>
  </si>
  <si>
    <t>Geleistete Anzahlungen auf immaterielle Vermögensgegenstände (051) -095A</t>
  </si>
  <si>
    <t>Sachanlagen (Z. 012 bis 020)</t>
  </si>
  <si>
    <t>Grundstücke (031) -092A</t>
  </si>
  <si>
    <t>Bauten (021) -/081, 092A/</t>
  </si>
  <si>
    <t>Eigenständige bewegliche Sachen und Gesamtheiten von beweglichen Sachen (022) -/082, 092A/</t>
  </si>
  <si>
    <t>Dauerhaft bepflanzte Anbauflächen (025) -/085, 092A/</t>
  </si>
  <si>
    <t>Grundherde und Zugtiere  (026) -/086, 092A/</t>
  </si>
  <si>
    <t>Sonstige Sachanlagen (029, 02x, 032) -/089, 08x, 092A/</t>
  </si>
  <si>
    <t>Sachanlagen im Bau (042) -094</t>
  </si>
  <si>
    <t>Geleistete Anzahlungen auf Sachanlagen (052) -095A</t>
  </si>
  <si>
    <t>Wertberichtigung auf erworbenes Vermögen (+/-097) +/-098</t>
  </si>
  <si>
    <t>Finanzanlagen (Z. 022 bis 029)</t>
  </si>
  <si>
    <t>Anteile an verbundenen Unternehmen (061) –096A</t>
  </si>
  <si>
    <t>Beteiligungen (062) –096A</t>
  </si>
  <si>
    <t>Sonstige Wertpapiere des Anlagevermögens (063, 065) -096A</t>
  </si>
  <si>
    <t>Ausleihungen an verbundene Unternehmen (066) -096A</t>
  </si>
  <si>
    <t>Sonstige Finanzanlagen (067, 069, 06XA) -096A</t>
  </si>
  <si>
    <t>Ausleihungen mit der Restlaufzeit bis zu einem Jahr (066A, 067A, 06XA) - 096A</t>
  </si>
  <si>
    <t>Finanzanlagen im Prozess der Anschaffung (043) - 096A</t>
  </si>
  <si>
    <t>Geleistete Anzahlungen auf Finanzanlagen (053) -095A</t>
  </si>
  <si>
    <t>Umlaufvermögen  Z. 031+038+046+055</t>
  </si>
  <si>
    <t>Vorräte (Z. 032 bis 037)</t>
  </si>
  <si>
    <t>Roh-, Hilfs- und Betriebsstoffe (112,119,11x) -/191,19x/</t>
  </si>
  <si>
    <t>Unfertige Erzeugnisse und Halbfabrikate (121,122,12x) -/192, 193, 19x/</t>
  </si>
  <si>
    <t>Fertige Erzeugnisse (123) –194</t>
  </si>
  <si>
    <t>Tiere (124) –195</t>
  </si>
  <si>
    <t>Waren (132,13x,139) –/196,19x/</t>
  </si>
  <si>
    <t>Geleistete Anzahlungen auf Vorräte (314A) -391A</t>
  </si>
  <si>
    <t>Langfristige Forderungen (Z. 039 bis 045)</t>
  </si>
  <si>
    <t>Forderungen aus Lieferungen und Leistungen  (311A, 312A, 313A, 314A, 315A, 31XA) –391A</t>
  </si>
  <si>
    <t>Nettowert des Fertigungsauftrags
(316A)</t>
  </si>
  <si>
    <t>Forderungen gegen verbundene Unternehmen (351A) -391A</t>
  </si>
  <si>
    <t>Sonstige Forderungen innerhalb des Konsolidierungskreises (351A) -391A</t>
  </si>
  <si>
    <t>Forderungen gegen Gesellschafter, Mitglieder und der Vereinigung (354A, 355A, 358A, 35XA) –391A</t>
  </si>
  <si>
    <t>Sonstige Forderungen (335A, 33XA, 371A, 373A, 374A, 375A, 376A, 378A) -391A</t>
  </si>
  <si>
    <t>Latente Steuerforderung  (481A)</t>
  </si>
  <si>
    <t>Kurzfristige Forderungen (Z. 047 bis 054)</t>
  </si>
  <si>
    <t>Forderungen aus Lieferungen und Leistungen (311A, 312A, 313A, 314A, 315A, 31XA) -391A</t>
  </si>
  <si>
    <t>Forderungen gegen Gesellschafter, Mitglieder und der Vereinigung (354A, 355A, 358A, 35XA, 398A) –391A</t>
  </si>
  <si>
    <t>Forderungen aus der Sozialversicherung (336A) -391A</t>
  </si>
  <si>
    <t>Steuerforderung (341,342,343,345,346,347) -391A</t>
  </si>
  <si>
    <t>Finanzkonten (Z. 056 bis 060)</t>
  </si>
  <si>
    <t>Kassenbestand (211, 213, 21X)</t>
  </si>
  <si>
    <t>Bankguthaben (221A, 22X,+/-261)</t>
  </si>
  <si>
    <t>Bankguthaben mit einer Bindungsfrist von mehr als einem Jahr (22XA)</t>
  </si>
  <si>
    <t>Finanzumlaufvermögen (251, 253,256,257,25X) -/291, 29X/</t>
  </si>
  <si>
    <t>Finanzumlaufvermögen im Prozess der Anschaffung (259, 314A) - 291</t>
  </si>
  <si>
    <t>Rechnungsabgrenzung  (Z. 062 und 065)</t>
  </si>
  <si>
    <t>Langfristige Aufwendungen künftiger Perioden
(381A, 382A)</t>
  </si>
  <si>
    <t>Kurzfristige Aufwendungen künftiger Perioden
(381A, 382A)</t>
  </si>
  <si>
    <t>Langfristige Einnahmen künftiger Perioden
(385A)</t>
  </si>
  <si>
    <t>Kurzfristige Einnahmen künftiger Perioden
(385A)</t>
  </si>
  <si>
    <t>PASSIVA
b</t>
  </si>
  <si>
    <t>Laufendes Jahr
4</t>
  </si>
  <si>
    <t>Vorjahr
5</t>
  </si>
  <si>
    <t>Summe Passiva Z. 067 + 088 + 121</t>
  </si>
  <si>
    <t>Eigenkapital Z. 068+ 073+ 080 + 084 + 087</t>
  </si>
  <si>
    <t>Grund-/Stammkapital (Z. 069 bis 072)</t>
  </si>
  <si>
    <t>Grund-/Stammkapital (411 bzw. +/-491)</t>
  </si>
  <si>
    <t>Eigene Aktien sowie eigene Geschäftsanteile (/-/252)</t>
  </si>
  <si>
    <t>Änderung des Grund-/Stammkapitals +/- 419</t>
  </si>
  <si>
    <t>Kapitalrücklagen (Z. 074 bis 079)</t>
  </si>
  <si>
    <t>Emmissionsagio (412)</t>
  </si>
  <si>
    <t>Sonstige Kapitalrücklagen (413)</t>
  </si>
  <si>
    <t>Gesetzliche Rücklage ("Unteilbarer Fonds") aus Kapitaleinlagen (417, 418)</t>
  </si>
  <si>
    <t>Bewertungsdifferenzen aus der Neubewertung von Vermögensgegenstände und Verbindlichkeiten  (+/-414)</t>
  </si>
  <si>
    <t>Bewertungsdifferenzen aus der Neubewertung von Kapitalbeteiligungen (+/-415)</t>
  </si>
  <si>
    <t>Bewertungsdifferenzen aus der Neubewertung bei Verschmelzungen und Spaltungen (+/- 416)</t>
  </si>
  <si>
    <t>Gewinnrücklagen (Z. 081 bis 083)</t>
  </si>
  <si>
    <t>Gesetzliche Rücklage (421)</t>
  </si>
  <si>
    <t>Unteilbarer Fonds (422)</t>
  </si>
  <si>
    <t>Satzungsmässige und sonstige Rücklagen (423, 427,42X)</t>
  </si>
  <si>
    <t>Ergebnisvortrag  (Z. 085 und 086)</t>
  </si>
  <si>
    <t>Gewinnvortrag (428)</t>
  </si>
  <si>
    <t>Verlustvortrag (/-/429)</t>
  </si>
  <si>
    <t>Ergebnis der laufenden Berichtsperiode 
/+ -/ Z. 001 -(068+ 073+ 080 + 084 + 088 + 121)</t>
  </si>
  <si>
    <t>Verbindlichkeiten Z. 089+094+106+117 + 118</t>
  </si>
  <si>
    <t>Rückstellungen (Z.090 bis 093)</t>
  </si>
  <si>
    <t>Langfristige gesetzliche Rückstellungen (451A)</t>
  </si>
  <si>
    <t>Kurzfristige gesetzliche Rückstellungen (323A, 451A)</t>
  </si>
  <si>
    <t>Sonstige langfristige Rückstellungen (459A, 45XA)</t>
  </si>
  <si>
    <t>Sonstige kurzfristige Rückstellungen (323, 32X, 451A, 459A, 45XA)</t>
  </si>
  <si>
    <t>Langfristige Verbindlichkeiten (Z. 095 bis 104)</t>
  </si>
  <si>
    <t>Langfristige Verbindlichkeiten aus Lieferungen und Leistungen  (479A)</t>
  </si>
  <si>
    <t>Nicht in Rechnung gestellte Lieferungen (476A)</t>
  </si>
  <si>
    <t>Langfristige Verbindlichkeiten gegenüber verbundenen Unternehmen (471A)</t>
  </si>
  <si>
    <t>Sonstige langfristige Verbindlichkeiten innerhalb des Konsolidierungskreises (471A)</t>
  </si>
  <si>
    <t>Langfristige erhaltene Anzahlungen (475A)</t>
  </si>
  <si>
    <t>Langfristige Wechsel zur Einlösung (478A)</t>
  </si>
  <si>
    <t>Emmitierte Schuldverschreibungen (473A, /-/255A)</t>
  </si>
  <si>
    <t>Verbindlichkeiten aus dem Sozialfonds (472)</t>
  </si>
  <si>
    <t>Sonstige langfristige Verbindlichkeiten 
(474A ,479A, 47XA, 372A, 373A, 377A)</t>
  </si>
  <si>
    <t>Latente Steuerverbindlichkeit (481A)</t>
  </si>
  <si>
    <t>Kurzfristige Verbindlichkeiten (Z. 107 bis 116)</t>
  </si>
  <si>
    <t>Kurzfristige Verbindlichkeiten aus Lieferungen und Leistungen  (321, 322, 324, 325, 32X, 475A, 478A, 479A, 47XA)</t>
  </si>
  <si>
    <t>Nicht in Rechnung gestellte Lieferungen (326, 476A)</t>
  </si>
  <si>
    <t>Verbindlichkeiten gegenüber verbundenen Unternehmen (361, 471A)</t>
  </si>
  <si>
    <t>Sonstige Verbindlichkeiten innerhalb des Konsolidierungskreises (361A, 36XA, 471A, 47XA)</t>
  </si>
  <si>
    <t>Verbindlichkeiten gegenüber Gesellschaftern, Mitgliedern und der Vereinigung (364, 365, 366, 367, 368, 398A, 478A, 479A)</t>
  </si>
  <si>
    <t>Verbindlichkeiten gegenüber Arbeitnehmern (331, 333, 33X, 479A)</t>
  </si>
  <si>
    <t>Verbindlichkeiten aus der Sozialversicherung (336, 479A)</t>
  </si>
  <si>
    <t>Steuerverbindlichkeiten und Zuwendungen (341, 342, 343, 345, 346, 347, 34X)</t>
  </si>
  <si>
    <t>Sonstige Verbindlichkeiten (372A, 373A, 377A, 379A, 474A, 479A, 47X)</t>
  </si>
  <si>
    <t>Kurzfristige finanzielle Ausleihungen (241, 249, 24x, 473A, /-/255A)</t>
  </si>
  <si>
    <t>Summe Bankdarlehen (Z. 119 und 120)</t>
  </si>
  <si>
    <t>Langfristige Bankdarlehen (461A, 46XA)</t>
  </si>
  <si>
    <t>Kurzfristige Bankdarlehen (221A, 231, 232, 23X, 461A, 46XA)</t>
  </si>
  <si>
    <t>Rechnungsabgrenzung (Z.122 bis 125)</t>
  </si>
  <si>
    <t>Langfristige Ausgaben künftiger Perioden (383A)</t>
  </si>
  <si>
    <t>Kurzfristige Ausgaben künftiger Perioden (383A)</t>
  </si>
  <si>
    <t>Langfristige Erträge künftiger Perioden (384A)</t>
  </si>
  <si>
    <t>Kurzfristige Erträge künftiger Perioden (384A)</t>
  </si>
  <si>
    <t xml:space="preserve">GEWINN- </t>
  </si>
  <si>
    <t>G. und V. Rechnung Úč POD 2 - 01</t>
  </si>
  <si>
    <t>UND VERLUSTRECHNUNG</t>
  </si>
  <si>
    <t>Stand</t>
  </si>
  <si>
    <t>Laufendes Jahr
1</t>
  </si>
  <si>
    <t>Vorjahr
2</t>
  </si>
  <si>
    <t xml:space="preserve">Umsatzerlöse aus dem Warenverkauf (604)                                       </t>
  </si>
  <si>
    <t xml:space="preserve">Wareneinsatz (504)                       </t>
  </si>
  <si>
    <t xml:space="preserve">Handelsspanne Z. 01-02                          </t>
  </si>
  <si>
    <t xml:space="preserve">Produktion Z. 05+06+07                                     </t>
  </si>
  <si>
    <t xml:space="preserve">Umsatzerlöse aus dem Verkauf eigener Erzeugnisse und Dienstleistungen (601,602,606)          </t>
  </si>
  <si>
    <t xml:space="preserve">Erhöhung/Verminderung des Bestands an fertigen und unfertigen Erzeugnissen (+/- Kontengruppe 61)           </t>
  </si>
  <si>
    <t xml:space="preserve">Aktivierte Eigenleistungen (Kontengruppe 62)                                          </t>
  </si>
  <si>
    <t xml:space="preserve">Materialaufwand Z. 09+10                                     </t>
  </si>
  <si>
    <t xml:space="preserve">Aufwendungen für Roh-, Hilfs- und Betriebsstoffe und Energieverbrauch (501, 502, 503, 505A)                       </t>
  </si>
  <si>
    <t xml:space="preserve">Aufwendungen für bezogene Leistungen (Kontengruppe 51)                                           </t>
  </si>
  <si>
    <t xml:space="preserve">Wertschöpfung  Z. 03+04-08                   </t>
  </si>
  <si>
    <t xml:space="preserve">Personalaufwand geamt Z. 13 bis 16                             </t>
  </si>
  <si>
    <t xml:space="preserve">Löhne und Gehälter  (521, 522)                                        </t>
  </si>
  <si>
    <t xml:space="preserve">Bezüge der Mitglieder der Gesellschafts- und Genossenschaftsorgane (523)              </t>
  </si>
  <si>
    <t xml:space="preserve">Aufwendungen für Sozial- und Krankenversicherung und Altersversorgung  (524, 525, 526)                  </t>
  </si>
  <si>
    <t xml:space="preserve">Sonstige Sozialaufwendungen (527, 528)                                     </t>
  </si>
  <si>
    <t xml:space="preserve">Steuern und Abgaben (Kontengruppe 53)                                    </t>
  </si>
  <si>
    <t xml:space="preserve">Abschreibungen auf immaterielle Vermögensgegenstände und Sachanlagen (551, 553)         </t>
  </si>
  <si>
    <t xml:space="preserve">Erlöse aus dem Verkauf von Anlagevermögen und Material (641, 642)      </t>
  </si>
  <si>
    <t>Restbuchwert des verkauften Anlagevermögens und Materials (541, 542)</t>
  </si>
  <si>
    <t>Zuführung zu und Auflösung von Wertberichtigungen auf Forderungen (+/-547)</t>
  </si>
  <si>
    <t xml:space="preserve">Sonstige betriebliche Erträge (644, 645, 646, 648, 655, 657)                    </t>
  </si>
  <si>
    <t xml:space="preserve">Sonstige betriebliche Aufwendungen (543, 544, 545, 546, 547, 548, 549, 555, 557)                    </t>
  </si>
  <si>
    <t xml:space="preserve">Übertragung von betrieblichen Erträgen (-)(697)                         </t>
  </si>
  <si>
    <t xml:space="preserve">Übertragung von betrieblichen Aufwendungen (-)(597)                         </t>
  </si>
  <si>
    <t>Betriebsergebnis Z. 11-12-17-18+19-20-21+22-23+(-24)-(-25)</t>
  </si>
  <si>
    <t xml:space="preserve">Erlöse aus dem Verkauf von Wertpapieren und Beteiligungen (661)                 </t>
  </si>
  <si>
    <t>Verkaufte Wertpapiere und Beteiligungen (561)</t>
  </si>
  <si>
    <t xml:space="preserve">Erträge aus Finanzanlagen Z. 30+31+32                    </t>
  </si>
  <si>
    <t xml:space="preserve">Erträge aus Wertpapieren und Anteilen an verbundenen Unternehmen (665A) </t>
  </si>
  <si>
    <t>Erträge aus sonstigen Wertpapieren des Anlagevermögens und Anteilen (665A)</t>
  </si>
  <si>
    <t xml:space="preserve">Erträge aus sonstigen Finanzanlagen (665A)                  </t>
  </si>
  <si>
    <t xml:space="preserve">Erträge aus dem Finanzumlaufvermögen (666)                   </t>
  </si>
  <si>
    <t xml:space="preserve">Aufwendungen für das Finanzumlaufvermögen (566)                       </t>
  </si>
  <si>
    <t xml:space="preserve">Erträge aus der Neubewertung von Wertpapieren und Erträge aus Transaktionen mit derivativen Finanzinstrumenten (664, 667)                          </t>
  </si>
  <si>
    <t xml:space="preserve">Aufwendungen für die Neubewertung von Wertpapieren und Aufwendungen für Transaktionen mit derivativen Finanzinstrumenten (564, 567)     </t>
  </si>
  <si>
    <t xml:space="preserve">Bildung und Auflösung von Wertberichtigungen auf finanzielle Vermögenswerte +/- 565                                     </t>
  </si>
  <si>
    <t xml:space="preserve">Zinserträge (662)                                             </t>
  </si>
  <si>
    <t xml:space="preserve">Zinsaufwendungen (562)                                            </t>
  </si>
  <si>
    <t xml:space="preserve">Kursgewinne (663)                                            </t>
  </si>
  <si>
    <t xml:space="preserve">Kursverluste (563)                                </t>
  </si>
  <si>
    <t xml:space="preserve">Sonstige Finanzerträge (668)                               </t>
  </si>
  <si>
    <t xml:space="preserve">Sonstige Finanzaufwendungen (568, 569)                               </t>
  </si>
  <si>
    <t xml:space="preserve">Übertragung der Finanzerträge (-)(698)                               </t>
  </si>
  <si>
    <t xml:space="preserve">Übertragung der Finanzaufwendungen (-)(598)                              </t>
  </si>
  <si>
    <t>Ergebnis aus der Finanzierungstätigkeit
Z. 27 - 28 + 29 + 33 - 34 + 35 - 36 - 37 + 38
- 39  + 40 - 41 + 42 - 43 + (-44) - (-45)</t>
  </si>
  <si>
    <t>Ergebnis aus laufender Geschäftstätigkeit vor Steuern Z.26 + Z.46</t>
  </si>
  <si>
    <t xml:space="preserve">Einkommensteuer aus gewöhnlicher Geschäftstätigkeit Z. 49 + 50                          </t>
  </si>
  <si>
    <t>- fällig (591, 595)</t>
  </si>
  <si>
    <t xml:space="preserve">- latent (+/-592)                                                 </t>
  </si>
  <si>
    <t>Ergebnis aus laufender Geschäftstätigkeit nach Steuern Z. 47 - Z. 48</t>
  </si>
  <si>
    <t xml:space="preserve">Außerordentliche Erträge (Kontengruppe 68)                                 </t>
  </si>
  <si>
    <t xml:space="preserve">Außerordentliche Aufwendungen (Kontengruppe 58)                                </t>
  </si>
  <si>
    <t>Ergebnis aus außergewöhnlicher Tätigkeit vor Steuern Z.52 - Z.53</t>
  </si>
  <si>
    <t xml:space="preserve">Einkommensteuer aus außerordentlicher Geschäftstätigkeit Z. 56 + 57                   </t>
  </si>
  <si>
    <t xml:space="preserve">- fällig (593)                                                 </t>
  </si>
  <si>
    <t xml:space="preserve">- latent (594)                                                 </t>
  </si>
  <si>
    <t>Ergebnis aus außergewöhnlicher Tätigkeit nach Steuern Z.54 - Z.55</t>
  </si>
  <si>
    <t xml:space="preserve">Jahresergebnis vor Steuern (+/-) Z.47+ Z.54         </t>
  </si>
  <si>
    <t xml:space="preserve">Ergebnisanteile der persönlich haftenden Gesellschafter (nur OHG, KG) (+/-596)  </t>
  </si>
  <si>
    <t xml:space="preserve">Jahresüberschuß/Jahresfehlbetrag  
(+/-) Z.51 + Z.58 - Z.60           </t>
  </si>
  <si>
    <t>individuálnej účtovnej závierky</t>
  </si>
  <si>
    <t>zostavenej k</t>
  </si>
  <si>
    <t>UVPOD3_1</t>
  </si>
  <si>
    <t>Poznámky Úč POD 3 - 04</t>
  </si>
  <si>
    <t>v eurocentoch</t>
  </si>
  <si>
    <t>v celých eurách</t>
  </si>
  <si>
    <t>Podpisový záznam člena
štatutárneho orgánu účtovnej
jednotky alebo fyzickej osoby,
ktorá je účtovnou jednotkou:</t>
  </si>
  <si>
    <t>Podpisový záznam osoby
zodpovednej za vedenie
účtovníctva:</t>
  </si>
  <si>
    <t>Pohľadávky voči DÚJ a MÚJ</t>
  </si>
  <si>
    <t>Ostatné pohľadávky v rámci kons. celku</t>
  </si>
  <si>
    <t>Bežné účty v banke alebo v pobočke zahraničnej banky</t>
  </si>
  <si>
    <t>Vkladové účty v banke alebo v pobočke zahraničnej banky termínované</t>
  </si>
  <si>
    <t>Vplyv nevykázanej odloženej daňovej pohľadávky</t>
  </si>
  <si>
    <t>Zmena sadzby dane</t>
  </si>
  <si>
    <t>Carat - Slovakia, s.r.o.</t>
  </si>
  <si>
    <t>31358730</t>
  </si>
  <si>
    <t>Teslova</t>
  </si>
  <si>
    <t>82102</t>
  </si>
  <si>
    <t>Bratislava</t>
  </si>
  <si>
    <t>V roku 2013 neboli uskutočnené žiadne významné zmeny v zápise do Obchodného registra.</t>
  </si>
  <si>
    <t>reklamná činnosť</t>
  </si>
  <si>
    <t>sprostredkovanie reklamy v médiách</t>
  </si>
  <si>
    <t>Informácie o štruktúre spoločníkov ku dňu, ku ktorému sa zostavuje účtovná závierka a o štruktúre spoločníkov do dňa jej zmeny v priebehu účtovného obdobia</t>
  </si>
  <si>
    <t>Aegis Media (Central Europe &amp; Africa) GmbH</t>
  </si>
  <si>
    <t>Spoločnosť  nie je v žiadnom podniku neobmedzene ručiacim spoločníkom.</t>
  </si>
  <si>
    <t>Členovia štatutárnych orgánov k 31. decembru 2013:</t>
  </si>
  <si>
    <t>Ing. Peter Chajda</t>
  </si>
  <si>
    <t>Ing. Roman Filla</t>
  </si>
  <si>
    <t>Účtovné zásady a metódy, ktoré spoločnosť používala pri zostavení účtovnej závierky za rok 2013 a 2012 sú nasledovné:</t>
  </si>
  <si>
    <t>rovnomerná</t>
  </si>
  <si>
    <t>poistenie auto</t>
  </si>
  <si>
    <t xml:space="preserve">ostatné </t>
  </si>
  <si>
    <t xml:space="preserve">poistenie  </t>
  </si>
  <si>
    <t xml:space="preserve">Príjmy budúcich období   </t>
  </si>
  <si>
    <t>na služby audítorov</t>
  </si>
  <si>
    <t>na služby DP</t>
  </si>
  <si>
    <t>na RZZP</t>
  </si>
  <si>
    <t>na bonusy klientov</t>
  </si>
  <si>
    <t>na prevádzkové náklady</t>
  </si>
  <si>
    <t>na výskumné dáta</t>
  </si>
  <si>
    <t xml:space="preserve">výnosy budúcich období   </t>
  </si>
  <si>
    <t>Slovenská republika</t>
  </si>
  <si>
    <t>ostatné prevádzkové výnosy</t>
  </si>
  <si>
    <t>výnosové úroky</t>
  </si>
  <si>
    <t xml:space="preserve">Náklady na nákup mediálneho priestoru </t>
  </si>
  <si>
    <t xml:space="preserve">Náklady na nájomné </t>
  </si>
  <si>
    <t>Náklady na reklamné služby</t>
  </si>
  <si>
    <t>Náklady na školenia zamestnancov</t>
  </si>
  <si>
    <t>Ostatné služby</t>
  </si>
  <si>
    <t>Nákladové úroky</t>
  </si>
  <si>
    <t xml:space="preserve">Ostatné náklady na finančnú činnosť </t>
  </si>
  <si>
    <t>Aegis Media Central Services, s.r.o.</t>
  </si>
  <si>
    <t>Kirowski Hungary</t>
  </si>
  <si>
    <t>Carat Global Management Londýn</t>
  </si>
  <si>
    <t>Aegis Media Global ltd Londýn</t>
  </si>
  <si>
    <t>Carat Italia SPA</t>
  </si>
  <si>
    <t>Carat Sverige AB</t>
  </si>
  <si>
    <t>Carat Hungary</t>
  </si>
  <si>
    <t>Po 31. decembri 2013 nenastali také udalosti, ktoré majú významný vplyv na verné zobrazenie skutočností uvádzaných v tejto účtovnej závierke.</t>
  </si>
  <si>
    <t xml:space="preserve">na nevyčerp. dovolenky </t>
  </si>
  <si>
    <t>EÚ</t>
  </si>
  <si>
    <t>za rok končiaci: 31.12.2013</t>
  </si>
  <si>
    <t>Spoločník</t>
  </si>
  <si>
    <t>Nie je menovaná.</t>
  </si>
  <si>
    <t>Konateľ:</t>
  </si>
  <si>
    <t>Prokurista:</t>
  </si>
  <si>
    <t>Konateľ, prokurista</t>
  </si>
  <si>
    <t>a)    Dlhodobý hmotný majetok</t>
  </si>
  <si>
    <t>Krátkodobý finančný majetok tvoria ceniny, peniaze v hotovosti a na bankových účtoch.</t>
  </si>
  <si>
    <t>c)    Pohľadávky</t>
  </si>
  <si>
    <t>b)    Finančný majetok</t>
  </si>
  <si>
    <t>Pohľadávky sa oceňujú menovitou hodnotou. Postúpené pohľadávky a pohľadávky nadobudnuté vkladom do základného imania sa oceňujú obstarávacou cenou. Ocenenie pochybných pohľadávok sa upravuje na ich realizovateľnú hodnotu opravnými položkami. Spoločnosť vytvára 100% opravnú položku k pohľadávkam po lehote splatnosti viac ako 180 dní.</t>
  </si>
  <si>
    <t>d)    Náklady budúcich období a príjmy budúcich období</t>
  </si>
  <si>
    <t xml:space="preserve">e)    Záväzky </t>
  </si>
  <si>
    <t xml:space="preserve">f)    Rezervy </t>
  </si>
  <si>
    <t>g)    Výdavky budúcich období a výnosy budúcich období</t>
  </si>
  <si>
    <t>h)    Vlastné imanie</t>
  </si>
  <si>
    <t>i)   Transakcie v cudzích menách</t>
  </si>
  <si>
    <t>j)    Výnosy</t>
  </si>
  <si>
    <t>Spoločnosť účtuje o finančnom lízingu tak, že majetok obstaraný formnou finančného lízingu je aktivovaný v deň prijatia predmetu lízingu v ocenení rovajúcom sa istinel. Lízingové splátky sú rozdelené medzi finančný náklad a zníženie nesplateného záväzku t.j. istinu. Finančný náklad sa účtuje do nákladov pri zachovaní vecnej a časovej súvislosti.</t>
  </si>
  <si>
    <t>k)   Finančný lízing</t>
  </si>
  <si>
    <t>l)   Daň z príjmu</t>
  </si>
  <si>
    <t>m)   Opravy chýb minulých účtovných období</t>
  </si>
  <si>
    <t>a)   Dlhodobý hmotný majetok</t>
  </si>
  <si>
    <r>
      <t xml:space="preserve">5.      </t>
    </r>
    <r>
      <rPr>
        <b/>
        <u/>
        <sz val="10"/>
        <color theme="1"/>
        <rFont val="Arial"/>
        <family val="2"/>
        <charset val="238"/>
      </rPr>
      <t>POHĽADÁVKY</t>
    </r>
  </si>
  <si>
    <r>
      <t xml:space="preserve">6.      </t>
    </r>
    <r>
      <rPr>
        <b/>
        <u/>
        <sz val="10"/>
        <color theme="1"/>
        <rFont val="Arial"/>
        <family val="2"/>
        <charset val="238"/>
      </rPr>
      <t>FINANČNÉ ÚČTY</t>
    </r>
  </si>
  <si>
    <r>
      <t xml:space="preserve">7.      </t>
    </r>
    <r>
      <rPr>
        <b/>
        <u/>
        <sz val="10"/>
        <color theme="1"/>
        <rFont val="Arial"/>
        <family val="2"/>
        <charset val="238"/>
      </rPr>
      <t>ČASOVÉ ROZLÍŠENIE</t>
    </r>
  </si>
  <si>
    <r>
      <t xml:space="preserve">9.      </t>
    </r>
    <r>
      <rPr>
        <b/>
        <u/>
        <sz val="10"/>
        <color theme="1"/>
        <rFont val="Arial"/>
        <family val="2"/>
        <charset val="238"/>
      </rPr>
      <t>REZERVY</t>
    </r>
  </si>
  <si>
    <r>
      <t xml:space="preserve">10.      </t>
    </r>
    <r>
      <rPr>
        <b/>
        <u/>
        <sz val="10"/>
        <color theme="1"/>
        <rFont val="Arial"/>
        <family val="2"/>
        <charset val="238"/>
      </rPr>
      <t>ZÁVÄZKY</t>
    </r>
  </si>
  <si>
    <r>
      <t>11.     </t>
    </r>
    <r>
      <rPr>
        <b/>
        <u/>
        <sz val="10"/>
        <color theme="1"/>
        <rFont val="Arial"/>
        <family val="2"/>
        <charset val="238"/>
      </rPr>
      <t>ODLOŽENÁ DAŇ Z PRÍJMOV</t>
    </r>
  </si>
  <si>
    <r>
      <t>13.     </t>
    </r>
    <r>
      <rPr>
        <b/>
        <u/>
        <sz val="10"/>
        <color theme="1"/>
        <rFont val="Arial"/>
        <family val="2"/>
        <charset val="238"/>
      </rPr>
      <t>ČASOVÉ ROZLÍŠENIE</t>
    </r>
  </si>
  <si>
    <r>
      <t>14.     </t>
    </r>
    <r>
      <rPr>
        <b/>
        <u/>
        <sz val="10"/>
        <color theme="1"/>
        <rFont val="Arial"/>
        <family val="2"/>
        <charset val="238"/>
      </rPr>
      <t>LÍZING (SPOLOČNOSŤ JE NÁJOMCOM)</t>
    </r>
  </si>
  <si>
    <t xml:space="preserve">Ostatné </t>
  </si>
  <si>
    <r>
      <t>16.     </t>
    </r>
    <r>
      <rPr>
        <b/>
        <u/>
        <sz val="10"/>
        <color theme="1"/>
        <rFont val="Arial"/>
        <family val="2"/>
        <charset val="238"/>
      </rPr>
      <t>INFORMÁCIE O SPRIAZNENÝCH OSOBÁCH</t>
    </r>
  </si>
  <si>
    <t>Aegis Media Austria Central Services</t>
  </si>
  <si>
    <t>Aegis Media Central Services GmbH</t>
  </si>
  <si>
    <t>Carat Czech Republic</t>
  </si>
  <si>
    <r>
      <t>17.     </t>
    </r>
    <r>
      <rPr>
        <b/>
        <u/>
        <sz val="10"/>
        <color theme="1"/>
        <rFont val="Arial"/>
        <family val="2"/>
        <charset val="238"/>
      </rPr>
      <t>INFORMÁCIE O ZMENÁCH VLASTNÉHO IMANIA</t>
    </r>
  </si>
  <si>
    <r>
      <t>18.     </t>
    </r>
    <r>
      <rPr>
        <b/>
        <u/>
        <sz val="10"/>
        <color theme="1"/>
        <rFont val="Arial"/>
        <family val="2"/>
        <charset val="238"/>
      </rPr>
      <t xml:space="preserve">PREHĽAD O PEŇAŽNÝCH TOKOCH </t>
    </r>
  </si>
  <si>
    <r>
      <t>19.     </t>
    </r>
    <r>
      <rPr>
        <b/>
        <u/>
        <sz val="10"/>
        <color theme="1"/>
        <rFont val="Arial"/>
        <family val="2"/>
        <charset val="238"/>
      </rPr>
      <t>VÝZNAMNÉ UDALOSTI, KTORÉ NASTALI PO DNI, KU KTORÉMU SA ZOSTAVUJE ÚČTOVNÁ ZÁVIERKA</t>
    </r>
  </si>
  <si>
    <t xml:space="preserve">Carat - Slovakia, s.r.o. (ďalej len „spoločnosť”) je spoločnosť s ručením obmedzeným, ktorá bola založená dňa 24.5.1993. Dňa 30.9.1993 bola zapísaná do Obchodného registra vedenom na Okresnom súde Bratislava I, oddiel Sro, vložka 5792/B. Spoločnosť sídli  v Bratislave, Teslova 20, 821 01 Bratislava, Slovenská republika, IČO 31358730. </t>
  </si>
  <si>
    <t>Dlhodobý majetok je poistený.  Majetkové poistenie zahŕňa predovšetkým povinné zmluvné poistenie na motorové vozidlo. Havarijné poistenie a povinne zmluvné poistenie je vo výške 1 119 EUR za rok. Spoločnosť má poistenie zodpovednosti za škodu vo výške 56 EUR za rok.  Poistenie pohľadávok bolo vo výške 2 194 EUR.</t>
  </si>
  <si>
    <t xml:space="preserve">Prehľad o peňažných tokoch bol spracovaný nepriamou metódou. </t>
  </si>
  <si>
    <r>
      <t xml:space="preserve">8.      </t>
    </r>
    <r>
      <rPr>
        <b/>
        <u/>
        <sz val="10"/>
        <color theme="1"/>
        <rFont val="Arial"/>
        <family val="2"/>
        <charset val="238"/>
      </rPr>
      <t>VLASTNÉ IMANIE</t>
    </r>
  </si>
  <si>
    <r>
      <t>15.     </t>
    </r>
    <r>
      <rPr>
        <b/>
        <u/>
        <sz val="10"/>
        <color theme="1"/>
        <rFont val="Arial"/>
        <family val="2"/>
        <charset val="238"/>
      </rPr>
      <t>VÝNOSY A NÁKLADY</t>
    </r>
  </si>
  <si>
    <t>Spoločnosť zaúčtovala odloženú daňovú pohľadávku vo výške 6 173 EUR.</t>
  </si>
  <si>
    <t xml:space="preserve">Spoločnosť Carat - Slovakia, s.r.o. je dcérskou spoločnosťou spoločnosti AEGIS Media (Central Europe &amp; Africa) GmbH so sídlom vo Wiesbadene, Spolková republika Nemecko, ktorá má 100-percentný podiel na jej základom imaní. Materská spoločnosť AEGIS Media (Central Europe &amp; Africa) GmbH je dcérskou spoločnosťou spoločnosti AEGIS Group plc, London a táto spoločnosť má 100% podiel na jej základnom imaní. Spoločnosť AEGIS Group plc, London zostavuje konsolidovanú účtovnú závierku za všetky skupiny podnikov konsolidovaného celku. </t>
  </si>
  <si>
    <t>Účtovná závierka bola zostavená podľa Zákona č. 431/2002 Z.z. o účtovníctve v znení neskorších predpisov za predpokladu nepretržitého trvania jej činnosti a je zostavená ako riadna účtovná závierka.</t>
  </si>
  <si>
    <t>Účtovná závierka spoločnosti za predchádzajúce účtovné obdobie k 31. decembru 2012 bola schválená valným zhromaždením spoločnosti dňa 14. novembra 2013.</t>
  </si>
  <si>
    <t xml:space="preserve">Vlastné imanie sa skladá zo základného imania, kapitálových fondov, zákonného rezervného fondu a výsledku hospodárenia v schvaľovacom konaní. </t>
  </si>
  <si>
    <t xml:space="preserve">Základné imanie spoločnosti sa vykazuje vo výške zapísanej v obchodnom registri okresného súdu. Prípadné zvýšenie alebo zníženie základného imania na základe rozhodnutia valného zhromaždenia, ktoré nebolo ku dňu účtovnej závierky zaregistrované, sa vykazuje ako zmeny základného imania. </t>
  </si>
  <si>
    <t>Spoločnosť vytvára rezervný fond  do výšky 10% základného imania.</t>
  </si>
  <si>
    <t>Spoločnosť v bežnom účtovnom období neúčtovala o oprave významných chýb minulých období.</t>
  </si>
  <si>
    <t>Pohľadávky voči spriazneným osobám (poznámka číslo 16).</t>
  </si>
  <si>
    <t>Informácie o rozdelení účtovného zisku</t>
  </si>
  <si>
    <t>na zam. bonusy</t>
  </si>
  <si>
    <t>Rezervy sú vytvorené z dôvodu zohľadnenia zásady opatrnosti. Predpokladaný rok použitia je rok 2014.</t>
  </si>
  <si>
    <t>Záväzky voči spriazneným osobám (poznámka číslo 16).</t>
  </si>
  <si>
    <t>Mediálne služby</t>
  </si>
  <si>
    <t>Tvorba / (-) rozpustenie opravných položiek</t>
  </si>
  <si>
    <t>Valné zhromaždenie spoločnosti konané dňa 14. novembra 2013 schválilo rozdelenie zisku za rok 2012. Zo zisku za rok 2012 boli vyplatené dividendy vo výške 2 294 EUR. Dividendy vo výške 45 857 EUR boli vyplatené zo zisku za rok 2011.</t>
  </si>
  <si>
    <t xml:space="preserve">IC pohľadávky a záväzky </t>
  </si>
  <si>
    <t>Suma</t>
  </si>
  <si>
    <t>Carat Global Management</t>
  </si>
  <si>
    <t xml:space="preserve">IC pohľadávky spolu </t>
  </si>
  <si>
    <t xml:space="preserve">IC záväzky spolu </t>
  </si>
  <si>
    <t>IC pohľadávky a záväzky k 31.12.2013</t>
  </si>
  <si>
    <t>Aegis Media Central Services, s.r.o.(ČR)</t>
  </si>
  <si>
    <t>AMCS CZ - nákup</t>
  </si>
  <si>
    <t>Vizeum Slovakia, s.r.o. - nákup</t>
  </si>
  <si>
    <t>Vizeum Slovakia, s.r.o. - predaj</t>
  </si>
  <si>
    <t>Spoločnosť nemá organizačnú zložku v zahraničí.</t>
  </si>
  <si>
    <t>Dlhodobé i krátkodobé záväzky sa vykazujú v menovitých hodnotách.</t>
  </si>
  <si>
    <t xml:space="preserve">Spoločnosť nemá krátkodobý finančný majetok, na ktorý bolo zriadené záložné právo ani krátkodobý finančný majetok, pri ktorom má spoločnosť obmedzené právo s ním nakladať. </t>
  </si>
  <si>
    <t>Základné imanie má hodnotu 132 776 EUR. Základné imanie bolo celé upísané a splatené.</t>
  </si>
  <si>
    <t>Zákonný rezervný fond je tvorený vo výške 13 278 EUR, čo predstavuje 10 % základného imania a dosahuje výšku povinnej minimálnej tvorby podľa Obchodného zákonníka.</t>
  </si>
  <si>
    <r>
      <t>12.     </t>
    </r>
    <r>
      <rPr>
        <b/>
        <u/>
        <sz val="10"/>
        <color theme="1"/>
        <rFont val="Arial"/>
        <family val="2"/>
        <charset val="238"/>
      </rPr>
      <t>INFORMÁCIE O ZÁVAZKOCH ZO SOCIÁLNEHO FONDU</t>
    </r>
  </si>
  <si>
    <t>Vedenie spoločnosti navrhuje rozdeliť zisk za rok 2013 nasledovne: vyplatením podielov na zisku spoločníkom.</t>
  </si>
  <si>
    <t xml:space="preserve">Zisk na podiel na základnom imaní predstavuje za rok 2013 184 304 EUR a za rok 2012 2 924 EUR.  </t>
  </si>
  <si>
    <t>Zmena stavu rezerv</t>
  </si>
  <si>
    <t>Informácie o ekonomických vzťahoch medzi účtovnou jednotkou a spriaznenými osobami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</si>
</sst>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_-* #,##0.00\ _S_k_-;\-* #,##0.00\ _S_k_-;_-* &quot;-&quot;??\ _S_k_-;_-@_-"/>
    <numFmt numFmtId="165" formatCode="0.0%"/>
    <numFmt numFmtId="166" formatCode="&quot;=round(&quot;0&quot;;0)&quot;"/>
    <numFmt numFmtId="167" formatCode="#,##0.0"/>
    <numFmt numFmtId="168" formatCode="#,##0;\-#,##0;&quot;&quot;"/>
    <numFmt numFmtId="169" formatCode="[&lt;=9999999]###\ ##\ ##;##\ ##\ ##\ ##"/>
    <numFmt numFmtId="170" formatCode="[$-41B]mmmmm;@"/>
    <numFmt numFmtId="171" formatCode="_*\ #,##0__;_(* \-#,##0__;_(&quot;&quot;_);_(@_)"/>
    <numFmt numFmtId="172" formatCode="d/m/yyyy;@"/>
    <numFmt numFmtId="173" formatCode="00"/>
    <numFmt numFmtId="174" formatCode="dd\.mm\.yyyy"/>
    <numFmt numFmtId="175" formatCode="#,##0\ [$EUR]"/>
  </numFmts>
  <fonts count="86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0"/>
      <name val="Arial CE"/>
      <charset val="238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i/>
      <sz val="8"/>
      <color indexed="48"/>
      <name val="Arial"/>
      <family val="2"/>
      <charset val="238"/>
    </font>
    <font>
      <sz val="8"/>
      <name val="Arial"/>
      <family val="2"/>
      <charset val="238"/>
    </font>
    <font>
      <i/>
      <sz val="8"/>
      <color indexed="10"/>
      <name val="Arial"/>
      <family val="2"/>
      <charset val="238"/>
    </font>
    <font>
      <b/>
      <sz val="8"/>
      <color indexed="10"/>
      <name val="Arial"/>
      <family val="2"/>
    </font>
    <font>
      <sz val="12"/>
      <name val="Times New Roman"/>
      <family val="1"/>
    </font>
    <font>
      <sz val="12"/>
      <name val="Times New Roman"/>
      <family val="1"/>
      <charset val="238"/>
    </font>
    <font>
      <b/>
      <i/>
      <sz val="8"/>
      <name val="Arial"/>
      <family val="2"/>
    </font>
    <font>
      <sz val="10"/>
      <name val="Arial CE"/>
      <family val="2"/>
      <charset val="238"/>
    </font>
    <font>
      <b/>
      <sz val="26"/>
      <name val="Arial CE"/>
      <family val="2"/>
      <charset val="238"/>
    </font>
    <font>
      <sz val="14"/>
      <name val="Arial CE"/>
      <family val="2"/>
      <charset val="238"/>
    </font>
    <font>
      <sz val="20"/>
      <color rgb="FFFF0000"/>
      <name val="Arial CE"/>
      <family val="2"/>
      <charset val="238"/>
    </font>
    <font>
      <sz val="12"/>
      <name val="Arial CE"/>
      <family val="2"/>
      <charset val="238"/>
    </font>
    <font>
      <b/>
      <sz val="20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name val="Arial CE"/>
      <family val="2"/>
      <charset val="238"/>
    </font>
    <font>
      <b/>
      <i/>
      <sz val="18"/>
      <name val="Arial CE"/>
      <family val="2"/>
      <charset val="238"/>
    </font>
    <font>
      <b/>
      <i/>
      <sz val="14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sz val="13"/>
      <name val="Arial CE"/>
      <family val="2"/>
      <charset val="238"/>
    </font>
    <font>
      <sz val="14"/>
      <color indexed="12"/>
      <name val="Arial CE"/>
      <family val="2"/>
      <charset val="238"/>
    </font>
    <font>
      <b/>
      <sz val="14"/>
      <color indexed="12"/>
      <name val="Arial CE"/>
      <family val="2"/>
      <charset val="238"/>
    </font>
    <font>
      <i/>
      <sz val="11"/>
      <name val="Arial CE"/>
      <family val="2"/>
      <charset val="238"/>
    </font>
    <font>
      <b/>
      <sz val="10"/>
      <name val="System"/>
      <family val="2"/>
      <charset val="238"/>
    </font>
    <font>
      <b/>
      <sz val="1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0"/>
      <color theme="1"/>
      <name val="Arial"/>
      <family val="2"/>
      <charset val="238"/>
    </font>
    <font>
      <sz val="5"/>
      <name val="Arial"/>
      <family val="2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b/>
      <sz val="8.5"/>
      <name val="Arial"/>
      <family val="2"/>
      <charset val="238"/>
    </font>
    <font>
      <b/>
      <i/>
      <sz val="11.5"/>
      <name val="Arial"/>
      <family val="2"/>
      <charset val="238"/>
    </font>
    <font>
      <b/>
      <i/>
      <sz val="12.5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8.5"/>
      <name val="Arial"/>
      <family val="2"/>
      <charset val="238"/>
    </font>
    <font>
      <b/>
      <sz val="10"/>
      <name val="Arial"/>
      <family val="2"/>
    </font>
    <font>
      <i/>
      <sz val="10"/>
      <name val="Arial"/>
      <family val="2"/>
      <charset val="238"/>
    </font>
    <font>
      <sz val="10"/>
      <name val="Arial"/>
      <family val="2"/>
    </font>
    <font>
      <i/>
      <sz val="5.5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sz val="12"/>
      <name val="Calibri"/>
      <family val="2"/>
      <charset val="238"/>
    </font>
    <font>
      <sz val="7.5"/>
      <name val="Arial"/>
      <family val="2"/>
      <charset val="238"/>
    </font>
    <font>
      <b/>
      <sz val="7.5"/>
      <name val="Arial"/>
      <family val="2"/>
      <charset val="238"/>
    </font>
    <font>
      <b/>
      <sz val="6"/>
      <name val="Arial"/>
      <family val="2"/>
      <charset val="238"/>
    </font>
    <font>
      <sz val="7.4"/>
      <name val="Arial"/>
      <family val="2"/>
      <charset val="238"/>
    </font>
    <font>
      <b/>
      <sz val="7.5"/>
      <name val="Arial"/>
      <family val="2"/>
    </font>
    <font>
      <u/>
      <sz val="10"/>
      <color indexed="12"/>
      <name val="Arial"/>
      <family val="2"/>
      <charset val="238"/>
    </font>
    <font>
      <b/>
      <u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7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i/>
      <sz val="8"/>
      <color indexed="10"/>
      <name val="Arial"/>
      <family val="2"/>
    </font>
    <font>
      <b/>
      <i/>
      <sz val="8"/>
      <color indexed="10"/>
      <name val="Arial"/>
      <family val="2"/>
    </font>
    <font>
      <b/>
      <sz val="8"/>
      <name val="Tahoma"/>
      <family val="2"/>
      <charset val="238"/>
    </font>
    <font>
      <sz val="8"/>
      <name val="Tahoma"/>
      <family val="2"/>
      <charset val="238"/>
    </font>
    <font>
      <u/>
      <sz val="11"/>
      <color theme="10"/>
      <name val="Calibri"/>
      <family val="2"/>
      <charset val="238"/>
    </font>
    <font>
      <i/>
      <sz val="8.5"/>
      <name val="Arial"/>
      <family val="2"/>
      <charset val="238"/>
    </font>
    <font>
      <i/>
      <sz val="7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4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rgb="FF000000"/>
      </right>
      <top/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 style="thick">
        <color indexed="64"/>
      </left>
      <right style="thick">
        <color rgb="FF000000"/>
      </right>
      <top/>
      <bottom style="medium">
        <color indexed="64"/>
      </bottom>
      <diagonal/>
    </border>
    <border>
      <left style="thick">
        <color indexed="64"/>
      </left>
      <right style="thick">
        <color rgb="FF000000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9" fontId="9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8" fillId="0" borderId="0"/>
    <xf numFmtId="0" fontId="21" fillId="0" borderId="0"/>
    <xf numFmtId="0" fontId="27" fillId="0" borderId="0"/>
    <xf numFmtId="0" fontId="28" fillId="0" borderId="0"/>
    <xf numFmtId="0" fontId="21" fillId="0" borderId="0"/>
    <xf numFmtId="0" fontId="67" fillId="0" borderId="0"/>
    <xf numFmtId="0" fontId="21" fillId="0" borderId="0"/>
    <xf numFmtId="0" fontId="74" fillId="0" borderId="0" applyNumberFormat="0" applyFill="0" applyBorder="0" applyAlignment="0" applyProtection="0">
      <alignment vertical="top"/>
      <protection locked="0"/>
    </xf>
    <xf numFmtId="0" fontId="7" fillId="0" borderId="0"/>
    <xf numFmtId="164" fontId="17" fillId="0" borderId="0" applyFont="0" applyFill="0" applyBorder="0" applyAlignment="0" applyProtection="0"/>
    <xf numFmtId="0" fontId="64" fillId="0" borderId="0"/>
    <xf numFmtId="0" fontId="83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</cellStyleXfs>
  <cellXfs count="1631">
    <xf numFmtId="0" fontId="0" fillId="0" borderId="0" xfId="0"/>
    <xf numFmtId="0" fontId="10" fillId="0" borderId="0" xfId="0" applyFont="1" applyAlignment="1">
      <alignment horizontal="left"/>
    </xf>
    <xf numFmtId="0" fontId="11" fillId="0" borderId="0" xfId="0" applyFont="1"/>
    <xf numFmtId="0" fontId="10" fillId="0" borderId="0" xfId="0" applyFont="1" applyAlignment="1">
      <alignment horizontal="justify"/>
    </xf>
    <xf numFmtId="0" fontId="0" fillId="0" borderId="0" xfId="0" applyAlignment="1">
      <alignment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justify"/>
    </xf>
    <xf numFmtId="0" fontId="0" fillId="0" borderId="43" xfId="0" applyBorder="1" applyAlignment="1">
      <alignment horizontal="center"/>
    </xf>
    <xf numFmtId="0" fontId="0" fillId="0" borderId="43" xfId="0" applyBorder="1"/>
    <xf numFmtId="0" fontId="12" fillId="0" borderId="0" xfId="0" applyFont="1"/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3" fontId="14" fillId="0" borderId="4" xfId="0" applyNumberFormat="1" applyFont="1" applyBorder="1" applyAlignment="1">
      <alignment horizontal="right" vertical="center" wrapText="1"/>
    </xf>
    <xf numFmtId="0" fontId="14" fillId="0" borderId="5" xfId="0" applyFont="1" applyBorder="1" applyAlignment="1">
      <alignment vertical="center" wrapText="1"/>
    </xf>
    <xf numFmtId="3" fontId="14" fillId="0" borderId="6" xfId="0" applyNumberFormat="1" applyFont="1" applyBorder="1" applyAlignment="1">
      <alignment horizontal="right" vertical="center" wrapText="1"/>
    </xf>
    <xf numFmtId="0" fontId="14" fillId="0" borderId="7" xfId="0" applyFont="1" applyBorder="1" applyAlignment="1">
      <alignment vertical="center" wrapText="1"/>
    </xf>
    <xf numFmtId="3" fontId="14" fillId="0" borderId="8" xfId="0" applyNumberFormat="1" applyFont="1" applyBorder="1" applyAlignment="1">
      <alignment horizontal="right" vertical="center" wrapText="1"/>
    </xf>
    <xf numFmtId="0" fontId="14" fillId="0" borderId="0" xfId="0" applyFont="1"/>
    <xf numFmtId="0" fontId="13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3" fillId="0" borderId="8" xfId="0" applyFont="1" applyBorder="1" applyAlignment="1">
      <alignment horizontal="center" vertical="center" wrapText="1"/>
    </xf>
    <xf numFmtId="3" fontId="14" fillId="0" borderId="13" xfId="0" applyNumberFormat="1" applyFont="1" applyBorder="1" applyAlignment="1">
      <alignment horizontal="right" vertical="center" wrapText="1"/>
    </xf>
    <xf numFmtId="9" fontId="14" fillId="0" borderId="13" xfId="1" applyFont="1" applyBorder="1" applyAlignment="1">
      <alignment horizontal="right" vertical="center" wrapText="1"/>
    </xf>
    <xf numFmtId="9" fontId="14" fillId="0" borderId="6" xfId="1" applyFont="1" applyBorder="1" applyAlignment="1">
      <alignment horizontal="right" vertical="center" wrapText="1"/>
    </xf>
    <xf numFmtId="0" fontId="13" fillId="0" borderId="7" xfId="0" applyFont="1" applyBorder="1" applyAlignment="1">
      <alignment vertical="center" wrapText="1"/>
    </xf>
    <xf numFmtId="3" fontId="14" fillId="0" borderId="14" xfId="0" applyNumberFormat="1" applyFont="1" applyBorder="1" applyAlignment="1">
      <alignment horizontal="right" vertical="center" wrapText="1"/>
    </xf>
    <xf numFmtId="9" fontId="14" fillId="0" borderId="14" xfId="0" applyNumberFormat="1" applyFont="1" applyBorder="1" applyAlignment="1">
      <alignment horizontal="right" vertical="center" wrapText="1"/>
    </xf>
    <xf numFmtId="9" fontId="14" fillId="0" borderId="14" xfId="1" applyFont="1" applyBorder="1" applyAlignment="1">
      <alignment horizontal="right" vertical="center" wrapText="1"/>
    </xf>
    <xf numFmtId="9" fontId="14" fillId="0" borderId="8" xfId="1" applyFont="1" applyBorder="1" applyAlignment="1">
      <alignment horizontal="right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13" xfId="0" applyFont="1" applyBorder="1" applyAlignment="1">
      <alignment vertical="center" wrapText="1"/>
    </xf>
    <xf numFmtId="9" fontId="14" fillId="0" borderId="13" xfId="1" applyNumberFormat="1" applyFont="1" applyBorder="1" applyAlignment="1">
      <alignment horizontal="right" vertical="center" wrapText="1"/>
    </xf>
    <xf numFmtId="9" fontId="14" fillId="0" borderId="6" xfId="1" applyNumberFormat="1" applyFont="1" applyBorder="1" applyAlignment="1">
      <alignment horizontal="right" vertical="center" wrapText="1"/>
    </xf>
    <xf numFmtId="0" fontId="14" fillId="0" borderId="14" xfId="0" applyFont="1" applyBorder="1" applyAlignment="1">
      <alignment horizontal="center" vertical="center" wrapText="1"/>
    </xf>
    <xf numFmtId="9" fontId="14" fillId="0" borderId="14" xfId="1" applyNumberFormat="1" applyFont="1" applyBorder="1" applyAlignment="1">
      <alignment horizontal="right" vertical="center" wrapText="1"/>
    </xf>
    <xf numFmtId="9" fontId="14" fillId="0" borderId="8" xfId="1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13" fillId="0" borderId="10" xfId="0" applyFont="1" applyBorder="1" applyAlignment="1">
      <alignment horizontal="center" vertical="center" wrapText="1"/>
    </xf>
    <xf numFmtId="0" fontId="0" fillId="0" borderId="0" xfId="0" applyAlignment="1"/>
    <xf numFmtId="0" fontId="13" fillId="0" borderId="12" xfId="0" applyFont="1" applyBorder="1" applyAlignment="1">
      <alignment horizontal="center" vertical="center" wrapText="1"/>
    </xf>
    <xf numFmtId="0" fontId="14" fillId="0" borderId="15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3" fontId="14" fillId="0" borderId="16" xfId="0" applyNumberFormat="1" applyFont="1" applyBorder="1" applyAlignment="1">
      <alignment horizontal="right" vertical="center" wrapText="1"/>
    </xf>
    <xf numFmtId="3" fontId="14" fillId="0" borderId="17" xfId="0" applyNumberFormat="1" applyFont="1" applyBorder="1" applyAlignment="1">
      <alignment horizontal="right" vertical="center" wrapText="1"/>
    </xf>
    <xf numFmtId="3" fontId="14" fillId="0" borderId="18" xfId="0" applyNumberFormat="1" applyFont="1" applyBorder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0" fontId="13" fillId="0" borderId="11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9" fontId="14" fillId="0" borderId="13" xfId="1" applyFont="1" applyBorder="1" applyAlignment="1">
      <alignment horizontal="center" vertical="center" wrapText="1"/>
    </xf>
    <xf numFmtId="9" fontId="14" fillId="0" borderId="14" xfId="1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3" fontId="13" fillId="0" borderId="14" xfId="0" applyNumberFormat="1" applyFont="1" applyBorder="1" applyAlignment="1">
      <alignment horizontal="right" vertical="center" wrapText="1"/>
    </xf>
    <xf numFmtId="0" fontId="13" fillId="0" borderId="32" xfId="0" applyFont="1" applyBorder="1" applyAlignment="1">
      <alignment horizontal="center" vertical="center" wrapText="1"/>
    </xf>
    <xf numFmtId="3" fontId="13" fillId="0" borderId="8" xfId="0" applyNumberFormat="1" applyFont="1" applyBorder="1" applyAlignment="1">
      <alignment horizontal="right" vertical="center" wrapText="1"/>
    </xf>
    <xf numFmtId="0" fontId="14" fillId="0" borderId="14" xfId="0" applyFont="1" applyBorder="1" applyAlignment="1">
      <alignment horizontal="right" vertical="center" wrapText="1"/>
    </xf>
    <xf numFmtId="0" fontId="14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justify"/>
    </xf>
    <xf numFmtId="0" fontId="13" fillId="0" borderId="15" xfId="0" applyFont="1" applyBorder="1" applyAlignment="1">
      <alignment vertical="center" wrapText="1"/>
    </xf>
    <xf numFmtId="3" fontId="14" fillId="0" borderId="13" xfId="0" applyNumberFormat="1" applyFont="1" applyBorder="1" applyAlignment="1">
      <alignment horizontal="right" vertical="center" wrapText="1" indent="1"/>
    </xf>
    <xf numFmtId="3" fontId="14" fillId="0" borderId="6" xfId="0" applyNumberFormat="1" applyFont="1" applyBorder="1" applyAlignment="1">
      <alignment horizontal="right" vertical="center" wrapText="1" indent="1"/>
    </xf>
    <xf numFmtId="3" fontId="13" fillId="0" borderId="14" xfId="0" applyNumberFormat="1" applyFont="1" applyBorder="1" applyAlignment="1">
      <alignment horizontal="right" vertical="center" wrapText="1" indent="1"/>
    </xf>
    <xf numFmtId="3" fontId="13" fillId="0" borderId="8" xfId="0" applyNumberFormat="1" applyFont="1" applyBorder="1" applyAlignment="1">
      <alignment horizontal="right" vertical="center" wrapText="1" indent="1"/>
    </xf>
    <xf numFmtId="0" fontId="13" fillId="0" borderId="15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32" xfId="0" applyFont="1" applyBorder="1" applyAlignment="1">
      <alignment vertical="center" wrapText="1"/>
    </xf>
    <xf numFmtId="0" fontId="14" fillId="0" borderId="3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3" fontId="14" fillId="0" borderId="4" xfId="0" applyNumberFormat="1" applyFont="1" applyBorder="1" applyAlignment="1">
      <alignment horizontal="right" vertical="center"/>
    </xf>
    <xf numFmtId="3" fontId="14" fillId="0" borderId="8" xfId="0" applyNumberFormat="1" applyFont="1" applyBorder="1" applyAlignment="1">
      <alignment horizontal="right" vertical="center"/>
    </xf>
    <xf numFmtId="3" fontId="14" fillId="0" borderId="13" xfId="0" applyNumberFormat="1" applyFont="1" applyBorder="1" applyAlignment="1">
      <alignment horizontal="right" vertical="center"/>
    </xf>
    <xf numFmtId="3" fontId="14" fillId="0" borderId="6" xfId="0" applyNumberFormat="1" applyFont="1" applyBorder="1" applyAlignment="1">
      <alignment horizontal="right" vertical="center"/>
    </xf>
    <xf numFmtId="3" fontId="13" fillId="0" borderId="14" xfId="0" applyNumberFormat="1" applyFont="1" applyBorder="1" applyAlignment="1">
      <alignment horizontal="right" vertical="center"/>
    </xf>
    <xf numFmtId="3" fontId="13" fillId="0" borderId="8" xfId="0" applyNumberFormat="1" applyFont="1" applyBorder="1" applyAlignment="1">
      <alignment horizontal="right" vertical="center"/>
    </xf>
    <xf numFmtId="0" fontId="13" fillId="0" borderId="10" xfId="0" applyFont="1" applyBorder="1" applyAlignment="1">
      <alignment vertical="center"/>
    </xf>
    <xf numFmtId="0" fontId="13" fillId="0" borderId="32" xfId="0" applyFont="1" applyBorder="1" applyAlignment="1">
      <alignment horizontal="center" vertical="center"/>
    </xf>
    <xf numFmtId="3" fontId="14" fillId="0" borderId="14" xfId="0" applyNumberFormat="1" applyFont="1" applyBorder="1" applyAlignment="1">
      <alignment horizontal="right" vertical="center"/>
    </xf>
    <xf numFmtId="0" fontId="13" fillId="0" borderId="7" xfId="0" applyFont="1" applyBorder="1" applyAlignment="1">
      <alignment horizontal="left" vertical="center" wrapText="1"/>
    </xf>
    <xf numFmtId="0" fontId="13" fillId="0" borderId="11" xfId="0" applyFont="1" applyBorder="1" applyAlignment="1">
      <alignment vertical="center"/>
    </xf>
    <xf numFmtId="0" fontId="13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14" fillId="0" borderId="30" xfId="0" applyFont="1" applyBorder="1" applyAlignment="1">
      <alignment vertical="center" wrapText="1"/>
    </xf>
    <xf numFmtId="0" fontId="14" fillId="0" borderId="46" xfId="0" applyFont="1" applyBorder="1" applyAlignment="1">
      <alignment vertical="center" wrapText="1"/>
    </xf>
    <xf numFmtId="0" fontId="13" fillId="0" borderId="1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14" fillId="0" borderId="14" xfId="0" applyFont="1" applyBorder="1" applyAlignment="1">
      <alignment horizontal="right" vertical="center"/>
    </xf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right" vertical="center"/>
    </xf>
    <xf numFmtId="0" fontId="14" fillId="0" borderId="48" xfId="0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13" fillId="0" borderId="25" xfId="0" applyFont="1" applyBorder="1" applyAlignment="1">
      <alignment vertical="center"/>
    </xf>
    <xf numFmtId="0" fontId="13" fillId="0" borderId="33" xfId="0" applyFont="1" applyBorder="1" applyAlignment="1">
      <alignment vertical="center"/>
    </xf>
    <xf numFmtId="0" fontId="13" fillId="0" borderId="20" xfId="0" applyFont="1" applyBorder="1" applyAlignment="1">
      <alignment horizontal="center" vertical="center" wrapText="1"/>
    </xf>
    <xf numFmtId="0" fontId="13" fillId="0" borderId="5" xfId="0" applyFont="1" applyBorder="1" applyAlignment="1">
      <alignment vertical="center"/>
    </xf>
    <xf numFmtId="0" fontId="13" fillId="0" borderId="9" xfId="0" applyFont="1" applyBorder="1" applyAlignment="1">
      <alignment vertical="center" wrapText="1"/>
    </xf>
    <xf numFmtId="0" fontId="13" fillId="0" borderId="34" xfId="0" applyFont="1" applyBorder="1" applyAlignment="1">
      <alignment vertical="center" wrapText="1"/>
    </xf>
    <xf numFmtId="3" fontId="14" fillId="0" borderId="13" xfId="0" applyNumberFormat="1" applyFont="1" applyBorder="1" applyAlignment="1">
      <alignment horizontal="center" vertical="center"/>
    </xf>
    <xf numFmtId="3" fontId="14" fillId="0" borderId="14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1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9" fontId="14" fillId="0" borderId="13" xfId="1" applyFont="1" applyBorder="1" applyAlignment="1">
      <alignment horizontal="right" vertical="center"/>
    </xf>
    <xf numFmtId="0" fontId="13" fillId="0" borderId="27" xfId="0" applyFont="1" applyBorder="1" applyAlignment="1">
      <alignment horizontal="right" vertical="center"/>
    </xf>
    <xf numFmtId="0" fontId="13" fillId="0" borderId="26" xfId="0" applyFont="1" applyBorder="1" applyAlignment="1">
      <alignment horizontal="right" vertical="center"/>
    </xf>
    <xf numFmtId="9" fontId="14" fillId="0" borderId="14" xfId="1" applyFont="1" applyBorder="1" applyAlignment="1">
      <alignment horizontal="right" vertical="center"/>
    </xf>
    <xf numFmtId="14" fontId="14" fillId="0" borderId="13" xfId="0" applyNumberFormat="1" applyFont="1" applyBorder="1" applyAlignment="1">
      <alignment horizontal="right" vertical="center"/>
    </xf>
    <xf numFmtId="9" fontId="14" fillId="0" borderId="6" xfId="1" applyFont="1" applyBorder="1" applyAlignment="1">
      <alignment horizontal="right" vertical="center"/>
    </xf>
    <xf numFmtId="0" fontId="14" fillId="0" borderId="34" xfId="0" applyFont="1" applyBorder="1" applyAlignment="1">
      <alignment vertical="center" wrapText="1"/>
    </xf>
    <xf numFmtId="3" fontId="14" fillId="0" borderId="17" xfId="0" applyNumberFormat="1" applyFont="1" applyBorder="1" applyAlignment="1">
      <alignment horizontal="right" vertical="center"/>
    </xf>
    <xf numFmtId="3" fontId="14" fillId="0" borderId="24" xfId="0" applyNumberFormat="1" applyFont="1" applyBorder="1" applyAlignment="1">
      <alignment horizontal="right" vertical="center"/>
    </xf>
    <xf numFmtId="0" fontId="14" fillId="0" borderId="9" xfId="0" applyFont="1" applyBorder="1" applyAlignment="1">
      <alignment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3" fontId="15" fillId="0" borderId="6" xfId="0" applyNumberFormat="1" applyFont="1" applyBorder="1" applyAlignment="1">
      <alignment horizontal="right" vertical="center"/>
    </xf>
    <xf numFmtId="3" fontId="14" fillId="0" borderId="12" xfId="0" applyNumberFormat="1" applyFont="1" applyBorder="1" applyAlignment="1">
      <alignment horizontal="right" vertical="center"/>
    </xf>
    <xf numFmtId="3" fontId="14" fillId="0" borderId="26" xfId="0" applyNumberFormat="1" applyFont="1" applyBorder="1" applyAlignment="1">
      <alignment horizontal="right" vertical="center"/>
    </xf>
    <xf numFmtId="0" fontId="15" fillId="0" borderId="5" xfId="0" applyFont="1" applyBorder="1" applyAlignment="1">
      <alignment vertical="center" wrapText="1"/>
    </xf>
    <xf numFmtId="0" fontId="14" fillId="0" borderId="28" xfId="0" applyFont="1" applyBorder="1" applyAlignment="1">
      <alignment vertical="center" wrapText="1"/>
    </xf>
    <xf numFmtId="0" fontId="14" fillId="0" borderId="3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4" fillId="0" borderId="39" xfId="0" applyFont="1" applyBorder="1" applyAlignment="1">
      <alignment horizontal="left" vertical="center"/>
    </xf>
    <xf numFmtId="0" fontId="14" fillId="0" borderId="41" xfId="0" applyFont="1" applyBorder="1" applyAlignment="1">
      <alignment horizontal="left" vertical="center"/>
    </xf>
    <xf numFmtId="0" fontId="14" fillId="0" borderId="42" xfId="0" applyFont="1" applyBorder="1" applyAlignment="1">
      <alignment horizontal="left" vertical="center"/>
    </xf>
    <xf numFmtId="0" fontId="14" fillId="0" borderId="4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4" fillId="0" borderId="7" xfId="0" applyFont="1" applyBorder="1" applyAlignment="1">
      <alignment vertical="center"/>
    </xf>
    <xf numFmtId="3" fontId="14" fillId="0" borderId="49" xfId="0" applyNumberFormat="1" applyFont="1" applyBorder="1" applyAlignment="1">
      <alignment horizontal="right" vertical="center"/>
    </xf>
    <xf numFmtId="3" fontId="14" fillId="0" borderId="16" xfId="0" applyNumberFormat="1" applyFont="1" applyBorder="1" applyAlignment="1">
      <alignment horizontal="right" vertical="center"/>
    </xf>
    <xf numFmtId="3" fontId="14" fillId="0" borderId="31" xfId="0" applyNumberFormat="1" applyFont="1" applyBorder="1" applyAlignment="1">
      <alignment horizontal="right" vertical="center"/>
    </xf>
    <xf numFmtId="3" fontId="14" fillId="0" borderId="18" xfId="0" applyNumberFormat="1" applyFont="1" applyBorder="1" applyAlignment="1">
      <alignment horizontal="right" vertical="center"/>
    </xf>
    <xf numFmtId="3" fontId="14" fillId="0" borderId="50" xfId="0" applyNumberFormat="1" applyFont="1" applyBorder="1" applyAlignment="1">
      <alignment horizontal="right" vertical="center"/>
    </xf>
    <xf numFmtId="3" fontId="13" fillId="0" borderId="18" xfId="0" applyNumberFormat="1" applyFont="1" applyBorder="1" applyAlignment="1">
      <alignment horizontal="right" vertical="center"/>
    </xf>
    <xf numFmtId="3" fontId="13" fillId="0" borderId="50" xfId="0" applyNumberFormat="1" applyFont="1" applyBorder="1" applyAlignment="1">
      <alignment horizontal="right" vertical="center"/>
    </xf>
    <xf numFmtId="0" fontId="13" fillId="0" borderId="7" xfId="0" applyFont="1" applyBorder="1" applyAlignment="1">
      <alignment horizontal="left" vertical="center"/>
    </xf>
    <xf numFmtId="3" fontId="13" fillId="0" borderId="13" xfId="0" applyNumberFormat="1" applyFont="1" applyBorder="1" applyAlignment="1">
      <alignment horizontal="right" vertical="center"/>
    </xf>
    <xf numFmtId="3" fontId="13" fillId="0" borderId="6" xfId="0" applyNumberFormat="1" applyFont="1" applyBorder="1" applyAlignment="1">
      <alignment horizontal="right" vertical="center"/>
    </xf>
    <xf numFmtId="3" fontId="14" fillId="0" borderId="29" xfId="0" applyNumberFormat="1" applyFont="1" applyBorder="1" applyAlignment="1">
      <alignment horizontal="right" vertical="center"/>
    </xf>
    <xf numFmtId="3" fontId="14" fillId="0" borderId="53" xfId="0" applyNumberFormat="1" applyFont="1" applyBorder="1" applyAlignment="1">
      <alignment horizontal="right" vertical="center"/>
    </xf>
    <xf numFmtId="0" fontId="14" fillId="0" borderId="9" xfId="0" applyFont="1" applyBorder="1" applyAlignment="1">
      <alignment vertical="center"/>
    </xf>
    <xf numFmtId="0" fontId="14" fillId="0" borderId="34" xfId="0" applyFont="1" applyBorder="1" applyAlignment="1">
      <alignment vertical="center"/>
    </xf>
    <xf numFmtId="0" fontId="14" fillId="0" borderId="28" xfId="0" applyFont="1" applyBorder="1" applyAlignment="1">
      <alignment vertical="center"/>
    </xf>
    <xf numFmtId="0" fontId="14" fillId="0" borderId="33" xfId="0" applyFont="1" applyBorder="1" applyAlignment="1">
      <alignment vertical="center"/>
    </xf>
    <xf numFmtId="0" fontId="13" fillId="0" borderId="26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3" fontId="14" fillId="0" borderId="45" xfId="0" applyNumberFormat="1" applyFont="1" applyBorder="1" applyAlignment="1">
      <alignment horizontal="right" vertical="center"/>
    </xf>
    <xf numFmtId="3" fontId="14" fillId="0" borderId="44" xfId="0" applyNumberFormat="1" applyFont="1" applyBorder="1" applyAlignment="1">
      <alignment horizontal="right" vertical="center"/>
    </xf>
    <xf numFmtId="3" fontId="14" fillId="0" borderId="52" xfId="0" applyNumberFormat="1" applyFont="1" applyBorder="1" applyAlignment="1">
      <alignment horizontal="right" vertical="center"/>
    </xf>
    <xf numFmtId="3" fontId="14" fillId="0" borderId="9" xfId="0" applyNumberFormat="1" applyFont="1" applyBorder="1" applyAlignment="1">
      <alignment horizontal="right" vertical="center"/>
    </xf>
    <xf numFmtId="0" fontId="14" fillId="0" borderId="17" xfId="0" applyFont="1" applyBorder="1" applyAlignment="1">
      <alignment horizontal="right" vertical="center"/>
    </xf>
    <xf numFmtId="0" fontId="14" fillId="0" borderId="24" xfId="0" applyFont="1" applyBorder="1" applyAlignment="1">
      <alignment horizontal="right" vertical="center"/>
    </xf>
    <xf numFmtId="9" fontId="14" fillId="0" borderId="8" xfId="1" applyFont="1" applyBorder="1" applyAlignment="1">
      <alignment horizontal="right" vertical="center"/>
    </xf>
    <xf numFmtId="3" fontId="14" fillId="0" borderId="6" xfId="0" applyNumberFormat="1" applyFont="1" applyBorder="1" applyAlignment="1">
      <alignment horizontal="center" vertical="center"/>
    </xf>
    <xf numFmtId="3" fontId="14" fillId="0" borderId="36" xfId="0" applyNumberFormat="1" applyFont="1" applyBorder="1" applyAlignment="1">
      <alignment horizontal="right" vertical="center"/>
    </xf>
    <xf numFmtId="3" fontId="14" fillId="0" borderId="37" xfId="0" applyNumberFormat="1" applyFont="1" applyBorder="1" applyAlignment="1">
      <alignment horizontal="right" vertical="center"/>
    </xf>
    <xf numFmtId="3" fontId="14" fillId="0" borderId="38" xfId="0" applyNumberFormat="1" applyFont="1" applyBorder="1" applyAlignment="1">
      <alignment horizontal="right" vertical="center"/>
    </xf>
    <xf numFmtId="0" fontId="13" fillId="0" borderId="0" xfId="0" applyFont="1" applyAlignment="1">
      <alignment horizontal="justify" vertical="center"/>
    </xf>
    <xf numFmtId="3" fontId="14" fillId="0" borderId="38" xfId="0" applyNumberFormat="1" applyFont="1" applyBorder="1" applyAlignment="1">
      <alignment horizontal="right" vertical="center" wrapText="1"/>
    </xf>
    <xf numFmtId="3" fontId="14" fillId="0" borderId="26" xfId="0" applyNumberFormat="1" applyFont="1" applyBorder="1" applyAlignment="1">
      <alignment horizontal="right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8" fillId="0" borderId="0" xfId="2" applyFont="1"/>
    <xf numFmtId="0" fontId="17" fillId="0" borderId="0" xfId="2"/>
    <xf numFmtId="0" fontId="18" fillId="0" borderId="0" xfId="2" applyNumberFormat="1" applyFont="1" applyAlignment="1"/>
    <xf numFmtId="0" fontId="19" fillId="0" borderId="0" xfId="2" applyNumberFormat="1" applyFont="1" applyAlignment="1"/>
    <xf numFmtId="49" fontId="18" fillId="0" borderId="0" xfId="2" applyNumberFormat="1" applyFont="1" applyAlignment="1" applyProtection="1"/>
    <xf numFmtId="0" fontId="18" fillId="0" borderId="0" xfId="2" applyNumberFormat="1" applyFont="1" applyBorder="1" applyAlignment="1"/>
    <xf numFmtId="0" fontId="18" fillId="0" borderId="0" xfId="2" applyNumberFormat="1" applyFont="1" applyBorder="1" applyAlignment="1">
      <alignment horizontal="left"/>
    </xf>
    <xf numFmtId="0" fontId="18" fillId="0" borderId="0" xfId="2" applyNumberFormat="1" applyFont="1" applyAlignment="1">
      <alignment horizontal="left" vertical="center"/>
    </xf>
    <xf numFmtId="0" fontId="18" fillId="0" borderId="0" xfId="2" applyFont="1" applyAlignment="1">
      <alignment vertical="center"/>
    </xf>
    <xf numFmtId="0" fontId="16" fillId="0" borderId="0" xfId="2" applyFont="1"/>
    <xf numFmtId="0" fontId="17" fillId="0" borderId="0" xfId="2" applyAlignment="1">
      <alignment horizontal="right"/>
    </xf>
    <xf numFmtId="0" fontId="19" fillId="3" borderId="0" xfId="2" applyFont="1" applyFill="1" applyAlignment="1">
      <alignment horizontal="centerContinuous"/>
    </xf>
    <xf numFmtId="0" fontId="18" fillId="3" borderId="0" xfId="2" applyFont="1" applyFill="1" applyAlignment="1">
      <alignment horizontal="centerContinuous"/>
    </xf>
    <xf numFmtId="9" fontId="17" fillId="0" borderId="0" xfId="2" applyNumberFormat="1"/>
    <xf numFmtId="165" fontId="17" fillId="0" borderId="0" xfId="2" applyNumberFormat="1"/>
    <xf numFmtId="10" fontId="17" fillId="0" borderId="0" xfId="2" applyNumberFormat="1"/>
    <xf numFmtId="10" fontId="21" fillId="0" borderId="0" xfId="3" applyNumberFormat="1" applyFont="1" applyFill="1"/>
    <xf numFmtId="0" fontId="20" fillId="0" borderId="0" xfId="2" applyFont="1" applyAlignment="1">
      <alignment horizontal="left"/>
    </xf>
    <xf numFmtId="0" fontId="18" fillId="0" borderId="0" xfId="2" applyFont="1" applyAlignment="1">
      <alignment horizontal="centerContinuous"/>
    </xf>
    <xf numFmtId="0" fontId="18" fillId="3" borderId="55" xfId="2" applyFont="1" applyFill="1" applyBorder="1" applyAlignment="1">
      <alignment horizontal="center"/>
    </xf>
    <xf numFmtId="0" fontId="18" fillId="3" borderId="56" xfId="2" applyFont="1" applyFill="1" applyBorder="1" applyAlignment="1">
      <alignment horizontal="center"/>
    </xf>
    <xf numFmtId="0" fontId="18" fillId="3" borderId="57" xfId="2" applyFont="1" applyFill="1" applyBorder="1" applyAlignment="1">
      <alignment horizontal="centerContinuous"/>
    </xf>
    <xf numFmtId="0" fontId="18" fillId="3" borderId="57" xfId="2" applyFont="1" applyFill="1" applyBorder="1" applyAlignment="1">
      <alignment horizontal="center" wrapText="1"/>
    </xf>
    <xf numFmtId="0" fontId="18" fillId="0" borderId="0" xfId="2" applyFont="1" applyAlignment="1">
      <alignment horizontal="center"/>
    </xf>
    <xf numFmtId="0" fontId="18" fillId="3" borderId="59" xfId="2" applyFont="1" applyFill="1" applyBorder="1" applyAlignment="1">
      <alignment horizontal="center" vertical="top"/>
    </xf>
    <xf numFmtId="0" fontId="18" fillId="3" borderId="0" xfId="2" applyFont="1" applyFill="1" applyBorder="1" applyAlignment="1">
      <alignment horizontal="center" vertical="top"/>
    </xf>
    <xf numFmtId="0" fontId="18" fillId="0" borderId="0" xfId="2" applyFont="1" applyAlignment="1">
      <alignment horizontal="center" vertical="top"/>
    </xf>
    <xf numFmtId="0" fontId="18" fillId="3" borderId="60" xfId="2" applyFont="1" applyFill="1" applyBorder="1" applyAlignment="1">
      <alignment horizontal="center" vertical="center"/>
    </xf>
    <xf numFmtId="0" fontId="18" fillId="3" borderId="61" xfId="2" applyFont="1" applyFill="1" applyBorder="1" applyAlignment="1">
      <alignment horizontal="center" vertical="center"/>
    </xf>
    <xf numFmtId="0" fontId="19" fillId="2" borderId="0" xfId="2" applyFont="1" applyFill="1" applyAlignment="1">
      <alignment vertical="center"/>
    </xf>
    <xf numFmtId="0" fontId="19" fillId="2" borderId="62" xfId="2" applyFont="1" applyFill="1" applyBorder="1" applyAlignment="1" applyProtection="1">
      <alignment vertical="center" wrapText="1"/>
    </xf>
    <xf numFmtId="0" fontId="19" fillId="2" borderId="62" xfId="2" quotePrefix="1" applyFont="1" applyFill="1" applyBorder="1" applyAlignment="1" applyProtection="1">
      <alignment horizontal="center" vertical="center"/>
    </xf>
    <xf numFmtId="3" fontId="19" fillId="0" borderId="0" xfId="2" applyNumberFormat="1" applyFont="1" applyAlignment="1">
      <alignment vertical="center"/>
    </xf>
    <xf numFmtId="0" fontId="19" fillId="0" borderId="0" xfId="2" applyFont="1" applyAlignment="1">
      <alignment vertical="center"/>
    </xf>
    <xf numFmtId="0" fontId="19" fillId="2" borderId="62" xfId="2" applyFont="1" applyFill="1" applyBorder="1" applyAlignment="1" applyProtection="1">
      <alignment vertical="center"/>
    </xf>
    <xf numFmtId="0" fontId="19" fillId="2" borderId="62" xfId="2" applyFont="1" applyFill="1" applyBorder="1" applyAlignment="1" applyProtection="1">
      <alignment horizontal="left" vertical="center" wrapText="1"/>
    </xf>
    <xf numFmtId="0" fontId="19" fillId="2" borderId="62" xfId="2" applyFont="1" applyFill="1" applyBorder="1" applyAlignment="1" applyProtection="1">
      <alignment horizontal="left" vertical="center"/>
    </xf>
    <xf numFmtId="0" fontId="18" fillId="3" borderId="62" xfId="2" applyFont="1" applyFill="1" applyBorder="1" applyAlignment="1" applyProtection="1">
      <alignment horizontal="left" vertical="center"/>
    </xf>
    <xf numFmtId="0" fontId="18" fillId="0" borderId="62" xfId="2" applyFont="1" applyBorder="1" applyAlignment="1" applyProtection="1">
      <alignment horizontal="left" vertical="center"/>
    </xf>
    <xf numFmtId="0" fontId="18" fillId="0" borderId="62" xfId="2" quotePrefix="1" applyFont="1" applyBorder="1" applyAlignment="1" applyProtection="1">
      <alignment horizontal="center" vertical="center"/>
    </xf>
    <xf numFmtId="166" fontId="18" fillId="0" borderId="0" xfId="2" applyNumberFormat="1" applyFont="1" applyAlignment="1">
      <alignment vertical="center"/>
    </xf>
    <xf numFmtId="0" fontId="18" fillId="0" borderId="62" xfId="2" applyFont="1" applyBorder="1" applyAlignment="1" applyProtection="1">
      <alignment horizontal="left" vertical="center" wrapText="1"/>
    </xf>
    <xf numFmtId="0" fontId="18" fillId="2" borderId="62" xfId="2" applyFont="1" applyFill="1" applyBorder="1" applyAlignment="1" applyProtection="1">
      <alignment horizontal="left" vertical="center"/>
    </xf>
    <xf numFmtId="0" fontId="19" fillId="3" borderId="62" xfId="2" applyFont="1" applyFill="1" applyBorder="1" applyAlignment="1" applyProtection="1">
      <alignment horizontal="left" vertical="center"/>
    </xf>
    <xf numFmtId="3" fontId="23" fillId="0" borderId="0" xfId="2" applyNumberFormat="1" applyFont="1" applyAlignment="1">
      <alignment vertical="center" wrapText="1"/>
    </xf>
    <xf numFmtId="0" fontId="25" fillId="0" borderId="0" xfId="2" applyFont="1" applyAlignment="1">
      <alignment vertical="center"/>
    </xf>
    <xf numFmtId="0" fontId="18" fillId="0" borderId="62" xfId="2" applyFont="1" applyFill="1" applyBorder="1" applyAlignment="1" applyProtection="1">
      <alignment horizontal="left" vertical="center"/>
    </xf>
    <xf numFmtId="0" fontId="18" fillId="0" borderId="62" xfId="2" applyFont="1" applyFill="1" applyBorder="1" applyAlignment="1" applyProtection="1">
      <alignment horizontal="left" vertical="center" wrapText="1"/>
    </xf>
    <xf numFmtId="0" fontId="18" fillId="0" borderId="62" xfId="2" quotePrefix="1" applyFont="1" applyFill="1" applyBorder="1" applyAlignment="1" applyProtection="1">
      <alignment horizontal="center" vertical="center"/>
    </xf>
    <xf numFmtId="0" fontId="18" fillId="2" borderId="62" xfId="2" applyFont="1" applyFill="1" applyBorder="1" applyAlignment="1" applyProtection="1">
      <alignment vertical="center"/>
    </xf>
    <xf numFmtId="0" fontId="18" fillId="2" borderId="62" xfId="2" applyFont="1" applyFill="1" applyBorder="1" applyAlignment="1" applyProtection="1">
      <alignment horizontal="center" vertical="center"/>
    </xf>
    <xf numFmtId="0" fontId="18" fillId="3" borderId="0" xfId="2" applyFont="1" applyFill="1" applyAlignment="1">
      <alignment vertical="center"/>
    </xf>
    <xf numFmtId="167" fontId="18" fillId="0" borderId="0" xfId="2" applyNumberFormat="1" applyFont="1" applyAlignment="1">
      <alignment vertical="center"/>
    </xf>
    <xf numFmtId="0" fontId="18" fillId="3" borderId="55" xfId="2" applyFont="1" applyFill="1" applyBorder="1" applyAlignment="1" applyProtection="1">
      <alignment horizontal="center" vertical="center"/>
    </xf>
    <xf numFmtId="167" fontId="18" fillId="3" borderId="55" xfId="2" applyNumberFormat="1" applyFont="1" applyFill="1" applyBorder="1" applyAlignment="1" applyProtection="1">
      <alignment horizontal="center" vertical="center"/>
    </xf>
    <xf numFmtId="167" fontId="18" fillId="3" borderId="0" xfId="2" applyNumberFormat="1" applyFont="1" applyFill="1" applyAlignment="1">
      <alignment vertical="center"/>
    </xf>
    <xf numFmtId="0" fontId="18" fillId="3" borderId="59" xfId="2" applyFont="1" applyFill="1" applyBorder="1" applyAlignment="1" applyProtection="1">
      <alignment horizontal="center" vertical="center"/>
    </xf>
    <xf numFmtId="167" fontId="18" fillId="3" borderId="59" xfId="2" applyNumberFormat="1" applyFont="1" applyFill="1" applyBorder="1" applyAlignment="1" applyProtection="1">
      <alignment horizontal="center" vertical="center"/>
    </xf>
    <xf numFmtId="0" fontId="18" fillId="3" borderId="60" xfId="2" applyFont="1" applyFill="1" applyBorder="1" applyAlignment="1" applyProtection="1">
      <alignment horizontal="center" vertical="center"/>
    </xf>
    <xf numFmtId="1" fontId="18" fillId="3" borderId="60" xfId="2" applyNumberFormat="1" applyFont="1" applyFill="1" applyBorder="1" applyAlignment="1" applyProtection="1">
      <alignment horizontal="center" vertical="center"/>
    </xf>
    <xf numFmtId="0" fontId="18" fillId="0" borderId="0" xfId="2" applyFont="1" applyAlignment="1">
      <alignment vertical="top"/>
    </xf>
    <xf numFmtId="37" fontId="19" fillId="2" borderId="62" xfId="2" applyNumberFormat="1" applyFont="1" applyFill="1" applyBorder="1" applyAlignment="1" applyProtection="1">
      <alignment vertical="center"/>
    </xf>
    <xf numFmtId="37" fontId="19" fillId="2" borderId="62" xfId="2" quotePrefix="1" applyNumberFormat="1" applyFont="1" applyFill="1" applyBorder="1" applyAlignment="1" applyProtection="1">
      <alignment horizontal="center" vertical="center"/>
    </xf>
    <xf numFmtId="167" fontId="19" fillId="3" borderId="0" xfId="2" applyNumberFormat="1" applyFont="1" applyFill="1" applyAlignment="1">
      <alignment vertical="center"/>
    </xf>
    <xf numFmtId="37" fontId="18" fillId="3" borderId="62" xfId="2" applyNumberFormat="1" applyFont="1" applyFill="1" applyBorder="1" applyAlignment="1" applyProtection="1">
      <alignment vertical="center"/>
    </xf>
    <xf numFmtId="37" fontId="18" fillId="0" borderId="62" xfId="2" applyNumberFormat="1" applyFont="1" applyBorder="1" applyAlignment="1" applyProtection="1">
      <alignment vertical="center"/>
    </xf>
    <xf numFmtId="37" fontId="18" fillId="0" borderId="62" xfId="2" quotePrefix="1" applyNumberFormat="1" applyFont="1" applyBorder="1" applyAlignment="1" applyProtection="1">
      <alignment horizontal="center" vertical="center"/>
    </xf>
    <xf numFmtId="37" fontId="19" fillId="5" borderId="62" xfId="2" applyNumberFormat="1" applyFont="1" applyFill="1" applyBorder="1" applyAlignment="1" applyProtection="1">
      <alignment vertical="center"/>
    </xf>
    <xf numFmtId="37" fontId="19" fillId="5" borderId="62" xfId="2" quotePrefix="1" applyNumberFormat="1" applyFont="1" applyFill="1" applyBorder="1" applyAlignment="1" applyProtection="1">
      <alignment horizontal="center" vertical="center"/>
    </xf>
    <xf numFmtId="0" fontId="19" fillId="3" borderId="0" xfId="2" applyFont="1" applyFill="1" applyAlignment="1">
      <alignment vertical="center"/>
    </xf>
    <xf numFmtId="167" fontId="26" fillId="3" borderId="0" xfId="2" applyNumberFormat="1" applyFont="1" applyFill="1" applyAlignment="1">
      <alignment vertical="center"/>
    </xf>
    <xf numFmtId="37" fontId="18" fillId="4" borderId="62" xfId="2" applyNumberFormat="1" applyFont="1" applyFill="1" applyBorder="1" applyAlignment="1" applyProtection="1">
      <alignment vertical="center"/>
    </xf>
    <xf numFmtId="37" fontId="18" fillId="4" borderId="62" xfId="2" quotePrefix="1" applyNumberFormat="1" applyFont="1" applyFill="1" applyBorder="1" applyAlignment="1" applyProtection="1">
      <alignment horizontal="center" vertical="center"/>
    </xf>
    <xf numFmtId="0" fontId="18" fillId="4" borderId="62" xfId="2" applyFont="1" applyFill="1" applyBorder="1" applyAlignment="1" applyProtection="1">
      <alignment horizontal="left" vertical="center"/>
    </xf>
    <xf numFmtId="37" fontId="22" fillId="2" borderId="62" xfId="2" applyNumberFormat="1" applyFont="1" applyFill="1" applyBorder="1" applyAlignment="1" applyProtection="1">
      <alignment vertical="center"/>
    </xf>
    <xf numFmtId="37" fontId="22" fillId="2" borderId="62" xfId="2" quotePrefix="1" applyNumberFormat="1" applyFont="1" applyFill="1" applyBorder="1" applyAlignment="1" applyProtection="1">
      <alignment horizontal="center" vertical="center"/>
    </xf>
    <xf numFmtId="37" fontId="18" fillId="2" borderId="62" xfId="2" applyNumberFormat="1" applyFont="1" applyFill="1" applyBorder="1" applyAlignment="1" applyProtection="1">
      <alignment vertical="center"/>
    </xf>
    <xf numFmtId="37" fontId="18" fillId="2" borderId="62" xfId="2" quotePrefix="1" applyNumberFormat="1" applyFont="1" applyFill="1" applyBorder="1" applyAlignment="1" applyProtection="1">
      <alignment horizontal="center" vertical="center"/>
    </xf>
    <xf numFmtId="0" fontId="18" fillId="0" borderId="0" xfId="2" applyFont="1" applyAlignment="1" applyProtection="1">
      <alignment horizontal="left"/>
    </xf>
    <xf numFmtId="0" fontId="18" fillId="0" borderId="0" xfId="2" applyFont="1" applyAlignment="1" applyProtection="1">
      <alignment horizontal="center"/>
    </xf>
    <xf numFmtId="37" fontId="18" fillId="0" borderId="0" xfId="2" applyNumberFormat="1" applyFont="1" applyProtection="1"/>
    <xf numFmtId="0" fontId="19" fillId="0" borderId="0" xfId="2" applyNumberFormat="1" applyFont="1" applyAlignment="1" applyProtection="1"/>
    <xf numFmtId="0" fontId="18" fillId="0" borderId="0" xfId="2" applyNumberFormat="1" applyFont="1" applyBorder="1" applyAlignment="1">
      <alignment vertical="center"/>
    </xf>
    <xf numFmtId="3" fontId="18" fillId="0" borderId="0" xfId="2" applyNumberFormat="1" applyFont="1" applyBorder="1" applyAlignment="1">
      <alignment horizontal="right" vertical="center"/>
    </xf>
    <xf numFmtId="15" fontId="18" fillId="0" borderId="0" xfId="2" applyNumberFormat="1" applyFont="1" applyBorder="1" applyAlignment="1">
      <alignment horizontal="left" vertical="center"/>
    </xf>
    <xf numFmtId="0" fontId="19" fillId="0" borderId="0" xfId="2" applyFont="1"/>
    <xf numFmtId="3" fontId="18" fillId="3" borderId="0" xfId="2" applyNumberFormat="1" applyFont="1" applyFill="1" applyAlignment="1">
      <alignment horizontal="centerContinuous"/>
    </xf>
    <xf numFmtId="0" fontId="18" fillId="3" borderId="0" xfId="2" applyFont="1" applyFill="1" applyBorder="1" applyAlignment="1">
      <alignment horizontal="centerContinuous"/>
    </xf>
    <xf numFmtId="0" fontId="20" fillId="0" borderId="0" xfId="2" applyFont="1" applyAlignment="1">
      <alignment horizontal="centerContinuous"/>
    </xf>
    <xf numFmtId="3" fontId="18" fillId="0" borderId="0" xfId="2" applyNumberFormat="1" applyFont="1" applyAlignment="1">
      <alignment horizontal="centerContinuous"/>
    </xf>
    <xf numFmtId="0" fontId="18" fillId="0" borderId="61" xfId="2" applyFont="1" applyBorder="1" applyAlignment="1">
      <alignment horizontal="centerContinuous"/>
    </xf>
    <xf numFmtId="0" fontId="18" fillId="0" borderId="55" xfId="2" applyFont="1" applyBorder="1" applyAlignment="1">
      <alignment horizontal="center"/>
    </xf>
    <xf numFmtId="0" fontId="18" fillId="0" borderId="56" xfId="2" applyFont="1" applyBorder="1" applyAlignment="1">
      <alignment horizontal="center"/>
    </xf>
    <xf numFmtId="3" fontId="18" fillId="0" borderId="56" xfId="2" applyNumberFormat="1" applyFont="1" applyBorder="1" applyAlignment="1">
      <alignment horizontal="centerContinuous"/>
    </xf>
    <xf numFmtId="0" fontId="18" fillId="0" borderId="57" xfId="2" applyFont="1" applyBorder="1" applyAlignment="1">
      <alignment horizontal="centerContinuous"/>
    </xf>
    <xf numFmtId="0" fontId="18" fillId="0" borderId="59" xfId="2" applyFont="1" applyBorder="1" applyAlignment="1">
      <alignment horizontal="center" vertical="top"/>
    </xf>
    <xf numFmtId="0" fontId="18" fillId="0" borderId="0" xfId="2" applyFont="1" applyBorder="1" applyAlignment="1">
      <alignment horizontal="center" vertical="top"/>
    </xf>
    <xf numFmtId="3" fontId="18" fillId="0" borderId="55" xfId="2" applyNumberFormat="1" applyFont="1" applyBorder="1" applyAlignment="1">
      <alignment horizontal="center" vertical="top"/>
    </xf>
    <xf numFmtId="0" fontId="18" fillId="0" borderId="55" xfId="2" applyFont="1" applyBorder="1" applyAlignment="1">
      <alignment horizontal="center" vertical="top"/>
    </xf>
    <xf numFmtId="0" fontId="18" fillId="0" borderId="60" xfId="2" applyFont="1" applyBorder="1" applyAlignment="1">
      <alignment horizontal="center"/>
    </xf>
    <xf numFmtId="0" fontId="18" fillId="0" borderId="61" xfId="2" applyFont="1" applyBorder="1" applyAlignment="1">
      <alignment horizontal="center"/>
    </xf>
    <xf numFmtId="3" fontId="18" fillId="0" borderId="60" xfId="2" applyNumberFormat="1" applyFont="1" applyBorder="1" applyAlignment="1">
      <alignment horizontal="center"/>
    </xf>
    <xf numFmtId="0" fontId="18" fillId="3" borderId="62" xfId="2" applyFont="1" applyFill="1" applyBorder="1" applyAlignment="1">
      <alignment vertical="center"/>
    </xf>
    <xf numFmtId="0" fontId="18" fillId="0" borderId="62" xfId="2" applyFont="1" applyBorder="1" applyAlignment="1">
      <alignment vertical="center"/>
    </xf>
    <xf numFmtId="0" fontId="18" fillId="0" borderId="62" xfId="2" quotePrefix="1" applyFont="1" applyBorder="1" applyAlignment="1">
      <alignment horizontal="center" vertical="center"/>
    </xf>
    <xf numFmtId="0" fontId="29" fillId="2" borderId="62" xfId="2" applyFont="1" applyFill="1" applyBorder="1" applyAlignment="1">
      <alignment vertical="center"/>
    </xf>
    <xf numFmtId="0" fontId="29" fillId="2" borderId="62" xfId="2" quotePrefix="1" applyFont="1" applyFill="1" applyBorder="1" applyAlignment="1">
      <alignment horizontal="center" vertical="center"/>
    </xf>
    <xf numFmtId="0" fontId="29" fillId="0" borderId="0" xfId="2" applyFont="1" applyAlignment="1">
      <alignment vertical="center"/>
    </xf>
    <xf numFmtId="0" fontId="19" fillId="2" borderId="62" xfId="2" applyFont="1" applyFill="1" applyBorder="1" applyAlignment="1">
      <alignment vertical="center"/>
    </xf>
    <xf numFmtId="0" fontId="19" fillId="2" borderId="62" xfId="2" quotePrefix="1" applyFont="1" applyFill="1" applyBorder="1" applyAlignment="1">
      <alignment horizontal="center" vertical="center"/>
    </xf>
    <xf numFmtId="0" fontId="18" fillId="2" borderId="62" xfId="2" applyFont="1" applyFill="1" applyBorder="1" applyAlignment="1">
      <alignment vertical="center"/>
    </xf>
    <xf numFmtId="0" fontId="22" fillId="2" borderId="62" xfId="2" applyFont="1" applyFill="1" applyBorder="1" applyAlignment="1">
      <alignment vertical="center"/>
    </xf>
    <xf numFmtId="0" fontId="18" fillId="2" borderId="62" xfId="2" quotePrefix="1" applyFont="1" applyFill="1" applyBorder="1" applyAlignment="1">
      <alignment horizontal="center" vertical="center"/>
    </xf>
    <xf numFmtId="0" fontId="18" fillId="0" borderId="62" xfId="2" applyFont="1" applyFill="1" applyBorder="1" applyAlignment="1">
      <alignment vertical="center"/>
    </xf>
    <xf numFmtId="0" fontId="29" fillId="2" borderId="62" xfId="2" applyFont="1" applyFill="1" applyBorder="1" applyAlignment="1">
      <alignment vertical="center" wrapText="1"/>
    </xf>
    <xf numFmtId="0" fontId="22" fillId="2" borderId="62" xfId="2" quotePrefix="1" applyFont="1" applyFill="1" applyBorder="1" applyAlignment="1">
      <alignment horizontal="center" vertical="center"/>
    </xf>
    <xf numFmtId="49" fontId="18" fillId="0" borderId="62" xfId="2" applyNumberFormat="1" applyFont="1" applyFill="1" applyBorder="1" applyAlignment="1">
      <alignment vertical="center"/>
    </xf>
    <xf numFmtId="0" fontId="29" fillId="3" borderId="0" xfId="2" applyFont="1" applyFill="1" applyAlignment="1">
      <alignment vertical="center"/>
    </xf>
    <xf numFmtId="49" fontId="18" fillId="2" borderId="62" xfId="2" applyNumberFormat="1" applyFont="1" applyFill="1" applyBorder="1" applyAlignment="1">
      <alignment vertical="center"/>
    </xf>
    <xf numFmtId="0" fontId="19" fillId="5" borderId="62" xfId="2" applyFont="1" applyFill="1" applyBorder="1" applyAlignment="1">
      <alignment vertical="center"/>
    </xf>
    <xf numFmtId="0" fontId="29" fillId="5" borderId="62" xfId="2" applyFont="1" applyFill="1" applyBorder="1" applyAlignment="1">
      <alignment vertical="center"/>
    </xf>
    <xf numFmtId="0" fontId="22" fillId="5" borderId="62" xfId="2" quotePrefix="1" applyFont="1" applyFill="1" applyBorder="1" applyAlignment="1">
      <alignment horizontal="center" vertical="center"/>
    </xf>
    <xf numFmtId="3" fontId="18" fillId="0" borderId="0" xfId="2" applyNumberFormat="1" applyFont="1"/>
    <xf numFmtId="0" fontId="30" fillId="0" borderId="0" xfId="7" applyFont="1" applyAlignment="1">
      <alignment horizontal="left"/>
    </xf>
    <xf numFmtId="0" fontId="31" fillId="0" borderId="0" xfId="6" applyFont="1" applyFill="1" applyAlignment="1">
      <alignment horizontal="center"/>
    </xf>
    <xf numFmtId="0" fontId="30" fillId="0" borderId="0" xfId="7" applyFont="1"/>
    <xf numFmtId="0" fontId="32" fillId="0" borderId="0" xfId="7" applyFont="1"/>
    <xf numFmtId="0" fontId="32" fillId="0" borderId="0" xfId="7" applyNumberFormat="1" applyFont="1"/>
    <xf numFmtId="0" fontId="33" fillId="0" borderId="0" xfId="7" applyFont="1"/>
    <xf numFmtId="0" fontId="34" fillId="0" borderId="0" xfId="7" applyFont="1"/>
    <xf numFmtId="0" fontId="35" fillId="0" borderId="0" xfId="7" applyFont="1" applyAlignment="1">
      <alignment horizontal="center"/>
    </xf>
    <xf numFmtId="0" fontId="36" fillId="0" borderId="0" xfId="7" applyFont="1" applyAlignment="1">
      <alignment horizontal="center"/>
    </xf>
    <xf numFmtId="0" fontId="37" fillId="0" borderId="0" xfId="7" applyFont="1" applyAlignment="1">
      <alignment horizontal="left"/>
    </xf>
    <xf numFmtId="0" fontId="37" fillId="0" borderId="0" xfId="7" applyFont="1" applyAlignment="1">
      <alignment horizontal="center"/>
    </xf>
    <xf numFmtId="0" fontId="32" fillId="0" borderId="0" xfId="7" applyFont="1" applyAlignment="1">
      <alignment horizontal="center"/>
    </xf>
    <xf numFmtId="0" fontId="38" fillId="0" borderId="0" xfId="7" applyFont="1" applyBorder="1" applyAlignment="1">
      <alignment horizontal="center"/>
    </xf>
    <xf numFmtId="0" fontId="39" fillId="0" borderId="0" xfId="7" applyFont="1" applyAlignment="1">
      <alignment horizontal="left"/>
    </xf>
    <xf numFmtId="0" fontId="37" fillId="0" borderId="0" xfId="7" applyFont="1" applyBorder="1" applyAlignment="1">
      <alignment horizontal="center"/>
    </xf>
    <xf numFmtId="0" fontId="37" fillId="0" borderId="0" xfId="7" applyFont="1" applyBorder="1" applyAlignment="1">
      <alignment horizontal="left"/>
    </xf>
    <xf numFmtId="0" fontId="34" fillId="5" borderId="63" xfId="7" applyFont="1" applyFill="1" applyBorder="1" applyAlignment="1">
      <alignment horizontal="center" vertical="center" wrapText="1"/>
    </xf>
    <xf numFmtId="0" fontId="32" fillId="5" borderId="64" xfId="7" applyFont="1" applyFill="1" applyBorder="1" applyAlignment="1">
      <alignment horizontal="center" vertical="center" wrapText="1"/>
    </xf>
    <xf numFmtId="0" fontId="34" fillId="5" borderId="64" xfId="7" applyFont="1" applyFill="1" applyBorder="1" applyAlignment="1">
      <alignment horizontal="center" vertical="center" wrapText="1"/>
    </xf>
    <xf numFmtId="0" fontId="40" fillId="0" borderId="0" xfId="7" applyFont="1" applyBorder="1" applyAlignment="1">
      <alignment horizontal="center" wrapText="1"/>
    </xf>
    <xf numFmtId="0" fontId="40" fillId="0" borderId="66" xfId="7" applyFont="1" applyBorder="1" applyAlignment="1">
      <alignment horizontal="center" wrapText="1"/>
    </xf>
    <xf numFmtId="0" fontId="41" fillId="0" borderId="0" xfId="7" applyFont="1"/>
    <xf numFmtId="0" fontId="32" fillId="5" borderId="67" xfId="7" applyFont="1" applyFill="1" applyBorder="1" applyAlignment="1">
      <alignment horizontal="center" wrapText="1"/>
    </xf>
    <xf numFmtId="0" fontId="32" fillId="5" borderId="43" xfId="7" applyFont="1" applyFill="1" applyBorder="1" applyAlignment="1">
      <alignment horizontal="center" wrapText="1"/>
    </xf>
    <xf numFmtId="0" fontId="32" fillId="5" borderId="69" xfId="7" applyFont="1" applyFill="1" applyBorder="1" applyAlignment="1">
      <alignment horizontal="center" wrapText="1"/>
    </xf>
    <xf numFmtId="0" fontId="32" fillId="5" borderId="70" xfId="7" applyFont="1" applyFill="1" applyBorder="1" applyAlignment="1">
      <alignment horizontal="center" wrapText="1"/>
    </xf>
    <xf numFmtId="0" fontId="32" fillId="5" borderId="70" xfId="7" applyFont="1" applyFill="1" applyBorder="1" applyAlignment="1">
      <alignment horizontal="center" vertical="center"/>
    </xf>
    <xf numFmtId="0" fontId="32" fillId="5" borderId="58" xfId="7" applyFont="1" applyFill="1" applyBorder="1" applyAlignment="1">
      <alignment horizontal="center" vertical="center"/>
    </xf>
    <xf numFmtId="0" fontId="40" fillId="0" borderId="71" xfId="7" applyFont="1" applyBorder="1" applyAlignment="1">
      <alignment horizontal="center" wrapText="1"/>
    </xf>
    <xf numFmtId="0" fontId="32" fillId="0" borderId="72" xfId="7" applyFont="1" applyFill="1" applyBorder="1" applyAlignment="1">
      <alignment horizontal="left"/>
    </xf>
    <xf numFmtId="0" fontId="32" fillId="0" borderId="73" xfId="7" applyFont="1" applyFill="1" applyBorder="1" applyAlignment="1">
      <alignment horizontal="left"/>
    </xf>
    <xf numFmtId="0" fontId="32" fillId="0" borderId="73" xfId="7" applyFont="1" applyFill="1" applyBorder="1" applyAlignment="1">
      <alignment horizontal="center"/>
    </xf>
    <xf numFmtId="168" fontId="32" fillId="0" borderId="73" xfId="7" applyNumberFormat="1" applyFont="1" applyFill="1" applyBorder="1" applyAlignment="1">
      <alignment horizontal="right"/>
    </xf>
    <xf numFmtId="168" fontId="32" fillId="0" borderId="54" xfId="7" applyNumberFormat="1" applyFont="1" applyFill="1" applyBorder="1" applyAlignment="1">
      <alignment horizontal="right"/>
    </xf>
    <xf numFmtId="0" fontId="41" fillId="0" borderId="0" xfId="7" applyFont="1" applyFill="1" applyBorder="1" applyAlignment="1">
      <alignment horizontal="left"/>
    </xf>
    <xf numFmtId="0" fontId="41" fillId="0" borderId="74" xfId="7" applyFont="1" applyFill="1" applyBorder="1" applyAlignment="1">
      <alignment horizontal="left"/>
    </xf>
    <xf numFmtId="0" fontId="36" fillId="0" borderId="67" xfId="7" applyFont="1" applyFill="1" applyBorder="1" applyAlignment="1">
      <alignment horizontal="left" vertical="center"/>
    </xf>
    <xf numFmtId="0" fontId="36" fillId="0" borderId="43" xfId="7" applyFont="1" applyFill="1" applyBorder="1" applyAlignment="1">
      <alignment horizontal="left" vertical="center"/>
    </xf>
    <xf numFmtId="0" fontId="36" fillId="0" borderId="43" xfId="7" applyFont="1" applyFill="1" applyBorder="1" applyAlignment="1">
      <alignment horizontal="center" vertical="center"/>
    </xf>
    <xf numFmtId="168" fontId="36" fillId="5" borderId="43" xfId="7" applyNumberFormat="1" applyFont="1" applyFill="1" applyBorder="1" applyAlignment="1">
      <alignment horizontal="right" vertical="center"/>
    </xf>
    <xf numFmtId="0" fontId="32" fillId="0" borderId="67" xfId="7" applyFont="1" applyFill="1" applyBorder="1" applyAlignment="1">
      <alignment horizontal="left"/>
    </xf>
    <xf numFmtId="0" fontId="32" fillId="0" borderId="43" xfId="7" applyFont="1" applyFill="1" applyBorder="1" applyAlignment="1">
      <alignment horizontal="left"/>
    </xf>
    <xf numFmtId="0" fontId="32" fillId="0" borderId="43" xfId="7" applyFont="1" applyFill="1" applyBorder="1" applyAlignment="1">
      <alignment horizontal="center"/>
    </xf>
    <xf numFmtId="168" fontId="32" fillId="0" borderId="43" xfId="7" applyNumberFormat="1" applyFont="1" applyFill="1" applyBorder="1" applyAlignment="1">
      <alignment horizontal="right"/>
    </xf>
    <xf numFmtId="168" fontId="32" fillId="0" borderId="68" xfId="7" applyNumberFormat="1" applyFont="1" applyFill="1" applyBorder="1" applyAlignment="1">
      <alignment horizontal="right"/>
    </xf>
    <xf numFmtId="0" fontId="32" fillId="0" borderId="67" xfId="7" applyFont="1" applyBorder="1" applyAlignment="1">
      <alignment horizontal="left"/>
    </xf>
    <xf numFmtId="0" fontId="32" fillId="0" borderId="43" xfId="7" applyFont="1" applyBorder="1" applyAlignment="1">
      <alignment horizontal="left"/>
    </xf>
    <xf numFmtId="0" fontId="32" fillId="0" borderId="43" xfId="7" applyFont="1" applyBorder="1" applyAlignment="1">
      <alignment horizontal="center"/>
    </xf>
    <xf numFmtId="168" fontId="32" fillId="0" borderId="43" xfId="5" applyNumberFormat="1" applyFont="1" applyFill="1" applyBorder="1" applyAlignment="1">
      <alignment horizontal="right" vertical="center"/>
    </xf>
    <xf numFmtId="168" fontId="32" fillId="0" borderId="68" xfId="5" applyNumberFormat="1" applyFont="1" applyFill="1" applyBorder="1" applyAlignment="1">
      <alignment horizontal="right" vertical="center"/>
    </xf>
    <xf numFmtId="0" fontId="41" fillId="0" borderId="0" xfId="7" applyFont="1" applyBorder="1" applyAlignment="1">
      <alignment horizontal="left"/>
    </xf>
    <xf numFmtId="0" fontId="41" fillId="0" borderId="74" xfId="7" applyFont="1" applyBorder="1" applyAlignment="1">
      <alignment horizontal="left"/>
    </xf>
    <xf numFmtId="168" fontId="32" fillId="0" borderId="43" xfId="7" applyNumberFormat="1" applyFont="1" applyBorder="1" applyAlignment="1">
      <alignment horizontal="right"/>
    </xf>
    <xf numFmtId="168" fontId="32" fillId="0" borderId="68" xfId="7" applyNumberFormat="1" applyFont="1" applyBorder="1" applyAlignment="1">
      <alignment horizontal="right"/>
    </xf>
    <xf numFmtId="0" fontId="42" fillId="0" borderId="0" xfId="7" applyFont="1"/>
    <xf numFmtId="0" fontId="32" fillId="0" borderId="0" xfId="7" applyNumberFormat="1" applyFont="1" applyFill="1"/>
    <xf numFmtId="3" fontId="41" fillId="0" borderId="0" xfId="7" applyNumberFormat="1" applyFont="1"/>
    <xf numFmtId="0" fontId="40" fillId="0" borderId="0" xfId="7" applyFont="1" applyFill="1" applyBorder="1" applyAlignment="1">
      <alignment horizontal="left"/>
    </xf>
    <xf numFmtId="0" fontId="40" fillId="0" borderId="74" xfId="7" applyFont="1" applyFill="1" applyBorder="1" applyAlignment="1">
      <alignment horizontal="left"/>
    </xf>
    <xf numFmtId="0" fontId="36" fillId="0" borderId="0" xfId="7" applyNumberFormat="1" applyFont="1" applyFill="1"/>
    <xf numFmtId="0" fontId="40" fillId="0" borderId="0" xfId="7" applyFont="1" applyFill="1"/>
    <xf numFmtId="168" fontId="32" fillId="3" borderId="43" xfId="5" applyNumberFormat="1" applyFont="1" applyFill="1" applyBorder="1" applyAlignment="1">
      <alignment horizontal="right" vertical="center"/>
    </xf>
    <xf numFmtId="168" fontId="32" fillId="3" borderId="68" xfId="5" applyNumberFormat="1" applyFont="1" applyFill="1" applyBorder="1" applyAlignment="1">
      <alignment horizontal="right" vertical="center"/>
    </xf>
    <xf numFmtId="0" fontId="40" fillId="0" borderId="75" xfId="7" applyFont="1" applyFill="1" applyBorder="1" applyAlignment="1">
      <alignment horizontal="left"/>
    </xf>
    <xf numFmtId="3" fontId="36" fillId="0" borderId="43" xfId="7" applyNumberFormat="1" applyFont="1" applyFill="1" applyBorder="1" applyAlignment="1">
      <alignment vertical="center"/>
    </xf>
    <xf numFmtId="168" fontId="36" fillId="0" borderId="43" xfId="7" applyNumberFormat="1" applyFont="1" applyFill="1" applyBorder="1" applyAlignment="1">
      <alignment horizontal="right" vertical="center"/>
    </xf>
    <xf numFmtId="168" fontId="36" fillId="0" borderId="68" xfId="7" applyNumberFormat="1" applyFont="1" applyFill="1" applyBorder="1" applyAlignment="1">
      <alignment horizontal="right" vertical="center"/>
    </xf>
    <xf numFmtId="0" fontId="36" fillId="0" borderId="76" xfId="7" applyFont="1" applyFill="1" applyBorder="1" applyAlignment="1">
      <alignment horizontal="left" vertical="center"/>
    </xf>
    <xf numFmtId="3" fontId="36" fillId="0" borderId="77" xfId="7" applyNumberFormat="1" applyFont="1" applyFill="1" applyBorder="1" applyAlignment="1">
      <alignment vertical="center"/>
    </xf>
    <xf numFmtId="0" fontId="36" fillId="0" borderId="77" xfId="7" applyFont="1" applyFill="1" applyBorder="1" applyAlignment="1">
      <alignment horizontal="center" vertical="center"/>
    </xf>
    <xf numFmtId="0" fontId="40" fillId="0" borderId="0" xfId="7" applyFont="1" applyFill="1" applyAlignment="1">
      <alignment horizontal="left"/>
    </xf>
    <xf numFmtId="3" fontId="41" fillId="0" borderId="0" xfId="7" applyNumberFormat="1" applyFont="1" applyFill="1" applyBorder="1"/>
    <xf numFmtId="49" fontId="41" fillId="0" borderId="0" xfId="7" applyNumberFormat="1" applyFont="1" applyBorder="1" applyAlignment="1">
      <alignment horizontal="center"/>
    </xf>
    <xf numFmtId="3" fontId="32" fillId="0" borderId="0" xfId="7" applyNumberFormat="1" applyFont="1" applyFill="1" applyBorder="1"/>
    <xf numFmtId="0" fontId="32" fillId="0" borderId="0" xfId="7" applyFont="1" applyFill="1" applyBorder="1"/>
    <xf numFmtId="0" fontId="41" fillId="0" borderId="0" xfId="7" applyFont="1" applyFill="1" applyAlignment="1">
      <alignment horizontal="left"/>
    </xf>
    <xf numFmtId="0" fontId="41" fillId="0" borderId="0" xfId="7" applyFont="1" applyFill="1"/>
    <xf numFmtId="3" fontId="32" fillId="0" borderId="0" xfId="7" applyNumberFormat="1" applyFont="1" applyFill="1"/>
    <xf numFmtId="0" fontId="32" fillId="0" borderId="0" xfId="7" applyFont="1" applyFill="1"/>
    <xf numFmtId="0" fontId="43" fillId="6" borderId="0" xfId="7" applyFont="1" applyFill="1"/>
    <xf numFmtId="3" fontId="44" fillId="6" borderId="0" xfId="7" applyNumberFormat="1" applyFont="1" applyFill="1"/>
    <xf numFmtId="0" fontId="30" fillId="0" borderId="0" xfId="7" applyFont="1" applyFill="1" applyAlignment="1">
      <alignment horizontal="left"/>
    </xf>
    <xf numFmtId="0" fontId="30" fillId="0" borderId="0" xfId="7" applyFont="1" applyFill="1"/>
    <xf numFmtId="0" fontId="30" fillId="0" borderId="0" xfId="7" applyFont="1" applyFill="1" applyBorder="1" applyAlignment="1">
      <alignment horizontal="left"/>
    </xf>
    <xf numFmtId="3" fontId="0" fillId="0" borderId="0" xfId="0" applyNumberFormat="1"/>
    <xf numFmtId="0" fontId="0" fillId="0" borderId="79" xfId="0" applyBorder="1"/>
    <xf numFmtId="0" fontId="0" fillId="0" borderId="0" xfId="0" applyBorder="1"/>
    <xf numFmtId="3" fontId="0" fillId="0" borderId="0" xfId="0" applyNumberFormat="1" applyBorder="1"/>
    <xf numFmtId="3" fontId="0" fillId="0" borderId="79" xfId="0" applyNumberFormat="1" applyBorder="1"/>
    <xf numFmtId="0" fontId="12" fillId="0" borderId="81" xfId="0" applyFont="1" applyBorder="1" applyAlignment="1">
      <alignment horizontal="center"/>
    </xf>
    <xf numFmtId="0" fontId="0" fillId="0" borderId="81" xfId="0" applyBorder="1"/>
    <xf numFmtId="3" fontId="0" fillId="0" borderId="81" xfId="0" applyNumberFormat="1" applyBorder="1"/>
    <xf numFmtId="0" fontId="0" fillId="0" borderId="80" xfId="0" applyBorder="1"/>
    <xf numFmtId="0" fontId="12" fillId="0" borderId="79" xfId="0" applyFont="1" applyBorder="1"/>
    <xf numFmtId="0" fontId="0" fillId="0" borderId="81" xfId="0" applyBorder="1" applyAlignment="1">
      <alignment wrapText="1"/>
    </xf>
    <xf numFmtId="0" fontId="12" fillId="0" borderId="0" xfId="0" applyFont="1" applyBorder="1" applyAlignment="1"/>
    <xf numFmtId="0" fontId="13" fillId="0" borderId="82" xfId="0" applyFont="1" applyBorder="1" applyAlignment="1">
      <alignment horizontal="center" vertical="center" wrapText="1"/>
    </xf>
    <xf numFmtId="0" fontId="13" fillId="0" borderId="83" xfId="0" applyFont="1" applyBorder="1" applyAlignment="1">
      <alignment horizontal="center" vertical="center" wrapText="1"/>
    </xf>
    <xf numFmtId="0" fontId="12" fillId="0" borderId="80" xfId="0" applyFont="1" applyBorder="1" applyAlignment="1"/>
    <xf numFmtId="3" fontId="0" fillId="0" borderId="80" xfId="0" applyNumberFormat="1" applyBorder="1"/>
    <xf numFmtId="0" fontId="12" fillId="0" borderId="8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3" fontId="14" fillId="0" borderId="87" xfId="0" applyNumberFormat="1" applyFont="1" applyBorder="1" applyAlignment="1">
      <alignment horizontal="right" vertical="center"/>
    </xf>
    <xf numFmtId="3" fontId="14" fillId="0" borderId="30" xfId="0" applyNumberFormat="1" applyFont="1" applyBorder="1" applyAlignment="1">
      <alignment horizontal="right" vertical="center"/>
    </xf>
    <xf numFmtId="3" fontId="14" fillId="0" borderId="46" xfId="0" applyNumberFormat="1" applyFont="1" applyBorder="1" applyAlignment="1">
      <alignment horizontal="right" vertical="center"/>
    </xf>
    <xf numFmtId="3" fontId="0" fillId="0" borderId="84" xfId="0" applyNumberFormat="1" applyBorder="1"/>
    <xf numFmtId="0" fontId="14" fillId="0" borderId="81" xfId="0" applyFont="1" applyBorder="1" applyAlignment="1">
      <alignment vertical="center"/>
    </xf>
    <xf numFmtId="0" fontId="14" fillId="0" borderId="79" xfId="0" applyFont="1" applyBorder="1" applyAlignment="1">
      <alignment vertical="center"/>
    </xf>
    <xf numFmtId="0" fontId="14" fillId="0" borderId="80" xfId="0" applyFont="1" applyBorder="1" applyAlignment="1">
      <alignment vertical="center"/>
    </xf>
    <xf numFmtId="3" fontId="14" fillId="0" borderId="80" xfId="0" applyNumberFormat="1" applyFont="1" applyBorder="1" applyAlignment="1">
      <alignment vertical="center"/>
    </xf>
    <xf numFmtId="0" fontId="14" fillId="7" borderId="80" xfId="0" applyFont="1" applyFill="1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79" xfId="0" applyBorder="1" applyAlignment="1">
      <alignment wrapText="1"/>
    </xf>
    <xf numFmtId="0" fontId="0" fillId="0" borderId="80" xfId="0" applyBorder="1" applyAlignment="1">
      <alignment wrapText="1"/>
    </xf>
    <xf numFmtId="0" fontId="0" fillId="0" borderId="81" xfId="0" applyBorder="1" applyAlignment="1">
      <alignment horizontal="center"/>
    </xf>
    <xf numFmtId="3" fontId="14" fillId="0" borderId="81" xfId="0" applyNumberFormat="1" applyFont="1" applyBorder="1" applyAlignment="1">
      <alignment vertical="center"/>
    </xf>
    <xf numFmtId="0" fontId="14" fillId="7" borderId="81" xfId="0" applyFont="1" applyFill="1" applyBorder="1" applyAlignment="1">
      <alignment vertical="center"/>
    </xf>
    <xf numFmtId="3" fontId="14" fillId="0" borderId="79" xfId="0" applyNumberFormat="1" applyFont="1" applyBorder="1" applyAlignment="1">
      <alignment vertical="center"/>
    </xf>
    <xf numFmtId="0" fontId="14" fillId="7" borderId="79" xfId="0" applyFont="1" applyFill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81" xfId="0" applyNumberFormat="1" applyBorder="1" applyAlignment="1">
      <alignment horizontal="centerContinuous"/>
    </xf>
    <xf numFmtId="0" fontId="0" fillId="0" borderId="79" xfId="0" applyNumberFormat="1" applyBorder="1" applyAlignment="1">
      <alignment horizontal="centerContinuous"/>
    </xf>
    <xf numFmtId="0" fontId="13" fillId="0" borderId="32" xfId="0" applyNumberFormat="1" applyFont="1" applyBorder="1" applyAlignment="1">
      <alignment horizontal="centerContinuous" vertical="center" wrapText="1"/>
    </xf>
    <xf numFmtId="0" fontId="0" fillId="0" borderId="79" xfId="0" applyNumberFormat="1" applyBorder="1" applyAlignment="1">
      <alignment horizontal="right"/>
    </xf>
    <xf numFmtId="0" fontId="0" fillId="0" borderId="81" xfId="0" applyNumberFormat="1" applyBorder="1" applyAlignment="1">
      <alignment horizontal="right"/>
    </xf>
    <xf numFmtId="0" fontId="19" fillId="0" borderId="0" xfId="2" applyNumberFormat="1" applyFont="1" applyAlignment="1">
      <alignment horizontal="center"/>
    </xf>
    <xf numFmtId="0" fontId="19" fillId="0" borderId="0" xfId="2" applyFont="1" applyAlignment="1">
      <alignment horizontal="right"/>
    </xf>
    <xf numFmtId="0" fontId="10" fillId="0" borderId="0" xfId="0" applyFont="1" applyAlignment="1">
      <alignment horizontal="left" wrapText="1"/>
    </xf>
    <xf numFmtId="0" fontId="0" fillId="7" borderId="79" xfId="0" applyFill="1" applyBorder="1"/>
    <xf numFmtId="0" fontId="0" fillId="7" borderId="81" xfId="0" applyFill="1" applyBorder="1"/>
    <xf numFmtId="3" fontId="0" fillId="0" borderId="79" xfId="0" applyNumberFormat="1" applyFill="1" applyBorder="1"/>
    <xf numFmtId="3" fontId="0" fillId="0" borderId="81" xfId="0" applyNumberFormat="1" applyFill="1" applyBorder="1"/>
    <xf numFmtId="0" fontId="0" fillId="0" borderId="79" xfId="0" applyFill="1" applyBorder="1"/>
    <xf numFmtId="0" fontId="0" fillId="0" borderId="81" xfId="0" applyFill="1" applyBorder="1"/>
    <xf numFmtId="0" fontId="0" fillId="0" borderId="79" xfId="0" applyBorder="1" applyAlignment="1">
      <alignment horizontal="center"/>
    </xf>
    <xf numFmtId="0" fontId="0" fillId="0" borderId="90" xfId="0" applyBorder="1"/>
    <xf numFmtId="0" fontId="13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3" fontId="0" fillId="7" borderId="80" xfId="0" applyNumberFormat="1" applyFill="1" applyBorder="1"/>
    <xf numFmtId="0" fontId="13" fillId="0" borderId="7" xfId="0" applyFont="1" applyBorder="1" applyAlignment="1">
      <alignment horizontal="center" vertical="center" wrapText="1"/>
    </xf>
    <xf numFmtId="0" fontId="21" fillId="0" borderId="0" xfId="8" applyFill="1" applyAlignment="1">
      <alignment vertical="center"/>
    </xf>
    <xf numFmtId="0" fontId="56" fillId="0" borderId="0" xfId="8" applyFont="1" applyFill="1" applyAlignment="1">
      <alignment horizontal="left" vertical="center"/>
    </xf>
    <xf numFmtId="0" fontId="60" fillId="0" borderId="0" xfId="8" applyFont="1" applyFill="1" applyAlignment="1">
      <alignment horizontal="left" vertical="center"/>
    </xf>
    <xf numFmtId="0" fontId="60" fillId="0" borderId="13" xfId="8" applyFont="1" applyFill="1" applyBorder="1" applyAlignment="1">
      <alignment horizontal="left" vertical="center"/>
    </xf>
    <xf numFmtId="0" fontId="60" fillId="0" borderId="101" xfId="8" applyFont="1" applyFill="1" applyBorder="1" applyAlignment="1">
      <alignment horizontal="left" vertical="center"/>
    </xf>
    <xf numFmtId="0" fontId="56" fillId="0" borderId="101" xfId="8" applyFont="1" applyFill="1" applyBorder="1" applyAlignment="1">
      <alignment horizontal="left" vertical="center"/>
    </xf>
    <xf numFmtId="0" fontId="56" fillId="0" borderId="100" xfId="8" applyFont="1" applyFill="1" applyBorder="1" applyAlignment="1">
      <alignment horizontal="left" vertical="center"/>
    </xf>
    <xf numFmtId="0" fontId="53" fillId="0" borderId="0" xfId="8" applyFont="1" applyFill="1" applyAlignment="1">
      <alignment horizontal="left" vertical="center"/>
    </xf>
    <xf numFmtId="0" fontId="60" fillId="0" borderId="29" xfId="8" applyFont="1" applyFill="1" applyBorder="1" applyAlignment="1">
      <alignment horizontal="left" vertical="center"/>
    </xf>
    <xf numFmtId="0" fontId="60" fillId="0" borderId="0" xfId="8" applyFont="1" applyFill="1" applyBorder="1" applyAlignment="1">
      <alignment horizontal="left" vertical="center"/>
    </xf>
    <xf numFmtId="0" fontId="53" fillId="0" borderId="0" xfId="8" applyFont="1" applyFill="1" applyBorder="1" applyAlignment="1">
      <alignment horizontal="left" vertical="center"/>
    </xf>
    <xf numFmtId="0" fontId="53" fillId="0" borderId="99" xfId="8" applyFont="1" applyFill="1" applyBorder="1" applyAlignment="1">
      <alignment horizontal="left" vertical="center"/>
    </xf>
    <xf numFmtId="0" fontId="56" fillId="0" borderId="0" xfId="8" applyFont="1" applyFill="1" applyBorder="1" applyAlignment="1">
      <alignment horizontal="left" vertical="center"/>
    </xf>
    <xf numFmtId="0" fontId="56" fillId="0" borderId="99" xfId="8" applyFont="1" applyFill="1" applyBorder="1" applyAlignment="1">
      <alignment horizontal="left" vertical="center"/>
    </xf>
    <xf numFmtId="0" fontId="21" fillId="0" borderId="0" xfId="8" applyFill="1" applyBorder="1" applyAlignment="1">
      <alignment vertical="center"/>
    </xf>
    <xf numFmtId="0" fontId="21" fillId="0" borderId="99" xfId="8" applyFill="1" applyBorder="1" applyAlignment="1">
      <alignment vertical="center"/>
    </xf>
    <xf numFmtId="0" fontId="60" fillId="0" borderId="98" xfId="8" applyFont="1" applyFill="1" applyBorder="1" applyAlignment="1">
      <alignment horizontal="left" vertical="center"/>
    </xf>
    <xf numFmtId="0" fontId="60" fillId="0" borderId="97" xfId="8" applyFont="1" applyFill="1" applyBorder="1" applyAlignment="1">
      <alignment horizontal="left" vertical="center"/>
    </xf>
    <xf numFmtId="0" fontId="53" fillId="0" borderId="97" xfId="8" applyFont="1" applyFill="1" applyBorder="1" applyAlignment="1">
      <alignment horizontal="left" vertical="center"/>
    </xf>
    <xf numFmtId="0" fontId="66" fillId="0" borderId="96" xfId="8" applyFont="1" applyFill="1" applyBorder="1" applyAlignment="1">
      <alignment horizontal="left" vertical="center"/>
    </xf>
    <xf numFmtId="0" fontId="53" fillId="0" borderId="109" xfId="8" applyFont="1" applyFill="1" applyBorder="1" applyAlignment="1">
      <alignment horizontal="left" vertical="center"/>
    </xf>
    <xf numFmtId="0" fontId="53" fillId="0" borderId="101" xfId="8" applyFont="1" applyFill="1" applyBorder="1" applyAlignment="1">
      <alignment horizontal="left" vertical="center"/>
    </xf>
    <xf numFmtId="0" fontId="53" fillId="0" borderId="100" xfId="8" applyFont="1" applyFill="1" applyBorder="1" applyAlignment="1">
      <alignment horizontal="left" vertical="center"/>
    </xf>
    <xf numFmtId="0" fontId="21" fillId="0" borderId="81" xfId="8" applyBorder="1" applyAlignment="1">
      <alignment horizontal="center" vertical="center"/>
    </xf>
    <xf numFmtId="0" fontId="21" fillId="0" borderId="0" xfId="8" applyAlignment="1">
      <alignment horizontal="center" vertical="center"/>
    </xf>
    <xf numFmtId="0" fontId="56" fillId="0" borderId="79" xfId="8" applyFont="1" applyFill="1" applyBorder="1" applyAlignment="1">
      <alignment horizontal="center" vertical="center"/>
    </xf>
    <xf numFmtId="0" fontId="56" fillId="0" borderId="81" xfId="8" applyFont="1" applyFill="1" applyBorder="1" applyAlignment="1">
      <alignment horizontal="center" vertical="center"/>
    </xf>
    <xf numFmtId="1" fontId="60" fillId="0" borderId="0" xfId="8" applyNumberFormat="1" applyFont="1" applyFill="1" applyBorder="1" applyAlignment="1">
      <alignment horizontal="center" vertical="center"/>
    </xf>
    <xf numFmtId="169" fontId="60" fillId="0" borderId="0" xfId="8" applyNumberFormat="1" applyFont="1" applyFill="1" applyBorder="1" applyAlignment="1">
      <alignment horizontal="center" vertical="center"/>
    </xf>
    <xf numFmtId="170" fontId="60" fillId="0" borderId="0" xfId="8" applyNumberFormat="1" applyFont="1" applyFill="1" applyBorder="1" applyAlignment="1">
      <alignment horizontal="center" vertical="center"/>
    </xf>
    <xf numFmtId="170" fontId="60" fillId="0" borderId="99" xfId="8" applyNumberFormat="1" applyFont="1" applyFill="1" applyBorder="1" applyAlignment="1">
      <alignment horizontal="center" vertical="center"/>
    </xf>
    <xf numFmtId="0" fontId="21" fillId="0" borderId="29" xfId="8" applyFill="1" applyBorder="1" applyAlignment="1"/>
    <xf numFmtId="0" fontId="21" fillId="0" borderId="0" xfId="8" applyFill="1" applyBorder="1" applyAlignment="1"/>
    <xf numFmtId="0" fontId="56" fillId="0" borderId="79" xfId="8" applyFont="1" applyFill="1" applyBorder="1" applyAlignment="1">
      <alignment vertical="top" wrapText="1"/>
    </xf>
    <xf numFmtId="0" fontId="56" fillId="0" borderId="81" xfId="8" applyFont="1" applyFill="1" applyBorder="1" applyAlignment="1">
      <alignment vertical="top" wrapText="1"/>
    </xf>
    <xf numFmtId="0" fontId="56" fillId="0" borderId="0" xfId="8" applyFont="1" applyFill="1" applyBorder="1" applyAlignment="1">
      <alignment vertical="top" wrapText="1"/>
    </xf>
    <xf numFmtId="0" fontId="56" fillId="0" borderId="0" xfId="8" applyFont="1" applyFill="1" applyBorder="1" applyAlignment="1">
      <alignment vertical="center" wrapText="1"/>
    </xf>
    <xf numFmtId="0" fontId="56" fillId="0" borderId="81" xfId="8" applyFont="1" applyFill="1" applyBorder="1" applyAlignment="1">
      <alignment vertical="center" wrapText="1"/>
    </xf>
    <xf numFmtId="1" fontId="56" fillId="0" borderId="0" xfId="8" applyNumberFormat="1" applyFont="1" applyFill="1" applyBorder="1" applyAlignment="1">
      <alignment horizontal="left" vertical="center"/>
    </xf>
    <xf numFmtId="0" fontId="56" fillId="0" borderId="89" xfId="8" applyFont="1" applyFill="1" applyBorder="1" applyAlignment="1">
      <alignment vertical="center" wrapText="1"/>
    </xf>
    <xf numFmtId="1" fontId="56" fillId="0" borderId="103" xfId="8" applyNumberFormat="1" applyFont="1" applyFill="1" applyBorder="1" applyAlignment="1">
      <alignment horizontal="left" vertical="center"/>
    </xf>
    <xf numFmtId="0" fontId="56" fillId="0" borderId="103" xfId="8" applyFont="1" applyFill="1" applyBorder="1" applyAlignment="1">
      <alignment horizontal="left" vertical="center"/>
    </xf>
    <xf numFmtId="0" fontId="56" fillId="0" borderId="102" xfId="8" applyFont="1" applyFill="1" applyBorder="1" applyAlignment="1">
      <alignment horizontal="left" vertical="center"/>
    </xf>
    <xf numFmtId="0" fontId="55" fillId="0" borderId="81" xfId="8" applyFont="1" applyFill="1" applyBorder="1" applyAlignment="1">
      <alignment horizontal="center" vertical="center" wrapText="1"/>
    </xf>
    <xf numFmtId="0" fontId="65" fillId="0" borderId="0" xfId="8" applyFont="1" applyFill="1" applyAlignment="1">
      <alignment horizontal="left" vertical="center"/>
    </xf>
    <xf numFmtId="0" fontId="65" fillId="0" borderId="107" xfId="8" applyFont="1" applyFill="1" applyBorder="1" applyAlignment="1">
      <alignment horizontal="left" vertical="center"/>
    </xf>
    <xf numFmtId="0" fontId="21" fillId="0" borderId="97" xfId="8" applyFill="1" applyBorder="1" applyAlignment="1">
      <alignment vertical="center"/>
    </xf>
    <xf numFmtId="0" fontId="56" fillId="0" borderId="96" xfId="8" applyFont="1" applyFill="1" applyBorder="1" applyAlignment="1">
      <alignment vertical="center"/>
    </xf>
    <xf numFmtId="0" fontId="60" fillId="0" borderId="13" xfId="8" applyFont="1" applyFill="1" applyBorder="1" applyAlignment="1">
      <alignment horizontal="center" vertical="center"/>
    </xf>
    <xf numFmtId="0" fontId="60" fillId="0" borderId="101" xfId="8" applyFont="1" applyFill="1" applyBorder="1" applyAlignment="1">
      <alignment horizontal="center" vertical="center"/>
    </xf>
    <xf numFmtId="0" fontId="60" fillId="0" borderId="100" xfId="8" applyFont="1" applyFill="1" applyBorder="1" applyAlignment="1">
      <alignment horizontal="center" vertical="center"/>
    </xf>
    <xf numFmtId="0" fontId="60" fillId="0" borderId="0" xfId="8" applyFont="1" applyFill="1" applyBorder="1" applyAlignment="1">
      <alignment horizontal="center" vertical="center"/>
    </xf>
    <xf numFmtId="0" fontId="60" fillId="0" borderId="0" xfId="8" applyFont="1" applyFill="1" applyBorder="1" applyAlignment="1">
      <alignment vertical="center"/>
    </xf>
    <xf numFmtId="0" fontId="63" fillId="0" borderId="0" xfId="8" applyFont="1" applyFill="1" applyBorder="1" applyAlignment="1">
      <alignment vertical="center"/>
    </xf>
    <xf numFmtId="0" fontId="60" fillId="0" borderId="99" xfId="8" applyFont="1" applyFill="1" applyBorder="1" applyAlignment="1">
      <alignment vertical="center"/>
    </xf>
    <xf numFmtId="0" fontId="56" fillId="0" borderId="0" xfId="8" applyFont="1" applyFill="1" applyBorder="1" applyAlignment="1">
      <alignment vertical="center"/>
    </xf>
    <xf numFmtId="0" fontId="56" fillId="0" borderId="99" xfId="8" applyFont="1" applyFill="1" applyBorder="1" applyAlignment="1">
      <alignment vertical="center"/>
    </xf>
    <xf numFmtId="0" fontId="64" fillId="0" borderId="0" xfId="8" applyFont="1" applyFill="1" applyAlignment="1">
      <alignment vertical="center"/>
    </xf>
    <xf numFmtId="0" fontId="60" fillId="0" borderId="29" xfId="8" applyFont="1" applyFill="1" applyBorder="1" applyAlignment="1">
      <alignment horizontal="center" vertical="center"/>
    </xf>
    <xf numFmtId="0" fontId="60" fillId="0" borderId="99" xfId="8" applyFont="1" applyFill="1" applyBorder="1" applyAlignment="1">
      <alignment horizontal="center" vertical="center"/>
    </xf>
    <xf numFmtId="0" fontId="57" fillId="0" borderId="0" xfId="8" applyFont="1" applyFill="1" applyAlignment="1">
      <alignment vertical="center"/>
    </xf>
    <xf numFmtId="0" fontId="61" fillId="0" borderId="106" xfId="8" applyFont="1" applyFill="1" applyBorder="1" applyAlignment="1">
      <alignment horizontal="left" vertical="center"/>
    </xf>
    <xf numFmtId="0" fontId="61" fillId="0" borderId="92" xfId="8" applyFont="1" applyFill="1" applyBorder="1" applyAlignment="1">
      <alignment horizontal="left" vertical="center"/>
    </xf>
    <xf numFmtId="0" fontId="57" fillId="0" borderId="92" xfId="8" applyFont="1" applyFill="1" applyBorder="1" applyAlignment="1">
      <alignment vertical="center"/>
    </xf>
    <xf numFmtId="0" fontId="57" fillId="0" borderId="105" xfId="8" applyFont="1" applyFill="1" applyBorder="1" applyAlignment="1">
      <alignment vertical="center"/>
    </xf>
    <xf numFmtId="0" fontId="55" fillId="0" borderId="104" xfId="8" applyFont="1" applyFill="1" applyBorder="1" applyAlignment="1">
      <alignment horizontal="center" vertical="center"/>
    </xf>
    <xf numFmtId="0" fontId="55" fillId="0" borderId="103" xfId="8" applyFont="1" applyFill="1" applyBorder="1" applyAlignment="1">
      <alignment horizontal="center" vertical="center"/>
    </xf>
    <xf numFmtId="0" fontId="55" fillId="0" borderId="102" xfId="8" applyFont="1" applyFill="1" applyBorder="1" applyAlignment="1">
      <alignment horizontal="center" vertical="center"/>
    </xf>
    <xf numFmtId="0" fontId="61" fillId="0" borderId="104" xfId="8" applyFont="1" applyFill="1" applyBorder="1" applyAlignment="1">
      <alignment horizontal="left" vertical="center"/>
    </xf>
    <xf numFmtId="0" fontId="61" fillId="0" borderId="103" xfId="8" applyFont="1" applyFill="1" applyBorder="1" applyAlignment="1">
      <alignment horizontal="left" vertical="center"/>
    </xf>
    <xf numFmtId="0" fontId="61" fillId="0" borderId="103" xfId="8" applyFont="1" applyFill="1" applyBorder="1" applyAlignment="1">
      <alignment vertical="center"/>
    </xf>
    <xf numFmtId="0" fontId="61" fillId="0" borderId="102" xfId="8" applyFont="1" applyFill="1" applyBorder="1" applyAlignment="1">
      <alignment vertical="center"/>
    </xf>
    <xf numFmtId="0" fontId="59" fillId="0" borderId="0" xfId="8" applyFont="1" applyFill="1" applyAlignment="1">
      <alignment horizontal="left" vertical="center"/>
    </xf>
    <xf numFmtId="0" fontId="59" fillId="0" borderId="97" xfId="8" applyFont="1" applyFill="1" applyBorder="1" applyAlignment="1">
      <alignment horizontal="left" vertical="center"/>
    </xf>
    <xf numFmtId="0" fontId="56" fillId="0" borderId="96" xfId="8" applyFont="1" applyFill="1" applyBorder="1" applyAlignment="1">
      <alignment horizontal="left" vertical="center"/>
    </xf>
    <xf numFmtId="0" fontId="59" fillId="0" borderId="0" xfId="8" applyFont="1" applyFill="1" applyBorder="1" applyAlignment="1">
      <alignment horizontal="left" vertical="center"/>
    </xf>
    <xf numFmtId="0" fontId="56" fillId="0" borderId="101" xfId="8" applyFont="1" applyFill="1" applyBorder="1" applyAlignment="1">
      <alignment horizontal="left"/>
    </xf>
    <xf numFmtId="0" fontId="59" fillId="0" borderId="101" xfId="8" applyFont="1" applyFill="1" applyBorder="1" applyAlignment="1">
      <alignment horizontal="left" vertical="center"/>
    </xf>
    <xf numFmtId="0" fontId="59" fillId="0" borderId="13" xfId="8" applyFont="1" applyFill="1" applyBorder="1" applyAlignment="1">
      <alignment horizontal="left" vertical="center"/>
    </xf>
    <xf numFmtId="0" fontId="60" fillId="0" borderId="100" xfId="8" applyFont="1" applyFill="1" applyBorder="1" applyAlignment="1">
      <alignment horizontal="left" vertical="center"/>
    </xf>
    <xf numFmtId="0" fontId="56" fillId="0" borderId="0" xfId="8" applyFont="1" applyFill="1" applyBorder="1" applyAlignment="1">
      <alignment horizontal="left"/>
    </xf>
    <xf numFmtId="0" fontId="59" fillId="0" borderId="29" xfId="8" applyFont="1" applyFill="1" applyBorder="1" applyAlignment="1">
      <alignment horizontal="left" vertical="center"/>
    </xf>
    <xf numFmtId="0" fontId="60" fillId="0" borderId="0" xfId="8" applyFont="1" applyFill="1" applyBorder="1" applyAlignment="1">
      <alignment horizontal="left"/>
    </xf>
    <xf numFmtId="0" fontId="20" fillId="0" borderId="0" xfId="8" applyFont="1" applyFill="1" applyBorder="1" applyAlignment="1">
      <alignment horizontal="left"/>
    </xf>
    <xf numFmtId="0" fontId="55" fillId="0" borderId="0" xfId="8" applyFont="1" applyFill="1" applyBorder="1" applyAlignment="1">
      <alignment horizontal="center" vertical="center"/>
    </xf>
    <xf numFmtId="0" fontId="60" fillId="0" borderId="0" xfId="8" applyFont="1" applyFill="1" applyBorder="1" applyAlignment="1">
      <alignment horizontal="center"/>
    </xf>
    <xf numFmtId="0" fontId="60" fillId="0" borderId="99" xfId="8" applyFont="1" applyFill="1" applyBorder="1" applyAlignment="1" applyProtection="1">
      <alignment horizontal="center" vertical="center"/>
      <protection locked="0"/>
    </xf>
    <xf numFmtId="0" fontId="59" fillId="0" borderId="100" xfId="8" applyFont="1" applyFill="1" applyBorder="1" applyAlignment="1">
      <alignment horizontal="left"/>
    </xf>
    <xf numFmtId="0" fontId="62" fillId="0" borderId="0" xfId="8" applyFont="1" applyFill="1" applyBorder="1" applyAlignment="1">
      <alignment horizontal="center" vertical="center"/>
    </xf>
    <xf numFmtId="0" fontId="59" fillId="0" borderId="98" xfId="8" applyFont="1" applyFill="1" applyBorder="1" applyAlignment="1">
      <alignment horizontal="left" vertical="center"/>
    </xf>
    <xf numFmtId="0" fontId="56" fillId="0" borderId="97" xfId="8" applyFont="1" applyFill="1" applyBorder="1" applyAlignment="1">
      <alignment horizontal="left" vertical="center"/>
    </xf>
    <xf numFmtId="0" fontId="61" fillId="0" borderId="97" xfId="8" applyFont="1" applyFill="1" applyBorder="1" applyAlignment="1">
      <alignment horizontal="left" vertical="center"/>
    </xf>
    <xf numFmtId="0" fontId="58" fillId="0" borderId="0" xfId="8" applyFont="1" applyFill="1" applyAlignment="1">
      <alignment horizontal="left" vertical="center"/>
    </xf>
    <xf numFmtId="0" fontId="58" fillId="0" borderId="13" xfId="8" applyFont="1" applyFill="1" applyBorder="1" applyAlignment="1">
      <alignment horizontal="left" vertical="center"/>
    </xf>
    <xf numFmtId="0" fontId="58" fillId="0" borderId="101" xfId="8" applyFont="1" applyFill="1" applyBorder="1" applyAlignment="1">
      <alignment horizontal="left" vertical="center"/>
    </xf>
    <xf numFmtId="0" fontId="58" fillId="0" borderId="100" xfId="8" applyFont="1" applyFill="1" applyBorder="1" applyAlignment="1">
      <alignment horizontal="left" vertical="center"/>
    </xf>
    <xf numFmtId="0" fontId="56" fillId="0" borderId="29" xfId="8" applyFont="1" applyFill="1" applyBorder="1" applyAlignment="1">
      <alignment horizontal="left" vertical="center"/>
    </xf>
    <xf numFmtId="0" fontId="57" fillId="0" borderId="0" xfId="8" applyFont="1" applyFill="1" applyAlignment="1">
      <alignment horizontal="left" vertical="center"/>
    </xf>
    <xf numFmtId="0" fontId="57" fillId="0" borderId="98" xfId="8" applyFont="1" applyFill="1" applyBorder="1" applyAlignment="1">
      <alignment horizontal="left" vertical="center"/>
    </xf>
    <xf numFmtId="0" fontId="57" fillId="0" borderId="97" xfId="8" applyFont="1" applyFill="1" applyBorder="1" applyAlignment="1">
      <alignment horizontal="left" vertical="center"/>
    </xf>
    <xf numFmtId="0" fontId="57" fillId="0" borderId="96" xfId="8" applyFont="1" applyFill="1" applyBorder="1" applyAlignment="1">
      <alignment horizontal="left" vertical="center"/>
    </xf>
    <xf numFmtId="0" fontId="21" fillId="0" borderId="17" xfId="8" applyFill="1" applyBorder="1" applyAlignment="1">
      <alignment vertical="center"/>
    </xf>
    <xf numFmtId="0" fontId="21" fillId="0" borderId="95" xfId="8" applyFill="1" applyBorder="1" applyAlignment="1">
      <alignment vertical="center"/>
    </xf>
    <xf numFmtId="0" fontId="56" fillId="0" borderId="95" xfId="8" quotePrefix="1" applyFont="1" applyFill="1" applyBorder="1" applyAlignment="1">
      <alignment horizontal="left" vertical="center"/>
    </xf>
    <xf numFmtId="0" fontId="55" fillId="0" borderId="95" xfId="8" applyFont="1" applyFill="1" applyBorder="1" applyAlignment="1">
      <alignment horizontal="center" vertical="center"/>
    </xf>
    <xf numFmtId="0" fontId="53" fillId="0" borderId="94" xfId="8" applyFont="1" applyFill="1" applyBorder="1" applyAlignment="1">
      <alignment vertical="center"/>
    </xf>
    <xf numFmtId="0" fontId="54" fillId="0" borderId="0" xfId="8" applyFont="1" applyFill="1" applyAlignment="1">
      <alignment horizontal="left" vertical="center"/>
    </xf>
    <xf numFmtId="0" fontId="21" fillId="0" borderId="93" xfId="8" applyFont="1" applyFill="1" applyBorder="1" applyAlignment="1">
      <alignment horizontal="left" vertical="center"/>
    </xf>
    <xf numFmtId="0" fontId="53" fillId="0" borderId="92" xfId="8" applyFont="1" applyFill="1" applyBorder="1" applyAlignment="1">
      <alignment horizontal="left" vertical="center"/>
    </xf>
    <xf numFmtId="0" fontId="21" fillId="0" borderId="91" xfId="8" applyFont="1" applyFill="1" applyBorder="1" applyAlignment="1">
      <alignment horizontal="left" vertical="center"/>
    </xf>
    <xf numFmtId="0" fontId="51" fillId="0" borderId="0" xfId="8" applyFont="1" applyFill="1" applyAlignment="1">
      <alignment horizontal="left" vertical="center"/>
    </xf>
    <xf numFmtId="0" fontId="52" fillId="0" borderId="0" xfId="8" quotePrefix="1" applyFont="1" applyFill="1" applyAlignment="1">
      <alignment horizontal="left" vertical="center"/>
    </xf>
    <xf numFmtId="0" fontId="56" fillId="0" borderId="0" xfId="8" applyFont="1" applyFill="1" applyAlignment="1">
      <alignment vertical="center"/>
    </xf>
    <xf numFmtId="49" fontId="69" fillId="0" borderId="43" xfId="8" applyNumberFormat="1" applyFont="1" applyFill="1" applyBorder="1" applyAlignment="1">
      <alignment horizontal="center" vertical="top"/>
    </xf>
    <xf numFmtId="0" fontId="69" fillId="0" borderId="76" xfId="8" applyFont="1" applyFill="1" applyBorder="1" applyAlignment="1">
      <alignment horizontal="right" vertical="top" wrapText="1"/>
    </xf>
    <xf numFmtId="0" fontId="69" fillId="0" borderId="67" xfId="8" applyFont="1" applyFill="1" applyBorder="1" applyAlignment="1">
      <alignment horizontal="right" vertical="top" wrapText="1"/>
    </xf>
    <xf numFmtId="0" fontId="69" fillId="0" borderId="67" xfId="8" applyFont="1" applyFill="1" applyBorder="1" applyAlignment="1">
      <alignment horizontal="left" vertical="top" wrapText="1"/>
    </xf>
    <xf numFmtId="0" fontId="70" fillId="0" borderId="67" xfId="8" applyFont="1" applyFill="1" applyBorder="1" applyAlignment="1">
      <alignment horizontal="left" vertical="top" wrapText="1"/>
    </xf>
    <xf numFmtId="0" fontId="70" fillId="0" borderId="67" xfId="8" quotePrefix="1" applyFont="1" applyFill="1" applyBorder="1" applyAlignment="1">
      <alignment horizontal="left" vertical="top" wrapText="1"/>
    </xf>
    <xf numFmtId="0" fontId="71" fillId="0" borderId="64" xfId="8" applyFont="1" applyFill="1" applyBorder="1" applyAlignment="1">
      <alignment horizontal="center" wrapText="1"/>
    </xf>
    <xf numFmtId="0" fontId="71" fillId="0" borderId="63" xfId="8" applyFont="1" applyFill="1" applyBorder="1" applyAlignment="1">
      <alignment horizontal="center" wrapText="1"/>
    </xf>
    <xf numFmtId="49" fontId="70" fillId="0" borderId="77" xfId="8" applyNumberFormat="1" applyFont="1" applyFill="1" applyBorder="1" applyAlignment="1">
      <alignment horizontal="center" vertical="top"/>
    </xf>
    <xf numFmtId="0" fontId="70" fillId="0" borderId="76" xfId="8" applyFont="1" applyFill="1" applyBorder="1" applyAlignment="1">
      <alignment horizontal="left" vertical="top" wrapText="1"/>
    </xf>
    <xf numFmtId="49" fontId="70" fillId="0" borderId="43" xfId="8" applyNumberFormat="1" applyFont="1" applyFill="1" applyBorder="1" applyAlignment="1">
      <alignment horizontal="center" vertical="top"/>
    </xf>
    <xf numFmtId="0" fontId="72" fillId="0" borderId="67" xfId="8" applyFont="1" applyFill="1" applyBorder="1" applyAlignment="1">
      <alignment horizontal="right" vertical="top" wrapText="1"/>
    </xf>
    <xf numFmtId="0" fontId="56" fillId="0" borderId="0" xfId="8" applyFont="1" applyFill="1"/>
    <xf numFmtId="0" fontId="70" fillId="0" borderId="67" xfId="8" applyFont="1" applyFill="1" applyBorder="1" applyAlignment="1">
      <alignment horizontal="left" vertical="top"/>
    </xf>
    <xf numFmtId="0" fontId="71" fillId="0" borderId="73" xfId="8" applyFont="1" applyFill="1" applyBorder="1" applyAlignment="1">
      <alignment horizontal="center" wrapText="1"/>
    </xf>
    <xf numFmtId="0" fontId="71" fillId="0" borderId="72" xfId="8" applyFont="1" applyFill="1" applyBorder="1" applyAlignment="1">
      <alignment horizontal="center" wrapText="1"/>
    </xf>
    <xf numFmtId="171" fontId="68" fillId="0" borderId="43" xfId="8" applyNumberFormat="1" applyFont="1" applyFill="1" applyBorder="1" applyAlignment="1">
      <alignment horizontal="right" vertical="center"/>
    </xf>
    <xf numFmtId="0" fontId="56" fillId="0" borderId="0" xfId="8" applyFont="1" applyFill="1" applyAlignment="1">
      <alignment vertical="center" wrapText="1"/>
    </xf>
    <xf numFmtId="0" fontId="68" fillId="0" borderId="118" xfId="8" applyFont="1" applyFill="1" applyBorder="1" applyAlignment="1">
      <alignment horizontal="right" vertical="center" wrapText="1"/>
    </xf>
    <xf numFmtId="0" fontId="57" fillId="0" borderId="0" xfId="8" applyFont="1" applyFill="1" applyAlignment="1">
      <alignment vertical="center" wrapText="1"/>
    </xf>
    <xf numFmtId="0" fontId="55" fillId="0" borderId="93" xfId="8" applyFont="1" applyFill="1" applyBorder="1" applyAlignment="1">
      <alignment horizontal="left" vertical="center"/>
    </xf>
    <xf numFmtId="0" fontId="55" fillId="0" borderId="92" xfId="8" applyFont="1" applyFill="1" applyBorder="1" applyAlignment="1">
      <alignment horizontal="left" vertical="center"/>
    </xf>
    <xf numFmtId="0" fontId="68" fillId="0" borderId="91" xfId="8" applyFont="1" applyFill="1" applyBorder="1" applyAlignment="1">
      <alignment horizontal="left" vertical="center"/>
    </xf>
    <xf numFmtId="0" fontId="55" fillId="0" borderId="43" xfId="8" applyFont="1" applyFill="1" applyBorder="1" applyAlignment="1">
      <alignment horizontal="center" vertical="center"/>
    </xf>
    <xf numFmtId="0" fontId="56" fillId="0" borderId="43" xfId="8" applyFont="1" applyFill="1" applyBorder="1" applyAlignment="1">
      <alignment horizontal="center" vertical="center"/>
    </xf>
    <xf numFmtId="0" fontId="60" fillId="0" borderId="81" xfId="8" applyFont="1" applyFill="1" applyBorder="1" applyAlignment="1">
      <alignment horizontal="left" vertical="center"/>
    </xf>
    <xf numFmtId="0" fontId="56" fillId="0" borderId="81" xfId="8" applyFont="1" applyFill="1" applyBorder="1" applyAlignment="1">
      <alignment horizontal="left" vertical="center"/>
    </xf>
    <xf numFmtId="172" fontId="56" fillId="0" borderId="0" xfId="8" applyNumberFormat="1" applyFont="1" applyFill="1" applyAlignment="1">
      <alignment horizontal="left" vertical="center"/>
    </xf>
    <xf numFmtId="0" fontId="63" fillId="0" borderId="0" xfId="8" applyFont="1" applyFill="1" applyAlignment="1">
      <alignment vertical="center"/>
    </xf>
    <xf numFmtId="0" fontId="21" fillId="0" borderId="0" xfId="8" applyFont="1" applyFill="1" applyAlignment="1">
      <alignment vertical="center"/>
    </xf>
    <xf numFmtId="0" fontId="21" fillId="0" borderId="0" xfId="8" applyFont="1" applyFill="1" applyBorder="1" applyAlignment="1">
      <alignment horizontal="left" vertical="center"/>
    </xf>
    <xf numFmtId="0" fontId="53" fillId="0" borderId="93" xfId="8" applyFont="1" applyFill="1" applyBorder="1" applyAlignment="1">
      <alignment horizontal="left" vertical="center"/>
    </xf>
    <xf numFmtId="0" fontId="21" fillId="0" borderId="106" xfId="8" applyFont="1" applyFill="1" applyBorder="1" applyAlignment="1">
      <alignment horizontal="left" vertical="center"/>
    </xf>
    <xf numFmtId="0" fontId="69" fillId="0" borderId="0" xfId="8" applyFont="1" applyFill="1" applyAlignment="1">
      <alignment vertical="center"/>
    </xf>
    <xf numFmtId="0" fontId="70" fillId="0" borderId="0" xfId="8" applyFont="1" applyFill="1" applyAlignment="1">
      <alignment vertical="center"/>
    </xf>
    <xf numFmtId="0" fontId="70" fillId="0" borderId="113" xfId="8" applyFont="1" applyFill="1" applyBorder="1" applyAlignment="1">
      <alignment horizontal="left" vertical="top" wrapText="1"/>
    </xf>
    <xf numFmtId="0" fontId="70" fillId="0" borderId="112" xfId="8" applyFont="1" applyFill="1" applyBorder="1" applyAlignment="1">
      <alignment horizontal="left" vertical="top" wrapText="1"/>
    </xf>
    <xf numFmtId="171" fontId="68" fillId="0" borderId="68" xfId="8" applyNumberFormat="1" applyFont="1" applyFill="1" applyBorder="1" applyAlignment="1">
      <alignment horizontal="right" vertical="center"/>
    </xf>
    <xf numFmtId="0" fontId="69" fillId="0" borderId="93" xfId="8" applyFont="1" applyFill="1" applyBorder="1" applyAlignment="1">
      <alignment horizontal="left" vertical="top" wrapText="1"/>
    </xf>
    <xf numFmtId="0" fontId="69" fillId="0" borderId="91" xfId="8" applyFont="1" applyFill="1" applyBorder="1" applyAlignment="1">
      <alignment horizontal="left" vertical="top" wrapText="1"/>
    </xf>
    <xf numFmtId="0" fontId="70" fillId="0" borderId="93" xfId="8" applyFont="1" applyFill="1" applyBorder="1" applyAlignment="1">
      <alignment horizontal="left" vertical="top" wrapText="1"/>
    </xf>
    <xf numFmtId="0" fontId="70" fillId="0" borderId="91" xfId="8" applyFont="1" applyFill="1" applyBorder="1" applyAlignment="1">
      <alignment horizontal="left" vertical="top" wrapText="1"/>
    </xf>
    <xf numFmtId="49" fontId="70" fillId="0" borderId="73" xfId="8" applyNumberFormat="1" applyFont="1" applyFill="1" applyBorder="1" applyAlignment="1">
      <alignment horizontal="center" vertical="top"/>
    </xf>
    <xf numFmtId="0" fontId="70" fillId="0" borderId="89" xfId="8" applyFont="1" applyFill="1" applyBorder="1" applyAlignment="1">
      <alignment horizontal="left" vertical="top" wrapText="1"/>
    </xf>
    <xf numFmtId="0" fontId="70" fillId="0" borderId="88" xfId="8" applyFont="1" applyFill="1" applyBorder="1" applyAlignment="1">
      <alignment horizontal="left" vertical="top" wrapText="1"/>
    </xf>
    <xf numFmtId="0" fontId="70" fillId="0" borderId="72" xfId="8" applyFont="1" applyFill="1" applyBorder="1" applyAlignment="1">
      <alignment horizontal="left" vertical="top" wrapText="1"/>
    </xf>
    <xf numFmtId="0" fontId="69" fillId="0" borderId="67" xfId="8" quotePrefix="1" applyFont="1" applyFill="1" applyBorder="1" applyAlignment="1">
      <alignment horizontal="left" vertical="top" wrapText="1"/>
    </xf>
    <xf numFmtId="49" fontId="69" fillId="0" borderId="73" xfId="8" applyNumberFormat="1" applyFont="1" applyFill="1" applyBorder="1" applyAlignment="1">
      <alignment horizontal="center" vertical="top"/>
    </xf>
    <xf numFmtId="0" fontId="69" fillId="0" borderId="89" xfId="8" applyFont="1" applyFill="1" applyBorder="1" applyAlignment="1">
      <alignment horizontal="left" vertical="top" wrapText="1"/>
    </xf>
    <xf numFmtId="0" fontId="69" fillId="0" borderId="88" xfId="8" applyFont="1" applyFill="1" applyBorder="1" applyAlignment="1">
      <alignment horizontal="left" vertical="top" wrapText="1"/>
    </xf>
    <xf numFmtId="0" fontId="69" fillId="0" borderId="72" xfId="8" applyFont="1" applyFill="1" applyBorder="1" applyAlignment="1">
      <alignment horizontal="left" vertical="top" wrapText="1"/>
    </xf>
    <xf numFmtId="0" fontId="73" fillId="0" borderId="93" xfId="8" applyFont="1" applyFill="1" applyBorder="1" applyAlignment="1">
      <alignment horizontal="left" vertical="top" wrapText="1"/>
    </xf>
    <xf numFmtId="0" fontId="73" fillId="0" borderId="91" xfId="8" applyFont="1" applyFill="1" applyBorder="1" applyAlignment="1">
      <alignment horizontal="left" vertical="top" wrapText="1"/>
    </xf>
    <xf numFmtId="0" fontId="73" fillId="0" borderId="67" xfId="8" applyFont="1" applyFill="1" applyBorder="1" applyAlignment="1">
      <alignment horizontal="left" vertical="top" wrapText="1"/>
    </xf>
    <xf numFmtId="0" fontId="73" fillId="0" borderId="93" xfId="8" quotePrefix="1" applyFont="1" applyFill="1" applyBorder="1" applyAlignment="1">
      <alignment horizontal="left" vertical="top" wrapText="1"/>
    </xf>
    <xf numFmtId="0" fontId="73" fillId="0" borderId="91" xfId="8" quotePrefix="1" applyFont="1" applyFill="1" applyBorder="1" applyAlignment="1">
      <alignment horizontal="left" vertical="top" wrapText="1"/>
    </xf>
    <xf numFmtId="0" fontId="69" fillId="0" borderId="89" xfId="8" quotePrefix="1" applyFont="1" applyFill="1" applyBorder="1" applyAlignment="1">
      <alignment horizontal="left" vertical="top" wrapText="1"/>
    </xf>
    <xf numFmtId="0" fontId="69" fillId="0" borderId="88" xfId="8" quotePrefix="1" applyFont="1" applyFill="1" applyBorder="1" applyAlignment="1">
      <alignment horizontal="left" vertical="top" wrapText="1"/>
    </xf>
    <xf numFmtId="0" fontId="69" fillId="0" borderId="0" xfId="8" applyFont="1" applyFill="1" applyAlignment="1">
      <alignment vertical="center" wrapText="1"/>
    </xf>
    <xf numFmtId="49" fontId="69" fillId="0" borderId="77" xfId="8" applyNumberFormat="1" applyFont="1" applyFill="1" applyBorder="1" applyAlignment="1">
      <alignment horizontal="center" vertical="top"/>
    </xf>
    <xf numFmtId="0" fontId="69" fillId="0" borderId="113" xfId="8" applyFont="1" applyFill="1" applyBorder="1" applyAlignment="1">
      <alignment horizontal="left" vertical="top" wrapText="1"/>
    </xf>
    <xf numFmtId="0" fontId="69" fillId="0" borderId="112" xfId="8" applyFont="1" applyFill="1" applyBorder="1" applyAlignment="1">
      <alignment horizontal="left" vertical="top" wrapText="1"/>
    </xf>
    <xf numFmtId="0" fontId="69" fillId="0" borderId="76" xfId="8" applyFont="1" applyFill="1" applyBorder="1" applyAlignment="1">
      <alignment horizontal="left" vertical="top" wrapText="1"/>
    </xf>
    <xf numFmtId="0" fontId="70" fillId="0" borderId="0" xfId="8" applyFont="1" applyFill="1" applyAlignment="1">
      <alignment vertical="center" wrapText="1"/>
    </xf>
    <xf numFmtId="0" fontId="70" fillId="0" borderId="93" xfId="8" quotePrefix="1" applyFont="1" applyFill="1" applyBorder="1" applyAlignment="1">
      <alignment horizontal="left" vertical="top" wrapText="1"/>
    </xf>
    <xf numFmtId="0" fontId="70" fillId="0" borderId="91" xfId="8" quotePrefix="1" applyFont="1" applyFill="1" applyBorder="1" applyAlignment="1">
      <alignment horizontal="left" vertical="top" wrapText="1"/>
    </xf>
    <xf numFmtId="0" fontId="69" fillId="0" borderId="93" xfId="8" quotePrefix="1" applyFont="1" applyFill="1" applyBorder="1" applyAlignment="1">
      <alignment horizontal="left" vertical="top" wrapText="1"/>
    </xf>
    <xf numFmtId="0" fontId="69" fillId="0" borderId="91" xfId="8" quotePrefix="1" applyFont="1" applyFill="1" applyBorder="1" applyAlignment="1">
      <alignment horizontal="left" vertical="top" wrapText="1"/>
    </xf>
    <xf numFmtId="0" fontId="70" fillId="0" borderId="68" xfId="8" applyFont="1" applyFill="1" applyBorder="1" applyAlignment="1">
      <alignment horizontal="center" vertical="center" wrapText="1"/>
    </xf>
    <xf numFmtId="0" fontId="70" fillId="0" borderId="43" xfId="8" applyFont="1" applyFill="1" applyBorder="1" applyAlignment="1">
      <alignment horizontal="center" wrapText="1"/>
    </xf>
    <xf numFmtId="0" fontId="71" fillId="0" borderId="43" xfId="8" applyFont="1" applyFill="1" applyBorder="1" applyAlignment="1">
      <alignment horizontal="center" vertical="center" wrapText="1"/>
    </xf>
    <xf numFmtId="0" fontId="70" fillId="0" borderId="93" xfId="8" applyFont="1" applyFill="1" applyBorder="1" applyAlignment="1">
      <alignment horizontal="center" vertical="center" wrapText="1"/>
    </xf>
    <xf numFmtId="0" fontId="70" fillId="0" borderId="91" xfId="8" applyFont="1" applyFill="1" applyBorder="1" applyAlignment="1">
      <alignment horizontal="center" vertical="center" wrapText="1"/>
    </xf>
    <xf numFmtId="0" fontId="71" fillId="0" borderId="67" xfId="8" applyFont="1" applyFill="1" applyBorder="1" applyAlignment="1">
      <alignment horizontal="center" vertical="center" wrapText="1"/>
    </xf>
    <xf numFmtId="0" fontId="69" fillId="0" borderId="64" xfId="8" applyFont="1" applyFill="1" applyBorder="1" applyAlignment="1">
      <alignment horizontal="center" vertical="center"/>
    </xf>
    <xf numFmtId="0" fontId="69" fillId="0" borderId="116" xfId="8" applyFont="1" applyFill="1" applyBorder="1" applyAlignment="1">
      <alignment horizontal="center" vertical="center"/>
    </xf>
    <xf numFmtId="0" fontId="69" fillId="0" borderId="115" xfId="8" applyFont="1" applyFill="1" applyBorder="1" applyAlignment="1">
      <alignment horizontal="center" vertical="center"/>
    </xf>
    <xf numFmtId="0" fontId="69" fillId="0" borderId="63" xfId="8" applyFont="1" applyFill="1" applyBorder="1" applyAlignment="1">
      <alignment horizontal="center" vertical="center"/>
    </xf>
    <xf numFmtId="0" fontId="56" fillId="0" borderId="101" xfId="8" applyFont="1" applyFill="1" applyBorder="1" applyAlignment="1">
      <alignment vertical="center"/>
    </xf>
    <xf numFmtId="0" fontId="68" fillId="0" borderId="0" xfId="8" applyFont="1" applyFill="1" applyBorder="1" applyAlignment="1">
      <alignment horizontal="left" vertical="center"/>
    </xf>
    <xf numFmtId="0" fontId="50" fillId="8" borderId="0" xfId="0" applyFont="1" applyFill="1" applyAlignment="1"/>
    <xf numFmtId="0" fontId="76" fillId="0" borderId="0" xfId="0" applyFont="1"/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76" fillId="0" borderId="0" xfId="0" applyFont="1" applyBorder="1"/>
    <xf numFmtId="0" fontId="76" fillId="0" borderId="101" xfId="0" applyFont="1" applyBorder="1"/>
    <xf numFmtId="171" fontId="68" fillId="0" borderId="43" xfId="8" applyNumberFormat="1" applyFont="1" applyFill="1" applyBorder="1" applyAlignment="1">
      <alignment horizontal="right" vertical="center"/>
    </xf>
    <xf numFmtId="0" fontId="14" fillId="0" borderId="79" xfId="0" applyFont="1" applyBorder="1"/>
    <xf numFmtId="0" fontId="14" fillId="0" borderId="0" xfId="0" applyFont="1" applyBorder="1"/>
    <xf numFmtId="3" fontId="14" fillId="0" borderId="81" xfId="0" applyNumberFormat="1" applyFont="1" applyBorder="1"/>
    <xf numFmtId="0" fontId="14" fillId="0" borderId="81" xfId="0" applyFont="1" applyBorder="1"/>
    <xf numFmtId="0" fontId="13" fillId="0" borderId="1" xfId="0" applyFont="1" applyBorder="1" applyAlignment="1">
      <alignment vertical="center" wrapText="1"/>
    </xf>
    <xf numFmtId="3" fontId="14" fillId="0" borderId="79" xfId="0" applyNumberFormat="1" applyFont="1" applyBorder="1"/>
    <xf numFmtId="3" fontId="78" fillId="0" borderId="79" xfId="0" applyNumberFormat="1" applyFont="1" applyBorder="1"/>
    <xf numFmtId="3" fontId="78" fillId="0" borderId="81" xfId="0" applyNumberFormat="1" applyFont="1" applyBorder="1"/>
    <xf numFmtId="0" fontId="78" fillId="0" borderId="79" xfId="0" applyFont="1" applyBorder="1"/>
    <xf numFmtId="0" fontId="78" fillId="0" borderId="81" xfId="0" applyFont="1" applyBorder="1"/>
    <xf numFmtId="3" fontId="78" fillId="0" borderId="88" xfId="0" applyNumberFormat="1" applyFont="1" applyBorder="1"/>
    <xf numFmtId="3" fontId="78" fillId="0" borderId="89" xfId="0" applyNumberFormat="1" applyFont="1" applyBorder="1"/>
    <xf numFmtId="0" fontId="14" fillId="0" borderId="80" xfId="0" applyFont="1" applyBorder="1"/>
    <xf numFmtId="0" fontId="78" fillId="0" borderId="119" xfId="0" applyFont="1" applyBorder="1"/>
    <xf numFmtId="0" fontId="78" fillId="0" borderId="122" xfId="0" applyFont="1" applyBorder="1"/>
    <xf numFmtId="3" fontId="0" fillId="0" borderId="79" xfId="0" applyNumberFormat="1" applyBorder="1" applyAlignment="1">
      <alignment horizontal="right"/>
    </xf>
    <xf numFmtId="3" fontId="0" fillId="0" borderId="81" xfId="0" applyNumberFormat="1" applyBorder="1" applyAlignment="1">
      <alignment horizontal="right"/>
    </xf>
    <xf numFmtId="0" fontId="13" fillId="0" borderId="1" xfId="0" applyNumberFormat="1" applyFont="1" applyBorder="1" applyAlignment="1">
      <alignment horizontal="centerContinuous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3" fontId="14" fillId="0" borderId="0" xfId="0" applyNumberFormat="1" applyFont="1" applyBorder="1"/>
    <xf numFmtId="0" fontId="13" fillId="0" borderId="145" xfId="0" applyFont="1" applyBorder="1" applyAlignment="1">
      <alignment horizontal="center" vertical="center" wrapText="1"/>
    </xf>
    <xf numFmtId="0" fontId="13" fillId="0" borderId="146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3" fontId="14" fillId="0" borderId="0" xfId="0" applyNumberFormat="1" applyFont="1"/>
    <xf numFmtId="0" fontId="13" fillId="0" borderId="79" xfId="0" applyFont="1" applyBorder="1"/>
    <xf numFmtId="0" fontId="19" fillId="6" borderId="94" xfId="8" applyFont="1" applyFill="1" applyBorder="1"/>
    <xf numFmtId="0" fontId="19" fillId="6" borderId="95" xfId="8" applyFont="1" applyFill="1" applyBorder="1"/>
    <xf numFmtId="0" fontId="18" fillId="6" borderId="95" xfId="8" applyFont="1" applyFill="1" applyBorder="1"/>
    <xf numFmtId="0" fontId="18" fillId="6" borderId="17" xfId="8" applyFont="1" applyFill="1" applyBorder="1"/>
    <xf numFmtId="0" fontId="18" fillId="0" borderId="0" xfId="8" applyFont="1"/>
    <xf numFmtId="0" fontId="79" fillId="3" borderId="96" xfId="8" applyFont="1" applyFill="1" applyBorder="1"/>
    <xf numFmtId="0" fontId="18" fillId="3" borderId="97" xfId="8" applyFont="1" applyFill="1" applyBorder="1"/>
    <xf numFmtId="0" fontId="18" fillId="3" borderId="98" xfId="8" applyFont="1" applyFill="1" applyBorder="1"/>
    <xf numFmtId="0" fontId="18" fillId="0" borderId="0" xfId="8" applyFont="1" applyFill="1"/>
    <xf numFmtId="0" fontId="18" fillId="6" borderId="137" xfId="8" applyFont="1" applyFill="1" applyBorder="1"/>
    <xf numFmtId="0" fontId="22" fillId="0" borderId="136" xfId="8" applyFont="1" applyFill="1" applyBorder="1" applyAlignment="1" applyProtection="1">
      <alignment horizontal="left" vertical="top"/>
      <protection locked="0"/>
    </xf>
    <xf numFmtId="0" fontId="18" fillId="7" borderId="17" xfId="8" applyFont="1" applyFill="1" applyBorder="1"/>
    <xf numFmtId="0" fontId="18" fillId="0" borderId="29" xfId="8" applyFont="1" applyFill="1" applyBorder="1"/>
    <xf numFmtId="0" fontId="18" fillId="3" borderId="99" xfId="8" applyFont="1" applyFill="1" applyBorder="1"/>
    <xf numFmtId="0" fontId="18" fillId="3" borderId="0" xfId="8" applyFont="1" applyFill="1" applyBorder="1"/>
    <xf numFmtId="0" fontId="18" fillId="3" borderId="29" xfId="8" applyFont="1" applyFill="1" applyBorder="1"/>
    <xf numFmtId="0" fontId="19" fillId="6" borderId="135" xfId="8" applyFont="1" applyFill="1" applyBorder="1"/>
    <xf numFmtId="0" fontId="19" fillId="6" borderId="127" xfId="8" applyFont="1" applyFill="1" applyBorder="1" applyAlignment="1">
      <alignment horizontal="center"/>
    </xf>
    <xf numFmtId="0" fontId="19" fillId="6" borderId="132" xfId="10" applyFont="1" applyFill="1" applyBorder="1" applyAlignment="1">
      <alignment horizontal="left" vertical="top"/>
    </xf>
    <xf numFmtId="0" fontId="18" fillId="6" borderId="98" xfId="8" applyFont="1" applyFill="1" applyBorder="1"/>
    <xf numFmtId="0" fontId="19" fillId="3" borderId="63" xfId="8" applyFont="1" applyFill="1" applyBorder="1"/>
    <xf numFmtId="0" fontId="19" fillId="0" borderId="132" xfId="10" applyFont="1" applyFill="1" applyBorder="1" applyAlignment="1" applyProtection="1">
      <alignment horizontal="center" vertical="top"/>
      <protection locked="0"/>
    </xf>
    <xf numFmtId="0" fontId="18" fillId="0" borderId="98" xfId="10" applyFont="1" applyFill="1" applyBorder="1" applyAlignment="1">
      <alignment horizontal="left" vertical="center"/>
    </xf>
    <xf numFmtId="0" fontId="82" fillId="0" borderId="0" xfId="9" applyFont="1" applyFill="1" applyBorder="1" applyAlignment="1" applyProtection="1">
      <alignment vertical="center"/>
      <protection hidden="1"/>
    </xf>
    <xf numFmtId="0" fontId="18" fillId="0" borderId="0" xfId="8" applyFont="1" applyFill="1" applyBorder="1"/>
    <xf numFmtId="0" fontId="19" fillId="3" borderId="67" xfId="8" applyFont="1" applyFill="1" applyBorder="1"/>
    <xf numFmtId="173" fontId="18" fillId="3" borderId="68" xfId="8" quotePrefix="1" applyNumberFormat="1" applyFont="1" applyFill="1" applyBorder="1" applyAlignment="1">
      <alignment horizontal="center"/>
    </xf>
    <xf numFmtId="0" fontId="19" fillId="0" borderId="134" xfId="10" applyFont="1" applyFill="1" applyBorder="1" applyAlignment="1" applyProtection="1">
      <alignment horizontal="center" vertical="top"/>
      <protection locked="0"/>
    </xf>
    <xf numFmtId="0" fontId="18" fillId="0" borderId="106" xfId="10" applyFont="1" applyFill="1" applyBorder="1" applyAlignment="1">
      <alignment horizontal="left" vertical="center"/>
    </xf>
    <xf numFmtId="0" fontId="18" fillId="3" borderId="78" xfId="8" quotePrefix="1" applyFont="1" applyFill="1" applyBorder="1" applyAlignment="1">
      <alignment horizontal="center"/>
    </xf>
    <xf numFmtId="0" fontId="19" fillId="3" borderId="133" xfId="8" applyFont="1" applyFill="1" applyBorder="1" applyAlignment="1" applyProtection="1">
      <alignment horizontal="center" vertical="center"/>
      <protection locked="0"/>
    </xf>
    <xf numFmtId="0" fontId="18" fillId="0" borderId="13" xfId="10" applyFont="1" applyFill="1" applyBorder="1" applyAlignment="1">
      <alignment horizontal="left" vertical="center"/>
    </xf>
    <xf numFmtId="0" fontId="19" fillId="3" borderId="128" xfId="8" applyFont="1" applyFill="1" applyBorder="1"/>
    <xf numFmtId="0" fontId="18" fillId="3" borderId="0" xfId="8" applyFont="1" applyFill="1"/>
    <xf numFmtId="0" fontId="19" fillId="3" borderId="43" xfId="8" applyFont="1" applyFill="1" applyBorder="1"/>
    <xf numFmtId="0" fontId="18" fillId="3" borderId="54" xfId="8" applyNumberFormat="1" applyFont="1" applyFill="1" applyBorder="1" applyAlignment="1">
      <alignment horizontal="center"/>
    </xf>
    <xf numFmtId="0" fontId="19" fillId="0" borderId="0" xfId="10" applyFont="1" applyFill="1" applyBorder="1" applyAlignment="1">
      <alignment horizontal="left" vertical="top"/>
    </xf>
    <xf numFmtId="0" fontId="22" fillId="6" borderId="43" xfId="8" applyFont="1" applyFill="1" applyBorder="1"/>
    <xf numFmtId="0" fontId="18" fillId="3" borderId="54" xfId="8" quotePrefix="1" applyNumberFormat="1" applyFont="1" applyFill="1" applyBorder="1" applyAlignment="1">
      <alignment horizontal="center"/>
    </xf>
    <xf numFmtId="0" fontId="18" fillId="7" borderId="43" xfId="8" applyFont="1" applyFill="1" applyBorder="1" applyAlignment="1">
      <alignment horizontal="center"/>
    </xf>
    <xf numFmtId="0" fontId="18" fillId="0" borderId="0" xfId="8" applyFont="1" applyAlignment="1">
      <alignment horizontal="center"/>
    </xf>
    <xf numFmtId="16" fontId="18" fillId="3" borderId="0" xfId="8" applyNumberFormat="1" applyFont="1" applyFill="1" applyBorder="1" applyAlignment="1">
      <alignment horizontal="center"/>
    </xf>
    <xf numFmtId="0" fontId="19" fillId="3" borderId="76" xfId="8" applyFont="1" applyFill="1" applyBorder="1"/>
    <xf numFmtId="0" fontId="18" fillId="3" borderId="0" xfId="8" quotePrefix="1" applyFont="1" applyFill="1" applyBorder="1" applyAlignment="1">
      <alignment horizontal="center"/>
    </xf>
    <xf numFmtId="0" fontId="18" fillId="3" borderId="0" xfId="8" applyFont="1" applyFill="1" applyBorder="1" applyAlignment="1">
      <alignment horizontal="right"/>
    </xf>
    <xf numFmtId="0" fontId="19" fillId="6" borderId="128" xfId="8" applyFont="1" applyFill="1" applyBorder="1"/>
    <xf numFmtId="0" fontId="19" fillId="6" borderId="131" xfId="8" quotePrefix="1" applyFont="1" applyFill="1" applyBorder="1" applyAlignment="1">
      <alignment horizontal="center"/>
    </xf>
    <xf numFmtId="0" fontId="19" fillId="3" borderId="130" xfId="8" applyFont="1" applyFill="1" applyBorder="1" applyAlignment="1" applyProtection="1">
      <alignment horizontal="center" vertical="center"/>
      <protection locked="0"/>
    </xf>
    <xf numFmtId="0" fontId="18" fillId="0" borderId="114" xfId="10" applyFont="1" applyFill="1" applyBorder="1" applyAlignment="1">
      <alignment horizontal="left" vertical="center"/>
    </xf>
    <xf numFmtId="0" fontId="19" fillId="3" borderId="129" xfId="8" applyFont="1" applyFill="1" applyBorder="1" applyAlignment="1" applyProtection="1">
      <alignment horizontal="center" vertical="center"/>
      <protection locked="0"/>
    </xf>
    <xf numFmtId="0" fontId="18" fillId="0" borderId="111" xfId="10" applyFont="1" applyFill="1" applyBorder="1" applyAlignment="1">
      <alignment horizontal="left" vertical="center"/>
    </xf>
    <xf numFmtId="173" fontId="18" fillId="3" borderId="68" xfId="8" quotePrefix="1" applyNumberFormat="1" applyFont="1" applyFill="1" applyBorder="1" applyAlignment="1" applyProtection="1">
      <alignment horizontal="center"/>
    </xf>
    <xf numFmtId="0" fontId="18" fillId="6" borderId="17" xfId="8" applyFont="1" applyFill="1" applyBorder="1" applyProtection="1">
      <protection locked="0"/>
    </xf>
    <xf numFmtId="0" fontId="19" fillId="3" borderId="99" xfId="8" applyFont="1" applyFill="1" applyBorder="1"/>
    <xf numFmtId="0" fontId="18" fillId="7" borderId="127" xfId="8" applyFont="1" applyFill="1" applyBorder="1" applyAlignment="1" applyProtection="1">
      <alignment horizontal="center" vertical="center"/>
      <protection locked="0"/>
    </xf>
    <xf numFmtId="0" fontId="19" fillId="6" borderId="126" xfId="10" applyFont="1" applyFill="1" applyBorder="1" applyAlignment="1">
      <alignment vertical="center"/>
    </xf>
    <xf numFmtId="14" fontId="18" fillId="7" borderId="65" xfId="8" applyNumberFormat="1" applyFont="1" applyFill="1" applyBorder="1" applyAlignment="1" applyProtection="1">
      <alignment horizontal="center"/>
      <protection locked="0"/>
    </xf>
    <xf numFmtId="0" fontId="18" fillId="0" borderId="0" xfId="8" applyFont="1" applyBorder="1"/>
    <xf numFmtId="0" fontId="19" fillId="6" borderId="125" xfId="10" applyFont="1" applyFill="1" applyBorder="1" applyAlignment="1">
      <alignment vertical="center"/>
    </xf>
    <xf numFmtId="14" fontId="18" fillId="7" borderId="78" xfId="8" applyNumberFormat="1" applyFont="1" applyFill="1" applyBorder="1" applyAlignment="1" applyProtection="1">
      <alignment horizontal="center"/>
      <protection locked="0"/>
    </xf>
    <xf numFmtId="0" fontId="19" fillId="6" borderId="126" xfId="10" applyFont="1" applyFill="1" applyBorder="1" applyAlignment="1"/>
    <xf numFmtId="0" fontId="18" fillId="6" borderId="117" xfId="10" applyFont="1" applyFill="1" applyBorder="1" applyAlignment="1"/>
    <xf numFmtId="0" fontId="18" fillId="7" borderId="65" xfId="8" applyFont="1" applyFill="1" applyBorder="1" applyAlignment="1" applyProtection="1">
      <alignment horizontal="center"/>
      <protection locked="0"/>
    </xf>
    <xf numFmtId="0" fontId="18" fillId="3" borderId="0" xfId="8" applyFont="1" applyFill="1" applyBorder="1" applyAlignment="1"/>
    <xf numFmtId="0" fontId="18" fillId="3" borderId="99" xfId="10" applyFont="1" applyFill="1" applyBorder="1" applyAlignment="1"/>
    <xf numFmtId="0" fontId="18" fillId="3" borderId="0" xfId="10" applyFont="1" applyFill="1" applyBorder="1" applyAlignment="1"/>
    <xf numFmtId="0" fontId="18" fillId="3" borderId="29" xfId="8" applyFont="1" applyFill="1" applyBorder="1" applyAlignment="1"/>
    <xf numFmtId="0" fontId="19" fillId="6" borderId="96" xfId="10" applyFont="1" applyFill="1" applyBorder="1" applyAlignment="1">
      <alignment vertical="center"/>
    </xf>
    <xf numFmtId="0" fontId="19" fillId="6" borderId="105" xfId="10" applyFont="1" applyFill="1" applyBorder="1" applyAlignment="1">
      <alignment vertical="top"/>
    </xf>
    <xf numFmtId="0" fontId="18" fillId="6" borderId="92" xfId="10" applyFont="1" applyFill="1" applyBorder="1" applyAlignment="1">
      <alignment vertical="top"/>
    </xf>
    <xf numFmtId="0" fontId="18" fillId="7" borderId="68" xfId="8" applyFont="1" applyFill="1" applyBorder="1" applyAlignment="1" applyProtection="1">
      <alignment horizontal="right"/>
      <protection locked="0"/>
    </xf>
    <xf numFmtId="0" fontId="19" fillId="6" borderId="99" xfId="10" applyFont="1" applyFill="1" applyBorder="1" applyAlignment="1">
      <alignment vertical="center"/>
    </xf>
    <xf numFmtId="0" fontId="18" fillId="6" borderId="29" xfId="8" applyFont="1" applyFill="1" applyBorder="1"/>
    <xf numFmtId="0" fontId="18" fillId="3" borderId="125" xfId="8" applyFont="1" applyFill="1" applyBorder="1" applyAlignment="1">
      <alignment vertical="center"/>
    </xf>
    <xf numFmtId="0" fontId="18" fillId="3" borderId="78" xfId="8" applyFont="1" applyFill="1" applyBorder="1" applyAlignment="1" applyProtection="1">
      <alignment horizontal="center"/>
      <protection locked="0"/>
    </xf>
    <xf numFmtId="0" fontId="18" fillId="6" borderId="92" xfId="8" applyFont="1" applyFill="1" applyBorder="1"/>
    <xf numFmtId="49" fontId="18" fillId="7" borderId="68" xfId="8" applyNumberFormat="1" applyFont="1" applyFill="1" applyBorder="1" applyAlignment="1" applyProtection="1">
      <alignment horizontal="center"/>
      <protection locked="0"/>
    </xf>
    <xf numFmtId="0" fontId="18" fillId="3" borderId="0" xfId="8" applyFont="1" applyFill="1" applyBorder="1" applyAlignment="1">
      <alignment vertical="center"/>
    </xf>
    <xf numFmtId="0" fontId="18" fillId="3" borderId="0" xfId="10" applyFont="1" applyFill="1" applyBorder="1" applyAlignment="1">
      <alignment vertical="top"/>
    </xf>
    <xf numFmtId="0" fontId="19" fillId="6" borderId="125" xfId="8" applyFont="1" applyFill="1" applyBorder="1" applyAlignment="1">
      <alignment vertical="center"/>
    </xf>
    <xf numFmtId="0" fontId="18" fillId="6" borderId="113" xfId="8" applyFont="1" applyFill="1" applyBorder="1"/>
    <xf numFmtId="0" fontId="18" fillId="7" borderId="78" xfId="8" applyFont="1" applyFill="1" applyBorder="1" applyAlignment="1" applyProtection="1">
      <alignment horizontal="center"/>
      <protection locked="0"/>
    </xf>
    <xf numFmtId="0" fontId="19" fillId="6" borderId="126" xfId="10" applyFont="1" applyFill="1" applyBorder="1" applyAlignment="1">
      <alignment vertical="top"/>
    </xf>
    <xf numFmtId="0" fontId="18" fillId="6" borderId="117" xfId="8" applyFont="1" applyFill="1" applyBorder="1"/>
    <xf numFmtId="0" fontId="18" fillId="7" borderId="65" xfId="8" quotePrefix="1" applyFont="1" applyFill="1" applyBorder="1" applyAlignment="1" applyProtection="1">
      <alignment horizontal="center"/>
      <protection locked="0"/>
    </xf>
    <xf numFmtId="0" fontId="18" fillId="3" borderId="0" xfId="8" quotePrefix="1" applyFont="1" applyFill="1" applyBorder="1" applyAlignment="1">
      <alignment horizontal="right"/>
    </xf>
    <xf numFmtId="0" fontId="19" fillId="6" borderId="105" xfId="10" applyFont="1" applyFill="1" applyBorder="1" applyAlignment="1">
      <alignment vertical="center"/>
    </xf>
    <xf numFmtId="0" fontId="18" fillId="7" borderId="68" xfId="8" quotePrefix="1" applyFont="1" applyFill="1" applyBorder="1" applyAlignment="1" applyProtection="1">
      <alignment horizontal="center"/>
      <protection locked="0"/>
    </xf>
    <xf numFmtId="0" fontId="19" fillId="3" borderId="100" xfId="8" applyFont="1" applyFill="1" applyBorder="1"/>
    <xf numFmtId="0" fontId="18" fillId="3" borderId="101" xfId="10" applyFont="1" applyFill="1" applyBorder="1" applyAlignment="1">
      <alignment vertical="center"/>
    </xf>
    <xf numFmtId="0" fontId="18" fillId="3" borderId="13" xfId="8" applyFont="1" applyFill="1" applyBorder="1"/>
    <xf numFmtId="0" fontId="19" fillId="6" borderId="100" xfId="10" applyFont="1" applyFill="1" applyBorder="1" applyAlignment="1">
      <alignment vertical="center"/>
    </xf>
    <xf numFmtId="0" fontId="18" fillId="6" borderId="101" xfId="8" applyFont="1" applyFill="1" applyBorder="1"/>
    <xf numFmtId="0" fontId="18" fillId="7" borderId="58" xfId="8" applyFont="1" applyFill="1" applyBorder="1" applyAlignment="1" applyProtection="1">
      <alignment horizontal="center"/>
      <protection locked="0"/>
    </xf>
    <xf numFmtId="0" fontId="18" fillId="3" borderId="0" xfId="10" applyFont="1" applyFill="1" applyBorder="1" applyAlignment="1">
      <alignment vertical="center"/>
    </xf>
    <xf numFmtId="0" fontId="19" fillId="6" borderId="94" xfId="10" applyFont="1" applyFill="1" applyBorder="1" applyAlignment="1">
      <alignment vertical="center"/>
    </xf>
    <xf numFmtId="0" fontId="18" fillId="3" borderId="101" xfId="8" applyFont="1" applyFill="1" applyBorder="1"/>
    <xf numFmtId="0" fontId="13" fillId="0" borderId="10" xfId="0" applyFont="1" applyBorder="1" applyAlignment="1">
      <alignment horizontal="center" vertical="center" wrapText="1"/>
    </xf>
    <xf numFmtId="0" fontId="76" fillId="0" borderId="0" xfId="0" applyFont="1" applyAlignment="1">
      <alignment horizontal="justify" vertical="top"/>
    </xf>
    <xf numFmtId="0" fontId="13" fillId="0" borderId="101" xfId="0" applyFont="1" applyBorder="1" applyAlignment="1">
      <alignment horizontal="left"/>
    </xf>
    <xf numFmtId="0" fontId="76" fillId="0" borderId="81" xfId="0" applyFont="1" applyBorder="1"/>
    <xf numFmtId="0" fontId="76" fillId="0" borderId="79" xfId="0" applyFont="1" applyBorder="1"/>
    <xf numFmtId="0" fontId="76" fillId="0" borderId="119" xfId="0" applyFont="1" applyBorder="1"/>
    <xf numFmtId="0" fontId="76" fillId="0" borderId="123" xfId="0" applyFont="1" applyBorder="1"/>
    <xf numFmtId="0" fontId="76" fillId="0" borderId="122" xfId="0" applyFont="1" applyBorder="1"/>
    <xf numFmtId="49" fontId="18" fillId="7" borderId="127" xfId="8" applyNumberFormat="1" applyFont="1" applyFill="1" applyBorder="1" applyAlignment="1" applyProtection="1">
      <alignment horizontal="center" vertical="center"/>
    </xf>
    <xf numFmtId="49" fontId="18" fillId="0" borderId="0" xfId="8" applyNumberFormat="1" applyFont="1"/>
    <xf numFmtId="168" fontId="32" fillId="7" borderId="43" xfId="5" applyNumberFormat="1" applyFont="1" applyFill="1" applyBorder="1" applyAlignment="1">
      <alignment horizontal="right" vertical="center"/>
    </xf>
    <xf numFmtId="168" fontId="32" fillId="7" borderId="68" xfId="5" applyNumberFormat="1" applyFont="1" applyFill="1" applyBorder="1" applyAlignment="1">
      <alignment horizontal="right" vertical="center"/>
    </xf>
    <xf numFmtId="168" fontId="36" fillId="7" borderId="43" xfId="5" applyNumberFormat="1" applyFont="1" applyFill="1" applyBorder="1" applyAlignment="1">
      <alignment horizontal="right" vertical="center"/>
    </xf>
    <xf numFmtId="168" fontId="36" fillId="7" borderId="68" xfId="5" applyNumberFormat="1" applyFont="1" applyFill="1" applyBorder="1" applyAlignment="1">
      <alignment horizontal="right" vertical="center"/>
    </xf>
    <xf numFmtId="168" fontId="36" fillId="7" borderId="77" xfId="5" applyNumberFormat="1" applyFont="1" applyFill="1" applyBorder="1" applyAlignment="1">
      <alignment horizontal="right" vertical="center"/>
    </xf>
    <xf numFmtId="168" fontId="36" fillId="7" borderId="78" xfId="5" applyNumberFormat="1" applyFont="1" applyFill="1" applyBorder="1" applyAlignment="1">
      <alignment horizontal="right" vertical="center"/>
    </xf>
    <xf numFmtId="174" fontId="18" fillId="7" borderId="65" xfId="8" applyNumberFormat="1" applyFont="1" applyFill="1" applyBorder="1" applyAlignment="1" applyProtection="1">
      <alignment horizontal="center"/>
      <protection locked="0"/>
    </xf>
    <xf numFmtId="171" fontId="68" fillId="0" borderId="91" xfId="8" applyNumberFormat="1" applyFont="1" applyFill="1" applyBorder="1" applyAlignment="1">
      <alignment horizontal="right" vertical="center"/>
    </xf>
    <xf numFmtId="0" fontId="70" fillId="0" borderId="91" xfId="8" applyFont="1" applyFill="1" applyBorder="1" applyAlignment="1">
      <alignment horizontal="center" vertical="center" wrapText="1"/>
    </xf>
    <xf numFmtId="0" fontId="71" fillId="0" borderId="72" xfId="8" applyFont="1" applyFill="1" applyBorder="1" applyAlignment="1">
      <alignment horizontal="center" vertical="center" wrapText="1"/>
    </xf>
    <xf numFmtId="0" fontId="71" fillId="0" borderId="67" xfId="8" applyFont="1" applyFill="1" applyBorder="1" applyAlignment="1">
      <alignment horizontal="center" vertical="center" wrapText="1"/>
    </xf>
    <xf numFmtId="0" fontId="69" fillId="0" borderId="67" xfId="8" applyFont="1" applyFill="1" applyBorder="1" applyAlignment="1">
      <alignment horizontal="right" vertical="top" wrapText="1"/>
    </xf>
    <xf numFmtId="49" fontId="69" fillId="0" borderId="73" xfId="8" applyNumberFormat="1" applyFont="1" applyFill="1" applyBorder="1" applyAlignment="1">
      <alignment horizontal="center" vertical="top"/>
    </xf>
    <xf numFmtId="49" fontId="69" fillId="0" borderId="43" xfId="8" applyNumberFormat="1" applyFont="1" applyFill="1" applyBorder="1" applyAlignment="1">
      <alignment horizontal="center" vertical="top"/>
    </xf>
    <xf numFmtId="0" fontId="70" fillId="0" borderId="43" xfId="8" applyFont="1" applyFill="1" applyBorder="1" applyAlignment="1">
      <alignment horizontal="center" vertical="center" wrapText="1"/>
    </xf>
    <xf numFmtId="0" fontId="71" fillId="0" borderId="73" xfId="8" applyFont="1" applyFill="1" applyBorder="1" applyAlignment="1">
      <alignment horizontal="center" vertical="center" wrapText="1"/>
    </xf>
    <xf numFmtId="0" fontId="71" fillId="0" borderId="43" xfId="8" applyFont="1" applyFill="1" applyBorder="1" applyAlignment="1">
      <alignment horizontal="center" vertical="center" wrapText="1"/>
    </xf>
    <xf numFmtId="171" fontId="68" fillId="0" borderId="43" xfId="8" applyNumberFormat="1" applyFont="1" applyFill="1" applyBorder="1" applyAlignment="1">
      <alignment horizontal="right" vertical="center"/>
    </xf>
    <xf numFmtId="0" fontId="69" fillId="0" borderId="67" xfId="8" applyFont="1" applyFill="1" applyBorder="1" applyAlignment="1">
      <alignment horizontal="left" vertical="top" wrapText="1"/>
    </xf>
    <xf numFmtId="49" fontId="70" fillId="0" borderId="43" xfId="8" applyNumberFormat="1" applyFont="1" applyFill="1" applyBorder="1" applyAlignment="1">
      <alignment horizontal="center" vertical="top"/>
    </xf>
    <xf numFmtId="0" fontId="70" fillId="0" borderId="67" xfId="8" applyFont="1" applyFill="1" applyBorder="1" applyAlignment="1">
      <alignment horizontal="left" vertical="top" wrapText="1"/>
    </xf>
    <xf numFmtId="0" fontId="69" fillId="0" borderId="67" xfId="8" quotePrefix="1" applyFont="1" applyFill="1" applyBorder="1" applyAlignment="1">
      <alignment horizontal="left" vertical="top" wrapText="1"/>
    </xf>
    <xf numFmtId="0" fontId="70" fillId="0" borderId="67" xfId="8" quotePrefix="1" applyFont="1" applyFill="1" applyBorder="1" applyAlignment="1">
      <alignment horizontal="left" vertical="top" wrapText="1"/>
    </xf>
    <xf numFmtId="49" fontId="70" fillId="0" borderId="73" xfId="8" applyNumberFormat="1" applyFont="1" applyFill="1" applyBorder="1" applyAlignment="1">
      <alignment horizontal="center" vertical="top"/>
    </xf>
    <xf numFmtId="171" fontId="68" fillId="0" borderId="91" xfId="8" applyNumberFormat="1" applyFont="1" applyFill="1" applyBorder="1" applyAlignment="1">
      <alignment horizontal="right" vertical="center"/>
    </xf>
    <xf numFmtId="171" fontId="68" fillId="0" borderId="43" xfId="8" applyNumberFormat="1" applyFont="1" applyFill="1" applyBorder="1" applyAlignment="1">
      <alignment horizontal="right" vertical="center"/>
    </xf>
    <xf numFmtId="0" fontId="70" fillId="0" borderId="91" xfId="8" applyFont="1" applyFill="1" applyBorder="1" applyAlignment="1">
      <alignment horizontal="center" vertical="center" wrapText="1"/>
    </xf>
    <xf numFmtId="0" fontId="70" fillId="0" borderId="43" xfId="8" applyFont="1" applyFill="1" applyBorder="1" applyAlignment="1">
      <alignment horizontal="center" vertical="center" wrapText="1"/>
    </xf>
    <xf numFmtId="49" fontId="69" fillId="0" borderId="43" xfId="8" applyNumberFormat="1" applyFont="1" applyFill="1" applyBorder="1" applyAlignment="1">
      <alignment horizontal="center" vertical="top"/>
    </xf>
    <xf numFmtId="0" fontId="69" fillId="0" borderId="67" xfId="8" applyFont="1" applyFill="1" applyBorder="1" applyAlignment="1">
      <alignment horizontal="right" vertical="top" wrapText="1"/>
    </xf>
    <xf numFmtId="0" fontId="69" fillId="0" borderId="67" xfId="8" quotePrefix="1" applyFont="1" applyFill="1" applyBorder="1" applyAlignment="1">
      <alignment horizontal="left" vertical="top" wrapText="1"/>
    </xf>
    <xf numFmtId="49" fontId="69" fillId="0" borderId="73" xfId="8" applyNumberFormat="1" applyFont="1" applyFill="1" applyBorder="1" applyAlignment="1">
      <alignment horizontal="center" vertical="top"/>
    </xf>
    <xf numFmtId="0" fontId="70" fillId="0" borderId="67" xfId="8" applyFont="1" applyFill="1" applyBorder="1" applyAlignment="1">
      <alignment horizontal="left" vertical="top" wrapText="1"/>
    </xf>
    <xf numFmtId="49" fontId="70" fillId="0" borderId="43" xfId="8" applyNumberFormat="1" applyFont="1" applyFill="1" applyBorder="1" applyAlignment="1">
      <alignment horizontal="center" vertical="top"/>
    </xf>
    <xf numFmtId="0" fontId="71" fillId="0" borderId="67" xfId="8" applyFont="1" applyFill="1" applyBorder="1" applyAlignment="1">
      <alignment horizontal="center" vertical="center" wrapText="1"/>
    </xf>
    <xf numFmtId="0" fontId="71" fillId="0" borderId="43" xfId="8" applyFont="1" applyFill="1" applyBorder="1" applyAlignment="1">
      <alignment horizontal="center" vertical="center" wrapText="1"/>
    </xf>
    <xf numFmtId="0" fontId="70" fillId="0" borderId="67" xfId="8" quotePrefix="1" applyFont="1" applyFill="1" applyBorder="1" applyAlignment="1">
      <alignment horizontal="left" vertical="top" wrapText="1"/>
    </xf>
    <xf numFmtId="49" fontId="70" fillId="0" borderId="73" xfId="8" applyNumberFormat="1" applyFont="1" applyFill="1" applyBorder="1" applyAlignment="1">
      <alignment horizontal="center" vertical="top"/>
    </xf>
    <xf numFmtId="0" fontId="69" fillId="0" borderId="67" xfId="8" applyFont="1" applyFill="1" applyBorder="1" applyAlignment="1">
      <alignment horizontal="left" vertical="top" wrapText="1"/>
    </xf>
    <xf numFmtId="0" fontId="52" fillId="0" borderId="0" xfId="8" applyFont="1" applyFill="1" applyAlignment="1">
      <alignment horizontal="left" vertical="center"/>
    </xf>
    <xf numFmtId="0" fontId="21" fillId="0" borderId="0" xfId="8" applyFill="1" applyAlignment="1">
      <alignment vertical="center"/>
    </xf>
    <xf numFmtId="0" fontId="21" fillId="0" borderId="94" xfId="8" applyFont="1" applyFill="1" applyBorder="1" applyAlignment="1">
      <alignment horizontal="left" vertical="center"/>
    </xf>
    <xf numFmtId="0" fontId="53" fillId="0" borderId="95" xfId="8" applyFont="1" applyFill="1" applyBorder="1" applyAlignment="1">
      <alignment horizontal="left" vertical="center"/>
    </xf>
    <xf numFmtId="0" fontId="21" fillId="0" borderId="17" xfId="8" applyFont="1" applyFill="1" applyBorder="1" applyAlignment="1">
      <alignment horizontal="left" vertical="center"/>
    </xf>
    <xf numFmtId="0" fontId="53" fillId="0" borderId="17" xfId="8" applyFont="1" applyFill="1" applyBorder="1" applyAlignment="1">
      <alignment horizontal="left" vertical="center"/>
    </xf>
    <xf numFmtId="0" fontId="21" fillId="0" borderId="0" xfId="8" applyFill="1" applyBorder="1" applyAlignment="1">
      <alignment vertical="center"/>
    </xf>
    <xf numFmtId="0" fontId="53" fillId="0" borderId="95" xfId="8" applyFont="1" applyFill="1" applyBorder="1" applyAlignment="1">
      <alignment vertical="center"/>
    </xf>
    <xf numFmtId="0" fontId="59" fillId="0" borderId="88" xfId="8" applyFont="1" applyFill="1" applyBorder="1" applyAlignment="1">
      <alignment horizontal="left"/>
    </xf>
    <xf numFmtId="0" fontId="59" fillId="0" borderId="103" xfId="8" applyFont="1" applyFill="1" applyBorder="1" applyAlignment="1">
      <alignment horizontal="left" vertical="center"/>
    </xf>
    <xf numFmtId="0" fontId="56" fillId="0" borderId="103" xfId="8" applyFont="1" applyFill="1" applyBorder="1" applyAlignment="1">
      <alignment horizontal="left"/>
    </xf>
    <xf numFmtId="0" fontId="60" fillId="0" borderId="103" xfId="8" applyFont="1" applyFill="1" applyBorder="1" applyAlignment="1">
      <alignment horizontal="center" vertical="center"/>
    </xf>
    <xf numFmtId="0" fontId="59" fillId="0" borderId="104" xfId="8" applyFont="1" applyFill="1" applyBorder="1" applyAlignment="1">
      <alignment horizontal="left" vertical="center"/>
    </xf>
    <xf numFmtId="0" fontId="55" fillId="0" borderId="99" xfId="8" applyFont="1" applyFill="1" applyBorder="1" applyAlignment="1">
      <alignment horizontal="center" vertical="center"/>
    </xf>
    <xf numFmtId="0" fontId="55" fillId="0" borderId="29" xfId="8" applyFont="1" applyFill="1" applyBorder="1" applyAlignment="1">
      <alignment horizontal="center" vertical="center"/>
    </xf>
    <xf numFmtId="0" fontId="65" fillId="0" borderId="97" xfId="8" applyFont="1" applyFill="1" applyBorder="1" applyAlignment="1">
      <alignment horizontal="left" vertical="center"/>
    </xf>
    <xf numFmtId="0" fontId="55" fillId="0" borderId="0" xfId="8" applyFont="1" applyFill="1" applyBorder="1" applyAlignment="1">
      <alignment horizontal="center" vertical="center" wrapText="1"/>
    </xf>
    <xf numFmtId="0" fontId="56" fillId="0" borderId="103" xfId="8" applyFont="1" applyFill="1" applyBorder="1" applyAlignment="1">
      <alignment vertical="center" wrapText="1"/>
    </xf>
    <xf numFmtId="0" fontId="56" fillId="0" borderId="122" xfId="8" applyFont="1" applyFill="1" applyBorder="1" applyAlignment="1">
      <alignment vertical="center" wrapText="1"/>
    </xf>
    <xf numFmtId="0" fontId="84" fillId="0" borderId="0" xfId="8" applyFont="1" applyFill="1" applyBorder="1" applyAlignment="1">
      <alignment horizontal="center" vertical="center"/>
    </xf>
    <xf numFmtId="0" fontId="68" fillId="0" borderId="91" xfId="8" applyFont="1" applyFill="1" applyBorder="1" applyAlignment="1">
      <alignment horizontal="left" vertical="center"/>
    </xf>
    <xf numFmtId="0" fontId="70" fillId="0" borderId="93" xfId="8" applyFont="1" applyFill="1" applyBorder="1" applyAlignment="1">
      <alignment horizontal="center" vertical="center" wrapText="1"/>
    </xf>
    <xf numFmtId="0" fontId="70" fillId="0" borderId="72" xfId="8" applyFont="1" applyFill="1" applyBorder="1" applyAlignment="1">
      <alignment horizontal="left" vertical="top" wrapText="1"/>
    </xf>
    <xf numFmtId="0" fontId="68" fillId="0" borderId="124" xfId="8" applyFont="1" applyFill="1" applyBorder="1" applyAlignment="1">
      <alignment horizontal="right" vertical="center" wrapText="1"/>
    </xf>
    <xf numFmtId="0" fontId="68" fillId="0" borderId="118" xfId="8" applyFont="1" applyFill="1" applyBorder="1" applyAlignment="1">
      <alignment horizontal="right" vertical="center"/>
    </xf>
    <xf numFmtId="171" fontId="68" fillId="0" borderId="80" xfId="8" applyNumberFormat="1" applyFont="1" applyFill="1" applyBorder="1" applyAlignment="1">
      <alignment horizontal="right" vertical="center"/>
    </xf>
    <xf numFmtId="171" fontId="68" fillId="0" borderId="73" xfId="8" applyNumberFormat="1" applyFont="1" applyFill="1" applyBorder="1" applyAlignment="1">
      <alignment horizontal="right" vertical="center"/>
    </xf>
    <xf numFmtId="171" fontId="68" fillId="0" borderId="79" xfId="8" applyNumberFormat="1" applyFont="1" applyFill="1" applyBorder="1" applyAlignment="1">
      <alignment horizontal="right" vertical="center"/>
    </xf>
    <xf numFmtId="0" fontId="69" fillId="0" borderId="72" xfId="8" applyFont="1" applyFill="1" applyBorder="1" applyAlignment="1">
      <alignment horizontal="left" vertical="top" wrapText="1"/>
    </xf>
    <xf numFmtId="0" fontId="70" fillId="0" borderId="91" xfId="8" applyFont="1" applyFill="1" applyBorder="1" applyAlignment="1">
      <alignment horizontal="left" vertical="top" wrapText="1"/>
    </xf>
    <xf numFmtId="0" fontId="70" fillId="0" borderId="93" xfId="8" applyFont="1" applyFill="1" applyBorder="1" applyAlignment="1">
      <alignment horizontal="left" vertical="top" wrapText="1"/>
    </xf>
    <xf numFmtId="0" fontId="69" fillId="0" borderId="91" xfId="8" applyFont="1" applyFill="1" applyBorder="1" applyAlignment="1">
      <alignment horizontal="left" vertical="top" wrapText="1"/>
    </xf>
    <xf numFmtId="0" fontId="69" fillId="0" borderId="93" xfId="8" applyFont="1" applyFill="1" applyBorder="1" applyAlignment="1">
      <alignment horizontal="left" vertical="top" wrapText="1"/>
    </xf>
    <xf numFmtId="0" fontId="69" fillId="0" borderId="112" xfId="8" applyFont="1" applyFill="1" applyBorder="1" applyAlignment="1">
      <alignment horizontal="left" vertical="top" wrapText="1"/>
    </xf>
    <xf numFmtId="0" fontId="69" fillId="0" borderId="113" xfId="8" applyFont="1" applyFill="1" applyBorder="1" applyAlignment="1">
      <alignment horizontal="left" vertical="top" wrapText="1"/>
    </xf>
    <xf numFmtId="0" fontId="60" fillId="0" borderId="107" xfId="8" applyFont="1" applyFill="1" applyBorder="1" applyAlignment="1">
      <alignment horizontal="left" vertical="center"/>
    </xf>
    <xf numFmtId="0" fontId="59" fillId="0" borderId="107" xfId="8" applyFont="1" applyFill="1" applyBorder="1" applyAlignment="1">
      <alignment horizontal="left" vertical="center"/>
    </xf>
    <xf numFmtId="0" fontId="60" fillId="0" borderId="81" xfId="8" applyFont="1" applyFill="1" applyBorder="1" applyAlignment="1">
      <alignment horizontal="center" vertical="center"/>
    </xf>
    <xf numFmtId="0" fontId="60" fillId="0" borderId="79" xfId="8" applyFont="1" applyFill="1" applyBorder="1" applyAlignment="1">
      <alignment horizontal="left" vertical="center"/>
    </xf>
    <xf numFmtId="0" fontId="59" fillId="0" borderId="81" xfId="8" applyFont="1" applyFill="1" applyBorder="1" applyAlignment="1">
      <alignment horizontal="left" vertical="center"/>
    </xf>
    <xf numFmtId="169" fontId="60" fillId="0" borderId="101" xfId="8" applyNumberFormat="1" applyFont="1" applyFill="1" applyBorder="1" applyAlignment="1">
      <alignment horizontal="center" vertical="center"/>
    </xf>
    <xf numFmtId="0" fontId="60" fillId="0" borderId="109" xfId="8" applyFont="1" applyFill="1" applyBorder="1" applyAlignment="1">
      <alignment horizontal="left" vertical="center"/>
    </xf>
    <xf numFmtId="0" fontId="60" fillId="0" borderId="110" xfId="8" applyFont="1" applyFill="1" applyBorder="1" applyAlignment="1">
      <alignment horizontal="left" vertical="center"/>
    </xf>
    <xf numFmtId="0" fontId="59" fillId="0" borderId="109" xfId="8" applyFont="1" applyFill="1" applyBorder="1" applyAlignment="1">
      <alignment horizontal="left" vertical="center"/>
    </xf>
    <xf numFmtId="0" fontId="56" fillId="0" borderId="0" xfId="8" applyFont="1" applyFill="1" applyBorder="1" applyAlignment="1">
      <alignment horizontal="center" vertical="center"/>
    </xf>
    <xf numFmtId="0" fontId="55" fillId="0" borderId="43" xfId="8" applyFont="1" applyFill="1" applyBorder="1" applyAlignment="1">
      <alignment horizontal="right" vertical="center"/>
    </xf>
    <xf numFmtId="0" fontId="68" fillId="0" borderId="43" xfId="8" applyFont="1" applyFill="1" applyBorder="1" applyAlignment="1">
      <alignment horizontal="center" vertical="center"/>
    </xf>
    <xf numFmtId="171" fontId="68" fillId="0" borderId="77" xfId="8" applyNumberFormat="1" applyFont="1" applyFill="1" applyBorder="1" applyAlignment="1">
      <alignment horizontal="right" vertical="center"/>
    </xf>
    <xf numFmtId="171" fontId="68" fillId="0" borderId="78" xfId="8" applyNumberFormat="1" applyFont="1" applyFill="1" applyBorder="1" applyAlignment="1">
      <alignment horizontal="right" vertical="center"/>
    </xf>
    <xf numFmtId="171" fontId="68" fillId="0" borderId="54" xfId="8" applyNumberFormat="1" applyFont="1" applyFill="1" applyBorder="1" applyAlignment="1">
      <alignment horizontal="right" vertical="center"/>
    </xf>
    <xf numFmtId="0" fontId="24" fillId="0" borderId="94" xfId="8" applyFont="1" applyFill="1" applyBorder="1" applyAlignment="1">
      <alignment vertical="center"/>
    </xf>
    <xf numFmtId="0" fontId="57" fillId="0" borderId="99" xfId="8" applyFont="1" applyFill="1" applyBorder="1" applyAlignment="1">
      <alignment horizontal="left" vertical="center"/>
    </xf>
    <xf numFmtId="0" fontId="57" fillId="0" borderId="0" xfId="8" applyFont="1" applyFill="1" applyBorder="1" applyAlignment="1">
      <alignment horizontal="left" vertical="center"/>
    </xf>
    <xf numFmtId="0" fontId="57" fillId="0" borderId="29" xfId="8" applyFont="1" applyFill="1" applyBorder="1" applyAlignment="1">
      <alignment horizontal="left" vertical="center"/>
    </xf>
    <xf numFmtId="0" fontId="24" fillId="0" borderId="99" xfId="8" applyFont="1" applyFill="1" applyBorder="1" applyAlignment="1">
      <alignment horizontal="left" vertical="center"/>
    </xf>
    <xf numFmtId="0" fontId="24" fillId="0" borderId="0" xfId="8" applyFont="1" applyFill="1" applyBorder="1" applyAlignment="1">
      <alignment horizontal="left" vertical="center"/>
    </xf>
    <xf numFmtId="0" fontId="24" fillId="0" borderId="29" xfId="8" applyFont="1" applyFill="1" applyBorder="1" applyAlignment="1">
      <alignment horizontal="left" vertical="center"/>
    </xf>
    <xf numFmtId="0" fontId="24" fillId="0" borderId="0" xfId="8" applyFont="1" applyFill="1" applyAlignment="1">
      <alignment horizontal="left" vertical="center"/>
    </xf>
    <xf numFmtId="0" fontId="55" fillId="0" borderId="99" xfId="8" applyFont="1" applyFill="1" applyBorder="1" applyAlignment="1" applyProtection="1">
      <alignment horizontal="center" vertical="center"/>
      <protection locked="0"/>
    </xf>
    <xf numFmtId="0" fontId="85" fillId="0" borderId="0" xfId="8" applyFont="1" applyFill="1" applyBorder="1" applyAlignment="1">
      <alignment horizontal="left"/>
    </xf>
    <xf numFmtId="0" fontId="59" fillId="0" borderId="90" xfId="8" applyFont="1" applyFill="1" applyBorder="1" applyAlignment="1">
      <alignment horizontal="left" vertical="center"/>
    </xf>
    <xf numFmtId="0" fontId="63" fillId="0" borderId="29" xfId="8" applyFont="1" applyFill="1" applyBorder="1" applyAlignment="1">
      <alignment vertical="center"/>
    </xf>
    <xf numFmtId="0" fontId="57" fillId="0" borderId="102" xfId="8" applyFont="1" applyFill="1" applyBorder="1" applyAlignment="1">
      <alignment vertical="center"/>
    </xf>
    <xf numFmtId="0" fontId="57" fillId="0" borderId="103" xfId="8" applyFont="1" applyFill="1" applyBorder="1" applyAlignment="1">
      <alignment vertical="center"/>
    </xf>
    <xf numFmtId="0" fontId="57" fillId="0" borderId="104" xfId="8" applyFont="1" applyFill="1" applyBorder="1" applyAlignment="1">
      <alignment vertical="center"/>
    </xf>
    <xf numFmtId="0" fontId="21" fillId="0" borderId="29" xfId="8" applyFill="1" applyBorder="1" applyAlignment="1">
      <alignment vertical="center"/>
    </xf>
    <xf numFmtId="0" fontId="63" fillId="0" borderId="13" xfId="8" applyFont="1" applyFill="1" applyBorder="1" applyAlignment="1">
      <alignment vertical="center"/>
    </xf>
    <xf numFmtId="0" fontId="60" fillId="0" borderId="0" xfId="8" applyFont="1" applyFill="1" applyBorder="1" applyAlignment="1">
      <alignment horizontal="center" vertical="center" wrapText="1"/>
    </xf>
    <xf numFmtId="0" fontId="21" fillId="0" borderId="0" xfId="8" applyFill="1" applyBorder="1" applyAlignment="1">
      <alignment wrapText="1"/>
    </xf>
    <xf numFmtId="171" fontId="55" fillId="0" borderId="43" xfId="8" applyNumberFormat="1" applyFont="1" applyFill="1" applyBorder="1" applyAlignment="1">
      <alignment horizontal="center" vertical="center"/>
    </xf>
    <xf numFmtId="0" fontId="53" fillId="0" borderId="94" xfId="8" applyFont="1" applyFill="1" applyBorder="1" applyAlignment="1">
      <alignment horizontal="left" vertical="center"/>
    </xf>
    <xf numFmtId="171" fontId="55" fillId="0" borderId="43" xfId="8" applyNumberFormat="1" applyFont="1" applyFill="1" applyBorder="1" applyAlignment="1">
      <alignment horizontal="right" vertical="center"/>
    </xf>
    <xf numFmtId="3" fontId="19" fillId="2" borderId="62" xfId="0" applyNumberFormat="1" applyFont="1" applyFill="1" applyBorder="1" applyAlignment="1" applyProtection="1">
      <alignment vertical="center"/>
    </xf>
    <xf numFmtId="3" fontId="18" fillId="0" borderId="62" xfId="0" applyNumberFormat="1" applyFont="1" applyBorder="1" applyAlignment="1" applyProtection="1">
      <alignment vertical="center"/>
    </xf>
    <xf numFmtId="3" fontId="24" fillId="0" borderId="62" xfId="0" applyNumberFormat="1" applyFont="1" applyFill="1" applyBorder="1" applyAlignment="1" applyProtection="1">
      <alignment vertical="center"/>
    </xf>
    <xf numFmtId="3" fontId="18" fillId="0" borderId="62" xfId="0" applyNumberFormat="1" applyFont="1" applyFill="1" applyBorder="1" applyAlignment="1" applyProtection="1">
      <alignment vertical="center"/>
    </xf>
    <xf numFmtId="3" fontId="18" fillId="3" borderId="62" xfId="0" applyNumberFormat="1" applyFont="1" applyFill="1" applyBorder="1" applyAlignment="1" applyProtection="1">
      <alignment vertical="center"/>
    </xf>
    <xf numFmtId="3" fontId="18" fillId="4" borderId="62" xfId="0" applyNumberFormat="1" applyFont="1" applyFill="1" applyBorder="1" applyAlignment="1" applyProtection="1">
      <alignment vertical="center"/>
    </xf>
    <xf numFmtId="3" fontId="18" fillId="4" borderId="62" xfId="0" applyNumberFormat="1" applyFont="1" applyFill="1" applyBorder="1" applyAlignment="1">
      <alignment vertical="center"/>
    </xf>
    <xf numFmtId="3" fontId="24" fillId="0" borderId="62" xfId="0" applyNumberFormat="1" applyFont="1" applyBorder="1" applyAlignment="1" applyProtection="1">
      <alignment vertical="center"/>
    </xf>
    <xf numFmtId="3" fontId="19" fillId="0" borderId="62" xfId="0" applyNumberFormat="1" applyFont="1" applyBorder="1" applyAlignment="1" applyProtection="1">
      <alignment vertical="center"/>
    </xf>
    <xf numFmtId="3" fontId="18" fillId="2" borderId="62" xfId="0" applyNumberFormat="1" applyFont="1" applyFill="1" applyBorder="1" applyAlignment="1" applyProtection="1">
      <alignment vertical="center"/>
    </xf>
    <xf numFmtId="0" fontId="18" fillId="0" borderId="0" xfId="0" applyFont="1" applyAlignment="1">
      <alignment vertical="center"/>
    </xf>
    <xf numFmtId="3" fontId="19" fillId="5" borderId="62" xfId="0" applyNumberFormat="1" applyFont="1" applyFill="1" applyBorder="1" applyAlignment="1" applyProtection="1">
      <alignment vertical="center"/>
    </xf>
    <xf numFmtId="3" fontId="22" fillId="2" borderId="62" xfId="0" applyNumberFormat="1" applyFont="1" applyFill="1" applyBorder="1" applyAlignment="1" applyProtection="1">
      <alignment vertical="center"/>
    </xf>
    <xf numFmtId="3" fontId="18" fillId="0" borderId="62" xfId="0" applyNumberFormat="1" applyFont="1" applyFill="1" applyBorder="1" applyAlignment="1">
      <alignment vertical="center"/>
    </xf>
    <xf numFmtId="3" fontId="18" fillId="0" borderId="62" xfId="0" applyNumberFormat="1" applyFont="1" applyBorder="1" applyAlignment="1">
      <alignment vertical="center"/>
    </xf>
    <xf numFmtId="3" fontId="18" fillId="0" borderId="0" xfId="0" applyNumberFormat="1" applyFont="1" applyFill="1" applyAlignment="1">
      <alignment vertical="center"/>
    </xf>
    <xf numFmtId="3" fontId="18" fillId="0" borderId="62" xfId="0" applyNumberFormat="1" applyFont="1" applyBorder="1"/>
    <xf numFmtId="3" fontId="29" fillId="2" borderId="62" xfId="0" applyNumberFormat="1" applyFont="1" applyFill="1" applyBorder="1" applyAlignment="1">
      <alignment vertical="center"/>
    </xf>
    <xf numFmtId="3" fontId="19" fillId="2" borderId="62" xfId="0" applyNumberFormat="1" applyFont="1" applyFill="1" applyBorder="1" applyAlignment="1">
      <alignment vertical="center"/>
    </xf>
    <xf numFmtId="3" fontId="18" fillId="2" borderId="62" xfId="0" applyNumberFormat="1" applyFont="1" applyFill="1" applyBorder="1" applyAlignment="1">
      <alignment vertical="center"/>
    </xf>
    <xf numFmtId="3" fontId="18" fillId="0" borderId="0" xfId="0" applyNumberFormat="1" applyFont="1" applyAlignment="1">
      <alignment vertical="center"/>
    </xf>
    <xf numFmtId="3" fontId="29" fillId="5" borderId="62" xfId="0" applyNumberFormat="1" applyFont="1" applyFill="1" applyBorder="1" applyAlignment="1">
      <alignment vertical="center"/>
    </xf>
    <xf numFmtId="0" fontId="21" fillId="0" borderId="0" xfId="8" applyFill="1" applyAlignment="1">
      <alignment vertical="center"/>
    </xf>
    <xf numFmtId="0" fontId="21" fillId="0" borderId="0" xfId="8" applyFill="1" applyBorder="1" applyAlignment="1">
      <alignment vertical="center"/>
    </xf>
    <xf numFmtId="0" fontId="53" fillId="0" borderId="94" xfId="8" applyFont="1" applyFill="1" applyBorder="1" applyAlignment="1">
      <alignment vertical="center"/>
    </xf>
    <xf numFmtId="0" fontId="21" fillId="0" borderId="95" xfId="8" applyFill="1" applyBorder="1" applyAlignment="1">
      <alignment vertical="center"/>
    </xf>
    <xf numFmtId="0" fontId="55" fillId="0" borderId="0" xfId="8" applyFont="1" applyFill="1" applyAlignment="1">
      <alignment vertical="center"/>
    </xf>
    <xf numFmtId="0" fontId="60" fillId="0" borderId="102" xfId="8" applyFont="1" applyFill="1" applyBorder="1" applyAlignment="1">
      <alignment horizontal="left" vertical="center"/>
    </xf>
    <xf numFmtId="0" fontId="20" fillId="0" borderId="103" xfId="8" applyFont="1" applyFill="1" applyBorder="1" applyAlignment="1">
      <alignment horizontal="left"/>
    </xf>
    <xf numFmtId="0" fontId="20" fillId="0" borderId="101" xfId="8" applyFont="1" applyFill="1" applyBorder="1" applyAlignment="1">
      <alignment horizontal="left"/>
    </xf>
    <xf numFmtId="0" fontId="76" fillId="4" borderId="0" xfId="0" applyFont="1" applyFill="1"/>
    <xf numFmtId="0" fontId="6" fillId="0" borderId="0" xfId="0" applyFont="1" applyAlignment="1"/>
    <xf numFmtId="0" fontId="50" fillId="4" borderId="0" xfId="0" applyFont="1" applyFill="1" applyAlignment="1"/>
    <xf numFmtId="0" fontId="6" fillId="0" borderId="0" xfId="0" applyFont="1"/>
    <xf numFmtId="0" fontId="6" fillId="0" borderId="0" xfId="0" applyFont="1" applyAlignment="1">
      <alignment horizontal="justify" vertical="top" wrapText="1"/>
    </xf>
    <xf numFmtId="0" fontId="6" fillId="4" borderId="0" xfId="0" applyFont="1" applyFill="1" applyAlignment="1">
      <alignment horizontal="justify" vertical="top" wrapText="1"/>
    </xf>
    <xf numFmtId="0" fontId="13" fillId="0" borderId="1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6" fillId="4" borderId="0" xfId="0" applyFont="1" applyFill="1"/>
    <xf numFmtId="0" fontId="5" fillId="0" borderId="109" xfId="0" applyFont="1" applyBorder="1" applyAlignment="1">
      <alignment horizontal="center"/>
    </xf>
    <xf numFmtId="0" fontId="5" fillId="0" borderId="101" xfId="0" applyFont="1" applyBorder="1"/>
    <xf numFmtId="0" fontId="5" fillId="0" borderId="138" xfId="0" applyFont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/>
    <xf numFmtId="0" fontId="5" fillId="0" borderId="0" xfId="0" applyFont="1" applyBorder="1" applyAlignment="1"/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5" fillId="0" borderId="0" xfId="0" applyFont="1" applyBorder="1"/>
    <xf numFmtId="0" fontId="5" fillId="0" borderId="119" xfId="0" applyFont="1" applyBorder="1"/>
    <xf numFmtId="0" fontId="5" fillId="0" borderId="123" xfId="0" applyFont="1" applyBorder="1"/>
    <xf numFmtId="0" fontId="5" fillId="0" borderId="122" xfId="0" applyFont="1" applyBorder="1"/>
    <xf numFmtId="0" fontId="5" fillId="0" borderId="79" xfId="0" applyFont="1" applyBorder="1"/>
    <xf numFmtId="3" fontId="5" fillId="0" borderId="81" xfId="0" applyNumberFormat="1" applyFont="1" applyBorder="1"/>
    <xf numFmtId="3" fontId="5" fillId="0" borderId="79" xfId="0" applyNumberFormat="1" applyFont="1" applyBorder="1"/>
    <xf numFmtId="3" fontId="5" fillId="0" borderId="0" xfId="0" applyNumberFormat="1" applyFont="1" applyBorder="1"/>
    <xf numFmtId="0" fontId="5" fillId="0" borderId="81" xfId="0" applyFont="1" applyBorder="1"/>
    <xf numFmtId="3" fontId="5" fillId="0" borderId="88" xfId="0" applyNumberFormat="1" applyFont="1" applyBorder="1"/>
    <xf numFmtId="3" fontId="5" fillId="0" borderId="103" xfId="0" applyNumberFormat="1" applyFont="1" applyBorder="1"/>
    <xf numFmtId="3" fontId="5" fillId="0" borderId="89" xfId="0" applyNumberFormat="1" applyFont="1" applyBorder="1"/>
    <xf numFmtId="0" fontId="5" fillId="0" borderId="88" xfId="0" applyFont="1" applyBorder="1"/>
    <xf numFmtId="0" fontId="5" fillId="0" borderId="103" xfId="0" applyFont="1" applyBorder="1"/>
    <xf numFmtId="0" fontId="5" fillId="0" borderId="89" xfId="0" applyFont="1" applyBorder="1"/>
    <xf numFmtId="3" fontId="5" fillId="0" borderId="122" xfId="0" applyNumberFormat="1" applyFont="1" applyBorder="1"/>
    <xf numFmtId="3" fontId="5" fillId="0" borderId="120" xfId="0" applyNumberFormat="1" applyFont="1" applyBorder="1"/>
    <xf numFmtId="3" fontId="5" fillId="0" borderId="80" xfId="0" applyNumberFormat="1" applyFont="1" applyBorder="1"/>
    <xf numFmtId="3" fontId="5" fillId="0" borderId="73" xfId="0" applyNumberFormat="1" applyFont="1" applyBorder="1"/>
    <xf numFmtId="3" fontId="5" fillId="7" borderId="80" xfId="0" applyNumberFormat="1" applyFont="1" applyFill="1" applyBorder="1"/>
    <xf numFmtId="0" fontId="5" fillId="0" borderId="0" xfId="0" applyFont="1" applyBorder="1" applyAlignment="1">
      <alignment vertical="center" wrapText="1"/>
    </xf>
    <xf numFmtId="3" fontId="5" fillId="0" borderId="119" xfId="0" applyNumberFormat="1" applyFont="1" applyBorder="1"/>
    <xf numFmtId="0" fontId="0" fillId="0" borderId="120" xfId="0" applyFont="1" applyBorder="1"/>
    <xf numFmtId="0" fontId="0" fillId="0" borderId="80" xfId="0" applyFont="1" applyBorder="1"/>
    <xf numFmtId="0" fontId="5" fillId="0" borderId="80" xfId="0" applyFont="1" applyBorder="1"/>
    <xf numFmtId="0" fontId="5" fillId="0" borderId="119" xfId="0" applyFont="1" applyBorder="1" applyAlignment="1">
      <alignment vertical="center"/>
    </xf>
    <xf numFmtId="0" fontId="5" fillId="0" borderId="120" xfId="0" applyFont="1" applyBorder="1" applyAlignment="1">
      <alignment vertical="center"/>
    </xf>
    <xf numFmtId="3" fontId="5" fillId="0" borderId="120" xfId="0" applyNumberFormat="1" applyFont="1" applyBorder="1" applyAlignment="1">
      <alignment vertical="center"/>
    </xf>
    <xf numFmtId="0" fontId="5" fillId="0" borderId="79" xfId="0" applyFont="1" applyBorder="1" applyAlignment="1">
      <alignment vertical="center"/>
    </xf>
    <xf numFmtId="0" fontId="5" fillId="0" borderId="80" xfId="0" applyFont="1" applyBorder="1" applyAlignment="1">
      <alignment vertical="center"/>
    </xf>
    <xf numFmtId="3" fontId="5" fillId="0" borderId="80" xfId="0" applyNumberFormat="1" applyFont="1" applyBorder="1" applyAlignment="1">
      <alignment vertical="center"/>
    </xf>
    <xf numFmtId="0" fontId="5" fillId="0" borderId="88" xfId="0" applyFont="1" applyBorder="1" applyAlignment="1">
      <alignment vertical="center"/>
    </xf>
    <xf numFmtId="0" fontId="5" fillId="0" borderId="73" xfId="0" applyFont="1" applyBorder="1" applyAlignment="1">
      <alignment vertical="center"/>
    </xf>
    <xf numFmtId="0" fontId="5" fillId="0" borderId="73" xfId="0" applyFont="1" applyBorder="1"/>
    <xf numFmtId="0" fontId="5" fillId="0" borderId="0" xfId="0" applyFont="1" applyBorder="1" applyAlignment="1">
      <alignment vertical="center"/>
    </xf>
    <xf numFmtId="3" fontId="0" fillId="0" borderId="0" xfId="0" applyNumberFormat="1" applyFont="1" applyBorder="1"/>
    <xf numFmtId="0" fontId="5" fillId="4" borderId="0" xfId="0" applyFont="1" applyFill="1"/>
    <xf numFmtId="3" fontId="5" fillId="0" borderId="79" xfId="0" applyNumberFormat="1" applyFont="1" applyBorder="1" applyAlignment="1">
      <alignment horizontal="right"/>
    </xf>
    <xf numFmtId="3" fontId="5" fillId="0" borderId="81" xfId="0" applyNumberFormat="1" applyFont="1" applyBorder="1" applyAlignment="1">
      <alignment horizontal="right"/>
    </xf>
    <xf numFmtId="0" fontId="0" fillId="0" borderId="0" xfId="0" applyFont="1" applyBorder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5" fillId="7" borderId="79" xfId="0" applyFont="1" applyFill="1" applyBorder="1"/>
    <xf numFmtId="0" fontId="5" fillId="7" borderId="81" xfId="0" applyFont="1" applyFill="1" applyBorder="1"/>
    <xf numFmtId="0" fontId="5" fillId="0" borderId="122" xfId="0" applyFont="1" applyBorder="1" applyAlignment="1">
      <alignment vertical="center"/>
    </xf>
    <xf numFmtId="0" fontId="5" fillId="0" borderId="81" xfId="0" applyFont="1" applyBorder="1" applyAlignment="1">
      <alignment vertical="center"/>
    </xf>
    <xf numFmtId="3" fontId="5" fillId="0" borderId="88" xfId="0" applyNumberFormat="1" applyFont="1" applyBorder="1" applyAlignment="1">
      <alignment vertical="center"/>
    </xf>
    <xf numFmtId="0" fontId="5" fillId="0" borderId="89" xfId="0" applyFont="1" applyBorder="1" applyAlignment="1">
      <alignment vertical="center"/>
    </xf>
    <xf numFmtId="3" fontId="5" fillId="7" borderId="88" xfId="0" applyNumberFormat="1" applyFont="1" applyFill="1" applyBorder="1"/>
    <xf numFmtId="3" fontId="5" fillId="7" borderId="89" xfId="0" applyNumberFormat="1" applyFont="1" applyFill="1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5" fillId="0" borderId="79" xfId="0" applyNumberFormat="1" applyFont="1" applyFill="1" applyBorder="1"/>
    <xf numFmtId="3" fontId="5" fillId="0" borderId="81" xfId="0" applyNumberFormat="1" applyFont="1" applyFill="1" applyBorder="1"/>
    <xf numFmtId="0" fontId="5" fillId="0" borderId="79" xfId="0" applyFont="1" applyFill="1" applyBorder="1"/>
    <xf numFmtId="0" fontId="5" fillId="0" borderId="81" xfId="0" applyFont="1" applyFill="1" applyBorder="1"/>
    <xf numFmtId="0" fontId="5" fillId="0" borderId="0" xfId="0" applyFont="1" applyBorder="1" applyAlignment="1">
      <alignment horizontal="center" vertical="center" wrapText="1"/>
    </xf>
    <xf numFmtId="0" fontId="5" fillId="0" borderId="119" xfId="0" applyFont="1" applyBorder="1" applyAlignment="1">
      <alignment horizontal="center"/>
    </xf>
    <xf numFmtId="0" fontId="5" fillId="0" borderId="122" xfId="0" applyFont="1" applyBorder="1" applyAlignment="1">
      <alignment horizontal="center"/>
    </xf>
    <xf numFmtId="2" fontId="5" fillId="0" borderId="0" xfId="0" applyNumberFormat="1" applyFont="1"/>
    <xf numFmtId="0" fontId="5" fillId="7" borderId="80" xfId="0" applyFont="1" applyFill="1" applyBorder="1" applyAlignment="1">
      <alignment vertical="center"/>
    </xf>
    <xf numFmtId="0" fontId="5" fillId="7" borderId="73" xfId="0" applyFont="1" applyFill="1" applyBorder="1" applyAlignment="1">
      <alignment vertical="center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 vertical="top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vertical="center"/>
    </xf>
    <xf numFmtId="0" fontId="50" fillId="0" borderId="0" xfId="0" applyFont="1" applyFill="1" applyAlignment="1"/>
    <xf numFmtId="0" fontId="5" fillId="0" borderId="0" xfId="0" applyFont="1" applyFill="1"/>
    <xf numFmtId="3" fontId="5" fillId="0" borderId="0" xfId="0" applyNumberFormat="1" applyFont="1"/>
    <xf numFmtId="168" fontId="32" fillId="7" borderId="106" xfId="5" applyNumberFormat="1" applyFont="1" applyFill="1" applyBorder="1" applyAlignment="1">
      <alignment horizontal="right" vertical="center"/>
    </xf>
    <xf numFmtId="0" fontId="83" fillId="0" borderId="91" xfId="15" applyBorder="1" applyAlignment="1" applyProtection="1"/>
    <xf numFmtId="0" fontId="24" fillId="0" borderId="93" xfId="8" applyFont="1" applyBorder="1"/>
    <xf numFmtId="0" fontId="81" fillId="0" borderId="0" xfId="9" applyFont="1" applyFill="1" applyBorder="1" applyAlignment="1" applyProtection="1">
      <alignment horizontal="left" vertical="center" wrapText="1" indent="1"/>
      <protection hidden="1"/>
    </xf>
    <xf numFmtId="0" fontId="19" fillId="6" borderId="94" xfId="8" applyFont="1" applyFill="1" applyBorder="1" applyAlignment="1">
      <alignment horizontal="center" vertical="center" wrapText="1"/>
    </xf>
    <xf numFmtId="0" fontId="19" fillId="6" borderId="95" xfId="8" applyFont="1" applyFill="1" applyBorder="1" applyAlignment="1">
      <alignment horizontal="center" vertical="center" wrapText="1"/>
    </xf>
    <xf numFmtId="0" fontId="56" fillId="0" borderId="108" xfId="8" applyFont="1" applyFill="1" applyBorder="1" applyAlignment="1">
      <alignment horizontal="left" vertical="top" wrapText="1"/>
    </xf>
    <xf numFmtId="0" fontId="56" fillId="0" borderId="97" xfId="8" applyFont="1" applyFill="1" applyBorder="1" applyAlignment="1">
      <alignment horizontal="left" vertical="top" wrapText="1"/>
    </xf>
    <xf numFmtId="0" fontId="56" fillId="0" borderId="107" xfId="8" applyFont="1" applyFill="1" applyBorder="1" applyAlignment="1">
      <alignment horizontal="left" vertical="top" wrapText="1"/>
    </xf>
    <xf numFmtId="0" fontId="56" fillId="0" borderId="79" xfId="8" applyFont="1" applyFill="1" applyBorder="1" applyAlignment="1">
      <alignment horizontal="left" vertical="top" wrapText="1"/>
    </xf>
    <xf numFmtId="0" fontId="56" fillId="0" borderId="0" xfId="8" applyFont="1" applyFill="1" applyBorder="1" applyAlignment="1">
      <alignment horizontal="left" vertical="top" wrapText="1"/>
    </xf>
    <xf numFmtId="0" fontId="56" fillId="0" borderId="81" xfId="8" applyFont="1" applyFill="1" applyBorder="1" applyAlignment="1">
      <alignment horizontal="left" vertical="top" wrapText="1"/>
    </xf>
    <xf numFmtId="0" fontId="56" fillId="0" borderId="98" xfId="8" applyFont="1" applyFill="1" applyBorder="1" applyAlignment="1">
      <alignment horizontal="left" vertical="top" wrapText="1"/>
    </xf>
    <xf numFmtId="0" fontId="56" fillId="0" borderId="29" xfId="8" applyFont="1" applyFill="1" applyBorder="1" applyAlignment="1">
      <alignment horizontal="left" vertical="top" wrapText="1"/>
    </xf>
    <xf numFmtId="0" fontId="24" fillId="0" borderId="110" xfId="8" applyFont="1" applyBorder="1" applyAlignment="1">
      <alignment horizontal="center" vertical="top"/>
    </xf>
    <xf numFmtId="0" fontId="24" fillId="0" borderId="101" xfId="8" applyFont="1" applyBorder="1" applyAlignment="1">
      <alignment horizontal="center" vertical="top"/>
    </xf>
    <xf numFmtId="0" fontId="24" fillId="0" borderId="109" xfId="8" applyFont="1" applyBorder="1" applyAlignment="1">
      <alignment horizontal="center" vertical="top"/>
    </xf>
    <xf numFmtId="0" fontId="24" fillId="0" borderId="110" xfId="8" applyFont="1" applyFill="1" applyBorder="1" applyAlignment="1">
      <alignment horizontal="center" vertical="top"/>
    </xf>
    <xf numFmtId="0" fontId="24" fillId="0" borderId="13" xfId="8" applyFont="1" applyBorder="1" applyAlignment="1">
      <alignment horizontal="center" vertical="top"/>
    </xf>
    <xf numFmtId="0" fontId="4" fillId="0" borderId="67" xfId="0" applyFont="1" applyBorder="1" applyAlignment="1">
      <alignment horizontal="left"/>
    </xf>
    <xf numFmtId="0" fontId="4" fillId="0" borderId="43" xfId="0" applyFont="1" applyBorder="1" applyAlignment="1">
      <alignment horizontal="left"/>
    </xf>
    <xf numFmtId="0" fontId="3" fillId="4" borderId="67" xfId="0" applyFont="1" applyFill="1" applyBorder="1" applyAlignment="1">
      <alignment horizontal="left" vertical="center"/>
    </xf>
    <xf numFmtId="0" fontId="4" fillId="4" borderId="43" xfId="0" applyFont="1" applyFill="1" applyBorder="1" applyAlignment="1">
      <alignment horizontal="left" vertical="center"/>
    </xf>
    <xf numFmtId="0" fontId="13" fillId="0" borderId="67" xfId="0" applyFont="1" applyBorder="1" applyAlignment="1">
      <alignment horizontal="left"/>
    </xf>
    <xf numFmtId="0" fontId="13" fillId="0" borderId="43" xfId="0" applyFont="1" applyBorder="1" applyAlignment="1">
      <alignment horizontal="left"/>
    </xf>
    <xf numFmtId="0" fontId="13" fillId="0" borderId="76" xfId="0" applyFont="1" applyBorder="1" applyAlignment="1">
      <alignment horizontal="left"/>
    </xf>
    <xf numFmtId="0" fontId="13" fillId="0" borderId="77" xfId="0" applyFont="1" applyBorder="1" applyAlignment="1">
      <alignment horizontal="left"/>
    </xf>
    <xf numFmtId="3" fontId="4" fillId="0" borderId="43" xfId="0" applyNumberFormat="1" applyFont="1" applyBorder="1" applyAlignment="1">
      <alignment horizontal="right"/>
    </xf>
    <xf numFmtId="3" fontId="4" fillId="0" borderId="68" xfId="0" applyNumberFormat="1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4" fillId="0" borderId="134" xfId="0" applyFont="1" applyBorder="1" applyAlignment="1">
      <alignment horizontal="left" vertical="center"/>
    </xf>
    <xf numFmtId="0" fontId="4" fillId="0" borderId="134" xfId="0" applyFont="1" applyBorder="1" applyAlignment="1">
      <alignment horizontal="center" vertical="center"/>
    </xf>
    <xf numFmtId="3" fontId="4" fillId="0" borderId="134" xfId="0" applyNumberFormat="1" applyFont="1" applyBorder="1" applyAlignment="1">
      <alignment horizontal="right" vertical="center"/>
    </xf>
    <xf numFmtId="0" fontId="3" fillId="0" borderId="134" xfId="0" applyFont="1" applyBorder="1" applyAlignment="1">
      <alignment horizontal="left" vertical="center"/>
    </xf>
    <xf numFmtId="3" fontId="5" fillId="0" borderId="91" xfId="0" applyNumberFormat="1" applyFont="1" applyBorder="1" applyAlignment="1">
      <alignment horizontal="right" vertical="center"/>
    </xf>
    <xf numFmtId="3" fontId="5" fillId="0" borderId="92" xfId="0" applyNumberFormat="1" applyFont="1" applyBorder="1" applyAlignment="1">
      <alignment horizontal="right" vertical="center"/>
    </xf>
    <xf numFmtId="3" fontId="5" fillId="0" borderId="93" xfId="0" applyNumberFormat="1" applyFont="1" applyBorder="1" applyAlignment="1">
      <alignment horizontal="right" vertical="center"/>
    </xf>
    <xf numFmtId="3" fontId="5" fillId="0" borderId="91" xfId="0" applyNumberFormat="1" applyFont="1" applyBorder="1" applyAlignment="1">
      <alignment horizontal="center" vertical="center"/>
    </xf>
    <xf numFmtId="3" fontId="5" fillId="0" borderId="92" xfId="0" applyNumberFormat="1" applyFont="1" applyBorder="1" applyAlignment="1">
      <alignment horizontal="center" vertical="center"/>
    </xf>
    <xf numFmtId="3" fontId="5" fillId="0" borderId="93" xfId="0" applyNumberFormat="1" applyFont="1" applyBorder="1" applyAlignment="1">
      <alignment horizontal="center" vertical="center"/>
    </xf>
    <xf numFmtId="3" fontId="5" fillId="2" borderId="91" xfId="0" applyNumberFormat="1" applyFont="1" applyFill="1" applyBorder="1" applyAlignment="1">
      <alignment horizontal="right" vertical="center"/>
    </xf>
    <xf numFmtId="3" fontId="5" fillId="2" borderId="92" xfId="0" applyNumberFormat="1" applyFont="1" applyFill="1" applyBorder="1" applyAlignment="1">
      <alignment horizontal="right" vertical="center"/>
    </xf>
    <xf numFmtId="3" fontId="5" fillId="2" borderId="106" xfId="0" applyNumberFormat="1" applyFont="1" applyFill="1" applyBorder="1" applyAlignment="1">
      <alignment horizontal="right" vertical="center"/>
    </xf>
    <xf numFmtId="0" fontId="5" fillId="0" borderId="105" xfId="0" applyFont="1" applyBorder="1" applyAlignment="1">
      <alignment horizontal="left" vertical="center" wrapText="1"/>
    </xf>
    <xf numFmtId="0" fontId="5" fillId="0" borderId="92" xfId="0" applyFont="1" applyBorder="1" applyAlignment="1">
      <alignment horizontal="left" vertical="center" wrapText="1"/>
    </xf>
    <xf numFmtId="0" fontId="5" fillId="0" borderId="106" xfId="0" applyFont="1" applyBorder="1" applyAlignment="1">
      <alignment horizontal="left" vertical="center" wrapText="1"/>
    </xf>
    <xf numFmtId="0" fontId="6" fillId="4" borderId="0" xfId="0" applyFont="1" applyFill="1" applyAlignment="1">
      <alignment horizontal="left" vertical="top" wrapText="1"/>
    </xf>
    <xf numFmtId="0" fontId="13" fillId="0" borderId="37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 wrapText="1"/>
    </xf>
    <xf numFmtId="0" fontId="4" fillId="0" borderId="130" xfId="0" applyFont="1" applyBorder="1" applyAlignment="1">
      <alignment horizontal="left" vertical="center"/>
    </xf>
    <xf numFmtId="0" fontId="4" fillId="0" borderId="130" xfId="0" applyFont="1" applyBorder="1" applyAlignment="1">
      <alignment horizontal="center" vertical="center"/>
    </xf>
    <xf numFmtId="3" fontId="4" fillId="0" borderId="130" xfId="0" applyNumberFormat="1" applyFont="1" applyBorder="1" applyAlignment="1">
      <alignment horizontal="right" vertical="center"/>
    </xf>
    <xf numFmtId="0" fontId="4" fillId="0" borderId="142" xfId="0" applyFont="1" applyBorder="1" applyAlignment="1">
      <alignment horizontal="left" vertical="center"/>
    </xf>
    <xf numFmtId="0" fontId="4" fillId="0" borderId="142" xfId="0" applyFont="1" applyBorder="1" applyAlignment="1">
      <alignment horizontal="center" vertical="center"/>
    </xf>
    <xf numFmtId="3" fontId="2" fillId="4" borderId="134" xfId="0" applyNumberFormat="1" applyFont="1" applyFill="1" applyBorder="1" applyAlignment="1">
      <alignment horizontal="right" vertical="center"/>
    </xf>
    <xf numFmtId="3" fontId="4" fillId="0" borderId="142" xfId="0" applyNumberFormat="1" applyFont="1" applyBorder="1" applyAlignment="1">
      <alignment horizontal="right" vertical="center"/>
    </xf>
    <xf numFmtId="0" fontId="5" fillId="0" borderId="129" xfId="0" applyFont="1" applyBorder="1" applyAlignment="1">
      <alignment horizontal="center" vertical="center"/>
    </xf>
    <xf numFmtId="0" fontId="5" fillId="0" borderId="125" xfId="0" applyFont="1" applyBorder="1" applyAlignment="1">
      <alignment horizontal="center" vertical="center"/>
    </xf>
    <xf numFmtId="3" fontId="5" fillId="2" borderId="78" xfId="0" applyNumberFormat="1" applyFont="1" applyFill="1" applyBorder="1" applyAlignment="1">
      <alignment horizontal="right" vertical="center"/>
    </xf>
    <xf numFmtId="3" fontId="5" fillId="2" borderId="129" xfId="0" applyNumberFormat="1" applyFont="1" applyFill="1" applyBorder="1" applyAlignment="1">
      <alignment horizontal="right" vertical="center"/>
    </xf>
    <xf numFmtId="3" fontId="5" fillId="2" borderId="76" xfId="0" applyNumberFormat="1" applyFont="1" applyFill="1" applyBorder="1" applyAlignment="1">
      <alignment horizontal="right" vertical="center"/>
    </xf>
    <xf numFmtId="0" fontId="5" fillId="0" borderId="111" xfId="0" applyFont="1" applyBorder="1" applyAlignment="1">
      <alignment horizontal="right" vertical="center"/>
    </xf>
    <xf numFmtId="0" fontId="5" fillId="0" borderId="129" xfId="0" applyFont="1" applyBorder="1" applyAlignment="1">
      <alignment horizontal="right" vertical="center"/>
    </xf>
    <xf numFmtId="3" fontId="5" fillId="0" borderId="68" xfId="0" applyNumberFormat="1" applyFont="1" applyBorder="1" applyAlignment="1">
      <alignment horizontal="right" vertical="center"/>
    </xf>
    <xf numFmtId="3" fontId="5" fillId="0" borderId="134" xfId="0" applyNumberFormat="1" applyFont="1" applyBorder="1" applyAlignment="1">
      <alignment horizontal="right" vertical="center"/>
    </xf>
    <xf numFmtId="3" fontId="5" fillId="0" borderId="67" xfId="0" applyNumberFormat="1" applyFont="1" applyBorder="1" applyAlignment="1">
      <alignment horizontal="right" vertical="center"/>
    </xf>
    <xf numFmtId="1" fontId="5" fillId="0" borderId="106" xfId="0" applyNumberFormat="1" applyFont="1" applyBorder="1" applyAlignment="1">
      <alignment horizontal="right" vertical="center"/>
    </xf>
    <xf numFmtId="1" fontId="5" fillId="0" borderId="134" xfId="0" applyNumberFormat="1" applyFont="1" applyBorder="1" applyAlignment="1">
      <alignment horizontal="right" vertical="center"/>
    </xf>
    <xf numFmtId="3" fontId="5" fillId="0" borderId="105" xfId="0" applyNumberFormat="1" applyFont="1" applyBorder="1" applyAlignment="1">
      <alignment horizontal="right" vertical="center"/>
    </xf>
    <xf numFmtId="0" fontId="5" fillId="0" borderId="134" xfId="0" applyFont="1" applyBorder="1" applyAlignment="1">
      <alignment horizontal="center" vertical="center"/>
    </xf>
    <xf numFmtId="0" fontId="5" fillId="0" borderId="105" xfId="0" applyFont="1" applyBorder="1" applyAlignment="1">
      <alignment horizontal="center" vertical="center"/>
    </xf>
    <xf numFmtId="0" fontId="4" fillId="0" borderId="44" xfId="0" applyFont="1" applyBorder="1" applyAlignment="1">
      <alignment horizontal="left" vertical="center"/>
    </xf>
    <xf numFmtId="0" fontId="4" fillId="0" borderId="44" xfId="0" applyFont="1" applyBorder="1" applyAlignment="1">
      <alignment horizontal="center" vertical="center"/>
    </xf>
    <xf numFmtId="3" fontId="4" fillId="0" borderId="44" xfId="0" applyNumberFormat="1" applyFont="1" applyBorder="1" applyAlignment="1">
      <alignment horizontal="right" vertical="center"/>
    </xf>
    <xf numFmtId="0" fontId="4" fillId="0" borderId="105" xfId="0" applyFont="1" applyBorder="1" applyAlignment="1">
      <alignment horizontal="center" vertical="center"/>
    </xf>
    <xf numFmtId="0" fontId="4" fillId="0" borderId="92" xfId="0" applyFont="1" applyBorder="1" applyAlignment="1">
      <alignment horizontal="center" vertical="center"/>
    </xf>
    <xf numFmtId="0" fontId="4" fillId="0" borderId="106" xfId="0" applyFont="1" applyBorder="1" applyAlignment="1">
      <alignment horizontal="center" vertical="center"/>
    </xf>
    <xf numFmtId="3" fontId="4" fillId="0" borderId="105" xfId="0" applyNumberFormat="1" applyFont="1" applyBorder="1" applyAlignment="1">
      <alignment horizontal="right" vertical="center"/>
    </xf>
    <xf numFmtId="3" fontId="4" fillId="0" borderId="92" xfId="0" applyNumberFormat="1" applyFont="1" applyBorder="1" applyAlignment="1">
      <alignment horizontal="right" vertical="center"/>
    </xf>
    <xf numFmtId="3" fontId="4" fillId="0" borderId="106" xfId="0" applyNumberFormat="1" applyFont="1" applyBorder="1" applyAlignment="1">
      <alignment horizontal="right" vertical="center"/>
    </xf>
    <xf numFmtId="3" fontId="13" fillId="0" borderId="77" xfId="0" applyNumberFormat="1" applyFont="1" applyBorder="1" applyAlignment="1">
      <alignment horizontal="right"/>
    </xf>
    <xf numFmtId="3" fontId="13" fillId="0" borderId="78" xfId="0" applyNumberFormat="1" applyFont="1" applyBorder="1" applyAlignment="1">
      <alignment horizontal="right"/>
    </xf>
    <xf numFmtId="3" fontId="13" fillId="0" borderId="43" xfId="0" applyNumberFormat="1" applyFont="1" applyBorder="1" applyAlignment="1">
      <alignment horizontal="right"/>
    </xf>
    <xf numFmtId="3" fontId="13" fillId="0" borderId="68" xfId="0" applyNumberFormat="1" applyFont="1" applyBorder="1" applyAlignment="1">
      <alignment horizontal="right"/>
    </xf>
    <xf numFmtId="0" fontId="4" fillId="0" borderId="105" xfId="0" applyFont="1" applyBorder="1" applyAlignment="1">
      <alignment horizontal="left" vertical="center" wrapText="1"/>
    </xf>
    <xf numFmtId="0" fontId="4" fillId="0" borderId="92" xfId="0" applyFont="1" applyBorder="1" applyAlignment="1">
      <alignment horizontal="left" vertical="center" wrapText="1"/>
    </xf>
    <xf numFmtId="0" fontId="4" fillId="0" borderId="106" xfId="0" applyFont="1" applyBorder="1" applyAlignment="1">
      <alignment horizontal="left" vertical="center" wrapText="1"/>
    </xf>
    <xf numFmtId="0" fontId="4" fillId="0" borderId="133" xfId="0" applyFont="1" applyBorder="1" applyAlignment="1">
      <alignment horizontal="left" vertical="center"/>
    </xf>
    <xf numFmtId="0" fontId="4" fillId="0" borderId="133" xfId="0" applyFont="1" applyBorder="1" applyAlignment="1">
      <alignment horizontal="center" vertical="center"/>
    </xf>
    <xf numFmtId="3" fontId="4" fillId="0" borderId="133" xfId="0" applyNumberFormat="1" applyFont="1" applyBorder="1" applyAlignment="1">
      <alignment horizontal="right" vertical="center"/>
    </xf>
    <xf numFmtId="0" fontId="13" fillId="0" borderId="64" xfId="0" applyFont="1" applyBorder="1" applyAlignment="1">
      <alignment horizontal="right"/>
    </xf>
    <xf numFmtId="0" fontId="13" fillId="0" borderId="65" xfId="0" applyFont="1" applyBorder="1" applyAlignment="1">
      <alignment horizontal="right"/>
    </xf>
    <xf numFmtId="0" fontId="13" fillId="0" borderId="63" xfId="0" applyFont="1" applyBorder="1" applyAlignment="1">
      <alignment horizontal="left"/>
    </xf>
    <xf numFmtId="0" fontId="13" fillId="0" borderId="64" xfId="0" applyFont="1" applyBorder="1" applyAlignment="1">
      <alignment horizontal="left"/>
    </xf>
    <xf numFmtId="1" fontId="5" fillId="0" borderId="106" xfId="1" applyNumberFormat="1" applyFont="1" applyBorder="1" applyAlignment="1">
      <alignment horizontal="right" vertical="center"/>
    </xf>
    <xf numFmtId="1" fontId="5" fillId="0" borderId="134" xfId="1" applyNumberFormat="1" applyFont="1" applyBorder="1" applyAlignment="1">
      <alignment horizontal="right" vertical="center"/>
    </xf>
    <xf numFmtId="0" fontId="5" fillId="0" borderId="106" xfId="0" applyFont="1" applyBorder="1" applyAlignment="1">
      <alignment horizontal="right" vertical="center"/>
    </xf>
    <xf numFmtId="0" fontId="5" fillId="0" borderId="134" xfId="0" applyFont="1" applyBorder="1" applyAlignment="1">
      <alignment horizontal="right" vertical="center"/>
    </xf>
    <xf numFmtId="0" fontId="13" fillId="0" borderId="96" xfId="0" applyFont="1" applyBorder="1" applyAlignment="1">
      <alignment horizontal="center" vertical="center" wrapText="1"/>
    </xf>
    <xf numFmtId="0" fontId="13" fillId="0" borderId="97" xfId="0" applyFont="1" applyBorder="1" applyAlignment="1">
      <alignment horizontal="center" vertical="center" wrapText="1"/>
    </xf>
    <xf numFmtId="0" fontId="13" fillId="0" borderId="98" xfId="0" applyFont="1" applyBorder="1" applyAlignment="1">
      <alignment horizontal="center" vertical="center" wrapText="1"/>
    </xf>
    <xf numFmtId="0" fontId="13" fillId="0" borderId="100" xfId="0" applyFont="1" applyBorder="1" applyAlignment="1">
      <alignment horizontal="center" vertical="center" wrapText="1"/>
    </xf>
    <xf numFmtId="0" fontId="13" fillId="0" borderId="10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5" fillId="4" borderId="105" xfId="0" applyFont="1" applyFill="1" applyBorder="1" applyAlignment="1">
      <alignment horizontal="left" vertical="center" wrapText="1"/>
    </xf>
    <xf numFmtId="0" fontId="5" fillId="4" borderId="92" xfId="0" applyFont="1" applyFill="1" applyBorder="1" applyAlignment="1">
      <alignment horizontal="left" vertical="center" wrapText="1"/>
    </xf>
    <xf numFmtId="0" fontId="5" fillId="4" borderId="106" xfId="0" applyFont="1" applyFill="1" applyBorder="1" applyAlignment="1">
      <alignment horizontal="left" vertical="center" wrapText="1"/>
    </xf>
    <xf numFmtId="0" fontId="5" fillId="0" borderId="125" xfId="0" applyFont="1" applyBorder="1" applyAlignment="1">
      <alignment horizontal="left" vertical="center" wrapText="1"/>
    </xf>
    <xf numFmtId="0" fontId="5" fillId="0" borderId="138" xfId="0" applyFont="1" applyBorder="1" applyAlignment="1">
      <alignment horizontal="left" vertical="center" wrapText="1"/>
    </xf>
    <xf numFmtId="0" fontId="5" fillId="0" borderId="111" xfId="0" applyFont="1" applyBorder="1" applyAlignment="1">
      <alignment horizontal="left" vertical="center" wrapText="1"/>
    </xf>
    <xf numFmtId="3" fontId="5" fillId="0" borderId="44" xfId="0" applyNumberFormat="1" applyFont="1" applyBorder="1" applyAlignment="1">
      <alignment horizontal="right" vertical="center"/>
    </xf>
    <xf numFmtId="3" fontId="5" fillId="0" borderId="99" xfId="0" applyNumberFormat="1" applyFont="1" applyBorder="1" applyAlignment="1">
      <alignment horizontal="right" vertical="center"/>
    </xf>
    <xf numFmtId="3" fontId="5" fillId="0" borderId="118" xfId="0" applyNumberFormat="1" applyFont="1" applyBorder="1" applyAlignment="1">
      <alignment horizontal="right" vertical="center"/>
    </xf>
    <xf numFmtId="3" fontId="5" fillId="0" borderId="147" xfId="0" applyNumberFormat="1" applyFont="1" applyBorder="1" applyAlignment="1">
      <alignment horizontal="right" vertical="center"/>
    </xf>
    <xf numFmtId="1" fontId="5" fillId="0" borderId="29" xfId="0" applyNumberFormat="1" applyFont="1" applyBorder="1" applyAlignment="1">
      <alignment horizontal="right" vertical="center"/>
    </xf>
    <xf numFmtId="1" fontId="5" fillId="0" borderId="44" xfId="0" applyNumberFormat="1" applyFont="1" applyBorder="1" applyAlignment="1">
      <alignment horizontal="right" vertical="center"/>
    </xf>
    <xf numFmtId="0" fontId="6" fillId="0" borderId="0" xfId="0" applyFont="1" applyFill="1" applyAlignment="1">
      <alignment horizontal="left"/>
    </xf>
    <xf numFmtId="0" fontId="5" fillId="0" borderId="126" xfId="0" applyFont="1" applyBorder="1" applyAlignment="1">
      <alignment horizontal="left" vertical="center" wrapText="1"/>
    </xf>
    <xf numFmtId="0" fontId="5" fillId="0" borderId="117" xfId="0" applyFont="1" applyBorder="1" applyAlignment="1">
      <alignment horizontal="left" vertical="center" wrapText="1"/>
    </xf>
    <xf numFmtId="0" fontId="5" fillId="0" borderId="114" xfId="0" applyFont="1" applyBorder="1" applyAlignment="1">
      <alignment horizontal="left" vertical="center" wrapText="1"/>
    </xf>
    <xf numFmtId="3" fontId="5" fillId="0" borderId="132" xfId="0" applyNumberFormat="1" applyFont="1" applyBorder="1" applyAlignment="1">
      <alignment horizontal="right" vertical="center"/>
    </xf>
    <xf numFmtId="3" fontId="5" fillId="0" borderId="96" xfId="0" applyNumberFormat="1" applyFont="1" applyBorder="1" applyAlignment="1">
      <alignment horizontal="right" vertical="center"/>
    </xf>
    <xf numFmtId="0" fontId="5" fillId="0" borderId="131" xfId="0" applyFont="1" applyBorder="1" applyAlignment="1">
      <alignment horizontal="center" vertical="center"/>
    </xf>
    <xf numFmtId="0" fontId="5" fillId="0" borderId="132" xfId="0" applyFont="1" applyBorder="1" applyAlignment="1">
      <alignment horizontal="center" vertical="center"/>
    </xf>
    <xf numFmtId="0" fontId="5" fillId="0" borderId="128" xfId="0" applyFont="1" applyBorder="1" applyAlignment="1">
      <alignment horizontal="center" vertical="center"/>
    </xf>
    <xf numFmtId="0" fontId="5" fillId="0" borderId="98" xfId="0" applyFont="1" applyBorder="1" applyAlignment="1">
      <alignment horizontal="center" vertical="center"/>
    </xf>
    <xf numFmtId="0" fontId="50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5" fillId="0" borderId="133" xfId="0" applyFont="1" applyBorder="1" applyAlignment="1">
      <alignment horizontal="left" vertical="center" wrapText="1"/>
    </xf>
    <xf numFmtId="0" fontId="5" fillId="0" borderId="134" xfId="0" applyFont="1" applyBorder="1" applyAlignment="1">
      <alignment horizontal="left" vertical="center" wrapText="1"/>
    </xf>
    <xf numFmtId="0" fontId="5" fillId="0" borderId="132" xfId="0" applyFont="1" applyBorder="1" applyAlignment="1">
      <alignment horizontal="left" vertical="center" wrapText="1"/>
    </xf>
    <xf numFmtId="3" fontId="5" fillId="0" borderId="133" xfId="0" applyNumberFormat="1" applyFont="1" applyBorder="1" applyAlignment="1">
      <alignment horizontal="right" vertical="center"/>
    </xf>
    <xf numFmtId="3" fontId="5" fillId="4" borderId="134" xfId="0" applyNumberFormat="1" applyFont="1" applyFill="1" applyBorder="1" applyAlignment="1">
      <alignment horizontal="right" vertical="center" wrapText="1"/>
    </xf>
    <xf numFmtId="0" fontId="5" fillId="4" borderId="134" xfId="0" applyFont="1" applyFill="1" applyBorder="1" applyAlignment="1">
      <alignment horizontal="left" vertical="center" wrapText="1"/>
    </xf>
    <xf numFmtId="0" fontId="13" fillId="4" borderId="134" xfId="0" applyFont="1" applyFill="1" applyBorder="1" applyAlignment="1">
      <alignment horizontal="left" vertical="center" wrapText="1"/>
    </xf>
    <xf numFmtId="3" fontId="13" fillId="4" borderId="134" xfId="0" applyNumberFormat="1" applyFont="1" applyFill="1" applyBorder="1" applyAlignment="1">
      <alignment horizontal="right" vertical="center" wrapText="1"/>
    </xf>
    <xf numFmtId="0" fontId="13" fillId="4" borderId="125" xfId="0" applyFont="1" applyFill="1" applyBorder="1" applyAlignment="1">
      <alignment horizontal="left" vertical="center" wrapText="1"/>
    </xf>
    <xf numFmtId="0" fontId="13" fillId="4" borderId="138" xfId="0" applyFont="1" applyFill="1" applyBorder="1" applyAlignment="1">
      <alignment horizontal="left" vertical="center" wrapText="1"/>
    </xf>
    <xf numFmtId="0" fontId="13" fillId="4" borderId="111" xfId="0" applyFont="1" applyFill="1" applyBorder="1" applyAlignment="1">
      <alignment horizontal="left" vertical="center" wrapText="1"/>
    </xf>
    <xf numFmtId="3" fontId="5" fillId="4" borderId="129" xfId="0" applyNumberFormat="1" applyFont="1" applyFill="1" applyBorder="1" applyAlignment="1">
      <alignment horizontal="right" vertical="center" wrapText="1"/>
    </xf>
    <xf numFmtId="0" fontId="5" fillId="4" borderId="102" xfId="0" applyFont="1" applyFill="1" applyBorder="1" applyAlignment="1">
      <alignment horizontal="left" vertical="center" wrapText="1"/>
    </xf>
    <xf numFmtId="0" fontId="5" fillId="4" borderId="103" xfId="0" applyFont="1" applyFill="1" applyBorder="1" applyAlignment="1">
      <alignment horizontal="left" vertical="center" wrapText="1"/>
    </xf>
    <xf numFmtId="0" fontId="5" fillId="4" borderId="104" xfId="0" applyFont="1" applyFill="1" applyBorder="1" applyAlignment="1">
      <alignment horizontal="left" vertical="center" wrapText="1"/>
    </xf>
    <xf numFmtId="3" fontId="5" fillId="4" borderId="102" xfId="0" applyNumberFormat="1" applyFont="1" applyFill="1" applyBorder="1" applyAlignment="1">
      <alignment horizontal="right" vertical="center" wrapText="1"/>
    </xf>
    <xf numFmtId="3" fontId="5" fillId="4" borderId="103" xfId="0" applyNumberFormat="1" applyFont="1" applyFill="1" applyBorder="1" applyAlignment="1">
      <alignment horizontal="right" vertical="center" wrapText="1"/>
    </xf>
    <xf numFmtId="3" fontId="5" fillId="4" borderId="104" xfId="0" applyNumberFormat="1" applyFont="1" applyFill="1" applyBorder="1" applyAlignment="1">
      <alignment horizontal="right" vertical="center" wrapText="1"/>
    </xf>
    <xf numFmtId="3" fontId="5" fillId="4" borderId="125" xfId="0" applyNumberFormat="1" applyFont="1" applyFill="1" applyBorder="1" applyAlignment="1">
      <alignment horizontal="right" vertical="center" wrapText="1"/>
    </xf>
    <xf numFmtId="3" fontId="5" fillId="4" borderId="138" xfId="0" applyNumberFormat="1" applyFont="1" applyFill="1" applyBorder="1" applyAlignment="1">
      <alignment horizontal="right" vertical="center" wrapText="1"/>
    </xf>
    <xf numFmtId="3" fontId="5" fillId="4" borderId="111" xfId="0" applyNumberFormat="1" applyFont="1" applyFill="1" applyBorder="1" applyAlignment="1">
      <alignment horizontal="right" vertical="center" wrapText="1"/>
    </xf>
    <xf numFmtId="0" fontId="13" fillId="4" borderId="105" xfId="0" applyFont="1" applyFill="1" applyBorder="1" applyAlignment="1">
      <alignment horizontal="left" vertical="center" wrapText="1"/>
    </xf>
    <xf numFmtId="0" fontId="13" fillId="4" borderId="92" xfId="0" applyFont="1" applyFill="1" applyBorder="1" applyAlignment="1">
      <alignment horizontal="left" vertical="center" wrapText="1"/>
    </xf>
    <xf numFmtId="0" fontId="13" fillId="4" borderId="106" xfId="0" applyFont="1" applyFill="1" applyBorder="1" applyAlignment="1">
      <alignment horizontal="left" vertical="center" wrapText="1"/>
    </xf>
    <xf numFmtId="3" fontId="5" fillId="0" borderId="134" xfId="0" applyNumberFormat="1" applyFont="1" applyBorder="1" applyAlignment="1">
      <alignment horizontal="right" vertical="center" wrapText="1"/>
    </xf>
    <xf numFmtId="0" fontId="5" fillId="0" borderId="130" xfId="0" applyFont="1" applyBorder="1" applyAlignment="1">
      <alignment horizontal="left" vertical="center" wrapText="1"/>
    </xf>
    <xf numFmtId="3" fontId="5" fillId="0" borderId="130" xfId="0" applyNumberFormat="1" applyFont="1" applyBorder="1" applyAlignment="1">
      <alignment horizontal="right" vertical="center"/>
    </xf>
    <xf numFmtId="0" fontId="5" fillId="4" borderId="133" xfId="0" applyFont="1" applyFill="1" applyBorder="1" applyAlignment="1">
      <alignment horizontal="left" vertical="center" wrapText="1"/>
    </xf>
    <xf numFmtId="3" fontId="5" fillId="4" borderId="133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justify" vertical="top" wrapText="1"/>
    </xf>
    <xf numFmtId="0" fontId="13" fillId="0" borderId="132" xfId="0" applyFont="1" applyBorder="1" applyAlignment="1">
      <alignment horizontal="left" vertical="center" wrapText="1"/>
    </xf>
    <xf numFmtId="0" fontId="13" fillId="0" borderId="133" xfId="0" applyFont="1" applyBorder="1" applyAlignment="1">
      <alignment horizontal="left" vertical="center" wrapText="1"/>
    </xf>
    <xf numFmtId="0" fontId="5" fillId="0" borderId="134" xfId="0" applyFont="1" applyBorder="1" applyAlignment="1">
      <alignment horizontal="left" vertical="center"/>
    </xf>
    <xf numFmtId="3" fontId="5" fillId="0" borderId="134" xfId="0" applyNumberFormat="1" applyFont="1" applyFill="1" applyBorder="1" applyAlignment="1">
      <alignment horizontal="right" vertical="center" wrapText="1"/>
    </xf>
    <xf numFmtId="3" fontId="5" fillId="0" borderId="13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justify" vertical="top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3" fillId="0" borderId="101" xfId="0" applyFont="1" applyBorder="1" applyAlignment="1">
      <alignment horizontal="center" wrapText="1"/>
    </xf>
    <xf numFmtId="0" fontId="5" fillId="0" borderId="103" xfId="0" applyFont="1" applyBorder="1" applyAlignment="1">
      <alignment horizontal="left"/>
    </xf>
    <xf numFmtId="0" fontId="5" fillId="0" borderId="103" xfId="0" applyFont="1" applyBorder="1" applyAlignment="1">
      <alignment horizontal="center"/>
    </xf>
    <xf numFmtId="0" fontId="13" fillId="0" borderId="101" xfId="0" applyFont="1" applyBorder="1" applyAlignment="1">
      <alignment horizontal="center"/>
    </xf>
    <xf numFmtId="10" fontId="5" fillId="4" borderId="132" xfId="0" applyNumberFormat="1" applyFont="1" applyFill="1" applyBorder="1" applyAlignment="1">
      <alignment horizontal="right" vertical="center"/>
    </xf>
    <xf numFmtId="9" fontId="5" fillId="4" borderId="125" xfId="1" applyFont="1" applyFill="1" applyBorder="1" applyAlignment="1">
      <alignment horizontal="right" vertical="center"/>
    </xf>
    <xf numFmtId="9" fontId="5" fillId="4" borderId="138" xfId="1" applyFont="1" applyFill="1" applyBorder="1" applyAlignment="1">
      <alignment horizontal="right" vertical="center"/>
    </xf>
    <xf numFmtId="9" fontId="5" fillId="4" borderId="111" xfId="1" applyFont="1" applyFill="1" applyBorder="1" applyAlignment="1">
      <alignment horizontal="right" vertical="center"/>
    </xf>
    <xf numFmtId="0" fontId="5" fillId="4" borderId="134" xfId="0" applyFont="1" applyFill="1" applyBorder="1" applyAlignment="1">
      <alignment horizontal="right" vertical="center"/>
    </xf>
    <xf numFmtId="0" fontId="5" fillId="4" borderId="134" xfId="0" applyFont="1" applyFill="1" applyBorder="1" applyAlignment="1">
      <alignment horizontal="center" vertical="center" wrapText="1"/>
    </xf>
    <xf numFmtId="175" fontId="5" fillId="4" borderId="133" xfId="0" applyNumberFormat="1" applyFont="1" applyFill="1" applyBorder="1" applyAlignment="1">
      <alignment horizontal="right" vertical="center"/>
    </xf>
    <xf numFmtId="175" fontId="5" fillId="4" borderId="134" xfId="0" applyNumberFormat="1" applyFont="1" applyFill="1" applyBorder="1" applyAlignment="1">
      <alignment horizontal="right" vertical="center"/>
    </xf>
    <xf numFmtId="0" fontId="13" fillId="0" borderId="110" xfId="0" applyFont="1" applyBorder="1" applyAlignment="1">
      <alignment horizontal="center"/>
    </xf>
    <xf numFmtId="0" fontId="13" fillId="0" borderId="109" xfId="0" applyFont="1" applyBorder="1" applyAlignment="1">
      <alignment horizontal="center"/>
    </xf>
    <xf numFmtId="0" fontId="6" fillId="4" borderId="0" xfId="0" applyFont="1" applyFill="1" applyAlignment="1">
      <alignment horizontal="justify" vertical="top" wrapText="1"/>
    </xf>
    <xf numFmtId="0" fontId="5" fillId="4" borderId="132" xfId="0" applyFont="1" applyFill="1" applyBorder="1" applyAlignment="1">
      <alignment horizontal="center" vertical="center" wrapText="1"/>
    </xf>
    <xf numFmtId="0" fontId="13" fillId="4" borderId="37" xfId="0" applyFont="1" applyFill="1" applyBorder="1" applyAlignment="1">
      <alignment horizontal="center" vertical="center" wrapText="1"/>
    </xf>
    <xf numFmtId="3" fontId="5" fillId="0" borderId="133" xfId="0" applyNumberFormat="1" applyFont="1" applyBorder="1" applyAlignment="1">
      <alignment horizontal="right" vertical="center" wrapText="1"/>
    </xf>
    <xf numFmtId="3" fontId="5" fillId="0" borderId="132" xfId="0" applyNumberFormat="1" applyFont="1" applyBorder="1" applyAlignment="1">
      <alignment horizontal="right" vertical="center" wrapText="1"/>
    </xf>
    <xf numFmtId="0" fontId="13" fillId="0" borderId="37" xfId="0" applyNumberFormat="1" applyFont="1" applyBorder="1" applyAlignment="1">
      <alignment horizontal="center" vertical="center" wrapText="1"/>
    </xf>
    <xf numFmtId="0" fontId="5" fillId="0" borderId="133" xfId="0" applyNumberFormat="1" applyFont="1" applyBorder="1" applyAlignment="1">
      <alignment horizontal="left" vertical="center" wrapText="1"/>
    </xf>
    <xf numFmtId="0" fontId="5" fillId="0" borderId="134" xfId="0" applyNumberFormat="1" applyFont="1" applyBorder="1" applyAlignment="1">
      <alignment horizontal="left" vertical="center" wrapText="1"/>
    </xf>
    <xf numFmtId="0" fontId="5" fillId="0" borderId="132" xfId="0" applyNumberFormat="1" applyFont="1" applyBorder="1" applyAlignment="1">
      <alignment horizontal="left" vertical="center" wrapText="1"/>
    </xf>
    <xf numFmtId="175" fontId="5" fillId="4" borderId="132" xfId="0" applyNumberFormat="1" applyFont="1" applyFill="1" applyBorder="1" applyAlignment="1">
      <alignment horizontal="right" vertical="center"/>
    </xf>
    <xf numFmtId="3" fontId="5" fillId="0" borderId="43" xfId="0" applyNumberFormat="1" applyFont="1" applyBorder="1" applyAlignment="1">
      <alignment horizontal="right" vertical="center"/>
    </xf>
    <xf numFmtId="3" fontId="5" fillId="2" borderId="43" xfId="0" applyNumberFormat="1" applyFont="1" applyFill="1" applyBorder="1" applyAlignment="1">
      <alignment horizontal="right" vertical="center"/>
    </xf>
    <xf numFmtId="3" fontId="5" fillId="2" borderId="68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/>
    </xf>
    <xf numFmtId="3" fontId="5" fillId="0" borderId="63" xfId="0" applyNumberFormat="1" applyFont="1" applyBorder="1" applyAlignment="1">
      <alignment horizontal="right" vertical="center"/>
    </xf>
    <xf numFmtId="3" fontId="5" fillId="0" borderId="64" xfId="0" applyNumberFormat="1" applyFont="1" applyBorder="1" applyAlignment="1">
      <alignment horizontal="right" vertical="center"/>
    </xf>
    <xf numFmtId="3" fontId="5" fillId="2" borderId="64" xfId="0" applyNumberFormat="1" applyFont="1" applyFill="1" applyBorder="1" applyAlignment="1">
      <alignment horizontal="right" vertical="center"/>
    </xf>
    <xf numFmtId="3" fontId="5" fillId="2" borderId="65" xfId="0" applyNumberFormat="1" applyFont="1" applyFill="1" applyBorder="1" applyAlignment="1">
      <alignment horizontal="right" vertical="center"/>
    </xf>
    <xf numFmtId="3" fontId="13" fillId="2" borderId="76" xfId="0" applyNumberFormat="1" applyFont="1" applyFill="1" applyBorder="1" applyAlignment="1">
      <alignment horizontal="right" vertical="center"/>
    </xf>
    <xf numFmtId="3" fontId="13" fillId="2" borderId="77" xfId="0" applyNumberFormat="1" applyFont="1" applyFill="1" applyBorder="1" applyAlignment="1">
      <alignment horizontal="right" vertical="center"/>
    </xf>
    <xf numFmtId="3" fontId="13" fillId="2" borderId="78" xfId="0" applyNumberFormat="1" applyFont="1" applyFill="1" applyBorder="1" applyAlignment="1">
      <alignment horizontal="right" vertical="center"/>
    </xf>
    <xf numFmtId="0" fontId="13" fillId="0" borderId="37" xfId="0" applyFont="1" applyBorder="1" applyAlignment="1">
      <alignment horizontal="left" vertical="center"/>
    </xf>
    <xf numFmtId="3" fontId="13" fillId="2" borderId="133" xfId="0" applyNumberFormat="1" applyFont="1" applyFill="1" applyBorder="1" applyAlignment="1">
      <alignment horizontal="right" vertical="center"/>
    </xf>
    <xf numFmtId="0" fontId="5" fillId="0" borderId="142" xfId="0" applyFont="1" applyBorder="1" applyAlignment="1">
      <alignment horizontal="left" vertical="center" wrapText="1"/>
    </xf>
    <xf numFmtId="0" fontId="13" fillId="0" borderId="37" xfId="0" applyFont="1" applyBorder="1" applyAlignment="1">
      <alignment horizontal="left" vertical="center" wrapText="1"/>
    </xf>
    <xf numFmtId="3" fontId="5" fillId="2" borderId="134" xfId="0" applyNumberFormat="1" applyFont="1" applyFill="1" applyBorder="1" applyAlignment="1">
      <alignment horizontal="right" vertical="center"/>
    </xf>
    <xf numFmtId="3" fontId="5" fillId="2" borderId="132" xfId="0" applyNumberFormat="1" applyFont="1" applyFill="1" applyBorder="1" applyAlignment="1">
      <alignment horizontal="right" vertical="center"/>
    </xf>
    <xf numFmtId="3" fontId="5" fillId="0" borderId="142" xfId="0" applyNumberFormat="1" applyFont="1" applyBorder="1" applyAlignment="1">
      <alignment horizontal="right" vertical="center"/>
    </xf>
    <xf numFmtId="3" fontId="5" fillId="2" borderId="142" xfId="0" applyNumberFormat="1" applyFont="1" applyFill="1" applyBorder="1" applyAlignment="1">
      <alignment horizontal="right" vertical="center"/>
    </xf>
    <xf numFmtId="3" fontId="13" fillId="4" borderId="13" xfId="0" applyNumberFormat="1" applyFont="1" applyFill="1" applyBorder="1" applyAlignment="1">
      <alignment horizontal="right" vertical="center"/>
    </xf>
    <xf numFmtId="3" fontId="13" fillId="4" borderId="133" xfId="0" applyNumberFormat="1" applyFont="1" applyFill="1" applyBorder="1" applyAlignment="1">
      <alignment horizontal="right" vertical="center"/>
    </xf>
    <xf numFmtId="0" fontId="13" fillId="4" borderId="133" xfId="0" applyFont="1" applyFill="1" applyBorder="1" applyAlignment="1">
      <alignment horizontal="left" vertical="center" wrapText="1"/>
    </xf>
    <xf numFmtId="0" fontId="5" fillId="4" borderId="132" xfId="0" applyFont="1" applyFill="1" applyBorder="1" applyAlignment="1">
      <alignment horizontal="left" vertical="center" wrapText="1"/>
    </xf>
    <xf numFmtId="3" fontId="13" fillId="4" borderId="69" xfId="0" applyNumberFormat="1" applyFont="1" applyFill="1" applyBorder="1" applyAlignment="1">
      <alignment horizontal="right" vertical="center"/>
    </xf>
    <xf numFmtId="3" fontId="5" fillId="4" borderId="134" xfId="0" applyNumberFormat="1" applyFont="1" applyFill="1" applyBorder="1" applyAlignment="1">
      <alignment horizontal="right" vertical="center"/>
    </xf>
    <xf numFmtId="3" fontId="5" fillId="4" borderId="67" xfId="0" applyNumberFormat="1" applyFont="1" applyFill="1" applyBorder="1" applyAlignment="1">
      <alignment horizontal="right" vertical="center"/>
    </xf>
    <xf numFmtId="3" fontId="13" fillId="4" borderId="134" xfId="0" applyNumberFormat="1" applyFont="1" applyFill="1" applyBorder="1" applyAlignment="1">
      <alignment horizontal="right" vertical="center"/>
    </xf>
    <xf numFmtId="3" fontId="13" fillId="4" borderId="67" xfId="0" applyNumberFormat="1" applyFont="1" applyFill="1" applyBorder="1" applyAlignment="1">
      <alignment horizontal="right" vertical="center"/>
    </xf>
    <xf numFmtId="3" fontId="5" fillId="4" borderId="132" xfId="0" applyNumberFormat="1" applyFont="1" applyFill="1" applyBorder="1" applyAlignment="1">
      <alignment horizontal="right" vertical="center"/>
    </xf>
    <xf numFmtId="3" fontId="5" fillId="4" borderId="128" xfId="0" applyNumberFormat="1" applyFont="1" applyFill="1" applyBorder="1" applyAlignment="1">
      <alignment horizontal="right" vertical="center"/>
    </xf>
    <xf numFmtId="3" fontId="5" fillId="4" borderId="98" xfId="0" applyNumberFormat="1" applyFont="1" applyFill="1" applyBorder="1" applyAlignment="1">
      <alignment horizontal="right" vertical="center"/>
    </xf>
    <xf numFmtId="3" fontId="5" fillId="4" borderId="106" xfId="0" applyNumberFormat="1" applyFont="1" applyFill="1" applyBorder="1" applyAlignment="1">
      <alignment horizontal="right" vertical="center"/>
    </xf>
    <xf numFmtId="3" fontId="13" fillId="4" borderId="106" xfId="0" applyNumberFormat="1" applyFont="1" applyFill="1" applyBorder="1" applyAlignment="1">
      <alignment horizontal="right" vertical="center"/>
    </xf>
    <xf numFmtId="3" fontId="5" fillId="0" borderId="106" xfId="0" applyNumberFormat="1" applyFont="1" applyBorder="1" applyAlignment="1">
      <alignment horizontal="right" vertical="center"/>
    </xf>
    <xf numFmtId="0" fontId="13" fillId="0" borderId="94" xfId="0" applyFont="1" applyBorder="1" applyAlignment="1">
      <alignment horizontal="center" vertical="center" wrapText="1"/>
    </xf>
    <xf numFmtId="0" fontId="13" fillId="0" borderId="95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25" xfId="0" applyFont="1" applyBorder="1" applyAlignment="1">
      <alignment horizontal="left" vertical="center" wrapText="1"/>
    </xf>
    <xf numFmtId="0" fontId="13" fillId="0" borderId="138" xfId="0" applyFont="1" applyBorder="1" applyAlignment="1">
      <alignment horizontal="left" vertical="center" wrapText="1"/>
    </xf>
    <xf numFmtId="0" fontId="13" fillId="0" borderId="111" xfId="0" applyFont="1" applyBorder="1" applyAlignment="1">
      <alignment horizontal="left" vertical="center" wrapText="1"/>
    </xf>
    <xf numFmtId="3" fontId="13" fillId="2" borderId="13" xfId="0" applyNumberFormat="1" applyFont="1" applyFill="1" applyBorder="1" applyAlignment="1">
      <alignment horizontal="right" vertical="center"/>
    </xf>
    <xf numFmtId="0" fontId="5" fillId="0" borderId="102" xfId="0" applyFont="1" applyBorder="1" applyAlignment="1">
      <alignment horizontal="left" vertical="center" wrapText="1"/>
    </xf>
    <xf numFmtId="0" fontId="5" fillId="0" borderId="103" xfId="0" applyFont="1" applyBorder="1" applyAlignment="1">
      <alignment horizontal="left" vertical="center" wrapText="1"/>
    </xf>
    <xf numFmtId="0" fontId="5" fillId="0" borderId="104" xfId="0" applyFont="1" applyBorder="1" applyAlignment="1">
      <alignment horizontal="left" vertical="center" wrapText="1"/>
    </xf>
    <xf numFmtId="3" fontId="5" fillId="0" borderId="104" xfId="0" applyNumberFormat="1" applyFont="1" applyBorder="1" applyAlignment="1">
      <alignment horizontal="right" vertical="center"/>
    </xf>
    <xf numFmtId="0" fontId="5" fillId="4" borderId="142" xfId="0" applyFont="1" applyFill="1" applyBorder="1" applyAlignment="1">
      <alignment horizontal="left" vertical="center" wrapText="1"/>
    </xf>
    <xf numFmtId="3" fontId="5" fillId="4" borderId="142" xfId="0" applyNumberFormat="1" applyFont="1" applyFill="1" applyBorder="1" applyAlignment="1">
      <alignment horizontal="center"/>
    </xf>
    <xf numFmtId="3" fontId="5" fillId="4" borderId="72" xfId="0" applyNumberFormat="1" applyFont="1" applyFill="1" applyBorder="1" applyAlignment="1">
      <alignment horizontal="center"/>
    </xf>
    <xf numFmtId="3" fontId="5" fillId="4" borderId="104" xfId="0" applyNumberFormat="1" applyFont="1" applyFill="1" applyBorder="1" applyAlignment="1">
      <alignment horizontal="center"/>
    </xf>
    <xf numFmtId="0" fontId="5" fillId="4" borderId="141" xfId="0" applyFont="1" applyFill="1" applyBorder="1" applyAlignment="1">
      <alignment horizontal="left" vertical="center" wrapText="1"/>
    </xf>
    <xf numFmtId="3" fontId="5" fillId="4" borderId="141" xfId="0" applyNumberFormat="1" applyFont="1" applyFill="1" applyBorder="1" applyAlignment="1">
      <alignment horizontal="center"/>
    </xf>
    <xf numFmtId="3" fontId="5" fillId="4" borderId="121" xfId="0" applyNumberFormat="1" applyFont="1" applyFill="1" applyBorder="1" applyAlignment="1">
      <alignment horizontal="center"/>
    </xf>
    <xf numFmtId="3" fontId="5" fillId="4" borderId="143" xfId="0" applyNumberFormat="1" applyFont="1" applyFill="1" applyBorder="1" applyAlignment="1">
      <alignment horizontal="center"/>
    </xf>
    <xf numFmtId="0" fontId="13" fillId="4" borderId="37" xfId="0" applyFont="1" applyFill="1" applyBorder="1" applyAlignment="1">
      <alignment horizontal="left" vertical="center" wrapText="1"/>
    </xf>
    <xf numFmtId="3" fontId="13" fillId="4" borderId="37" xfId="0" applyNumberFormat="1" applyFont="1" applyFill="1" applyBorder="1" applyAlignment="1">
      <alignment horizontal="right" vertical="center"/>
    </xf>
    <xf numFmtId="3" fontId="13" fillId="4" borderId="135" xfId="0" applyNumberFormat="1" applyFont="1" applyFill="1" applyBorder="1" applyAlignment="1">
      <alignment horizontal="right" vertical="center"/>
    </xf>
    <xf numFmtId="3" fontId="13" fillId="4" borderId="17" xfId="0" applyNumberFormat="1" applyFont="1" applyFill="1" applyBorder="1" applyAlignment="1">
      <alignment horizontal="right" vertical="center"/>
    </xf>
    <xf numFmtId="0" fontId="13" fillId="4" borderId="132" xfId="0" applyFont="1" applyFill="1" applyBorder="1" applyAlignment="1">
      <alignment horizontal="center" vertical="center" wrapText="1"/>
    </xf>
    <xf numFmtId="0" fontId="5" fillId="4" borderId="126" xfId="0" applyFont="1" applyFill="1" applyBorder="1" applyAlignment="1">
      <alignment horizontal="left" vertical="center" wrapText="1"/>
    </xf>
    <xf numFmtId="0" fontId="5" fillId="4" borderId="117" xfId="0" applyFont="1" applyFill="1" applyBorder="1" applyAlignment="1">
      <alignment horizontal="left" vertical="center" wrapText="1"/>
    </xf>
    <xf numFmtId="0" fontId="5" fillId="4" borderId="114" xfId="0" applyFont="1" applyFill="1" applyBorder="1" applyAlignment="1">
      <alignment horizontal="left" vertical="center" wrapText="1"/>
    </xf>
    <xf numFmtId="3" fontId="5" fillId="4" borderId="126" xfId="0" applyNumberFormat="1" applyFont="1" applyFill="1" applyBorder="1" applyAlignment="1">
      <alignment horizontal="right"/>
    </xf>
    <xf numFmtId="3" fontId="5" fillId="4" borderId="117" xfId="0" applyNumberFormat="1" applyFont="1" applyFill="1" applyBorder="1" applyAlignment="1">
      <alignment horizontal="right"/>
    </xf>
    <xf numFmtId="3" fontId="5" fillId="4" borderId="116" xfId="0" applyNumberFormat="1" applyFont="1" applyFill="1" applyBorder="1" applyAlignment="1">
      <alignment horizontal="right"/>
    </xf>
    <xf numFmtId="3" fontId="5" fillId="4" borderId="115" xfId="0" applyNumberFormat="1" applyFont="1" applyFill="1" applyBorder="1" applyAlignment="1">
      <alignment horizontal="right"/>
    </xf>
    <xf numFmtId="3" fontId="5" fillId="4" borderId="114" xfId="0" applyNumberFormat="1" applyFont="1" applyFill="1" applyBorder="1" applyAlignment="1">
      <alignment horizontal="right"/>
    </xf>
    <xf numFmtId="3" fontId="5" fillId="4" borderId="125" xfId="0" applyNumberFormat="1" applyFont="1" applyFill="1" applyBorder="1" applyAlignment="1">
      <alignment horizontal="right"/>
    </xf>
    <xf numFmtId="3" fontId="5" fillId="4" borderId="138" xfId="0" applyNumberFormat="1" applyFont="1" applyFill="1" applyBorder="1" applyAlignment="1">
      <alignment horizontal="right"/>
    </xf>
    <xf numFmtId="3" fontId="5" fillId="4" borderId="113" xfId="0" applyNumberFormat="1" applyFont="1" applyFill="1" applyBorder="1" applyAlignment="1">
      <alignment horizontal="right"/>
    </xf>
    <xf numFmtId="3" fontId="5" fillId="4" borderId="112" xfId="0" applyNumberFormat="1" applyFont="1" applyFill="1" applyBorder="1" applyAlignment="1">
      <alignment horizontal="right"/>
    </xf>
    <xf numFmtId="3" fontId="5" fillId="4" borderId="111" xfId="0" applyNumberFormat="1" applyFont="1" applyFill="1" applyBorder="1" applyAlignment="1">
      <alignment horizontal="right"/>
    </xf>
    <xf numFmtId="3" fontId="5" fillId="4" borderId="105" xfId="0" applyNumberFormat="1" applyFont="1" applyFill="1" applyBorder="1" applyAlignment="1">
      <alignment horizontal="right"/>
    </xf>
    <xf numFmtId="3" fontId="5" fillId="4" borderId="92" xfId="0" applyNumberFormat="1" applyFont="1" applyFill="1" applyBorder="1" applyAlignment="1">
      <alignment horizontal="right"/>
    </xf>
    <xf numFmtId="3" fontId="5" fillId="4" borderId="93" xfId="0" applyNumberFormat="1" applyFont="1" applyFill="1" applyBorder="1" applyAlignment="1">
      <alignment horizontal="right"/>
    </xf>
    <xf numFmtId="3" fontId="5" fillId="4" borderId="91" xfId="0" applyNumberFormat="1" applyFont="1" applyFill="1" applyBorder="1" applyAlignment="1">
      <alignment horizontal="right" wrapText="1"/>
    </xf>
    <xf numFmtId="3" fontId="5" fillId="4" borderId="92" xfId="0" applyNumberFormat="1" applyFont="1" applyFill="1" applyBorder="1" applyAlignment="1">
      <alignment horizontal="right" wrapText="1"/>
    </xf>
    <xf numFmtId="3" fontId="5" fillId="4" borderId="106" xfId="0" applyNumberFormat="1" applyFont="1" applyFill="1" applyBorder="1" applyAlignment="1">
      <alignment horizontal="right" wrapText="1"/>
    </xf>
    <xf numFmtId="0" fontId="5" fillId="4" borderId="129" xfId="0" applyFont="1" applyFill="1" applyBorder="1" applyAlignment="1">
      <alignment horizontal="left" vertical="center" wrapText="1"/>
    </xf>
    <xf numFmtId="3" fontId="5" fillId="4" borderId="129" xfId="0" applyNumberFormat="1" applyFont="1" applyFill="1" applyBorder="1" applyAlignment="1">
      <alignment horizontal="center"/>
    </xf>
    <xf numFmtId="3" fontId="5" fillId="4" borderId="76" xfId="0" applyNumberFormat="1" applyFont="1" applyFill="1" applyBorder="1" applyAlignment="1">
      <alignment horizontal="center"/>
    </xf>
    <xf numFmtId="3" fontId="5" fillId="4" borderId="111" xfId="0" applyNumberFormat="1" applyFont="1" applyFill="1" applyBorder="1" applyAlignment="1">
      <alignment horizontal="center"/>
    </xf>
    <xf numFmtId="0" fontId="13" fillId="0" borderId="129" xfId="0" applyFont="1" applyBorder="1" applyAlignment="1">
      <alignment horizontal="left" vertical="center"/>
    </xf>
    <xf numFmtId="0" fontId="5" fillId="0" borderId="130" xfId="0" applyFont="1" applyBorder="1" applyAlignment="1">
      <alignment horizontal="left" vertical="center"/>
    </xf>
    <xf numFmtId="3" fontId="5" fillId="0" borderId="94" xfId="0" applyNumberFormat="1" applyFont="1" applyBorder="1" applyAlignment="1">
      <alignment horizontal="right" vertical="center"/>
    </xf>
    <xf numFmtId="3" fontId="5" fillId="0" borderId="95" xfId="0" applyNumberFormat="1" applyFont="1" applyBorder="1" applyAlignment="1">
      <alignment horizontal="right" vertical="center"/>
    </xf>
    <xf numFmtId="3" fontId="5" fillId="0" borderId="17" xfId="0" applyNumberFormat="1" applyFont="1" applyBorder="1" applyAlignment="1">
      <alignment horizontal="right" vertical="center"/>
    </xf>
    <xf numFmtId="3" fontId="5" fillId="2" borderId="125" xfId="0" applyNumberFormat="1" applyFont="1" applyFill="1" applyBorder="1" applyAlignment="1">
      <alignment horizontal="right" vertical="center"/>
    </xf>
    <xf numFmtId="3" fontId="5" fillId="2" borderId="138" xfId="0" applyNumberFormat="1" applyFont="1" applyFill="1" applyBorder="1" applyAlignment="1">
      <alignment horizontal="right" vertical="center"/>
    </xf>
    <xf numFmtId="3" fontId="5" fillId="2" borderId="111" xfId="0" applyNumberFormat="1" applyFont="1" applyFill="1" applyBorder="1" applyAlignment="1">
      <alignment horizontal="right" vertical="center"/>
    </xf>
    <xf numFmtId="0" fontId="13" fillId="0" borderId="125" xfId="0" applyFont="1" applyBorder="1" applyAlignment="1">
      <alignment horizontal="left"/>
    </xf>
    <xf numFmtId="0" fontId="13" fillId="0" borderId="138" xfId="0" applyFont="1" applyBorder="1" applyAlignment="1">
      <alignment horizontal="left"/>
    </xf>
    <xf numFmtId="0" fontId="13" fillId="0" borderId="111" xfId="0" applyFont="1" applyBorder="1" applyAlignment="1">
      <alignment horizontal="left"/>
    </xf>
    <xf numFmtId="0" fontId="5" fillId="0" borderId="105" xfId="0" applyFont="1" applyBorder="1" applyAlignment="1">
      <alignment horizontal="left"/>
    </xf>
    <xf numFmtId="0" fontId="5" fillId="0" borderId="92" xfId="0" applyFont="1" applyBorder="1" applyAlignment="1">
      <alignment horizontal="left"/>
    </xf>
    <xf numFmtId="0" fontId="5" fillId="0" borderId="106" xfId="0" applyFont="1" applyBorder="1" applyAlignment="1">
      <alignment horizontal="left"/>
    </xf>
    <xf numFmtId="0" fontId="5" fillId="0" borderId="126" xfId="0" applyFont="1" applyBorder="1" applyAlignment="1">
      <alignment horizontal="left"/>
    </xf>
    <xf numFmtId="0" fontId="5" fillId="0" borderId="117" xfId="0" applyFont="1" applyBorder="1" applyAlignment="1">
      <alignment horizontal="left"/>
    </xf>
    <xf numFmtId="0" fontId="5" fillId="0" borderId="114" xfId="0" applyFont="1" applyBorder="1" applyAlignment="1">
      <alignment horizontal="left"/>
    </xf>
    <xf numFmtId="0" fontId="13" fillId="0" borderId="94" xfId="0" applyFont="1" applyBorder="1" applyAlignment="1">
      <alignment horizontal="left"/>
    </xf>
    <xf numFmtId="0" fontId="13" fillId="0" borderId="95" xfId="0" applyFont="1" applyBorder="1" applyAlignment="1">
      <alignment horizontal="left"/>
    </xf>
    <xf numFmtId="0" fontId="13" fillId="0" borderId="17" xfId="0" applyFont="1" applyBorder="1" applyAlignment="1">
      <alignment horizontal="left"/>
    </xf>
    <xf numFmtId="0" fontId="13" fillId="0" borderId="94" xfId="0" applyFont="1" applyBorder="1" applyAlignment="1">
      <alignment horizontal="center"/>
    </xf>
    <xf numFmtId="0" fontId="13" fillId="0" borderId="95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3" fontId="5" fillId="0" borderId="37" xfId="0" applyNumberFormat="1" applyFont="1" applyBorder="1" applyAlignment="1">
      <alignment horizontal="right" vertical="center"/>
    </xf>
    <xf numFmtId="0" fontId="13" fillId="0" borderId="96" xfId="0" applyFont="1" applyBorder="1" applyAlignment="1">
      <alignment horizontal="center" vertical="center"/>
    </xf>
    <xf numFmtId="0" fontId="13" fillId="0" borderId="97" xfId="0" applyFont="1" applyBorder="1" applyAlignment="1">
      <alignment horizontal="center" vertical="center"/>
    </xf>
    <xf numFmtId="0" fontId="13" fillId="0" borderId="98" xfId="0" applyFont="1" applyBorder="1" applyAlignment="1">
      <alignment horizontal="center" vertical="center"/>
    </xf>
    <xf numFmtId="0" fontId="13" fillId="0" borderId="100" xfId="0" applyFont="1" applyBorder="1" applyAlignment="1">
      <alignment horizontal="center" vertical="center"/>
    </xf>
    <xf numFmtId="0" fontId="13" fillId="0" borderId="101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4" borderId="126" xfId="0" applyFont="1" applyFill="1" applyBorder="1" applyAlignment="1">
      <alignment horizontal="left" vertical="center" wrapText="1"/>
    </xf>
    <xf numFmtId="0" fontId="13" fillId="4" borderId="117" xfId="0" applyFont="1" applyFill="1" applyBorder="1" applyAlignment="1">
      <alignment horizontal="left" vertical="center" wrapText="1"/>
    </xf>
    <xf numFmtId="0" fontId="13" fillId="4" borderId="114" xfId="0" applyFont="1" applyFill="1" applyBorder="1" applyAlignment="1">
      <alignment horizontal="left" vertical="center" wrapText="1"/>
    </xf>
    <xf numFmtId="0" fontId="5" fillId="0" borderId="129" xfId="0" applyFont="1" applyBorder="1" applyAlignment="1">
      <alignment horizontal="left" vertical="center" wrapText="1"/>
    </xf>
    <xf numFmtId="3" fontId="5" fillId="2" borderId="130" xfId="0" applyNumberFormat="1" applyFont="1" applyFill="1" applyBorder="1" applyAlignment="1">
      <alignment horizontal="right" vertical="center"/>
    </xf>
    <xf numFmtId="3" fontId="5" fillId="0" borderId="129" xfId="0" applyNumberFormat="1" applyFont="1" applyBorder="1" applyAlignment="1">
      <alignment horizontal="right" vertical="center"/>
    </xf>
    <xf numFmtId="3" fontId="5" fillId="0" borderId="67" xfId="0" applyNumberFormat="1" applyFont="1" applyFill="1" applyBorder="1" applyAlignment="1">
      <alignment horizontal="right" vertical="center"/>
    </xf>
    <xf numFmtId="3" fontId="5" fillId="0" borderId="43" xfId="0" applyNumberFormat="1" applyFont="1" applyFill="1" applyBorder="1" applyAlignment="1">
      <alignment horizontal="right" vertical="center"/>
    </xf>
    <xf numFmtId="0" fontId="13" fillId="0" borderId="94" xfId="0" applyFont="1" applyBorder="1" applyAlignment="1">
      <alignment horizontal="left" vertical="center" wrapText="1"/>
    </xf>
    <xf numFmtId="0" fontId="13" fillId="0" borderId="95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3" fontId="5" fillId="0" borderId="135" xfId="0" applyNumberFormat="1" applyFont="1" applyBorder="1" applyAlignment="1">
      <alignment horizontal="right" vertical="center"/>
    </xf>
    <xf numFmtId="3" fontId="5" fillId="0" borderId="140" xfId="0" applyNumberFormat="1" applyFont="1" applyBorder="1" applyAlignment="1">
      <alignment horizontal="right" vertical="center"/>
    </xf>
    <xf numFmtId="3" fontId="5" fillId="2" borderId="140" xfId="0" applyNumberFormat="1" applyFont="1" applyFill="1" applyBorder="1" applyAlignment="1">
      <alignment horizontal="right" vertical="center"/>
    </xf>
    <xf numFmtId="3" fontId="5" fillId="2" borderId="127" xfId="0" applyNumberFormat="1" applyFont="1" applyFill="1" applyBorder="1" applyAlignment="1">
      <alignment horizontal="right" vertical="center"/>
    </xf>
    <xf numFmtId="3" fontId="5" fillId="0" borderId="76" xfId="0" applyNumberFormat="1" applyFont="1" applyFill="1" applyBorder="1" applyAlignment="1">
      <alignment horizontal="right" vertical="center"/>
    </xf>
    <xf numFmtId="3" fontId="5" fillId="0" borderId="77" xfId="0" applyNumberFormat="1" applyFont="1" applyFill="1" applyBorder="1" applyAlignment="1">
      <alignment horizontal="right" vertical="center"/>
    </xf>
    <xf numFmtId="3" fontId="5" fillId="0" borderId="77" xfId="0" applyNumberFormat="1" applyFont="1" applyBorder="1" applyAlignment="1">
      <alignment horizontal="right" vertical="center"/>
    </xf>
    <xf numFmtId="3" fontId="5" fillId="2" borderId="112" xfId="0" applyNumberFormat="1" applyFont="1" applyFill="1" applyBorder="1" applyAlignment="1">
      <alignment horizontal="right" vertical="center"/>
    </xf>
    <xf numFmtId="0" fontId="5" fillId="0" borderId="144" xfId="0" applyFont="1" applyBorder="1" applyAlignment="1">
      <alignment horizontal="left" vertical="center" wrapText="1"/>
    </xf>
    <xf numFmtId="0" fontId="5" fillId="0" borderId="123" xfId="0" applyFont="1" applyBorder="1" applyAlignment="1">
      <alignment horizontal="left" vertical="center" wrapText="1"/>
    </xf>
    <xf numFmtId="0" fontId="5" fillId="0" borderId="143" xfId="0" applyFont="1" applyBorder="1" applyAlignment="1">
      <alignment horizontal="left" vertical="center" wrapText="1"/>
    </xf>
    <xf numFmtId="3" fontId="5" fillId="0" borderId="105" xfId="0" applyNumberFormat="1" applyFont="1" applyFill="1" applyBorder="1" applyAlignment="1">
      <alignment horizontal="right" vertical="center"/>
    </xf>
    <xf numFmtId="3" fontId="5" fillId="0" borderId="92" xfId="0" applyNumberFormat="1" applyFont="1" applyFill="1" applyBorder="1" applyAlignment="1">
      <alignment horizontal="right" vertical="center"/>
    </xf>
    <xf numFmtId="3" fontId="5" fillId="0" borderId="93" xfId="0" applyNumberFormat="1" applyFont="1" applyFill="1" applyBorder="1" applyAlignment="1">
      <alignment horizontal="right" vertical="center"/>
    </xf>
    <xf numFmtId="3" fontId="5" fillId="0" borderId="63" xfId="0" applyNumberFormat="1" applyFont="1" applyFill="1" applyBorder="1" applyAlignment="1">
      <alignment horizontal="right" vertical="center"/>
    </xf>
    <xf numFmtId="3" fontId="5" fillId="0" borderId="64" xfId="0" applyNumberFormat="1" applyFont="1" applyFill="1" applyBorder="1" applyAlignment="1">
      <alignment horizontal="right" vertical="center"/>
    </xf>
    <xf numFmtId="3" fontId="5" fillId="0" borderId="76" xfId="0" applyNumberFormat="1" applyFont="1" applyBorder="1" applyAlignment="1">
      <alignment horizontal="right" vertical="center"/>
    </xf>
    <xf numFmtId="3" fontId="5" fillId="2" borderId="77" xfId="0" applyNumberFormat="1" applyFont="1" applyFill="1" applyBorder="1" applyAlignment="1">
      <alignment horizontal="right" vertical="center"/>
    </xf>
    <xf numFmtId="0" fontId="5" fillId="4" borderId="125" xfId="0" applyFont="1" applyFill="1" applyBorder="1" applyAlignment="1">
      <alignment horizontal="left" vertical="center" wrapText="1"/>
    </xf>
    <xf numFmtId="0" fontId="5" fillId="4" borderId="138" xfId="0" applyFont="1" applyFill="1" applyBorder="1" applyAlignment="1">
      <alignment horizontal="left" vertical="center" wrapText="1"/>
    </xf>
    <xf numFmtId="0" fontId="5" fillId="4" borderId="111" xfId="0" applyFont="1" applyFill="1" applyBorder="1" applyAlignment="1">
      <alignment horizontal="left" vertical="center" wrapText="1"/>
    </xf>
    <xf numFmtId="3" fontId="5" fillId="0" borderId="111" xfId="0" applyNumberFormat="1" applyFont="1" applyBorder="1" applyAlignment="1">
      <alignment horizontal="right" vertical="center"/>
    </xf>
    <xf numFmtId="0" fontId="50" fillId="4" borderId="0" xfId="0" applyFont="1" applyFill="1" applyAlignment="1">
      <alignment horizontal="left" vertical="top"/>
    </xf>
    <xf numFmtId="0" fontId="13" fillId="0" borderId="126" xfId="0" applyFont="1" applyBorder="1" applyAlignment="1">
      <alignment horizontal="left" vertical="center"/>
    </xf>
    <xf numFmtId="0" fontId="13" fillId="0" borderId="117" xfId="0" applyFont="1" applyBorder="1" applyAlignment="1">
      <alignment horizontal="left" vertical="center"/>
    </xf>
    <xf numFmtId="0" fontId="13" fillId="0" borderId="114" xfId="0" applyFont="1" applyBorder="1" applyAlignment="1">
      <alignment horizontal="left" vertical="center"/>
    </xf>
    <xf numFmtId="0" fontId="13" fillId="0" borderId="134" xfId="0" applyFont="1" applyBorder="1" applyAlignment="1">
      <alignment horizontal="left" vertical="center" wrapText="1"/>
    </xf>
    <xf numFmtId="3" fontId="13" fillId="0" borderId="134" xfId="0" applyNumberFormat="1" applyFont="1" applyBorder="1" applyAlignment="1">
      <alignment horizontal="right" vertical="center"/>
    </xf>
    <xf numFmtId="3" fontId="13" fillId="0" borderId="132" xfId="0" applyNumberFormat="1" applyFont="1" applyBorder="1" applyAlignment="1">
      <alignment horizontal="right" vertical="center"/>
    </xf>
    <xf numFmtId="0" fontId="5" fillId="0" borderId="105" xfId="0" applyFont="1" applyBorder="1" applyAlignment="1">
      <alignment horizontal="left" vertical="center"/>
    </xf>
    <xf numFmtId="0" fontId="5" fillId="0" borderId="92" xfId="0" applyFont="1" applyBorder="1" applyAlignment="1">
      <alignment horizontal="left" vertical="center"/>
    </xf>
    <xf numFmtId="0" fontId="5" fillId="0" borderId="106" xfId="0" applyFont="1" applyBorder="1" applyAlignment="1">
      <alignment horizontal="left" vertical="center"/>
    </xf>
    <xf numFmtId="0" fontId="13" fillId="0" borderId="105" xfId="0" applyFont="1" applyBorder="1" applyAlignment="1">
      <alignment horizontal="left" vertical="center"/>
    </xf>
    <xf numFmtId="0" fontId="13" fillId="0" borderId="92" xfId="0" applyFont="1" applyBorder="1" applyAlignment="1">
      <alignment horizontal="left" vertical="center"/>
    </xf>
    <xf numFmtId="0" fontId="13" fillId="0" borderId="106" xfId="0" applyFont="1" applyBorder="1" applyAlignment="1">
      <alignment horizontal="left" vertical="center"/>
    </xf>
    <xf numFmtId="0" fontId="13" fillId="0" borderId="125" xfId="0" applyFont="1" applyBorder="1" applyAlignment="1">
      <alignment horizontal="left" vertical="center"/>
    </xf>
    <xf numFmtId="0" fontId="13" fillId="0" borderId="138" xfId="0" applyFont="1" applyBorder="1" applyAlignment="1">
      <alignment horizontal="left" vertical="center"/>
    </xf>
    <xf numFmtId="0" fontId="13" fillId="0" borderId="111" xfId="0" applyFont="1" applyBorder="1" applyAlignment="1">
      <alignment horizontal="left" vertical="center"/>
    </xf>
    <xf numFmtId="0" fontId="5" fillId="4" borderId="37" xfId="0" applyFont="1" applyFill="1" applyBorder="1" applyAlignment="1">
      <alignment horizontal="left" vertical="center" wrapText="1"/>
    </xf>
    <xf numFmtId="3" fontId="5" fillId="4" borderId="37" xfId="0" applyNumberFormat="1" applyFont="1" applyFill="1" applyBorder="1" applyAlignment="1">
      <alignment horizontal="right" vertical="center"/>
    </xf>
    <xf numFmtId="0" fontId="13" fillId="0" borderId="15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4" borderId="37" xfId="0" applyFont="1" applyFill="1" applyBorder="1" applyAlignment="1">
      <alignment horizontal="center" vertical="center"/>
    </xf>
    <xf numFmtId="0" fontId="5" fillId="0" borderId="132" xfId="0" applyFont="1" applyBorder="1" applyAlignment="1">
      <alignment horizontal="left" vertical="center"/>
    </xf>
    <xf numFmtId="0" fontId="5" fillId="4" borderId="134" xfId="0" applyFont="1" applyFill="1" applyBorder="1" applyAlignment="1">
      <alignment horizontal="left" vertical="center"/>
    </xf>
    <xf numFmtId="0" fontId="5" fillId="4" borderId="132" xfId="0" applyFont="1" applyFill="1" applyBorder="1" applyAlignment="1">
      <alignment horizontal="left"/>
    </xf>
    <xf numFmtId="0" fontId="13" fillId="0" borderId="133" xfId="0" applyFont="1" applyBorder="1" applyAlignment="1">
      <alignment horizontal="left" vertical="center"/>
    </xf>
    <xf numFmtId="0" fontId="5" fillId="2" borderId="101" xfId="0" applyFont="1" applyFill="1" applyBorder="1" applyAlignment="1">
      <alignment horizontal="center"/>
    </xf>
    <xf numFmtId="0" fontId="5" fillId="2" borderId="109" xfId="0" applyFont="1" applyFill="1" applyBorder="1" applyAlignment="1">
      <alignment horizontal="center"/>
    </xf>
    <xf numFmtId="0" fontId="13" fillId="0" borderId="94" xfId="0" applyFont="1" applyBorder="1" applyAlignment="1">
      <alignment horizontal="center" vertical="center"/>
    </xf>
    <xf numFmtId="0" fontId="13" fillId="0" borderId="95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5" fillId="0" borderId="96" xfId="0" applyFont="1" applyBorder="1" applyAlignment="1">
      <alignment horizontal="left" vertical="center" wrapText="1"/>
    </xf>
    <xf numFmtId="0" fontId="5" fillId="0" borderId="97" xfId="0" applyFont="1" applyBorder="1" applyAlignment="1">
      <alignment horizontal="left" vertical="center" wrapText="1"/>
    </xf>
    <xf numFmtId="0" fontId="5" fillId="0" borderId="98" xfId="0" applyFont="1" applyBorder="1" applyAlignment="1">
      <alignment horizontal="left" vertical="center" wrapText="1"/>
    </xf>
    <xf numFmtId="3" fontId="13" fillId="0" borderId="132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top" wrapText="1"/>
    </xf>
    <xf numFmtId="0" fontId="13" fillId="4" borderId="94" xfId="0" applyFont="1" applyFill="1" applyBorder="1" applyAlignment="1">
      <alignment horizontal="center" vertical="center"/>
    </xf>
    <xf numFmtId="0" fontId="13" fillId="4" borderId="95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0" fontId="13" fillId="4" borderId="96" xfId="0" applyFont="1" applyFill="1" applyBorder="1" applyAlignment="1">
      <alignment horizontal="center" vertical="center" wrapText="1"/>
    </xf>
    <xf numFmtId="0" fontId="13" fillId="4" borderId="97" xfId="0" applyFont="1" applyFill="1" applyBorder="1" applyAlignment="1">
      <alignment horizontal="center" vertical="center" wrapText="1"/>
    </xf>
    <xf numFmtId="0" fontId="13" fillId="4" borderId="100" xfId="0" applyFont="1" applyFill="1" applyBorder="1" applyAlignment="1">
      <alignment horizontal="center" vertical="center" wrapText="1"/>
    </xf>
    <xf numFmtId="0" fontId="13" fillId="4" borderId="101" xfId="0" applyFont="1" applyFill="1" applyBorder="1" applyAlignment="1">
      <alignment horizontal="center" vertical="center" wrapText="1"/>
    </xf>
    <xf numFmtId="0" fontId="13" fillId="4" borderId="98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96" xfId="0" applyFont="1" applyFill="1" applyBorder="1" applyAlignment="1">
      <alignment horizontal="left" vertical="center" wrapText="1"/>
    </xf>
    <xf numFmtId="0" fontId="13" fillId="4" borderId="97" xfId="0" applyFont="1" applyFill="1" applyBorder="1" applyAlignment="1">
      <alignment horizontal="left" vertical="center" wrapText="1"/>
    </xf>
    <xf numFmtId="0" fontId="13" fillId="4" borderId="98" xfId="0" applyFont="1" applyFill="1" applyBorder="1" applyAlignment="1">
      <alignment horizontal="left" vertical="center" wrapText="1"/>
    </xf>
    <xf numFmtId="3" fontId="13" fillId="4" borderId="132" xfId="0" applyNumberFormat="1" applyFont="1" applyFill="1" applyBorder="1" applyAlignment="1">
      <alignment horizontal="right" vertical="center" wrapText="1"/>
    </xf>
    <xf numFmtId="3" fontId="5" fillId="2" borderId="129" xfId="0" applyNumberFormat="1" applyFont="1" applyFill="1" applyBorder="1" applyAlignment="1">
      <alignment horizontal="right" vertical="center" wrapText="1"/>
    </xf>
    <xf numFmtId="0" fontId="13" fillId="4" borderId="129" xfId="0" applyFont="1" applyFill="1" applyBorder="1" applyAlignment="1">
      <alignment horizontal="left" vertical="center" wrapText="1"/>
    </xf>
    <xf numFmtId="3" fontId="5" fillId="4" borderId="142" xfId="0" applyNumberFormat="1" applyFont="1" applyFill="1" applyBorder="1" applyAlignment="1">
      <alignment horizontal="right" vertical="center" wrapText="1"/>
    </xf>
    <xf numFmtId="3" fontId="5" fillId="2" borderId="105" xfId="0" applyNumberFormat="1" applyFont="1" applyFill="1" applyBorder="1" applyAlignment="1">
      <alignment horizontal="right" vertical="center"/>
    </xf>
    <xf numFmtId="3" fontId="5" fillId="2" borderId="133" xfId="0" applyNumberFormat="1" applyFont="1" applyFill="1" applyBorder="1" applyAlignment="1">
      <alignment horizontal="right" vertical="center" wrapText="1"/>
    </xf>
    <xf numFmtId="3" fontId="5" fillId="2" borderId="100" xfId="0" applyNumberFormat="1" applyFont="1" applyFill="1" applyBorder="1" applyAlignment="1">
      <alignment horizontal="right" vertical="center" wrapText="1"/>
    </xf>
    <xf numFmtId="3" fontId="5" fillId="0" borderId="132" xfId="0" applyNumberFormat="1" applyFont="1" applyFill="1" applyBorder="1" applyAlignment="1">
      <alignment horizontal="right" vertical="center" wrapText="1"/>
    </xf>
    <xf numFmtId="3" fontId="5" fillId="0" borderId="132" xfId="0" applyNumberFormat="1" applyFont="1" applyFill="1" applyBorder="1" applyAlignment="1">
      <alignment horizontal="right" vertical="center"/>
    </xf>
    <xf numFmtId="0" fontId="13" fillId="0" borderId="130" xfId="0" applyFont="1" applyBorder="1" applyAlignment="1">
      <alignment horizontal="left" vertical="center" wrapText="1"/>
    </xf>
    <xf numFmtId="3" fontId="5" fillId="2" borderId="96" xfId="0" applyNumberFormat="1" applyFont="1" applyFill="1" applyBorder="1" applyAlignment="1">
      <alignment horizontal="right" vertical="center"/>
    </xf>
    <xf numFmtId="3" fontId="5" fillId="2" borderId="130" xfId="0" applyNumberFormat="1" applyFont="1" applyFill="1" applyBorder="1" applyAlignment="1">
      <alignment horizontal="right" vertical="center" wrapText="1"/>
    </xf>
    <xf numFmtId="3" fontId="5" fillId="2" borderId="126" xfId="0" applyNumberFormat="1" applyFont="1" applyFill="1" applyBorder="1" applyAlignment="1">
      <alignment horizontal="right" vertical="center" wrapText="1"/>
    </xf>
    <xf numFmtId="0" fontId="5" fillId="0" borderId="94" xfId="0" applyFont="1" applyBorder="1" applyAlignment="1">
      <alignment horizontal="left" vertical="center"/>
    </xf>
    <xf numFmtId="0" fontId="5" fillId="0" borderId="9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4" borderId="134" xfId="0" applyFont="1" applyFill="1" applyBorder="1" applyAlignment="1">
      <alignment horizontal="center"/>
    </xf>
    <xf numFmtId="0" fontId="5" fillId="4" borderId="134" xfId="0" applyFont="1" applyFill="1" applyBorder="1" applyAlignment="1">
      <alignment horizontal="left"/>
    </xf>
    <xf numFmtId="0" fontId="13" fillId="0" borderId="0" xfId="0" applyFont="1" applyBorder="1" applyAlignment="1">
      <alignment horizontal="center"/>
    </xf>
    <xf numFmtId="0" fontId="13" fillId="0" borderId="100" xfId="0" applyFont="1" applyBorder="1" applyAlignment="1">
      <alignment horizontal="left" vertical="center" wrapText="1"/>
    </xf>
    <xf numFmtId="0" fontId="13" fillId="0" borderId="101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4" borderId="133" xfId="0" applyFont="1" applyFill="1" applyBorder="1" applyAlignment="1">
      <alignment horizontal="left"/>
    </xf>
    <xf numFmtId="3" fontId="23" fillId="0" borderId="0" xfId="2" applyNumberFormat="1" applyFont="1" applyAlignment="1">
      <alignment horizontal="left" vertical="center" wrapText="1"/>
    </xf>
    <xf numFmtId="3" fontId="23" fillId="0" borderId="0" xfId="2" applyNumberFormat="1" applyFont="1" applyAlignment="1">
      <alignment vertical="center" wrapText="1"/>
    </xf>
    <xf numFmtId="0" fontId="32" fillId="5" borderId="64" xfId="7" applyFont="1" applyFill="1" applyBorder="1" applyAlignment="1">
      <alignment horizontal="center" vertical="center"/>
    </xf>
    <xf numFmtId="0" fontId="32" fillId="5" borderId="65" xfId="7" applyFont="1" applyFill="1" applyBorder="1" applyAlignment="1">
      <alignment horizontal="center" vertical="center"/>
    </xf>
    <xf numFmtId="0" fontId="32" fillId="5" borderId="43" xfId="7" applyFont="1" applyFill="1" applyBorder="1" applyAlignment="1">
      <alignment horizontal="center" vertical="center"/>
    </xf>
    <xf numFmtId="0" fontId="32" fillId="5" borderId="68" xfId="7" applyFont="1" applyFill="1" applyBorder="1" applyAlignment="1">
      <alignment horizontal="center" vertical="center"/>
    </xf>
    <xf numFmtId="3" fontId="45" fillId="0" borderId="0" xfId="7" applyNumberFormat="1" applyFont="1" applyFill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79" xfId="0" applyFont="1" applyBorder="1" applyAlignment="1">
      <alignment horizontal="center"/>
    </xf>
    <xf numFmtId="0" fontId="13" fillId="0" borderId="81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 wrapText="1"/>
    </xf>
    <xf numFmtId="0" fontId="12" fillId="0" borderId="79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81" xfId="0" applyFont="1" applyBorder="1" applyAlignment="1">
      <alignment horizontal="center"/>
    </xf>
    <xf numFmtId="0" fontId="13" fillId="0" borderId="2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2" fillId="0" borderId="86" xfId="0" applyFont="1" applyBorder="1" applyAlignment="1">
      <alignment horizontal="center"/>
    </xf>
    <xf numFmtId="0" fontId="12" fillId="0" borderId="51" xfId="0" applyFont="1" applyBorder="1" applyAlignment="1">
      <alignment horizontal="center"/>
    </xf>
    <xf numFmtId="0" fontId="12" fillId="0" borderId="85" xfId="0" applyFont="1" applyBorder="1" applyAlignment="1">
      <alignment horizontal="center"/>
    </xf>
    <xf numFmtId="0" fontId="13" fillId="0" borderId="2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46" fillId="0" borderId="86" xfId="0" applyNumberFormat="1" applyFont="1" applyBorder="1" applyAlignment="1">
      <alignment horizontal="center"/>
    </xf>
    <xf numFmtId="0" fontId="47" fillId="0" borderId="85" xfId="0" applyNumberFormat="1" applyFont="1" applyBorder="1" applyAlignment="1">
      <alignment horizontal="center"/>
    </xf>
    <xf numFmtId="0" fontId="12" fillId="0" borderId="88" xfId="0" applyFont="1" applyBorder="1" applyAlignment="1">
      <alignment horizontal="center"/>
    </xf>
    <xf numFmtId="0" fontId="12" fillId="0" borderId="89" xfId="0" applyFont="1" applyBorder="1" applyAlignment="1">
      <alignment horizontal="center"/>
    </xf>
    <xf numFmtId="0" fontId="14" fillId="0" borderId="1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14" fillId="0" borderId="28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3" fillId="0" borderId="19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56" fillId="0" borderId="108" xfId="8" applyFont="1" applyFill="1" applyBorder="1" applyAlignment="1">
      <alignment horizontal="center" vertical="top" wrapText="1"/>
    </xf>
    <xf numFmtId="0" fontId="56" fillId="0" borderId="97" xfId="8" applyFont="1" applyFill="1" applyBorder="1" applyAlignment="1">
      <alignment horizontal="center" vertical="top" wrapText="1"/>
    </xf>
    <xf numFmtId="0" fontId="56" fillId="0" borderId="98" xfId="8" applyFont="1" applyFill="1" applyBorder="1" applyAlignment="1">
      <alignment horizontal="center" vertical="top" wrapText="1"/>
    </xf>
    <xf numFmtId="0" fontId="56" fillId="0" borderId="79" xfId="8" applyFont="1" applyFill="1" applyBorder="1" applyAlignment="1">
      <alignment horizontal="center" vertical="top" wrapText="1"/>
    </xf>
    <xf numFmtId="0" fontId="56" fillId="0" borderId="0" xfId="8" applyFont="1" applyFill="1" applyBorder="1" applyAlignment="1">
      <alignment horizontal="center" vertical="top" wrapText="1"/>
    </xf>
    <xf numFmtId="0" fontId="56" fillId="0" borderId="29" xfId="8" applyFont="1" applyFill="1" applyBorder="1" applyAlignment="1">
      <alignment horizontal="center" vertical="top" wrapText="1"/>
    </xf>
    <xf numFmtId="0" fontId="56" fillId="0" borderId="107" xfId="8" applyFont="1" applyFill="1" applyBorder="1" applyAlignment="1">
      <alignment horizontal="center" vertical="top" wrapText="1"/>
    </xf>
    <xf numFmtId="0" fontId="56" fillId="0" borderId="81" xfId="8" applyFont="1" applyFill="1" applyBorder="1" applyAlignment="1">
      <alignment horizontal="center" vertical="top" wrapText="1"/>
    </xf>
    <xf numFmtId="171" fontId="68" fillId="0" borderId="91" xfId="8" applyNumberFormat="1" applyFont="1" applyFill="1" applyBorder="1" applyAlignment="1">
      <alignment horizontal="right" vertical="center"/>
    </xf>
    <xf numFmtId="171" fontId="68" fillId="0" borderId="92" xfId="8" applyNumberFormat="1" applyFont="1" applyFill="1" applyBorder="1" applyAlignment="1">
      <alignment horizontal="right" vertical="center"/>
    </xf>
    <xf numFmtId="171" fontId="68" fillId="0" borderId="106" xfId="8" applyNumberFormat="1" applyFont="1" applyFill="1" applyBorder="1" applyAlignment="1">
      <alignment horizontal="right" vertical="center"/>
    </xf>
    <xf numFmtId="171" fontId="68" fillId="0" borderId="93" xfId="8" applyNumberFormat="1" applyFont="1" applyFill="1" applyBorder="1" applyAlignment="1">
      <alignment horizontal="right" vertical="center"/>
    </xf>
    <xf numFmtId="171" fontId="68" fillId="0" borderId="43" xfId="8" applyNumberFormat="1" applyFont="1" applyFill="1" applyBorder="1" applyAlignment="1">
      <alignment horizontal="right" vertical="center"/>
    </xf>
    <xf numFmtId="0" fontId="70" fillId="0" borderId="91" xfId="8" applyFont="1" applyFill="1" applyBorder="1" applyAlignment="1">
      <alignment horizontal="center" vertical="center" wrapText="1"/>
    </xf>
    <xf numFmtId="0" fontId="70" fillId="0" borderId="106" xfId="8" applyFont="1" applyFill="1" applyBorder="1" applyAlignment="1">
      <alignment horizontal="center" vertical="center" wrapText="1"/>
    </xf>
    <xf numFmtId="0" fontId="70" fillId="0" borderId="88" xfId="8" applyFont="1" applyFill="1" applyBorder="1" applyAlignment="1">
      <alignment horizontal="center" vertical="center" wrapText="1"/>
    </xf>
    <xf numFmtId="0" fontId="70" fillId="0" borderId="103" xfId="8" applyFont="1" applyFill="1" applyBorder="1" applyAlignment="1">
      <alignment horizontal="center" vertical="center" wrapText="1"/>
    </xf>
    <xf numFmtId="0" fontId="70" fillId="0" borderId="89" xfId="8" applyFont="1" applyFill="1" applyBorder="1" applyAlignment="1">
      <alignment horizontal="center" vertical="center" wrapText="1"/>
    </xf>
    <xf numFmtId="0" fontId="70" fillId="0" borderId="91" xfId="8" applyFont="1" applyFill="1" applyBorder="1" applyAlignment="1">
      <alignment horizontal="center" wrapText="1"/>
    </xf>
    <xf numFmtId="0" fontId="70" fillId="0" borderId="93" xfId="8" applyFont="1" applyFill="1" applyBorder="1" applyAlignment="1">
      <alignment horizontal="center" wrapText="1"/>
    </xf>
    <xf numFmtId="0" fontId="70" fillId="0" borderId="88" xfId="8" applyFont="1" applyFill="1" applyBorder="1" applyAlignment="1">
      <alignment horizontal="center" wrapText="1"/>
    </xf>
    <xf numFmtId="0" fontId="70" fillId="0" borderId="89" xfId="8" applyFont="1" applyFill="1" applyBorder="1" applyAlignment="1">
      <alignment horizontal="center" wrapText="1"/>
    </xf>
    <xf numFmtId="0" fontId="70" fillId="0" borderId="79" xfId="8" applyFont="1" applyFill="1" applyBorder="1" applyAlignment="1">
      <alignment horizontal="center" vertical="center" wrapText="1"/>
    </xf>
    <xf numFmtId="0" fontId="70" fillId="0" borderId="29" xfId="8" applyFont="1" applyFill="1" applyBorder="1" applyAlignment="1">
      <alignment horizontal="center" vertical="center" wrapText="1"/>
    </xf>
    <xf numFmtId="0" fontId="70" fillId="0" borderId="104" xfId="8" applyFont="1" applyFill="1" applyBorder="1" applyAlignment="1">
      <alignment horizontal="center" vertical="center" wrapText="1"/>
    </xf>
    <xf numFmtId="0" fontId="70" fillId="0" borderId="108" xfId="8" applyFont="1" applyFill="1" applyBorder="1" applyAlignment="1">
      <alignment horizontal="center" vertical="center" wrapText="1"/>
    </xf>
    <xf numFmtId="0" fontId="70" fillId="0" borderId="98" xfId="8" applyFont="1" applyFill="1" applyBorder="1" applyAlignment="1">
      <alignment horizontal="center" vertical="center" wrapText="1"/>
    </xf>
    <xf numFmtId="0" fontId="70" fillId="0" borderId="115" xfId="8" applyFont="1" applyFill="1" applyBorder="1" applyAlignment="1">
      <alignment horizontal="center" vertical="center" wrapText="1"/>
    </xf>
    <xf numFmtId="0" fontId="70" fillId="0" borderId="117" xfId="8" applyFont="1" applyFill="1" applyBorder="1" applyAlignment="1">
      <alignment horizontal="center" vertical="center" wrapText="1"/>
    </xf>
    <xf numFmtId="0" fontId="70" fillId="0" borderId="116" xfId="8" applyFont="1" applyFill="1" applyBorder="1" applyAlignment="1">
      <alignment horizontal="center" vertical="center" wrapText="1"/>
    </xf>
    <xf numFmtId="0" fontId="70" fillId="0" borderId="43" xfId="8" applyFont="1" applyFill="1" applyBorder="1" applyAlignment="1">
      <alignment horizontal="center" vertical="center" wrapText="1"/>
    </xf>
    <xf numFmtId="1" fontId="70" fillId="0" borderId="43" xfId="8" applyNumberFormat="1" applyFont="1" applyFill="1" applyBorder="1" applyAlignment="1">
      <alignment horizontal="center" vertical="center"/>
    </xf>
    <xf numFmtId="0" fontId="69" fillId="0" borderId="43" xfId="8" applyFont="1" applyFill="1" applyBorder="1" applyAlignment="1">
      <alignment horizontal="left" vertical="top" wrapText="1"/>
    </xf>
    <xf numFmtId="0" fontId="21" fillId="0" borderId="43" xfId="8" applyFont="1" applyFill="1" applyBorder="1" applyAlignment="1">
      <alignment horizontal="left" vertical="top" wrapText="1"/>
    </xf>
    <xf numFmtId="0" fontId="70" fillId="0" borderId="43" xfId="8" applyFont="1" applyFill="1" applyBorder="1" applyAlignment="1">
      <alignment horizontal="left" vertical="top" wrapText="1"/>
    </xf>
    <xf numFmtId="0" fontId="21" fillId="0" borderId="43" xfId="8" applyFill="1" applyBorder="1" applyAlignment="1">
      <alignment horizontal="left" vertical="top" wrapText="1"/>
    </xf>
    <xf numFmtId="0" fontId="21" fillId="0" borderId="117" xfId="8" applyFill="1" applyBorder="1" applyAlignment="1">
      <alignment horizontal="center" vertical="center" wrapText="1"/>
    </xf>
    <xf numFmtId="0" fontId="21" fillId="0" borderId="116" xfId="8" applyFill="1" applyBorder="1" applyAlignment="1">
      <alignment horizontal="center" vertical="center" wrapText="1"/>
    </xf>
    <xf numFmtId="0" fontId="70" fillId="0" borderId="79" xfId="8" applyFont="1" applyFill="1" applyBorder="1" applyAlignment="1">
      <alignment horizontal="center" wrapText="1"/>
    </xf>
    <xf numFmtId="0" fontId="70" fillId="0" borderId="81" xfId="8" applyFont="1" applyFill="1" applyBorder="1" applyAlignment="1">
      <alignment horizontal="center" wrapText="1"/>
    </xf>
    <xf numFmtId="0" fontId="69" fillId="0" borderId="77" xfId="8" applyFont="1" applyFill="1" applyBorder="1" applyAlignment="1">
      <alignment horizontal="left" vertical="top" wrapText="1"/>
    </xf>
    <xf numFmtId="0" fontId="21" fillId="0" borderId="77" xfId="8" applyFont="1" applyFill="1" applyBorder="1" applyAlignment="1">
      <alignment horizontal="left" vertical="top" wrapText="1"/>
    </xf>
    <xf numFmtId="49" fontId="69" fillId="0" borderId="43" xfId="8" applyNumberFormat="1" applyFont="1" applyFill="1" applyBorder="1" applyAlignment="1">
      <alignment horizontal="center" vertical="top"/>
    </xf>
    <xf numFmtId="0" fontId="70" fillId="0" borderId="77" xfId="8" applyFont="1" applyFill="1" applyBorder="1" applyAlignment="1">
      <alignment horizontal="left" vertical="top" wrapText="1"/>
    </xf>
    <xf numFmtId="0" fontId="21" fillId="0" borderId="77" xfId="8" applyFill="1" applyBorder="1" applyAlignment="1">
      <alignment horizontal="left" vertical="top" wrapText="1"/>
    </xf>
    <xf numFmtId="0" fontId="70" fillId="0" borderId="119" xfId="8" applyFont="1" applyFill="1" applyBorder="1" applyAlignment="1">
      <alignment horizontal="center" vertical="center" wrapText="1"/>
    </xf>
    <xf numFmtId="1" fontId="70" fillId="0" borderId="120" xfId="8" applyNumberFormat="1" applyFont="1" applyFill="1" applyBorder="1" applyAlignment="1">
      <alignment horizontal="center" vertical="center"/>
    </xf>
    <xf numFmtId="0" fontId="69" fillId="0" borderId="67" xfId="8" applyFont="1" applyFill="1" applyBorder="1" applyAlignment="1">
      <alignment horizontal="right" vertical="top" wrapText="1"/>
    </xf>
    <xf numFmtId="0" fontId="69" fillId="0" borderId="67" xfId="8" quotePrefix="1" applyFont="1" applyFill="1" applyBorder="1" applyAlignment="1">
      <alignment horizontal="left" vertical="top" wrapText="1"/>
    </xf>
    <xf numFmtId="0" fontId="69" fillId="0" borderId="67" xfId="8" applyFont="1" applyFill="1" applyBorder="1"/>
    <xf numFmtId="49" fontId="69" fillId="0" borderId="120" xfId="8" applyNumberFormat="1" applyFont="1" applyFill="1" applyBorder="1" applyAlignment="1">
      <alignment horizontal="center" vertical="top"/>
    </xf>
    <xf numFmtId="49" fontId="69" fillId="0" borderId="73" xfId="8" applyNumberFormat="1" applyFont="1" applyFill="1" applyBorder="1" applyAlignment="1">
      <alignment horizontal="center" vertical="top"/>
    </xf>
    <xf numFmtId="0" fontId="70" fillId="0" borderId="67" xfId="8" applyFont="1" applyFill="1" applyBorder="1" applyAlignment="1">
      <alignment horizontal="left" vertical="top" wrapText="1"/>
    </xf>
    <xf numFmtId="0" fontId="70" fillId="0" borderId="43" xfId="8" quotePrefix="1" applyFont="1" applyFill="1" applyBorder="1" applyAlignment="1">
      <alignment horizontal="left" vertical="top" wrapText="1"/>
    </xf>
    <xf numFmtId="49" fontId="70" fillId="0" borderId="43" xfId="8" applyNumberFormat="1" applyFont="1" applyFill="1" applyBorder="1" applyAlignment="1">
      <alignment horizontal="center" vertical="top"/>
    </xf>
    <xf numFmtId="0" fontId="71" fillId="0" borderId="63" xfId="8" applyFont="1" applyFill="1" applyBorder="1" applyAlignment="1">
      <alignment horizontal="center" vertical="center" wrapText="1"/>
    </xf>
    <xf numFmtId="0" fontId="71" fillId="0" borderId="67" xfId="8" applyFont="1" applyFill="1" applyBorder="1" applyAlignment="1">
      <alignment horizontal="center" vertical="center" wrapText="1"/>
    </xf>
    <xf numFmtId="0" fontId="70" fillId="0" borderId="64" xfId="8" applyFont="1" applyFill="1" applyBorder="1" applyAlignment="1">
      <alignment horizontal="center" vertical="center" wrapText="1"/>
    </xf>
    <xf numFmtId="0" fontId="70" fillId="0" borderId="67" xfId="8" applyFont="1" applyFill="1" applyBorder="1" applyAlignment="1">
      <alignment horizontal="left" vertical="center"/>
    </xf>
    <xf numFmtId="0" fontId="71" fillId="0" borderId="64" xfId="8" applyFont="1" applyFill="1" applyBorder="1" applyAlignment="1">
      <alignment horizontal="center" vertical="center" wrapText="1"/>
    </xf>
    <xf numFmtId="0" fontId="71" fillId="0" borderId="43" xfId="8" applyFont="1" applyFill="1" applyBorder="1" applyAlignment="1">
      <alignment horizontal="center" vertical="center" wrapText="1"/>
    </xf>
    <xf numFmtId="0" fontId="70" fillId="0" borderId="67" xfId="8" quotePrefix="1" applyFont="1" applyFill="1" applyBorder="1" applyAlignment="1">
      <alignment horizontal="left" vertical="top" wrapText="1"/>
    </xf>
    <xf numFmtId="49" fontId="70" fillId="0" borderId="120" xfId="8" applyNumberFormat="1" applyFont="1" applyFill="1" applyBorder="1" applyAlignment="1">
      <alignment horizontal="center" vertical="top"/>
    </xf>
    <xf numFmtId="49" fontId="70" fillId="0" borderId="73" xfId="8" applyNumberFormat="1" applyFont="1" applyFill="1" applyBorder="1" applyAlignment="1">
      <alignment horizontal="center" vertical="top"/>
    </xf>
    <xf numFmtId="0" fontId="69" fillId="0" borderId="67" xfId="8" applyFont="1" applyFill="1" applyBorder="1" applyAlignment="1">
      <alignment horizontal="left" vertical="top" wrapText="1"/>
    </xf>
    <xf numFmtId="0" fontId="69" fillId="0" borderId="67" xfId="8" quotePrefix="1" applyFont="1" applyFill="1" applyBorder="1" applyAlignment="1">
      <alignment horizontal="center" vertical="top" wrapText="1"/>
    </xf>
    <xf numFmtId="0" fontId="70" fillId="0" borderId="73" xfId="8" applyFont="1" applyFill="1" applyBorder="1" applyAlignment="1">
      <alignment horizontal="center" vertical="center" wrapText="1"/>
    </xf>
    <xf numFmtId="0" fontId="71" fillId="0" borderId="72" xfId="8" applyFont="1" applyFill="1" applyBorder="1" applyAlignment="1">
      <alignment horizontal="center" vertical="center" wrapText="1"/>
    </xf>
    <xf numFmtId="0" fontId="71" fillId="0" borderId="121" xfId="8" applyFont="1" applyFill="1" applyBorder="1" applyAlignment="1">
      <alignment horizontal="center" vertical="center" wrapText="1"/>
    </xf>
    <xf numFmtId="0" fontId="70" fillId="0" borderId="120" xfId="8" applyFont="1" applyFill="1" applyBorder="1" applyAlignment="1">
      <alignment horizontal="center" vertical="center" wrapText="1"/>
    </xf>
    <xf numFmtId="0" fontId="69" fillId="0" borderId="67" xfId="8" applyFont="1" applyFill="1" applyBorder="1" applyAlignment="1">
      <alignment horizontal="center" vertical="top" wrapText="1"/>
    </xf>
    <xf numFmtId="0" fontId="70" fillId="0" borderId="67" xfId="8" quotePrefix="1" applyFont="1" applyFill="1" applyBorder="1" applyAlignment="1">
      <alignment horizontal="right" vertical="top" wrapText="1"/>
    </xf>
    <xf numFmtId="0" fontId="70" fillId="0" borderId="67" xfId="8" applyFont="1" applyFill="1" applyBorder="1" applyAlignment="1">
      <alignment horizontal="right" vertical="top" wrapText="1"/>
    </xf>
    <xf numFmtId="0" fontId="71" fillId="0" borderId="73" xfId="8" applyFont="1" applyFill="1" applyBorder="1" applyAlignment="1">
      <alignment horizontal="center" vertical="center" wrapText="1"/>
    </xf>
    <xf numFmtId="0" fontId="70" fillId="0" borderId="73" xfId="8" quotePrefix="1" applyFont="1" applyFill="1" applyBorder="1" applyAlignment="1">
      <alignment horizontal="left" vertical="top" wrapText="1"/>
    </xf>
    <xf numFmtId="0" fontId="70" fillId="0" borderId="72" xfId="8" quotePrefix="1" applyFont="1" applyFill="1" applyBorder="1" applyAlignment="1">
      <alignment horizontal="right" vertical="top" wrapText="1"/>
    </xf>
    <xf numFmtId="0" fontId="69" fillId="0" borderId="72" xfId="8" applyFont="1" applyFill="1" applyBorder="1" applyAlignment="1">
      <alignment horizontal="right" vertical="top" wrapText="1"/>
    </xf>
    <xf numFmtId="0" fontId="69" fillId="0" borderId="73" xfId="8" applyFont="1" applyFill="1" applyBorder="1" applyAlignment="1">
      <alignment horizontal="left" vertical="top" wrapText="1"/>
    </xf>
    <xf numFmtId="0" fontId="70" fillId="0" borderId="114" xfId="8" applyFont="1" applyFill="1" applyBorder="1" applyAlignment="1">
      <alignment horizontal="center" vertical="center" wrapText="1"/>
    </xf>
    <xf numFmtId="0" fontId="54" fillId="0" borderId="0" xfId="8" applyFont="1" applyFill="1" applyAlignment="1">
      <alignment horizontal="center" vertical="center" wrapText="1"/>
    </xf>
    <xf numFmtId="0" fontId="54" fillId="0" borderId="101" xfId="8" applyFont="1" applyFill="1" applyBorder="1" applyAlignment="1">
      <alignment horizontal="center" vertical="center" wrapText="1"/>
    </xf>
    <xf numFmtId="0" fontId="70" fillId="0" borderId="65" xfId="8" applyFont="1" applyFill="1" applyBorder="1" applyAlignment="1">
      <alignment horizontal="center" vertical="center" wrapText="1"/>
    </xf>
    <xf numFmtId="0" fontId="21" fillId="0" borderId="0" xfId="8" applyFill="1" applyAlignment="1">
      <alignment vertical="center"/>
    </xf>
    <xf numFmtId="0" fontId="54" fillId="0" borderId="0" xfId="8" applyFont="1" applyFill="1" applyBorder="1" applyAlignment="1">
      <alignment horizontal="center" vertical="center" wrapText="1"/>
    </xf>
    <xf numFmtId="0" fontId="21" fillId="0" borderId="0" xfId="8" applyFill="1" applyBorder="1" applyAlignment="1">
      <alignment vertical="center"/>
    </xf>
    <xf numFmtId="0" fontId="53" fillId="0" borderId="94" xfId="8" applyFont="1" applyFill="1" applyBorder="1" applyAlignment="1">
      <alignment vertical="center"/>
    </xf>
    <xf numFmtId="0" fontId="53" fillId="0" borderId="95" xfId="8" applyFont="1" applyFill="1" applyBorder="1" applyAlignment="1">
      <alignment vertical="center"/>
    </xf>
    <xf numFmtId="0" fontId="56" fillId="0" borderId="144" xfId="8" applyFont="1" applyFill="1" applyBorder="1" applyAlignment="1">
      <alignment horizontal="left" wrapText="1"/>
    </xf>
    <xf numFmtId="0" fontId="56" fillId="0" borderId="123" xfId="8" applyFont="1" applyFill="1" applyBorder="1" applyAlignment="1">
      <alignment horizontal="left" wrapText="1"/>
    </xf>
    <xf numFmtId="0" fontId="56" fillId="0" borderId="99" xfId="8" applyFont="1" applyFill="1" applyBorder="1" applyAlignment="1">
      <alignment horizontal="left" wrapText="1"/>
    </xf>
    <xf numFmtId="0" fontId="56" fillId="0" borderId="0" xfId="8" applyFont="1" applyFill="1" applyBorder="1" applyAlignment="1">
      <alignment horizontal="left" wrapText="1"/>
    </xf>
    <xf numFmtId="0" fontId="56" fillId="0" borderId="100" xfId="8" applyFont="1" applyFill="1" applyBorder="1" applyAlignment="1">
      <alignment horizontal="left" wrapText="1"/>
    </xf>
    <xf numFmtId="0" fontId="56" fillId="0" borderId="101" xfId="8" applyFont="1" applyFill="1" applyBorder="1" applyAlignment="1">
      <alignment horizontal="left" wrapText="1"/>
    </xf>
    <xf numFmtId="0" fontId="56" fillId="0" borderId="91" xfId="8" applyFont="1" applyFill="1" applyBorder="1" applyAlignment="1">
      <alignment horizontal="center" vertical="center"/>
    </xf>
    <xf numFmtId="0" fontId="56" fillId="0" borderId="93" xfId="8" applyFont="1" applyFill="1" applyBorder="1" applyAlignment="1">
      <alignment horizontal="center" vertical="center"/>
    </xf>
    <xf numFmtId="0" fontId="68" fillId="0" borderId="91" xfId="8" applyFont="1" applyFill="1" applyBorder="1" applyAlignment="1">
      <alignment horizontal="left" vertical="center"/>
    </xf>
    <xf numFmtId="0" fontId="21" fillId="0" borderId="92" xfId="8" applyBorder="1" applyAlignment="1">
      <alignment horizontal="left" vertical="center"/>
    </xf>
    <xf numFmtId="0" fontId="21" fillId="0" borderId="93" xfId="8" applyBorder="1" applyAlignment="1">
      <alignment horizontal="left" vertical="center"/>
    </xf>
    <xf numFmtId="0" fontId="71" fillId="0" borderId="128" xfId="8" applyFont="1" applyFill="1" applyBorder="1" applyAlignment="1">
      <alignment horizontal="center" vertical="center" wrapText="1"/>
    </xf>
    <xf numFmtId="0" fontId="71" fillId="0" borderId="147" xfId="8" applyFont="1" applyFill="1" applyBorder="1" applyAlignment="1">
      <alignment horizontal="center" vertical="center" wrapText="1"/>
    </xf>
    <xf numFmtId="0" fontId="70" fillId="0" borderId="139" xfId="8" applyFont="1" applyFill="1" applyBorder="1" applyAlignment="1">
      <alignment horizontal="center" vertical="center" wrapText="1"/>
    </xf>
    <xf numFmtId="0" fontId="70" fillId="0" borderId="80" xfId="8" applyFont="1" applyFill="1" applyBorder="1" applyAlignment="1">
      <alignment horizontal="center" vertical="center" wrapText="1"/>
    </xf>
    <xf numFmtId="0" fontId="71" fillId="0" borderId="139" xfId="8" applyFont="1" applyFill="1" applyBorder="1" applyAlignment="1">
      <alignment horizontal="center" vertical="center" wrapText="1"/>
    </xf>
    <xf numFmtId="0" fontId="71" fillId="0" borderId="80" xfId="8" applyFont="1" applyFill="1" applyBorder="1" applyAlignment="1">
      <alignment horizontal="center" vertical="center" wrapText="1"/>
    </xf>
    <xf numFmtId="1" fontId="70" fillId="0" borderId="73" xfId="8" applyNumberFormat="1" applyFont="1" applyFill="1" applyBorder="1" applyAlignment="1">
      <alignment horizontal="center" vertical="center"/>
    </xf>
    <xf numFmtId="0" fontId="70" fillId="0" borderId="93" xfId="8" applyFont="1" applyFill="1" applyBorder="1" applyAlignment="1">
      <alignment horizontal="center" vertical="center" wrapText="1"/>
    </xf>
    <xf numFmtId="0" fontId="70" fillId="0" borderId="121" xfId="8" applyFont="1" applyFill="1" applyBorder="1" applyAlignment="1">
      <alignment horizontal="left" vertical="center"/>
    </xf>
    <xf numFmtId="0" fontId="70" fillId="0" borderId="72" xfId="8" applyFont="1" applyFill="1" applyBorder="1" applyAlignment="1">
      <alignment horizontal="left" vertical="center"/>
    </xf>
    <xf numFmtId="0" fontId="70" fillId="0" borderId="73" xfId="8" applyFont="1" applyFill="1" applyBorder="1" applyAlignment="1">
      <alignment horizontal="left" vertical="top" wrapText="1"/>
    </xf>
    <xf numFmtId="0" fontId="70" fillId="0" borderId="121" xfId="8" applyFont="1" applyFill="1" applyBorder="1" applyAlignment="1">
      <alignment horizontal="left" vertical="top" wrapText="1"/>
    </xf>
    <xf numFmtId="0" fontId="70" fillId="0" borderId="72" xfId="8" applyFont="1" applyFill="1" applyBorder="1" applyAlignment="1">
      <alignment horizontal="left" vertical="top" wrapText="1"/>
    </xf>
    <xf numFmtId="0" fontId="69" fillId="0" borderId="121" xfId="8" applyFont="1" applyFill="1" applyBorder="1" applyAlignment="1">
      <alignment horizontal="right" vertical="top" wrapText="1"/>
    </xf>
    <xf numFmtId="0" fontId="69" fillId="0" borderId="121" xfId="8" quotePrefix="1" applyFont="1" applyFill="1" applyBorder="1" applyAlignment="1">
      <alignment horizontal="left" vertical="top" wrapText="1"/>
    </xf>
    <xf numFmtId="0" fontId="69" fillId="0" borderId="72" xfId="8" quotePrefix="1" applyFont="1" applyFill="1" applyBorder="1" applyAlignment="1">
      <alignment horizontal="left" vertical="top" wrapText="1"/>
    </xf>
    <xf numFmtId="0" fontId="70" fillId="0" borderId="121" xfId="8" quotePrefix="1" applyFont="1" applyFill="1" applyBorder="1" applyAlignment="1">
      <alignment horizontal="left" vertical="top" wrapText="1"/>
    </xf>
    <xf numFmtId="0" fontId="70" fillId="0" borderId="72" xfId="8" quotePrefix="1" applyFont="1" applyFill="1" applyBorder="1" applyAlignment="1">
      <alignment horizontal="left" vertical="top" wrapText="1"/>
    </xf>
    <xf numFmtId="171" fontId="68" fillId="0" borderId="119" xfId="8" applyNumberFormat="1" applyFont="1" applyFill="1" applyBorder="1" applyAlignment="1">
      <alignment horizontal="right" vertical="center"/>
    </xf>
    <xf numFmtId="171" fontId="68" fillId="0" borderId="123" xfId="8" applyNumberFormat="1" applyFont="1" applyFill="1" applyBorder="1" applyAlignment="1">
      <alignment horizontal="right" vertical="center"/>
    </xf>
    <xf numFmtId="171" fontId="68" fillId="0" borderId="122" xfId="8" applyNumberFormat="1" applyFont="1" applyFill="1" applyBorder="1" applyAlignment="1">
      <alignment horizontal="right" vertical="center"/>
    </xf>
    <xf numFmtId="171" fontId="68" fillId="0" borderId="73" xfId="8" applyNumberFormat="1" applyFont="1" applyFill="1" applyBorder="1" applyAlignment="1">
      <alignment horizontal="right" vertical="center"/>
    </xf>
    <xf numFmtId="171" fontId="68" fillId="0" borderId="88" xfId="8" applyNumberFormat="1" applyFont="1" applyFill="1" applyBorder="1" applyAlignment="1">
      <alignment horizontal="right" vertical="center"/>
    </xf>
    <xf numFmtId="171" fontId="68" fillId="0" borderId="103" xfId="8" applyNumberFormat="1" applyFont="1" applyFill="1" applyBorder="1" applyAlignment="1">
      <alignment horizontal="right" vertical="center"/>
    </xf>
    <xf numFmtId="171" fontId="68" fillId="0" borderId="89" xfId="8" applyNumberFormat="1" applyFont="1" applyFill="1" applyBorder="1" applyAlignment="1">
      <alignment horizontal="right" vertical="center"/>
    </xf>
    <xf numFmtId="0" fontId="69" fillId="0" borderId="121" xfId="8" quotePrefix="1" applyFont="1" applyFill="1" applyBorder="1" applyAlignment="1">
      <alignment horizontal="center" vertical="top" wrapText="1"/>
    </xf>
    <xf numFmtId="0" fontId="69" fillId="0" borderId="72" xfId="8" quotePrefix="1" applyFont="1" applyFill="1" applyBorder="1" applyAlignment="1">
      <alignment horizontal="center" vertical="top" wrapText="1"/>
    </xf>
    <xf numFmtId="0" fontId="69" fillId="0" borderId="120" xfId="8" applyFont="1" applyFill="1" applyBorder="1" applyAlignment="1">
      <alignment horizontal="left" vertical="top" wrapText="1"/>
    </xf>
    <xf numFmtId="0" fontId="69" fillId="0" borderId="80" xfId="8" applyFont="1" applyFill="1" applyBorder="1" applyAlignment="1">
      <alignment horizontal="left" vertical="top" wrapText="1"/>
    </xf>
    <xf numFmtId="0" fontId="70" fillId="0" borderId="121" xfId="8" quotePrefix="1" applyFont="1" applyFill="1" applyBorder="1" applyAlignment="1">
      <alignment horizontal="right" vertical="top" wrapText="1"/>
    </xf>
    <xf numFmtId="0" fontId="69" fillId="0" borderId="121" xfId="8" applyFont="1" applyFill="1" applyBorder="1" applyAlignment="1">
      <alignment horizontal="center" vertical="top" wrapText="1"/>
    </xf>
    <xf numFmtId="0" fontId="69" fillId="0" borderId="72" xfId="8" applyFont="1" applyFill="1" applyBorder="1" applyAlignment="1">
      <alignment horizontal="center" vertical="top" wrapText="1"/>
    </xf>
    <xf numFmtId="0" fontId="69" fillId="0" borderId="121" xfId="8" applyFont="1" applyFill="1" applyBorder="1" applyAlignment="1">
      <alignment horizontal="left" vertical="top" wrapText="1"/>
    </xf>
    <xf numFmtId="0" fontId="69" fillId="0" borderId="72" xfId="8" applyFont="1" applyFill="1" applyBorder="1" applyAlignment="1">
      <alignment horizontal="left" vertical="top" wrapText="1"/>
    </xf>
    <xf numFmtId="0" fontId="69" fillId="0" borderId="43" xfId="8" quotePrefix="1" applyFont="1" applyFill="1" applyBorder="1" applyAlignment="1">
      <alignment horizontal="left" vertical="top" wrapText="1"/>
    </xf>
    <xf numFmtId="0" fontId="70" fillId="0" borderId="88" xfId="8" applyFont="1" applyFill="1" applyBorder="1" applyAlignment="1">
      <alignment horizontal="center" vertical="top" wrapText="1"/>
    </xf>
    <xf numFmtId="0" fontId="70" fillId="0" borderId="103" xfId="8" applyFont="1" applyFill="1" applyBorder="1" applyAlignment="1">
      <alignment horizontal="center" vertical="top" wrapText="1"/>
    </xf>
    <xf numFmtId="0" fontId="70" fillId="0" borderId="89" xfId="8" applyFont="1" applyFill="1" applyBorder="1" applyAlignment="1">
      <alignment horizontal="center" vertical="top" wrapText="1"/>
    </xf>
    <xf numFmtId="0" fontId="70" fillId="0" borderId="91" xfId="8" applyFont="1" applyFill="1" applyBorder="1" applyAlignment="1">
      <alignment horizontal="left" vertical="top" wrapText="1"/>
    </xf>
    <xf numFmtId="0" fontId="70" fillId="0" borderId="92" xfId="8" applyFont="1" applyFill="1" applyBorder="1" applyAlignment="1">
      <alignment horizontal="left" vertical="top" wrapText="1"/>
    </xf>
    <xf numFmtId="0" fontId="70" fillId="0" borderId="93" xfId="8" applyFont="1" applyFill="1" applyBorder="1" applyAlignment="1">
      <alignment horizontal="left" vertical="top" wrapText="1"/>
    </xf>
    <xf numFmtId="0" fontId="69" fillId="0" borderId="91" xfId="8" applyFont="1" applyFill="1" applyBorder="1" applyAlignment="1">
      <alignment horizontal="left" vertical="top" wrapText="1"/>
    </xf>
    <xf numFmtId="0" fontId="69" fillId="0" borderId="92" xfId="8" applyFont="1" applyFill="1" applyBorder="1" applyAlignment="1">
      <alignment horizontal="left" vertical="top" wrapText="1"/>
    </xf>
    <xf numFmtId="0" fontId="69" fillId="0" borderId="93" xfId="8" applyFont="1" applyFill="1" applyBorder="1" applyAlignment="1">
      <alignment horizontal="left" vertical="top" wrapText="1"/>
    </xf>
    <xf numFmtId="171" fontId="68" fillId="0" borderId="112" xfId="8" applyNumberFormat="1" applyFont="1" applyFill="1" applyBorder="1" applyAlignment="1">
      <alignment horizontal="right" vertical="center"/>
    </xf>
    <xf numFmtId="171" fontId="68" fillId="0" borderId="113" xfId="8" applyNumberFormat="1" applyFont="1" applyFill="1" applyBorder="1" applyAlignment="1">
      <alignment horizontal="right" vertical="center"/>
    </xf>
    <xf numFmtId="171" fontId="68" fillId="0" borderId="111" xfId="8" applyNumberFormat="1" applyFont="1" applyFill="1" applyBorder="1" applyAlignment="1">
      <alignment horizontal="right" vertical="center"/>
    </xf>
    <xf numFmtId="0" fontId="69" fillId="0" borderId="112" xfId="8" applyFont="1" applyFill="1" applyBorder="1" applyAlignment="1">
      <alignment horizontal="left" vertical="top" wrapText="1"/>
    </xf>
    <xf numFmtId="0" fontId="69" fillId="0" borderId="138" xfId="8" applyFont="1" applyFill="1" applyBorder="1" applyAlignment="1">
      <alignment horizontal="left" vertical="top" wrapText="1"/>
    </xf>
    <xf numFmtId="0" fontId="69" fillId="0" borderId="113" xfId="8" applyFont="1" applyFill="1" applyBorder="1" applyAlignment="1">
      <alignment horizontal="left" vertical="top" wrapText="1"/>
    </xf>
    <xf numFmtId="0" fontId="21" fillId="0" borderId="101" xfId="8" applyFill="1" applyBorder="1" applyAlignment="1">
      <alignment vertical="center"/>
    </xf>
    <xf numFmtId="0" fontId="21" fillId="0" borderId="95" xfId="8" applyFill="1" applyBorder="1" applyAlignment="1">
      <alignment vertical="center"/>
    </xf>
    <xf numFmtId="0" fontId="56" fillId="0" borderId="119" xfId="8" applyFont="1" applyFill="1" applyBorder="1" applyAlignment="1">
      <alignment horizontal="left" wrapText="1"/>
    </xf>
    <xf numFmtId="0" fontId="56" fillId="0" borderId="79" xfId="8" applyFont="1" applyFill="1" applyBorder="1" applyAlignment="1">
      <alignment horizontal="left" wrapText="1"/>
    </xf>
    <xf numFmtId="0" fontId="56" fillId="0" borderId="110" xfId="8" applyFont="1" applyFill="1" applyBorder="1" applyAlignment="1">
      <alignment horizontal="left" wrapText="1"/>
    </xf>
    <xf numFmtId="0" fontId="21" fillId="0" borderId="95" xfId="8" applyFont="1" applyFill="1" applyBorder="1" applyAlignment="1">
      <alignment horizontal="center" vertical="center"/>
    </xf>
    <xf numFmtId="0" fontId="21" fillId="0" borderId="95" xfId="8" applyFill="1" applyBorder="1" applyAlignment="1">
      <alignment horizontal="center" vertical="center"/>
    </xf>
    <xf numFmtId="0" fontId="21" fillId="0" borderId="17" xfId="8" applyFill="1" applyBorder="1" applyAlignment="1">
      <alignment horizontal="center" vertical="center"/>
    </xf>
    <xf numFmtId="0" fontId="70" fillId="0" borderId="92" xfId="8" applyFont="1" applyFill="1" applyBorder="1" applyAlignment="1">
      <alignment horizontal="center" vertical="center" wrapText="1"/>
    </xf>
    <xf numFmtId="0" fontId="70" fillId="0" borderId="112" xfId="8" applyFont="1" applyFill="1" applyBorder="1" applyAlignment="1">
      <alignment horizontal="left" vertical="top" wrapText="1"/>
    </xf>
    <xf numFmtId="0" fontId="70" fillId="0" borderId="138" xfId="8" applyFont="1" applyFill="1" applyBorder="1" applyAlignment="1">
      <alignment horizontal="left" vertical="top" wrapText="1"/>
    </xf>
    <xf numFmtId="0" fontId="70" fillId="0" borderId="113" xfId="8" applyFont="1" applyFill="1" applyBorder="1" applyAlignment="1">
      <alignment horizontal="left" vertical="top" wrapText="1"/>
    </xf>
    <xf numFmtId="0" fontId="70" fillId="0" borderId="120" xfId="8" applyFont="1" applyFill="1" applyBorder="1" applyAlignment="1">
      <alignment horizontal="left" vertical="top" wrapText="1"/>
    </xf>
    <xf numFmtId="0" fontId="70" fillId="0" borderId="119" xfId="8" applyFont="1" applyFill="1" applyBorder="1" applyAlignment="1">
      <alignment horizontal="center" vertical="center"/>
    </xf>
    <xf numFmtId="0" fontId="70" fillId="0" borderId="122" xfId="8" applyFont="1" applyFill="1" applyBorder="1" applyAlignment="1">
      <alignment horizontal="center" vertical="center"/>
    </xf>
    <xf numFmtId="0" fontId="70" fillId="0" borderId="88" xfId="8" applyFont="1" applyFill="1" applyBorder="1" applyAlignment="1">
      <alignment horizontal="center" vertical="center"/>
    </xf>
    <xf numFmtId="0" fontId="70" fillId="0" borderId="89" xfId="8" applyFont="1" applyFill="1" applyBorder="1" applyAlignment="1">
      <alignment horizontal="center" vertical="center"/>
    </xf>
    <xf numFmtId="0" fontId="70" fillId="0" borderId="120" xfId="8" quotePrefix="1" applyFont="1" applyFill="1" applyBorder="1" applyAlignment="1">
      <alignment horizontal="left" vertical="top" wrapText="1"/>
    </xf>
  </cellXfs>
  <cellStyles count="18">
    <cellStyle name="Comma 2" xfId="13"/>
    <cellStyle name="Hyperlink" xfId="15" builtinId="8"/>
    <cellStyle name="Hyperlink 2" xfId="11"/>
    <cellStyle name="Normal" xfId="0" builtinId="0"/>
    <cellStyle name="Normal 2" xfId="2"/>
    <cellStyle name="Normal 3" xfId="8"/>
    <cellStyle name="Normal 4" xfId="4"/>
    <cellStyle name="Normal 4 2" xfId="16"/>
    <cellStyle name="Normal 5" xfId="12"/>
    <cellStyle name="Normal 5 2" xfId="17"/>
    <cellStyle name="Normal_Coffee Exporter FR1" xfId="9"/>
    <cellStyle name="Normal_FS Conoco Slovakia final 2001-rounding" xfId="5"/>
    <cellStyle name="Normal_Notes to FS1234" xfId="6"/>
    <cellStyle name="Normal_Slovak statutory FS2004(Slovak)" xfId="7"/>
    <cellStyle name="Normal_TSS report template v4" xfId="10"/>
    <cellStyle name="normální_cashflow96" xfId="14"/>
    <cellStyle name="Percent" xfId="1" builtinId="5"/>
    <cellStyle name="Percent 2" xfId="3"/>
  </cellStyles>
  <dxfs count="280"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Oval 4"/>
        <xdr:cNvSpPr>
          <a:spLocks noChangeArrowheads="1"/>
        </xdr:cNvSpPr>
      </xdr:nvSpPr>
      <xdr:spPr bwMode="auto">
        <a:xfrm>
          <a:off x="4714875" y="0"/>
          <a:ext cx="0" cy="0"/>
        </a:xfrm>
        <a:prstGeom prst="ellipse">
          <a:avLst/>
        </a:prstGeom>
        <a:noFill/>
        <a:ln w="1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mrnkp/LOCALS~1/Temp/notes42C9D0/smigi/testi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testik"/>
      <sheetName val="Invest "/>
      <sheetName val="Commen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9"/>
  </sheetPr>
  <dimension ref="A1:M42"/>
  <sheetViews>
    <sheetView showGridLines="0" workbookViewId="0">
      <selection activeCell="F26" sqref="F26"/>
    </sheetView>
  </sheetViews>
  <sheetFormatPr defaultRowHeight="11.25" x14ac:dyDescent="0.2"/>
  <cols>
    <col min="1" max="1" width="19.85546875" style="675" customWidth="1"/>
    <col min="2" max="2" width="10.140625" style="675" bestFit="1" customWidth="1"/>
    <col min="3" max="3" width="14.140625" style="675" customWidth="1"/>
    <col min="4" max="4" width="2.85546875" style="675" customWidth="1"/>
    <col min="5" max="5" width="18.5703125" style="675" customWidth="1"/>
    <col min="6" max="6" width="27.7109375" style="675" customWidth="1"/>
    <col min="7" max="7" width="2.28515625" style="675" bestFit="1" customWidth="1"/>
    <col min="8" max="8" width="5" style="675" customWidth="1"/>
    <col min="9" max="16384" width="9.140625" style="675"/>
  </cols>
  <sheetData>
    <row r="1" spans="1:13" ht="12" thickBot="1" x14ac:dyDescent="0.25">
      <c r="A1" s="671" t="s">
        <v>1421</v>
      </c>
      <c r="B1" s="672"/>
      <c r="C1" s="673"/>
      <c r="D1" s="673"/>
      <c r="E1" s="673"/>
      <c r="F1" s="673"/>
      <c r="G1" s="674"/>
    </row>
    <row r="2" spans="1:13" ht="12" thickBot="1" x14ac:dyDescent="0.25">
      <c r="A2" s="676" t="s">
        <v>1487</v>
      </c>
      <c r="B2" s="677"/>
      <c r="C2" s="677"/>
      <c r="D2" s="677"/>
      <c r="E2" s="677"/>
      <c r="F2" s="677"/>
      <c r="G2" s="678"/>
      <c r="H2" s="679"/>
    </row>
    <row r="3" spans="1:13" ht="25.5" customHeight="1" thickBot="1" x14ac:dyDescent="0.25">
      <c r="A3" s="1015" t="s">
        <v>1488</v>
      </c>
      <c r="B3" s="1016"/>
      <c r="C3" s="1016"/>
      <c r="D3" s="680"/>
      <c r="E3" s="681" t="s">
        <v>1420</v>
      </c>
      <c r="F3" s="682" t="s">
        <v>1882</v>
      </c>
      <c r="G3" s="683"/>
    </row>
    <row r="4" spans="1:13" x14ac:dyDescent="0.2">
      <c r="A4" s="684"/>
      <c r="B4" s="685"/>
      <c r="C4" s="685"/>
      <c r="D4" s="685"/>
      <c r="E4" s="685"/>
      <c r="F4" s="685"/>
      <c r="G4" s="686"/>
    </row>
    <row r="5" spans="1:13" ht="12" thickBot="1" x14ac:dyDescent="0.25">
      <c r="A5" s="684"/>
      <c r="B5" s="685"/>
      <c r="C5" s="685"/>
      <c r="D5" s="685"/>
      <c r="E5" s="685"/>
      <c r="F5" s="685"/>
      <c r="G5" s="686"/>
      <c r="L5" s="1014"/>
      <c r="M5" s="1014"/>
    </row>
    <row r="6" spans="1:13" ht="12" thickBot="1" x14ac:dyDescent="0.25">
      <c r="A6" s="687" t="s">
        <v>1419</v>
      </c>
      <c r="B6" s="688">
        <f>YEAR(B7)</f>
        <v>2013</v>
      </c>
      <c r="C6" s="685"/>
      <c r="D6" s="689" t="s">
        <v>1413</v>
      </c>
      <c r="E6" s="690"/>
      <c r="F6" s="685"/>
      <c r="G6" s="686"/>
      <c r="L6" s="1014"/>
      <c r="M6" s="1014"/>
    </row>
    <row r="7" spans="1:13" x14ac:dyDescent="0.2">
      <c r="A7" s="691" t="s">
        <v>1410</v>
      </c>
      <c r="B7" s="784">
        <v>41275</v>
      </c>
      <c r="C7" s="685"/>
      <c r="D7" s="692" t="s">
        <v>18</v>
      </c>
      <c r="E7" s="693" t="s">
        <v>1418</v>
      </c>
      <c r="F7" s="685"/>
      <c r="G7" s="686"/>
      <c r="L7" s="694"/>
      <c r="M7" s="695"/>
    </row>
    <row r="8" spans="1:13" x14ac:dyDescent="0.2">
      <c r="A8" s="696" t="s">
        <v>1406</v>
      </c>
      <c r="B8" s="697" t="str">
        <f>CHOOSE(LEN(MONTH(B7)),"0"&amp;MONTH(B7),MONTH(B7))</f>
        <v>01</v>
      </c>
      <c r="C8" s="685"/>
      <c r="D8" s="698"/>
      <c r="E8" s="699" t="s">
        <v>1417</v>
      </c>
      <c r="F8" s="685"/>
      <c r="G8" s="686"/>
    </row>
    <row r="9" spans="1:13" ht="12" thickBot="1" x14ac:dyDescent="0.25">
      <c r="A9" s="696" t="s">
        <v>1416</v>
      </c>
      <c r="B9" s="700">
        <f>YEAR(B7)</f>
        <v>2013</v>
      </c>
      <c r="C9" s="685"/>
      <c r="D9" s="701"/>
      <c r="E9" s="702"/>
      <c r="F9" s="685"/>
      <c r="G9" s="686"/>
    </row>
    <row r="10" spans="1:13" x14ac:dyDescent="0.2">
      <c r="A10" s="703" t="s">
        <v>1408</v>
      </c>
      <c r="B10" s="784">
        <v>41639</v>
      </c>
      <c r="C10" s="685"/>
      <c r="D10" s="704"/>
      <c r="E10" s="704"/>
      <c r="F10" s="685"/>
      <c r="G10" s="686"/>
    </row>
    <row r="11" spans="1:13" x14ac:dyDescent="0.2">
      <c r="A11" s="705" t="s">
        <v>1415</v>
      </c>
      <c r="B11" s="706" t="str">
        <f>DAY(B10)&amp;"."&amp;MONTH(B10)&amp;"."</f>
        <v>31.12.</v>
      </c>
      <c r="C11" s="685"/>
      <c r="D11" s="707"/>
      <c r="E11" s="708" t="s">
        <v>1165</v>
      </c>
      <c r="F11" s="685"/>
      <c r="G11" s="686"/>
    </row>
    <row r="12" spans="1:13" x14ac:dyDescent="0.2">
      <c r="A12" s="705" t="s">
        <v>1414</v>
      </c>
      <c r="B12" s="709" t="str">
        <f>RIGHT(YEAR(B10),2)</f>
        <v>13</v>
      </c>
      <c r="C12" s="685"/>
      <c r="D12" s="685"/>
      <c r="E12" s="710">
        <v>73110</v>
      </c>
      <c r="F12" s="685"/>
      <c r="G12" s="686"/>
      <c r="K12" s="711"/>
    </row>
    <row r="13" spans="1:13" x14ac:dyDescent="0.2">
      <c r="A13" s="696" t="s">
        <v>1406</v>
      </c>
      <c r="B13" s="697">
        <f>CHOOSE(LEN(MONTH(B10)),"0"&amp;MONTH(B10),MONTH(B10))</f>
        <v>12</v>
      </c>
      <c r="C13" s="712"/>
      <c r="D13" s="685"/>
      <c r="E13" s="685"/>
      <c r="F13" s="685"/>
      <c r="G13" s="686"/>
      <c r="H13" s="679"/>
    </row>
    <row r="14" spans="1:13" ht="12" thickBot="1" x14ac:dyDescent="0.25">
      <c r="A14" s="713" t="s">
        <v>1405</v>
      </c>
      <c r="B14" s="700">
        <f>YEAR(B10)</f>
        <v>2013</v>
      </c>
      <c r="C14" s="714"/>
      <c r="D14" s="685"/>
      <c r="E14" s="685"/>
      <c r="F14" s="685"/>
      <c r="G14" s="686"/>
      <c r="H14" s="679"/>
    </row>
    <row r="15" spans="1:13" ht="12" thickBot="1" x14ac:dyDescent="0.25">
      <c r="A15" s="684"/>
      <c r="B15" s="715"/>
      <c r="C15" s="685"/>
      <c r="D15" s="689" t="s">
        <v>1413</v>
      </c>
      <c r="E15" s="690"/>
      <c r="F15" s="685"/>
      <c r="G15" s="686"/>
    </row>
    <row r="16" spans="1:13" ht="12" thickBot="1" x14ac:dyDescent="0.25">
      <c r="A16" s="716" t="s">
        <v>1412</v>
      </c>
      <c r="B16" s="717">
        <f>YEAR(B17)</f>
        <v>2012</v>
      </c>
      <c r="C16" s="685"/>
      <c r="D16" s="718" t="s">
        <v>18</v>
      </c>
      <c r="E16" s="719" t="s">
        <v>1411</v>
      </c>
      <c r="F16" s="685"/>
      <c r="G16" s="686"/>
    </row>
    <row r="17" spans="1:9" ht="12" thickBot="1" x14ac:dyDescent="0.25">
      <c r="A17" s="691" t="s">
        <v>1410</v>
      </c>
      <c r="B17" s="784">
        <v>40909</v>
      </c>
      <c r="C17" s="685"/>
      <c r="D17" s="720"/>
      <c r="E17" s="721" t="s">
        <v>1409</v>
      </c>
      <c r="F17" s="685"/>
      <c r="G17" s="686"/>
    </row>
    <row r="18" spans="1:9" x14ac:dyDescent="0.2">
      <c r="A18" s="696" t="s">
        <v>1406</v>
      </c>
      <c r="B18" s="722" t="str">
        <f>CHOOSE(LEN(MONTH(B17)),"0"&amp;MONTH(B17),MONTH(B17))</f>
        <v>01</v>
      </c>
      <c r="C18" s="685"/>
      <c r="D18" s="685"/>
      <c r="E18" s="685"/>
      <c r="F18" s="685"/>
      <c r="G18" s="686"/>
    </row>
    <row r="19" spans="1:9" ht="12" thickBot="1" x14ac:dyDescent="0.25">
      <c r="A19" s="713" t="s">
        <v>1405</v>
      </c>
      <c r="B19" s="700">
        <f>YEAR(B17)</f>
        <v>2012</v>
      </c>
      <c r="C19" s="685"/>
      <c r="D19" s="685"/>
      <c r="E19" s="685"/>
      <c r="F19" s="685"/>
      <c r="G19" s="686"/>
    </row>
    <row r="20" spans="1:9" ht="12" thickBot="1" x14ac:dyDescent="0.25">
      <c r="A20" s="703" t="s">
        <v>1408</v>
      </c>
      <c r="B20" s="784">
        <v>41274</v>
      </c>
      <c r="C20" s="685"/>
      <c r="D20" s="685"/>
      <c r="E20" s="671" t="s">
        <v>1407</v>
      </c>
      <c r="F20" s="723"/>
      <c r="G20" s="686"/>
    </row>
    <row r="21" spans="1:9" x14ac:dyDescent="0.2">
      <c r="A21" s="696" t="s">
        <v>1406</v>
      </c>
      <c r="B21" s="697">
        <f>CHOOSE(LEN(MONTH(B20)),"0"&amp;MONTH(B20),MONTH(B20))</f>
        <v>12</v>
      </c>
      <c r="C21" s="685"/>
      <c r="D21" s="685"/>
      <c r="E21" s="685"/>
      <c r="F21" s="685"/>
      <c r="G21" s="686"/>
    </row>
    <row r="22" spans="1:9" ht="12" thickBot="1" x14ac:dyDescent="0.25">
      <c r="A22" s="713" t="s">
        <v>1405</v>
      </c>
      <c r="B22" s="700">
        <f>YEAR(B20)</f>
        <v>2012</v>
      </c>
      <c r="C22" s="685"/>
      <c r="D22" s="685"/>
      <c r="E22" s="685"/>
      <c r="F22" s="685"/>
      <c r="G22" s="686"/>
    </row>
    <row r="23" spans="1:9" ht="12" thickBot="1" x14ac:dyDescent="0.25">
      <c r="A23" s="724"/>
      <c r="B23" s="714"/>
      <c r="C23" s="685"/>
      <c r="D23" s="685"/>
      <c r="E23" s="685"/>
      <c r="F23" s="685"/>
      <c r="G23" s="686"/>
      <c r="I23" s="777"/>
    </row>
    <row r="24" spans="1:9" ht="12" thickBot="1" x14ac:dyDescent="0.25">
      <c r="A24" s="671" t="s">
        <v>1404</v>
      </c>
      <c r="B24" s="673"/>
      <c r="C24" s="725">
        <v>2020336406</v>
      </c>
      <c r="D24" s="685"/>
      <c r="E24" s="685"/>
      <c r="F24" s="685"/>
      <c r="G24" s="686"/>
    </row>
    <row r="25" spans="1:9" ht="12" thickBot="1" x14ac:dyDescent="0.25">
      <c r="A25" s="684"/>
      <c r="B25" s="685"/>
      <c r="C25" s="685"/>
      <c r="D25" s="685"/>
      <c r="E25" s="726" t="s">
        <v>1403</v>
      </c>
      <c r="F25" s="727">
        <v>41803</v>
      </c>
      <c r="G25" s="686"/>
    </row>
    <row r="26" spans="1:9" ht="12" thickBot="1" x14ac:dyDescent="0.25">
      <c r="A26" s="671" t="s">
        <v>1402</v>
      </c>
      <c r="B26" s="673"/>
      <c r="C26" s="776" t="s">
        <v>1883</v>
      </c>
      <c r="D26" s="685"/>
      <c r="E26" s="724"/>
      <c r="F26" s="686"/>
      <c r="G26" s="686"/>
    </row>
    <row r="27" spans="1:9" ht="12" thickBot="1" x14ac:dyDescent="0.25">
      <c r="A27" s="684"/>
      <c r="B27" s="685"/>
      <c r="C27" s="685"/>
      <c r="D27" s="728"/>
      <c r="E27" s="729" t="s">
        <v>1401</v>
      </c>
      <c r="F27" s="730"/>
      <c r="G27" s="686"/>
    </row>
    <row r="28" spans="1:9" ht="12" thickBot="1" x14ac:dyDescent="0.25">
      <c r="A28" s="731" t="s">
        <v>1400</v>
      </c>
      <c r="B28" s="732"/>
      <c r="C28" s="733" t="s">
        <v>1884</v>
      </c>
      <c r="D28" s="734"/>
      <c r="E28" s="685"/>
      <c r="F28" s="685"/>
      <c r="G28" s="686"/>
    </row>
    <row r="29" spans="1:9" x14ac:dyDescent="0.2">
      <c r="A29" s="735"/>
      <c r="B29" s="736"/>
      <c r="C29" s="737"/>
      <c r="D29" s="734"/>
      <c r="E29" s="738" t="s">
        <v>1396</v>
      </c>
      <c r="F29" s="690"/>
      <c r="G29" s="686"/>
    </row>
    <row r="30" spans="1:9" x14ac:dyDescent="0.2">
      <c r="A30" s="739" t="s">
        <v>1399</v>
      </c>
      <c r="B30" s="740"/>
      <c r="C30" s="741">
        <v>20</v>
      </c>
      <c r="D30" s="685"/>
      <c r="E30" s="742" t="s">
        <v>1398</v>
      </c>
      <c r="F30" s="743"/>
      <c r="G30" s="686"/>
    </row>
    <row r="31" spans="1:9" ht="12" thickBot="1" x14ac:dyDescent="0.25">
      <c r="A31" s="684"/>
      <c r="B31" s="685"/>
      <c r="C31" s="686"/>
      <c r="D31" s="685"/>
      <c r="E31" s="744" t="s">
        <v>1389</v>
      </c>
      <c r="F31" s="745"/>
      <c r="G31" s="686"/>
    </row>
    <row r="32" spans="1:9" ht="12" thickBot="1" x14ac:dyDescent="0.25">
      <c r="A32" s="739" t="s">
        <v>1397</v>
      </c>
      <c r="B32" s="746"/>
      <c r="C32" s="747" t="s">
        <v>1885</v>
      </c>
      <c r="D32" s="685"/>
      <c r="E32" s="685"/>
      <c r="F32" s="748"/>
      <c r="G32" s="686"/>
    </row>
    <row r="33" spans="1:7" x14ac:dyDescent="0.2">
      <c r="A33" s="684"/>
      <c r="B33" s="749"/>
      <c r="C33" s="686"/>
      <c r="D33" s="685"/>
      <c r="E33" s="738" t="s">
        <v>1396</v>
      </c>
      <c r="F33" s="690"/>
      <c r="G33" s="686"/>
    </row>
    <row r="34" spans="1:7" ht="12" thickBot="1" x14ac:dyDescent="0.25">
      <c r="A34" s="750" t="s">
        <v>1395</v>
      </c>
      <c r="B34" s="751"/>
      <c r="C34" s="752" t="s">
        <v>1886</v>
      </c>
      <c r="D34" s="685"/>
      <c r="E34" s="742" t="s">
        <v>1394</v>
      </c>
      <c r="F34" s="743"/>
      <c r="G34" s="686"/>
    </row>
    <row r="35" spans="1:7" ht="12" thickBot="1" x14ac:dyDescent="0.25">
      <c r="A35" s="684"/>
      <c r="B35" s="748"/>
      <c r="C35" s="685"/>
      <c r="D35" s="685"/>
      <c r="E35" s="744" t="s">
        <v>1389</v>
      </c>
      <c r="F35" s="745"/>
      <c r="G35" s="686"/>
    </row>
    <row r="36" spans="1:7" ht="12" thickBot="1" x14ac:dyDescent="0.25">
      <c r="A36" s="753" t="s">
        <v>1393</v>
      </c>
      <c r="B36" s="754"/>
      <c r="C36" s="755">
        <v>2</v>
      </c>
      <c r="D36" s="756"/>
      <c r="E36" s="728"/>
      <c r="F36" s="728"/>
      <c r="G36" s="686"/>
    </row>
    <row r="37" spans="1:7" x14ac:dyDescent="0.2">
      <c r="A37" s="724"/>
      <c r="B37" s="749"/>
      <c r="C37" s="686"/>
      <c r="D37" s="685"/>
      <c r="E37" s="738" t="s">
        <v>1392</v>
      </c>
      <c r="F37" s="690"/>
      <c r="G37" s="686"/>
    </row>
    <row r="38" spans="1:7" x14ac:dyDescent="0.2">
      <c r="A38" s="757" t="s">
        <v>1391</v>
      </c>
      <c r="B38" s="746"/>
      <c r="C38" s="758">
        <v>49300513</v>
      </c>
      <c r="D38" s="685"/>
      <c r="E38" s="742" t="s">
        <v>1390</v>
      </c>
      <c r="F38" s="743"/>
      <c r="G38" s="686"/>
    </row>
    <row r="39" spans="1:7" ht="12" thickBot="1" x14ac:dyDescent="0.25">
      <c r="A39" s="759"/>
      <c r="B39" s="760"/>
      <c r="C39" s="761"/>
      <c r="D39" s="685"/>
      <c r="E39" s="744" t="s">
        <v>1389</v>
      </c>
      <c r="F39" s="745"/>
      <c r="G39" s="686"/>
    </row>
    <row r="40" spans="1:7" ht="12" thickBot="1" x14ac:dyDescent="0.25">
      <c r="A40" s="762" t="s">
        <v>1388</v>
      </c>
      <c r="B40" s="763"/>
      <c r="C40" s="764">
        <v>49300550</v>
      </c>
      <c r="D40" s="685"/>
      <c r="E40" s="685"/>
      <c r="F40" s="685"/>
      <c r="G40" s="686"/>
    </row>
    <row r="41" spans="1:7" ht="12" thickBot="1" x14ac:dyDescent="0.25">
      <c r="A41" s="684"/>
      <c r="B41" s="765"/>
      <c r="C41" s="685"/>
      <c r="D41" s="685"/>
      <c r="E41" s="685"/>
      <c r="F41" s="685"/>
      <c r="G41" s="686"/>
    </row>
    <row r="42" spans="1:7" ht="15.75" thickBot="1" x14ac:dyDescent="0.3">
      <c r="A42" s="766" t="s">
        <v>1387</v>
      </c>
      <c r="B42" s="1012"/>
      <c r="C42" s="1013"/>
      <c r="D42" s="767"/>
      <c r="E42" s="767"/>
      <c r="F42" s="767"/>
      <c r="G42" s="761"/>
    </row>
  </sheetData>
  <mergeCells count="3">
    <mergeCell ref="B42:C42"/>
    <mergeCell ref="L5:M6"/>
    <mergeCell ref="A3:C3"/>
  </mergeCells>
  <pageMargins left="0.75" right="0.75" top="1" bottom="1" header="0.5" footer="0.5"/>
  <pageSetup paperSize="9" orientation="portrait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10"/>
  <sheetViews>
    <sheetView showGridLines="0" zoomScaleNormal="100" workbookViewId="0">
      <selection activeCell="B15" sqref="B15"/>
    </sheetView>
  </sheetViews>
  <sheetFormatPr defaultRowHeight="15" x14ac:dyDescent="0.25"/>
  <cols>
    <col min="1" max="1" width="24.85546875" customWidth="1"/>
    <col min="2" max="2" width="10.42578125" customWidth="1"/>
    <col min="3" max="4" width="13.42578125" customWidth="1"/>
    <col min="5" max="6" width="11.85546875" customWidth="1"/>
  </cols>
  <sheetData>
    <row r="1" spans="1:7" s="39" customFormat="1" ht="16.5" x14ac:dyDescent="0.3">
      <c r="A1" s="1" t="s">
        <v>7</v>
      </c>
    </row>
    <row r="2" spans="1:7" x14ac:dyDescent="0.25">
      <c r="A2" s="20"/>
      <c r="B2" s="20"/>
      <c r="C2" s="20"/>
      <c r="D2" s="20"/>
      <c r="E2" s="20"/>
      <c r="F2" s="20"/>
      <c r="G2" s="20"/>
    </row>
    <row r="3" spans="1:7" ht="15.75" thickBot="1" x14ac:dyDescent="0.3">
      <c r="A3" s="20" t="s">
        <v>15</v>
      </c>
      <c r="B3" s="20"/>
      <c r="C3" s="20"/>
      <c r="D3" s="20"/>
      <c r="E3" s="20"/>
      <c r="F3" s="20"/>
      <c r="G3" s="20"/>
    </row>
    <row r="4" spans="1:7" ht="44.25" customHeight="1" thickTop="1" thickBot="1" x14ac:dyDescent="0.3">
      <c r="A4" s="1366" t="s">
        <v>16</v>
      </c>
      <c r="B4" s="1368"/>
      <c r="C4" s="1366" t="s">
        <v>10</v>
      </c>
      <c r="D4" s="1368"/>
      <c r="E4" s="1426" t="s">
        <v>11</v>
      </c>
      <c r="F4" s="1426" t="s">
        <v>454</v>
      </c>
      <c r="G4" s="20"/>
    </row>
    <row r="5" spans="1:7" ht="27" customHeight="1" thickTop="1" thickBot="1" x14ac:dyDescent="0.3">
      <c r="A5" s="440" t="s">
        <v>9</v>
      </c>
      <c r="B5" s="21" t="s">
        <v>17</v>
      </c>
      <c r="C5" s="21" t="s">
        <v>13</v>
      </c>
      <c r="D5" s="21" t="s">
        <v>12</v>
      </c>
      <c r="E5" s="1427"/>
      <c r="F5" s="1427"/>
      <c r="G5" s="20"/>
    </row>
    <row r="6" spans="1:7" ht="16.5" thickTop="1" thickBot="1" x14ac:dyDescent="0.3">
      <c r="A6" s="14"/>
      <c r="B6" s="31"/>
      <c r="C6" s="22"/>
      <c r="D6" s="32"/>
      <c r="E6" s="32"/>
      <c r="F6" s="33"/>
      <c r="G6" s="20"/>
    </row>
    <row r="7" spans="1:7" ht="15.75" thickBot="1" x14ac:dyDescent="0.3">
      <c r="A7" s="14"/>
      <c r="B7" s="31"/>
      <c r="C7" s="22"/>
      <c r="D7" s="32"/>
      <c r="E7" s="32"/>
      <c r="F7" s="33"/>
      <c r="G7" s="20"/>
    </row>
    <row r="8" spans="1:7" ht="15.75" thickBot="1" x14ac:dyDescent="0.3">
      <c r="A8" s="14"/>
      <c r="B8" s="31"/>
      <c r="C8" s="22"/>
      <c r="D8" s="32"/>
      <c r="E8" s="32"/>
      <c r="F8" s="33"/>
      <c r="G8" s="20"/>
    </row>
    <row r="9" spans="1:7" ht="15.75" thickBot="1" x14ac:dyDescent="0.3">
      <c r="A9" s="25" t="s">
        <v>14</v>
      </c>
      <c r="B9" s="34" t="s">
        <v>18</v>
      </c>
      <c r="C9" s="26">
        <f>SUM(C6:C8)</f>
        <v>0</v>
      </c>
      <c r="D9" s="35">
        <f>SUM(D6:D8)</f>
        <v>0</v>
      </c>
      <c r="E9" s="35">
        <f t="shared" ref="E9:F9" si="0">SUM(E6:E8)</f>
        <v>0</v>
      </c>
      <c r="F9" s="36">
        <f t="shared" si="0"/>
        <v>0</v>
      </c>
      <c r="G9" s="20"/>
    </row>
    <row r="10" spans="1:7" ht="15.75" thickTop="1" x14ac:dyDescent="0.25">
      <c r="A10" s="37"/>
      <c r="B10" s="37"/>
      <c r="C10" s="37"/>
      <c r="D10" s="37"/>
      <c r="E10" s="37"/>
      <c r="F10" s="37"/>
      <c r="G10" s="37"/>
    </row>
  </sheetData>
  <mergeCells count="4">
    <mergeCell ref="F4:F5"/>
    <mergeCell ref="A4:B4"/>
    <mergeCell ref="C4:D4"/>
    <mergeCell ref="E4:E5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K49"/>
  <sheetViews>
    <sheetView showGridLines="0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T7" sqref="T7"/>
    </sheetView>
  </sheetViews>
  <sheetFormatPr defaultRowHeight="15" outlineLevelCol="1" x14ac:dyDescent="0.25"/>
  <cols>
    <col min="1" max="1" width="29.42578125" customWidth="1"/>
    <col min="2" max="9" width="12.5703125" customWidth="1"/>
    <col min="10" max="10" width="9.140625" style="391"/>
    <col min="11" max="11" width="9.140625" style="645" customWidth="1" outlineLevel="1"/>
    <col min="12" max="17" width="9.140625" style="646" customWidth="1" outlineLevel="1"/>
    <col min="18" max="18" width="18.28515625" style="648" customWidth="1"/>
    <col min="19" max="19" width="9.140625" style="657"/>
    <col min="20" max="20" width="9.140625" style="646" customWidth="1" outlineLevel="1"/>
    <col min="21" max="26" width="9.140625" style="18" customWidth="1" outlineLevel="1"/>
    <col min="27" max="27" width="26.85546875" style="648" customWidth="1"/>
    <col min="28" max="28" width="9.140625" style="648"/>
    <col min="29" max="29" width="9.140625" style="645" customWidth="1" outlineLevel="1"/>
    <col min="30" max="35" width="9.140625" style="18" customWidth="1" outlineLevel="1"/>
    <col min="36" max="36" width="26.7109375" style="648" customWidth="1"/>
  </cols>
  <sheetData>
    <row r="1" spans="1:36" ht="16.5" x14ac:dyDescent="0.3">
      <c r="A1" s="1" t="s">
        <v>19</v>
      </c>
      <c r="K1" s="1428" t="s">
        <v>1138</v>
      </c>
      <c r="L1" s="1414"/>
      <c r="M1" s="1414"/>
      <c r="N1" s="1414"/>
      <c r="O1" s="1414"/>
      <c r="P1" s="1414"/>
      <c r="Q1" s="1414"/>
      <c r="R1" s="1429"/>
      <c r="T1" s="1428" t="s">
        <v>1139</v>
      </c>
      <c r="U1" s="1414"/>
      <c r="V1" s="1414"/>
      <c r="W1" s="1414"/>
      <c r="X1" s="1414"/>
      <c r="Y1" s="1414"/>
      <c r="Z1" s="1414"/>
      <c r="AA1" s="1429"/>
      <c r="AC1" s="1428" t="s">
        <v>1140</v>
      </c>
      <c r="AD1" s="1414"/>
      <c r="AE1" s="1414"/>
      <c r="AF1" s="1414"/>
      <c r="AG1" s="1414"/>
      <c r="AH1" s="1414"/>
      <c r="AI1" s="1414"/>
      <c r="AJ1" s="1429"/>
    </row>
    <row r="2" spans="1:36" ht="17.25" thickBot="1" x14ac:dyDescent="0.35">
      <c r="A2" s="2" t="s">
        <v>8</v>
      </c>
    </row>
    <row r="3" spans="1:36" ht="15" customHeight="1" thickTop="1" thickBot="1" x14ac:dyDescent="0.3">
      <c r="A3" s="1426" t="s">
        <v>20</v>
      </c>
      <c r="B3" s="1366" t="s">
        <v>2</v>
      </c>
      <c r="C3" s="1367"/>
      <c r="D3" s="1367"/>
      <c r="E3" s="1367"/>
      <c r="F3" s="1367"/>
      <c r="G3" s="1367"/>
      <c r="H3" s="1367"/>
      <c r="I3" s="1368"/>
    </row>
    <row r="4" spans="1:36" ht="35.25" customHeight="1" thickTop="1" thickBot="1" x14ac:dyDescent="0.3">
      <c r="A4" s="1430"/>
      <c r="B4" s="40" t="s">
        <v>441</v>
      </c>
      <c r="C4" s="11" t="s">
        <v>21</v>
      </c>
      <c r="D4" s="11" t="s">
        <v>442</v>
      </c>
      <c r="E4" s="10" t="s">
        <v>22</v>
      </c>
      <c r="F4" s="40" t="s">
        <v>23</v>
      </c>
      <c r="G4" s="11" t="s">
        <v>443</v>
      </c>
      <c r="H4" s="11" t="s">
        <v>24</v>
      </c>
      <c r="I4" s="11" t="s">
        <v>14</v>
      </c>
      <c r="J4" s="436"/>
      <c r="K4" s="59" t="s">
        <v>441</v>
      </c>
      <c r="L4" s="768" t="s">
        <v>21</v>
      </c>
      <c r="M4" s="768" t="s">
        <v>442</v>
      </c>
      <c r="N4" s="59" t="s">
        <v>22</v>
      </c>
      <c r="O4" s="768" t="s">
        <v>23</v>
      </c>
      <c r="P4" s="768" t="s">
        <v>443</v>
      </c>
      <c r="Q4" s="768" t="s">
        <v>24</v>
      </c>
      <c r="R4" s="768" t="s">
        <v>14</v>
      </c>
      <c r="S4" s="646"/>
      <c r="T4" s="59" t="s">
        <v>441</v>
      </c>
      <c r="U4" s="768" t="s">
        <v>21</v>
      </c>
      <c r="V4" s="768" t="s">
        <v>442</v>
      </c>
      <c r="W4" s="59" t="s">
        <v>22</v>
      </c>
      <c r="X4" s="768" t="s">
        <v>23</v>
      </c>
      <c r="Y4" s="768" t="s">
        <v>443</v>
      </c>
      <c r="Z4" s="768" t="s">
        <v>24</v>
      </c>
      <c r="AA4" s="768" t="s">
        <v>14</v>
      </c>
      <c r="AB4" s="646"/>
      <c r="AC4" s="59" t="s">
        <v>441</v>
      </c>
      <c r="AD4" s="768" t="s">
        <v>21</v>
      </c>
      <c r="AE4" s="768" t="s">
        <v>442</v>
      </c>
      <c r="AF4" s="59" t="s">
        <v>22</v>
      </c>
      <c r="AG4" s="768" t="s">
        <v>23</v>
      </c>
      <c r="AH4" s="768" t="s">
        <v>443</v>
      </c>
      <c r="AI4" s="768" t="s">
        <v>24</v>
      </c>
      <c r="AJ4" s="768" t="s">
        <v>14</v>
      </c>
    </row>
    <row r="5" spans="1:36" ht="15" customHeight="1" thickTop="1" thickBot="1" x14ac:dyDescent="0.3">
      <c r="A5" s="41" t="s">
        <v>25</v>
      </c>
      <c r="B5" s="42"/>
      <c r="C5" s="42"/>
      <c r="D5" s="42"/>
      <c r="E5" s="42"/>
      <c r="F5" s="42"/>
      <c r="G5" s="42"/>
      <c r="H5" s="42"/>
      <c r="I5" s="43"/>
    </row>
    <row r="6" spans="1:36" ht="15" customHeight="1" thickTop="1" thickBot="1" x14ac:dyDescent="0.3">
      <c r="A6" s="44" t="s">
        <v>26</v>
      </c>
      <c r="B6" s="22"/>
      <c r="C6" s="22"/>
      <c r="D6" s="22"/>
      <c r="E6" s="22"/>
      <c r="F6" s="45"/>
      <c r="G6" s="22"/>
      <c r="H6" s="22"/>
      <c r="I6" s="15">
        <f>SUM(B6:H6)</f>
        <v>0</v>
      </c>
      <c r="R6" s="647">
        <f>SUM(B6:H6)-I6</f>
        <v>0</v>
      </c>
      <c r="T6" s="665">
        <f>B6-B35</f>
        <v>0</v>
      </c>
      <c r="U6" s="669">
        <f t="shared" ref="U6:AA6" si="0">C6-C35</f>
        <v>0</v>
      </c>
      <c r="V6" s="669">
        <f t="shared" si="0"/>
        <v>0</v>
      </c>
      <c r="W6" s="669">
        <f t="shared" si="0"/>
        <v>0</v>
      </c>
      <c r="X6" s="669">
        <f t="shared" si="0"/>
        <v>0</v>
      </c>
      <c r="Y6" s="669">
        <f t="shared" si="0"/>
        <v>0</v>
      </c>
      <c r="Z6" s="669">
        <f t="shared" si="0"/>
        <v>0</v>
      </c>
      <c r="AA6" s="647">
        <f t="shared" si="0"/>
        <v>0</v>
      </c>
    </row>
    <row r="7" spans="1:36" ht="15" customHeight="1" thickBot="1" x14ac:dyDescent="0.3">
      <c r="A7" s="14" t="s">
        <v>27</v>
      </c>
      <c r="B7" s="22"/>
      <c r="C7" s="22"/>
      <c r="D7" s="22"/>
      <c r="E7" s="22"/>
      <c r="F7" s="46"/>
      <c r="G7" s="22"/>
      <c r="H7" s="22"/>
      <c r="I7" s="15">
        <f>SUM(B7:H7)</f>
        <v>0</v>
      </c>
      <c r="R7" s="647">
        <f t="shared" ref="R7:R22" si="1">SUM(B7:H7)-I7</f>
        <v>0</v>
      </c>
    </row>
    <row r="8" spans="1:36" ht="15" customHeight="1" thickBot="1" x14ac:dyDescent="0.3">
      <c r="A8" s="14" t="s">
        <v>28</v>
      </c>
      <c r="B8" s="22"/>
      <c r="C8" s="22"/>
      <c r="D8" s="22"/>
      <c r="E8" s="22"/>
      <c r="F8" s="46"/>
      <c r="G8" s="22"/>
      <c r="H8" s="22"/>
      <c r="I8" s="15">
        <f t="shared" ref="I8:I9" si="2">SUM(B8:H8)</f>
        <v>0</v>
      </c>
      <c r="R8" s="647">
        <f t="shared" si="1"/>
        <v>0</v>
      </c>
    </row>
    <row r="9" spans="1:36" ht="15" customHeight="1" thickBot="1" x14ac:dyDescent="0.3">
      <c r="A9" s="14" t="s">
        <v>29</v>
      </c>
      <c r="B9" s="22"/>
      <c r="C9" s="22"/>
      <c r="D9" s="22"/>
      <c r="E9" s="22"/>
      <c r="F9" s="46"/>
      <c r="G9" s="22"/>
      <c r="H9" s="22"/>
      <c r="I9" s="15">
        <f t="shared" si="2"/>
        <v>0</v>
      </c>
      <c r="R9" s="647">
        <f t="shared" si="1"/>
        <v>0</v>
      </c>
    </row>
    <row r="10" spans="1:36" ht="15" customHeight="1" thickBot="1" x14ac:dyDescent="0.3">
      <c r="A10" s="25" t="s">
        <v>30</v>
      </c>
      <c r="B10" s="26">
        <f>B6+B7-B8+B9</f>
        <v>0</v>
      </c>
      <c r="C10" s="26">
        <f>C6+C7-C8+C9</f>
        <v>0</v>
      </c>
      <c r="D10" s="26">
        <f>D6+D7-D8+D9</f>
        <v>0</v>
      </c>
      <c r="E10" s="26">
        <f t="shared" ref="E10:H10" si="3">E6+E7-E8+E9</f>
        <v>0</v>
      </c>
      <c r="F10" s="26">
        <f t="shared" si="3"/>
        <v>0</v>
      </c>
      <c r="G10" s="26">
        <f t="shared" si="3"/>
        <v>0</v>
      </c>
      <c r="H10" s="26">
        <f t="shared" si="3"/>
        <v>0</v>
      </c>
      <c r="I10" s="17">
        <f>I6+I7-I8+I9</f>
        <v>0</v>
      </c>
      <c r="K10" s="650">
        <f>B6+B7-B8+B9-B10</f>
        <v>0</v>
      </c>
      <c r="L10" s="665">
        <f t="shared" ref="L10:R10" si="4">C6+C7-C8+C9-C10</f>
        <v>0</v>
      </c>
      <c r="M10" s="665">
        <f t="shared" si="4"/>
        <v>0</v>
      </c>
      <c r="N10" s="665">
        <f t="shared" si="4"/>
        <v>0</v>
      </c>
      <c r="O10" s="665">
        <f t="shared" si="4"/>
        <v>0</v>
      </c>
      <c r="P10" s="665">
        <f t="shared" si="4"/>
        <v>0</v>
      </c>
      <c r="Q10" s="665">
        <f t="shared" si="4"/>
        <v>0</v>
      </c>
      <c r="R10" s="665">
        <f t="shared" si="4"/>
        <v>0</v>
      </c>
      <c r="AC10" s="650">
        <f>B10-BS!$D$13</f>
        <v>0</v>
      </c>
      <c r="AD10" s="669">
        <f>C10-BS!$D$14</f>
        <v>0</v>
      </c>
      <c r="AE10" s="669">
        <f>D10-BS!$D$15</f>
        <v>0</v>
      </c>
      <c r="AF10" s="669">
        <f>E10-BS!$D$16</f>
        <v>0</v>
      </c>
      <c r="AG10" s="669">
        <f>F10-BS!$D$17</f>
        <v>0</v>
      </c>
      <c r="AH10" s="669">
        <f>G10-BS!$D$18</f>
        <v>0</v>
      </c>
      <c r="AI10" s="669">
        <f>H10-BS!$D$19</f>
        <v>0</v>
      </c>
      <c r="AJ10" s="647">
        <f>I10-BS!$D$12</f>
        <v>0</v>
      </c>
    </row>
    <row r="11" spans="1:36" ht="15" customHeight="1" thickTop="1" thickBot="1" x14ac:dyDescent="0.3">
      <c r="A11" s="41" t="s">
        <v>31</v>
      </c>
      <c r="B11" s="42"/>
      <c r="C11" s="42"/>
      <c r="D11" s="42"/>
      <c r="E11" s="42"/>
      <c r="F11" s="42"/>
      <c r="G11" s="42"/>
      <c r="H11" s="42"/>
      <c r="I11" s="43"/>
      <c r="R11" s="647"/>
    </row>
    <row r="12" spans="1:36" ht="15" customHeight="1" thickTop="1" thickBot="1" x14ac:dyDescent="0.3">
      <c r="A12" s="44" t="s">
        <v>32</v>
      </c>
      <c r="B12" s="22"/>
      <c r="C12" s="22"/>
      <c r="D12" s="22"/>
      <c r="E12" s="22"/>
      <c r="F12" s="22"/>
      <c r="G12" s="22"/>
      <c r="H12" s="22"/>
      <c r="I12" s="15">
        <f>SUM(B12:H12)</f>
        <v>0</v>
      </c>
      <c r="R12" s="647">
        <f t="shared" si="1"/>
        <v>0</v>
      </c>
      <c r="T12" s="665">
        <f>B12-B40</f>
        <v>0</v>
      </c>
      <c r="U12" s="669">
        <f t="shared" ref="U12:AA12" si="5">C12-C40</f>
        <v>0</v>
      </c>
      <c r="V12" s="669">
        <f t="shared" si="5"/>
        <v>0</v>
      </c>
      <c r="W12" s="669">
        <f t="shared" si="5"/>
        <v>0</v>
      </c>
      <c r="X12" s="669">
        <f t="shared" si="5"/>
        <v>0</v>
      </c>
      <c r="Y12" s="669">
        <f t="shared" si="5"/>
        <v>0</v>
      </c>
      <c r="Z12" s="669">
        <f t="shared" si="5"/>
        <v>0</v>
      </c>
      <c r="AA12" s="647">
        <f t="shared" si="5"/>
        <v>0</v>
      </c>
    </row>
    <row r="13" spans="1:36" ht="15" customHeight="1" thickBot="1" x14ac:dyDescent="0.3">
      <c r="A13" s="14" t="s">
        <v>27</v>
      </c>
      <c r="B13" s="22"/>
      <c r="C13" s="22"/>
      <c r="D13" s="22"/>
      <c r="E13" s="22"/>
      <c r="F13" s="22"/>
      <c r="G13" s="22"/>
      <c r="H13" s="22"/>
      <c r="I13" s="15">
        <f t="shared" ref="I13:I14" si="6">SUM(B13:H13)</f>
        <v>0</v>
      </c>
      <c r="R13" s="647">
        <f t="shared" si="1"/>
        <v>0</v>
      </c>
    </row>
    <row r="14" spans="1:36" ht="15" customHeight="1" thickBot="1" x14ac:dyDescent="0.3">
      <c r="A14" s="14" t="s">
        <v>28</v>
      </c>
      <c r="B14" s="22"/>
      <c r="C14" s="22"/>
      <c r="D14" s="22"/>
      <c r="E14" s="22"/>
      <c r="F14" s="22"/>
      <c r="G14" s="22"/>
      <c r="H14" s="22"/>
      <c r="I14" s="15">
        <f t="shared" si="6"/>
        <v>0</v>
      </c>
      <c r="R14" s="647">
        <f t="shared" si="1"/>
        <v>0</v>
      </c>
      <c r="AC14" s="670" t="s">
        <v>1141</v>
      </c>
    </row>
    <row r="15" spans="1:36" ht="15" customHeight="1" thickBot="1" x14ac:dyDescent="0.3">
      <c r="A15" s="25" t="s">
        <v>30</v>
      </c>
      <c r="B15" s="26">
        <f>B12+B13-B14</f>
        <v>0</v>
      </c>
      <c r="C15" s="26">
        <f>C12+C13-C14</f>
        <v>0</v>
      </c>
      <c r="D15" s="26">
        <f t="shared" ref="D15:H15" si="7">D12+D13-D14</f>
        <v>0</v>
      </c>
      <c r="E15" s="26">
        <f t="shared" si="7"/>
        <v>0</v>
      </c>
      <c r="F15" s="26">
        <f t="shared" si="7"/>
        <v>0</v>
      </c>
      <c r="G15" s="26">
        <f t="shared" si="7"/>
        <v>0</v>
      </c>
      <c r="H15" s="26">
        <f t="shared" si="7"/>
        <v>0</v>
      </c>
      <c r="I15" s="17">
        <f>I12+I13-I14</f>
        <v>0</v>
      </c>
      <c r="K15" s="650">
        <f>B12+B13-B14-B15</f>
        <v>0</v>
      </c>
      <c r="L15" s="665">
        <f>C12+C13-C14-C15</f>
        <v>0</v>
      </c>
      <c r="M15" s="665">
        <f t="shared" ref="M15:R15" si="8">D12+D13-D14-D15</f>
        <v>0</v>
      </c>
      <c r="N15" s="665">
        <f t="shared" si="8"/>
        <v>0</v>
      </c>
      <c r="O15" s="665">
        <f t="shared" si="8"/>
        <v>0</v>
      </c>
      <c r="P15" s="665">
        <f t="shared" si="8"/>
        <v>0</v>
      </c>
      <c r="Q15" s="665">
        <f t="shared" si="8"/>
        <v>0</v>
      </c>
      <c r="R15" s="665">
        <f t="shared" si="8"/>
        <v>0</v>
      </c>
      <c r="AC15" s="650">
        <f>B15+B20-BS!$E$13</f>
        <v>0</v>
      </c>
      <c r="AD15" s="669">
        <f>C15+C20-BS!$E$14</f>
        <v>0</v>
      </c>
      <c r="AE15" s="669">
        <f>D15+D20-BS!$E$15</f>
        <v>0</v>
      </c>
      <c r="AF15" s="669">
        <f>E15+E20-BS!$E$16</f>
        <v>0</v>
      </c>
      <c r="AG15" s="669">
        <f>F15+F20-BS!$E$17</f>
        <v>0</v>
      </c>
      <c r="AH15" s="669">
        <f>G15+G20-BS!$E$18</f>
        <v>0</v>
      </c>
      <c r="AI15" s="669">
        <f>H15+H20-BS!$E$19</f>
        <v>0</v>
      </c>
      <c r="AJ15" s="647">
        <f>I15+I20-BS!$E$12</f>
        <v>0</v>
      </c>
    </row>
    <row r="16" spans="1:36" ht="15" customHeight="1" thickTop="1" thickBot="1" x14ac:dyDescent="0.3">
      <c r="A16" s="41" t="s">
        <v>33</v>
      </c>
      <c r="B16" s="42"/>
      <c r="C16" s="42"/>
      <c r="D16" s="42"/>
      <c r="E16" s="42"/>
      <c r="F16" s="42"/>
      <c r="G16" s="42"/>
      <c r="H16" s="42"/>
      <c r="I16" s="43"/>
      <c r="R16" s="647"/>
    </row>
    <row r="17" spans="1:36" ht="15" customHeight="1" thickTop="1" thickBot="1" x14ac:dyDescent="0.3">
      <c r="A17" s="44" t="s">
        <v>32</v>
      </c>
      <c r="B17" s="22"/>
      <c r="C17" s="22"/>
      <c r="D17" s="22"/>
      <c r="E17" s="22"/>
      <c r="F17" s="22"/>
      <c r="G17" s="22"/>
      <c r="H17" s="22"/>
      <c r="I17" s="15">
        <f>SUM(B17:H17)</f>
        <v>0</v>
      </c>
      <c r="R17" s="647">
        <f t="shared" si="1"/>
        <v>0</v>
      </c>
      <c r="T17" s="665">
        <f>B17-B45</f>
        <v>0</v>
      </c>
      <c r="U17" s="669">
        <f t="shared" ref="U17:AA17" si="9">C17-C45</f>
        <v>0</v>
      </c>
      <c r="V17" s="669">
        <f t="shared" si="9"/>
        <v>0</v>
      </c>
      <c r="W17" s="669">
        <f t="shared" si="9"/>
        <v>0</v>
      </c>
      <c r="X17" s="669">
        <f t="shared" si="9"/>
        <v>0</v>
      </c>
      <c r="Y17" s="669">
        <f t="shared" si="9"/>
        <v>0</v>
      </c>
      <c r="Z17" s="669">
        <f t="shared" si="9"/>
        <v>0</v>
      </c>
      <c r="AA17" s="647">
        <f t="shared" si="9"/>
        <v>0</v>
      </c>
    </row>
    <row r="18" spans="1:36" ht="15" customHeight="1" thickBot="1" x14ac:dyDescent="0.3">
      <c r="A18" s="14" t="s">
        <v>27</v>
      </c>
      <c r="B18" s="22"/>
      <c r="C18" s="22"/>
      <c r="D18" s="22"/>
      <c r="E18" s="22"/>
      <c r="F18" s="22"/>
      <c r="G18" s="22"/>
      <c r="H18" s="22"/>
      <c r="I18" s="15">
        <f t="shared" ref="I18:I19" si="10">SUM(B18:H18)</f>
        <v>0</v>
      </c>
      <c r="R18" s="647">
        <f t="shared" si="1"/>
        <v>0</v>
      </c>
    </row>
    <row r="19" spans="1:36" ht="15" customHeight="1" thickBot="1" x14ac:dyDescent="0.3">
      <c r="A19" s="14" t="s">
        <v>28</v>
      </c>
      <c r="B19" s="22"/>
      <c r="C19" s="22"/>
      <c r="D19" s="22"/>
      <c r="E19" s="22"/>
      <c r="F19" s="22"/>
      <c r="G19" s="22"/>
      <c r="H19" s="22"/>
      <c r="I19" s="15">
        <f t="shared" si="10"/>
        <v>0</v>
      </c>
      <c r="R19" s="647">
        <f t="shared" si="1"/>
        <v>0</v>
      </c>
    </row>
    <row r="20" spans="1:36" ht="15" customHeight="1" thickBot="1" x14ac:dyDescent="0.3">
      <c r="A20" s="25" t="s">
        <v>30</v>
      </c>
      <c r="B20" s="26">
        <f>B17+B18-B19</f>
        <v>0</v>
      </c>
      <c r="C20" s="26">
        <f>C17+C18-C19</f>
        <v>0</v>
      </c>
      <c r="D20" s="26">
        <f t="shared" ref="D20" si="11">D17+D18-D19</f>
        <v>0</v>
      </c>
      <c r="E20" s="26">
        <f t="shared" ref="E20" si="12">E17+E18-E19</f>
        <v>0</v>
      </c>
      <c r="F20" s="26">
        <f t="shared" ref="F20" si="13">F17+F18-F19</f>
        <v>0</v>
      </c>
      <c r="G20" s="26">
        <f t="shared" ref="G20" si="14">G17+G18-G19</f>
        <v>0</v>
      </c>
      <c r="H20" s="26">
        <f t="shared" ref="H20" si="15">H17+H18-H19</f>
        <v>0</v>
      </c>
      <c r="I20" s="17">
        <f>I17+I18-I19</f>
        <v>0</v>
      </c>
      <c r="K20" s="650">
        <f>B17+B18-B19-B20</f>
        <v>0</v>
      </c>
      <c r="L20" s="665">
        <f>C17+C18-C19-C20</f>
        <v>0</v>
      </c>
      <c r="M20" s="665">
        <f t="shared" ref="M20:R20" si="16">D17+D18-D19-D20</f>
        <v>0</v>
      </c>
      <c r="N20" s="665">
        <f t="shared" si="16"/>
        <v>0</v>
      </c>
      <c r="O20" s="665">
        <f t="shared" si="16"/>
        <v>0</v>
      </c>
      <c r="P20" s="665">
        <f t="shared" si="16"/>
        <v>0</v>
      </c>
      <c r="Q20" s="665">
        <f t="shared" si="16"/>
        <v>0</v>
      </c>
      <c r="R20" s="665">
        <f t="shared" si="16"/>
        <v>0</v>
      </c>
    </row>
    <row r="21" spans="1:36" ht="15" customHeight="1" thickTop="1" thickBot="1" x14ac:dyDescent="0.3">
      <c r="A21" s="41" t="s">
        <v>34</v>
      </c>
      <c r="B21" s="42"/>
      <c r="C21" s="42"/>
      <c r="D21" s="42"/>
      <c r="E21" s="42"/>
      <c r="F21" s="42"/>
      <c r="G21" s="42"/>
      <c r="H21" s="42"/>
      <c r="I21" s="43"/>
      <c r="R21" s="647"/>
    </row>
    <row r="22" spans="1:36" ht="15" customHeight="1" thickTop="1" thickBot="1" x14ac:dyDescent="0.3">
      <c r="A22" s="44" t="s">
        <v>32</v>
      </c>
      <c r="B22" s="22">
        <f>B6-B12-B17</f>
        <v>0</v>
      </c>
      <c r="C22" s="22">
        <f t="shared" ref="C22:I22" si="17">C6-C12-C17</f>
        <v>0</v>
      </c>
      <c r="D22" s="22">
        <f t="shared" si="17"/>
        <v>0</v>
      </c>
      <c r="E22" s="22">
        <f t="shared" si="17"/>
        <v>0</v>
      </c>
      <c r="F22" s="22">
        <f t="shared" si="17"/>
        <v>0</v>
      </c>
      <c r="G22" s="22">
        <f t="shared" si="17"/>
        <v>0</v>
      </c>
      <c r="H22" s="22">
        <f t="shared" si="17"/>
        <v>0</v>
      </c>
      <c r="I22" s="15">
        <f t="shared" si="17"/>
        <v>0</v>
      </c>
      <c r="K22" s="650">
        <f>B6-B12-B17-B22</f>
        <v>0</v>
      </c>
      <c r="L22" s="665">
        <f t="shared" ref="L22:N22" si="18">C6-C12-C17-C22</f>
        <v>0</v>
      </c>
      <c r="M22" s="665">
        <f t="shared" si="18"/>
        <v>0</v>
      </c>
      <c r="N22" s="665">
        <f t="shared" si="18"/>
        <v>0</v>
      </c>
      <c r="O22" s="665">
        <f>F6-F12-F17-F22</f>
        <v>0</v>
      </c>
      <c r="P22" s="665">
        <f t="shared" ref="P22:Q22" si="19">G6-G12-G17-G22</f>
        <v>0</v>
      </c>
      <c r="Q22" s="665">
        <f t="shared" si="19"/>
        <v>0</v>
      </c>
      <c r="R22" s="647">
        <f t="shared" si="1"/>
        <v>0</v>
      </c>
      <c r="T22" s="665">
        <f>B22-B48</f>
        <v>0</v>
      </c>
      <c r="U22" s="669">
        <f t="shared" ref="U22:AA22" si="20">C22-C48</f>
        <v>0</v>
      </c>
      <c r="V22" s="669">
        <f t="shared" si="20"/>
        <v>0</v>
      </c>
      <c r="W22" s="669">
        <f t="shared" si="20"/>
        <v>0</v>
      </c>
      <c r="X22" s="669">
        <f t="shared" si="20"/>
        <v>0</v>
      </c>
      <c r="Y22" s="669">
        <f t="shared" si="20"/>
        <v>0</v>
      </c>
      <c r="Z22" s="669">
        <f t="shared" si="20"/>
        <v>0</v>
      </c>
      <c r="AA22" s="647">
        <f t="shared" si="20"/>
        <v>0</v>
      </c>
    </row>
    <row r="23" spans="1:36" ht="15" customHeight="1" thickBot="1" x14ac:dyDescent="0.3">
      <c r="A23" s="25" t="s">
        <v>30</v>
      </c>
      <c r="B23" s="26">
        <f>B10-B15-B20</f>
        <v>0</v>
      </c>
      <c r="C23" s="26">
        <f t="shared" ref="C23:I23" si="21">C10-C15-C20</f>
        <v>0</v>
      </c>
      <c r="D23" s="26">
        <f t="shared" si="21"/>
        <v>0</v>
      </c>
      <c r="E23" s="26">
        <f t="shared" si="21"/>
        <v>0</v>
      </c>
      <c r="F23" s="26">
        <f t="shared" si="21"/>
        <v>0</v>
      </c>
      <c r="G23" s="26">
        <f t="shared" si="21"/>
        <v>0</v>
      </c>
      <c r="H23" s="26">
        <f t="shared" si="21"/>
        <v>0</v>
      </c>
      <c r="I23" s="17">
        <f t="shared" si="21"/>
        <v>0</v>
      </c>
      <c r="K23" s="650">
        <f>B10-B15-B20-B23</f>
        <v>0</v>
      </c>
      <c r="L23" s="665">
        <f t="shared" ref="L23:N23" si="22">C10-C15-C20-C23</f>
        <v>0</v>
      </c>
      <c r="M23" s="665">
        <f t="shared" si="22"/>
        <v>0</v>
      </c>
      <c r="N23" s="665">
        <f t="shared" si="22"/>
        <v>0</v>
      </c>
      <c r="O23" s="665">
        <f>F10-F15-F20-F23</f>
        <v>0</v>
      </c>
      <c r="P23" s="665">
        <f t="shared" ref="P23:Q23" si="23">G10-G15-G20-G23</f>
        <v>0</v>
      </c>
      <c r="Q23" s="665">
        <f t="shared" si="23"/>
        <v>0</v>
      </c>
      <c r="R23" s="647">
        <f>SUM(B23:H23)-I23</f>
        <v>0</v>
      </c>
      <c r="AC23" s="650">
        <f>B23-BS!$F$13</f>
        <v>0</v>
      </c>
      <c r="AD23" s="669">
        <f>C23-BS!$F$14</f>
        <v>0</v>
      </c>
      <c r="AE23" s="669">
        <f>D23-BS!$F$15</f>
        <v>0</v>
      </c>
      <c r="AF23" s="669">
        <f>E23-BS!$F$16</f>
        <v>0</v>
      </c>
      <c r="AG23" s="669">
        <f>F23-BS!$F$17</f>
        <v>0</v>
      </c>
      <c r="AH23" s="669">
        <f>G23-BS!$F$18</f>
        <v>0</v>
      </c>
      <c r="AI23" s="669">
        <f>H23-BS!$F$19</f>
        <v>0</v>
      </c>
      <c r="AJ23" s="647">
        <f>I23-BS!$F$12</f>
        <v>0</v>
      </c>
    </row>
    <row r="24" spans="1:36" ht="15.75" thickTop="1" x14ac:dyDescent="0.25">
      <c r="A24" s="48"/>
      <c r="B24" s="48"/>
      <c r="C24" s="48"/>
      <c r="D24" s="48"/>
      <c r="E24" s="48"/>
      <c r="F24" s="48"/>
      <c r="G24" s="48"/>
      <c r="H24" s="48"/>
      <c r="I24" s="48"/>
    </row>
    <row r="25" spans="1:36" x14ac:dyDescent="0.25">
      <c r="A25" s="49"/>
      <c r="B25" s="20"/>
      <c r="C25" s="20"/>
      <c r="D25" s="20"/>
      <c r="E25" s="20"/>
      <c r="F25" s="20"/>
      <c r="G25" s="20"/>
      <c r="H25" s="20"/>
      <c r="I25" s="20"/>
    </row>
    <row r="26" spans="1:36" x14ac:dyDescent="0.25">
      <c r="A26" s="49" t="s">
        <v>15</v>
      </c>
      <c r="B26" s="20"/>
      <c r="C26" s="20"/>
      <c r="D26" s="20"/>
      <c r="E26" s="20"/>
      <c r="F26" s="20"/>
      <c r="G26" s="20"/>
      <c r="H26" s="20"/>
      <c r="I26" s="20"/>
    </row>
    <row r="27" spans="1:36" ht="15.75" thickBot="1" x14ac:dyDescent="0.3">
      <c r="A27" s="48"/>
      <c r="B27" s="48"/>
      <c r="C27" s="48"/>
      <c r="D27" s="48"/>
      <c r="E27" s="48"/>
      <c r="F27" s="48"/>
      <c r="G27" s="48"/>
      <c r="H27" s="48"/>
      <c r="I27" s="20"/>
    </row>
    <row r="28" spans="1:36" ht="15" customHeight="1" thickTop="1" thickBot="1" x14ac:dyDescent="0.3">
      <c r="A28" s="1426" t="s">
        <v>20</v>
      </c>
      <c r="B28" s="1366" t="s">
        <v>3</v>
      </c>
      <c r="C28" s="1367"/>
      <c r="D28" s="1367"/>
      <c r="E28" s="1367"/>
      <c r="F28" s="1367"/>
      <c r="G28" s="1367"/>
      <c r="H28" s="1367"/>
      <c r="I28" s="1368"/>
    </row>
    <row r="29" spans="1:36" ht="35.25" thickTop="1" thickBot="1" x14ac:dyDescent="0.3">
      <c r="A29" s="1430"/>
      <c r="B29" s="40" t="s">
        <v>441</v>
      </c>
      <c r="C29" s="11" t="s">
        <v>21</v>
      </c>
      <c r="D29" s="11" t="s">
        <v>442</v>
      </c>
      <c r="E29" s="10" t="s">
        <v>22</v>
      </c>
      <c r="F29" s="40" t="s">
        <v>23</v>
      </c>
      <c r="G29" s="11" t="s">
        <v>443</v>
      </c>
      <c r="H29" s="11" t="s">
        <v>24</v>
      </c>
      <c r="I29" s="11" t="s">
        <v>14</v>
      </c>
    </row>
    <row r="30" spans="1:36" ht="15" customHeight="1" thickTop="1" thickBot="1" x14ac:dyDescent="0.3">
      <c r="A30" s="41" t="s">
        <v>25</v>
      </c>
      <c r="B30" s="42"/>
      <c r="C30" s="42"/>
      <c r="D30" s="42"/>
      <c r="E30" s="42"/>
      <c r="F30" s="42"/>
      <c r="G30" s="42"/>
      <c r="H30" s="42"/>
      <c r="I30" s="43"/>
    </row>
    <row r="31" spans="1:36" ht="15" customHeight="1" thickTop="1" thickBot="1" x14ac:dyDescent="0.3">
      <c r="A31" s="44" t="s">
        <v>26</v>
      </c>
      <c r="B31" s="22"/>
      <c r="C31" s="22"/>
      <c r="D31" s="22"/>
      <c r="E31" s="22"/>
      <c r="F31" s="45"/>
      <c r="G31" s="22"/>
      <c r="H31" s="22"/>
      <c r="I31" s="15">
        <f>SUM(B31:H31)</f>
        <v>0</v>
      </c>
      <c r="R31" s="647">
        <f>SUM(B31:H31)-I31</f>
        <v>0</v>
      </c>
    </row>
    <row r="32" spans="1:36" ht="15" customHeight="1" thickBot="1" x14ac:dyDescent="0.3">
      <c r="A32" s="14" t="s">
        <v>27</v>
      </c>
      <c r="B32" s="22"/>
      <c r="C32" s="22"/>
      <c r="D32" s="22"/>
      <c r="E32" s="22"/>
      <c r="F32" s="46"/>
      <c r="G32" s="22"/>
      <c r="H32" s="22"/>
      <c r="I32" s="15">
        <f t="shared" ref="I32:I34" si="24">SUM(B32:H32)</f>
        <v>0</v>
      </c>
      <c r="R32" s="647">
        <f t="shared" ref="R32:R34" si="25">SUM(B32:H32)-I32</f>
        <v>0</v>
      </c>
    </row>
    <row r="33" spans="1:37" ht="15" customHeight="1" thickBot="1" x14ac:dyDescent="0.3">
      <c r="A33" s="14" t="s">
        <v>28</v>
      </c>
      <c r="B33" s="22"/>
      <c r="C33" s="22"/>
      <c r="D33" s="22"/>
      <c r="E33" s="22"/>
      <c r="F33" s="46"/>
      <c r="G33" s="22"/>
      <c r="H33" s="22"/>
      <c r="I33" s="15">
        <f t="shared" si="24"/>
        <v>0</v>
      </c>
      <c r="R33" s="647">
        <f t="shared" si="25"/>
        <v>0</v>
      </c>
    </row>
    <row r="34" spans="1:37" ht="15" customHeight="1" thickBot="1" x14ac:dyDescent="0.3">
      <c r="A34" s="14" t="s">
        <v>29</v>
      </c>
      <c r="B34" s="22"/>
      <c r="C34" s="22"/>
      <c r="D34" s="22"/>
      <c r="E34" s="22"/>
      <c r="F34" s="46"/>
      <c r="G34" s="22"/>
      <c r="H34" s="22"/>
      <c r="I34" s="15">
        <f t="shared" si="24"/>
        <v>0</v>
      </c>
      <c r="R34" s="647">
        <f t="shared" si="25"/>
        <v>0</v>
      </c>
    </row>
    <row r="35" spans="1:37" ht="15" customHeight="1" thickBot="1" x14ac:dyDescent="0.3">
      <c r="A35" s="25" t="s">
        <v>30</v>
      </c>
      <c r="B35" s="26">
        <f>B31+B32-B33+B34</f>
        <v>0</v>
      </c>
      <c r="C35" s="26">
        <f>C31+C32-C33+C34</f>
        <v>0</v>
      </c>
      <c r="D35" s="26">
        <f>D31+D32-D33+D34</f>
        <v>0</v>
      </c>
      <c r="E35" s="26">
        <f t="shared" ref="E35:H35" si="26">E31+E32-E33+E34</f>
        <v>0</v>
      </c>
      <c r="F35" s="26">
        <f t="shared" si="26"/>
        <v>0</v>
      </c>
      <c r="G35" s="26">
        <f t="shared" si="26"/>
        <v>0</v>
      </c>
      <c r="H35" s="26">
        <f t="shared" si="26"/>
        <v>0</v>
      </c>
      <c r="I35" s="17">
        <f>I31+I32-I33+I34</f>
        <v>0</v>
      </c>
      <c r="K35" s="650">
        <f>B31+B32-B33+B34-B35</f>
        <v>0</v>
      </c>
      <c r="L35" s="665">
        <f t="shared" ref="L35:R35" si="27">C31+C32-C33+C34-C35</f>
        <v>0</v>
      </c>
      <c r="M35" s="665">
        <f t="shared" si="27"/>
        <v>0</v>
      </c>
      <c r="N35" s="665">
        <f t="shared" si="27"/>
        <v>0</v>
      </c>
      <c r="O35" s="665">
        <f t="shared" si="27"/>
        <v>0</v>
      </c>
      <c r="P35" s="665">
        <f t="shared" si="27"/>
        <v>0</v>
      </c>
      <c r="Q35" s="665">
        <f t="shared" si="27"/>
        <v>0</v>
      </c>
      <c r="R35" s="665">
        <f t="shared" si="27"/>
        <v>0</v>
      </c>
    </row>
    <row r="36" spans="1:37" ht="15" customHeight="1" thickTop="1" thickBot="1" x14ac:dyDescent="0.3">
      <c r="A36" s="41" t="s">
        <v>31</v>
      </c>
      <c r="B36" s="42"/>
      <c r="C36" s="42"/>
      <c r="D36" s="42"/>
      <c r="E36" s="42"/>
      <c r="F36" s="42"/>
      <c r="G36" s="42"/>
      <c r="H36" s="42"/>
      <c r="I36" s="43"/>
      <c r="R36" s="647"/>
    </row>
    <row r="37" spans="1:37" ht="15" customHeight="1" thickTop="1" thickBot="1" x14ac:dyDescent="0.3">
      <c r="A37" s="44" t="s">
        <v>32</v>
      </c>
      <c r="B37" s="22"/>
      <c r="C37" s="22"/>
      <c r="D37" s="22"/>
      <c r="E37" s="22"/>
      <c r="F37" s="22"/>
      <c r="G37" s="22"/>
      <c r="H37" s="22"/>
      <c r="I37" s="15">
        <f>SUM(B37:H37)</f>
        <v>0</v>
      </c>
      <c r="R37" s="647">
        <f t="shared" ref="R37:R39" si="28">SUM(B37:H37)-I37</f>
        <v>0</v>
      </c>
    </row>
    <row r="38" spans="1:37" ht="15" customHeight="1" thickBot="1" x14ac:dyDescent="0.3">
      <c r="A38" s="14" t="s">
        <v>27</v>
      </c>
      <c r="B38" s="22"/>
      <c r="C38" s="22"/>
      <c r="D38" s="22"/>
      <c r="E38" s="22"/>
      <c r="F38" s="22"/>
      <c r="G38" s="22"/>
      <c r="H38" s="22"/>
      <c r="I38" s="15">
        <f t="shared" ref="I38:I39" si="29">SUM(B38:H38)</f>
        <v>0</v>
      </c>
      <c r="R38" s="647">
        <f t="shared" si="28"/>
        <v>0</v>
      </c>
    </row>
    <row r="39" spans="1:37" ht="15" customHeight="1" thickBot="1" x14ac:dyDescent="0.3">
      <c r="A39" s="14" t="s">
        <v>28</v>
      </c>
      <c r="B39" s="22"/>
      <c r="C39" s="22"/>
      <c r="D39" s="22"/>
      <c r="E39" s="22"/>
      <c r="F39" s="22"/>
      <c r="G39" s="22"/>
      <c r="H39" s="22"/>
      <c r="I39" s="15">
        <f t="shared" si="29"/>
        <v>0</v>
      </c>
      <c r="R39" s="647">
        <f t="shared" si="28"/>
        <v>0</v>
      </c>
    </row>
    <row r="40" spans="1:37" ht="15" customHeight="1" thickBot="1" x14ac:dyDescent="0.3">
      <c r="A40" s="25" t="s">
        <v>30</v>
      </c>
      <c r="B40" s="26">
        <f>B37+B38-B39</f>
        <v>0</v>
      </c>
      <c r="C40" s="26">
        <f>C37+C38-C39</f>
        <v>0</v>
      </c>
      <c r="D40" s="26">
        <f t="shared" ref="D40:H40" si="30">D37+D38-D39</f>
        <v>0</v>
      </c>
      <c r="E40" s="26">
        <f t="shared" si="30"/>
        <v>0</v>
      </c>
      <c r="F40" s="26">
        <f t="shared" si="30"/>
        <v>0</v>
      </c>
      <c r="G40" s="26">
        <f t="shared" si="30"/>
        <v>0</v>
      </c>
      <c r="H40" s="26">
        <f t="shared" si="30"/>
        <v>0</v>
      </c>
      <c r="I40" s="17">
        <f>I37+I38-I39</f>
        <v>0</v>
      </c>
      <c r="K40" s="650">
        <f>B37+B38-B39-B40</f>
        <v>0</v>
      </c>
      <c r="L40" s="665">
        <f>C37+C38-C39-C40</f>
        <v>0</v>
      </c>
      <c r="M40" s="665">
        <f t="shared" ref="M40:R40" si="31">D37+D38-D39-D40</f>
        <v>0</v>
      </c>
      <c r="N40" s="665">
        <f t="shared" si="31"/>
        <v>0</v>
      </c>
      <c r="O40" s="665">
        <f t="shared" si="31"/>
        <v>0</v>
      </c>
      <c r="P40" s="665">
        <f t="shared" si="31"/>
        <v>0</v>
      </c>
      <c r="Q40" s="665">
        <f t="shared" si="31"/>
        <v>0</v>
      </c>
      <c r="R40" s="665">
        <f t="shared" si="31"/>
        <v>0</v>
      </c>
    </row>
    <row r="41" spans="1:37" ht="15" customHeight="1" thickTop="1" thickBot="1" x14ac:dyDescent="0.3">
      <c r="A41" s="41" t="s">
        <v>33</v>
      </c>
      <c r="B41" s="42"/>
      <c r="C41" s="42"/>
      <c r="D41" s="42"/>
      <c r="E41" s="42"/>
      <c r="F41" s="42"/>
      <c r="G41" s="42"/>
      <c r="H41" s="42"/>
      <c r="I41" s="43"/>
      <c r="R41" s="647"/>
    </row>
    <row r="42" spans="1:37" ht="15" customHeight="1" thickTop="1" thickBot="1" x14ac:dyDescent="0.3">
      <c r="A42" s="44" t="s">
        <v>32</v>
      </c>
      <c r="B42" s="22"/>
      <c r="C42" s="22"/>
      <c r="D42" s="22"/>
      <c r="E42" s="22"/>
      <c r="F42" s="22"/>
      <c r="G42" s="22"/>
      <c r="H42" s="22"/>
      <c r="I42" s="15">
        <f>SUM(B42:H42)</f>
        <v>0</v>
      </c>
      <c r="R42" s="647">
        <f t="shared" ref="R42:R44" si="32">SUM(B42:H42)-I42</f>
        <v>0</v>
      </c>
    </row>
    <row r="43" spans="1:37" ht="15" customHeight="1" thickBot="1" x14ac:dyDescent="0.3">
      <c r="A43" s="14" t="s">
        <v>27</v>
      </c>
      <c r="B43" s="22"/>
      <c r="C43" s="22"/>
      <c r="D43" s="22"/>
      <c r="E43" s="22"/>
      <c r="F43" s="22"/>
      <c r="G43" s="22"/>
      <c r="H43" s="22"/>
      <c r="I43" s="15">
        <f t="shared" ref="I43:I44" si="33">SUM(B43:H43)</f>
        <v>0</v>
      </c>
      <c r="R43" s="647">
        <f t="shared" si="32"/>
        <v>0</v>
      </c>
    </row>
    <row r="44" spans="1:37" ht="15" customHeight="1" thickBot="1" x14ac:dyDescent="0.3">
      <c r="A44" s="14" t="s">
        <v>28</v>
      </c>
      <c r="B44" s="22"/>
      <c r="C44" s="22"/>
      <c r="D44" s="22"/>
      <c r="E44" s="22"/>
      <c r="F44" s="22"/>
      <c r="G44" s="22"/>
      <c r="H44" s="22"/>
      <c r="I44" s="15">
        <f t="shared" si="33"/>
        <v>0</v>
      </c>
      <c r="R44" s="647">
        <f t="shared" si="32"/>
        <v>0</v>
      </c>
    </row>
    <row r="45" spans="1:37" ht="15" customHeight="1" thickBot="1" x14ac:dyDescent="0.3">
      <c r="A45" s="25" t="s">
        <v>30</v>
      </c>
      <c r="B45" s="26">
        <f>B42+B43-B44</f>
        <v>0</v>
      </c>
      <c r="C45" s="26">
        <f>C42+C43-C44</f>
        <v>0</v>
      </c>
      <c r="D45" s="26">
        <f t="shared" ref="D45:H45" si="34">D42+D43-D44</f>
        <v>0</v>
      </c>
      <c r="E45" s="26">
        <f t="shared" si="34"/>
        <v>0</v>
      </c>
      <c r="F45" s="26">
        <f t="shared" si="34"/>
        <v>0</v>
      </c>
      <c r="G45" s="26">
        <f t="shared" si="34"/>
        <v>0</v>
      </c>
      <c r="H45" s="26">
        <f t="shared" si="34"/>
        <v>0</v>
      </c>
      <c r="I45" s="17">
        <f>I42+I43-I44</f>
        <v>0</v>
      </c>
      <c r="K45" s="650">
        <f>B42+B43-B44-B45</f>
        <v>0</v>
      </c>
      <c r="L45" s="665">
        <f>C42+C43-C44-C45</f>
        <v>0</v>
      </c>
      <c r="M45" s="665">
        <f t="shared" ref="M45:R45" si="35">D42+D43-D44-D45</f>
        <v>0</v>
      </c>
      <c r="N45" s="665">
        <f t="shared" si="35"/>
        <v>0</v>
      </c>
      <c r="O45" s="665">
        <f t="shared" si="35"/>
        <v>0</v>
      </c>
      <c r="P45" s="665">
        <f t="shared" si="35"/>
        <v>0</v>
      </c>
      <c r="Q45" s="665">
        <f t="shared" si="35"/>
        <v>0</v>
      </c>
      <c r="R45" s="665">
        <f t="shared" si="35"/>
        <v>0</v>
      </c>
    </row>
    <row r="46" spans="1:37" ht="15" customHeight="1" thickTop="1" thickBot="1" x14ac:dyDescent="0.3">
      <c r="A46" s="41" t="s">
        <v>34</v>
      </c>
      <c r="B46" s="42"/>
      <c r="C46" s="42"/>
      <c r="D46" s="42"/>
      <c r="E46" s="42"/>
      <c r="F46" s="42"/>
      <c r="G46" s="42"/>
      <c r="H46" s="42"/>
      <c r="I46" s="43"/>
      <c r="R46" s="647"/>
    </row>
    <row r="47" spans="1:37" ht="15" customHeight="1" thickTop="1" thickBot="1" x14ac:dyDescent="0.3">
      <c r="A47" s="44" t="s">
        <v>32</v>
      </c>
      <c r="B47" s="22">
        <f>B31-B37-B42</f>
        <v>0</v>
      </c>
      <c r="C47" s="22">
        <f t="shared" ref="C47:I47" si="36">C31-C37-C42</f>
        <v>0</v>
      </c>
      <c r="D47" s="22">
        <f t="shared" si="36"/>
        <v>0</v>
      </c>
      <c r="E47" s="22">
        <f t="shared" si="36"/>
        <v>0</v>
      </c>
      <c r="F47" s="22">
        <f t="shared" si="36"/>
        <v>0</v>
      </c>
      <c r="G47" s="22">
        <f t="shared" si="36"/>
        <v>0</v>
      </c>
      <c r="H47" s="22">
        <f t="shared" si="36"/>
        <v>0</v>
      </c>
      <c r="I47" s="15">
        <f t="shared" si="36"/>
        <v>0</v>
      </c>
      <c r="K47" s="650">
        <f>B31-B37-B42-B47</f>
        <v>0</v>
      </c>
      <c r="L47" s="665">
        <f t="shared" ref="L47:N47" si="37">C31-C37-C42-C47</f>
        <v>0</v>
      </c>
      <c r="M47" s="665">
        <f t="shared" si="37"/>
        <v>0</v>
      </c>
      <c r="N47" s="665">
        <f t="shared" si="37"/>
        <v>0</v>
      </c>
      <c r="O47" s="665">
        <f>F31-F37-F42-F47</f>
        <v>0</v>
      </c>
      <c r="P47" s="665">
        <f t="shared" ref="P47:Q47" si="38">G31-G37-G42-G47</f>
        <v>0</v>
      </c>
      <c r="Q47" s="665">
        <f t="shared" si="38"/>
        <v>0</v>
      </c>
      <c r="R47" s="647">
        <f t="shared" ref="R47" si="39">SUM(B47:H47)-I47</f>
        <v>0</v>
      </c>
    </row>
    <row r="48" spans="1:37" ht="15" customHeight="1" thickBot="1" x14ac:dyDescent="0.3">
      <c r="A48" s="25" t="s">
        <v>30</v>
      </c>
      <c r="B48" s="26">
        <f t="shared" ref="B48:I48" si="40">B35-B40-B45</f>
        <v>0</v>
      </c>
      <c r="C48" s="26">
        <f t="shared" si="40"/>
        <v>0</v>
      </c>
      <c r="D48" s="26">
        <f t="shared" si="40"/>
        <v>0</v>
      </c>
      <c r="E48" s="26">
        <f t="shared" si="40"/>
        <v>0</v>
      </c>
      <c r="F48" s="26">
        <f t="shared" si="40"/>
        <v>0</v>
      </c>
      <c r="G48" s="26">
        <f t="shared" si="40"/>
        <v>0</v>
      </c>
      <c r="H48" s="26">
        <f t="shared" si="40"/>
        <v>0</v>
      </c>
      <c r="I48" s="17">
        <f t="shared" si="40"/>
        <v>0</v>
      </c>
      <c r="K48" s="650">
        <f>B35-B40-B45-B48</f>
        <v>0</v>
      </c>
      <c r="L48" s="665">
        <f t="shared" ref="L48:N48" si="41">C35-C40-C45-C48</f>
        <v>0</v>
      </c>
      <c r="M48" s="665">
        <f t="shared" si="41"/>
        <v>0</v>
      </c>
      <c r="N48" s="665">
        <f t="shared" si="41"/>
        <v>0</v>
      </c>
      <c r="O48" s="665">
        <f>F35-F40-F45-F48</f>
        <v>0</v>
      </c>
      <c r="P48" s="665">
        <f t="shared" ref="P48:Q48" si="42">G35-G40-G45-G48</f>
        <v>0</v>
      </c>
      <c r="Q48" s="665">
        <f t="shared" si="42"/>
        <v>0</v>
      </c>
      <c r="R48" s="647">
        <f>SUM(B48:H48)-I48</f>
        <v>0</v>
      </c>
      <c r="AC48" s="650">
        <f>B48-BS!$G$13</f>
        <v>0</v>
      </c>
      <c r="AD48" s="669">
        <f>C48-BS!$G$14</f>
        <v>0</v>
      </c>
      <c r="AE48" s="669">
        <f>D48-BS!$IB$15</f>
        <v>0</v>
      </c>
      <c r="AF48" s="669">
        <f>E48-BS!$G$16</f>
        <v>0</v>
      </c>
      <c r="AG48" s="669">
        <f>F48-BS!$G$17</f>
        <v>0</v>
      </c>
      <c r="AH48" s="669">
        <f>G48-BS!$G$18</f>
        <v>0</v>
      </c>
      <c r="AI48" s="669">
        <f>H48-BS!$G$19</f>
        <v>0</v>
      </c>
      <c r="AJ48" s="647">
        <f>I48-BS!$G$12</f>
        <v>0</v>
      </c>
      <c r="AK48" s="385"/>
    </row>
    <row r="49" ht="15.75" thickTop="1" x14ac:dyDescent="0.25"/>
  </sheetData>
  <mergeCells count="7">
    <mergeCell ref="T1:AA1"/>
    <mergeCell ref="AC1:AJ1"/>
    <mergeCell ref="A28:A29"/>
    <mergeCell ref="B28:I28"/>
    <mergeCell ref="A3:A4"/>
    <mergeCell ref="B3:I3"/>
    <mergeCell ref="K1:R1"/>
  </mergeCells>
  <conditionalFormatting sqref="K6:R23">
    <cfRule type="cellIs" dxfId="261" priority="13" operator="lessThan">
      <formula>0</formula>
    </cfRule>
    <cfRule type="cellIs" dxfId="260" priority="14" operator="greaterThan">
      <formula>0</formula>
    </cfRule>
  </conditionalFormatting>
  <conditionalFormatting sqref="K31:R48">
    <cfRule type="cellIs" dxfId="259" priority="11" operator="lessThan">
      <formula>0</formula>
    </cfRule>
    <cfRule type="cellIs" dxfId="258" priority="12" operator="greaterThan">
      <formula>0</formula>
    </cfRule>
  </conditionalFormatting>
  <conditionalFormatting sqref="T6:AA22">
    <cfRule type="cellIs" dxfId="257" priority="9" operator="lessThan">
      <formula>0</formula>
    </cfRule>
    <cfRule type="cellIs" dxfId="256" priority="10" operator="greaterThan">
      <formula>0</formula>
    </cfRule>
  </conditionalFormatting>
  <conditionalFormatting sqref="AC10:AJ48">
    <cfRule type="cellIs" dxfId="255" priority="7" operator="lessThan">
      <formula>0</formula>
    </cfRule>
    <cfRule type="cellIs" dxfId="254" priority="8" operator="greaterThan">
      <formula>0</formula>
    </cfRule>
  </conditionalFormatting>
  <conditionalFormatting sqref="K6:R23">
    <cfRule type="cellIs" dxfId="253" priority="5" operator="lessThan">
      <formula>0</formula>
    </cfRule>
    <cfRule type="cellIs" dxfId="252" priority="6" operator="greaterThan">
      <formula>0</formula>
    </cfRule>
  </conditionalFormatting>
  <conditionalFormatting sqref="K31:R48">
    <cfRule type="cellIs" dxfId="251" priority="3" operator="lessThan">
      <formula>0</formula>
    </cfRule>
    <cfRule type="cellIs" dxfId="250" priority="4" operator="greaterThan">
      <formula>0</formula>
    </cfRule>
  </conditionalFormatting>
  <conditionalFormatting sqref="K31:R48">
    <cfRule type="cellIs" dxfId="249" priority="1" operator="lessThan">
      <formula>0</formula>
    </cfRule>
    <cfRule type="cellIs" dxfId="248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B5"/>
  <sheetViews>
    <sheetView showGridLines="0" zoomScaleNormal="100" workbookViewId="0">
      <selection activeCell="A16" sqref="A16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35</v>
      </c>
    </row>
    <row r="2" spans="1:2" ht="21" customHeight="1" thickTop="1" thickBot="1" x14ac:dyDescent="0.3">
      <c r="A2" s="636" t="s">
        <v>20</v>
      </c>
      <c r="B2" s="637" t="s">
        <v>36</v>
      </c>
    </row>
    <row r="3" spans="1:2" ht="23.25" customHeight="1" thickTop="1" thickBot="1" x14ac:dyDescent="0.3">
      <c r="A3" s="12" t="s">
        <v>37</v>
      </c>
      <c r="B3" s="13"/>
    </row>
    <row r="4" spans="1:2" ht="23.25" customHeight="1" thickBot="1" x14ac:dyDescent="0.3">
      <c r="A4" s="16" t="s">
        <v>38</v>
      </c>
      <c r="B4" s="17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N48"/>
  <sheetViews>
    <sheetView showGridLines="0" zoomScale="85" zoomScaleNormal="85" workbookViewId="0">
      <pane xSplit="1" ySplit="4" topLeftCell="V38" activePane="bottomRight" state="frozen"/>
      <selection pane="topRight" activeCell="B1" sqref="B1"/>
      <selection pane="bottomLeft" activeCell="A5" sqref="A5"/>
      <selection pane="bottomRight" activeCell="AF47" sqref="AF47:AN47"/>
    </sheetView>
  </sheetViews>
  <sheetFormatPr defaultRowHeight="15" outlineLevelCol="1" x14ac:dyDescent="0.25"/>
  <cols>
    <col min="1" max="1" width="29.28515625" customWidth="1"/>
    <col min="2" max="10" width="11.28515625" customWidth="1"/>
    <col min="11" max="11" width="9.140625" style="391"/>
    <col min="12" max="19" width="9.140625" style="646" customWidth="1" outlineLevel="1"/>
    <col min="20" max="20" width="18.28515625" style="648" customWidth="1"/>
    <col min="21" max="21" width="9.140625" style="657"/>
    <col min="22" max="22" width="9.140625" style="646" customWidth="1" outlineLevel="1"/>
    <col min="23" max="29" width="9.140625" style="18" customWidth="1" outlineLevel="1"/>
    <col min="30" max="30" width="26.85546875" style="648" customWidth="1"/>
    <col min="31" max="31" width="9.140625" style="648"/>
    <col min="32" max="32" width="9.140625" style="645" customWidth="1" outlineLevel="1"/>
    <col min="33" max="39" width="9.140625" style="18" customWidth="1" outlineLevel="1"/>
    <col min="40" max="40" width="26.7109375" style="648" customWidth="1"/>
  </cols>
  <sheetData>
    <row r="1" spans="1:40" ht="16.5" x14ac:dyDescent="0.3">
      <c r="A1" s="1" t="s">
        <v>39</v>
      </c>
      <c r="L1" s="1428" t="s">
        <v>1138</v>
      </c>
      <c r="M1" s="1414"/>
      <c r="N1" s="1414"/>
      <c r="O1" s="1414"/>
      <c r="P1" s="1414"/>
      <c r="Q1" s="1414"/>
      <c r="R1" s="1414"/>
      <c r="S1" s="1414"/>
      <c r="T1" s="1429"/>
      <c r="V1" s="1428" t="s">
        <v>1139</v>
      </c>
      <c r="W1" s="1414"/>
      <c r="X1" s="1414"/>
      <c r="Y1" s="1414"/>
      <c r="Z1" s="1414"/>
      <c r="AA1" s="1414"/>
      <c r="AB1" s="1414"/>
      <c r="AC1" s="1414"/>
      <c r="AD1" s="1429"/>
      <c r="AF1" s="1428" t="s">
        <v>1140</v>
      </c>
      <c r="AG1" s="1414"/>
      <c r="AH1" s="1414"/>
      <c r="AI1" s="1414"/>
      <c r="AJ1" s="1414"/>
      <c r="AK1" s="1414"/>
      <c r="AL1" s="1414"/>
      <c r="AM1" s="1414"/>
      <c r="AN1" s="1429"/>
    </row>
    <row r="2" spans="1:40" ht="17.25" thickBot="1" x14ac:dyDescent="0.35">
      <c r="A2" s="2" t="s">
        <v>8</v>
      </c>
    </row>
    <row r="3" spans="1:40" ht="16.5" thickTop="1" thickBot="1" x14ac:dyDescent="0.3">
      <c r="A3" s="1426" t="s">
        <v>40</v>
      </c>
      <c r="B3" s="1366" t="s">
        <v>2</v>
      </c>
      <c r="C3" s="1367"/>
      <c r="D3" s="1367"/>
      <c r="E3" s="1367"/>
      <c r="F3" s="1367"/>
      <c r="G3" s="1367"/>
      <c r="H3" s="1367"/>
      <c r="I3" s="1367"/>
      <c r="J3" s="1368"/>
      <c r="K3" s="395"/>
    </row>
    <row r="4" spans="1:40" ht="62.25" customHeight="1" thickTop="1" thickBot="1" x14ac:dyDescent="0.3">
      <c r="A4" s="1430"/>
      <c r="B4" s="10" t="s">
        <v>41</v>
      </c>
      <c r="C4" s="10" t="s">
        <v>42</v>
      </c>
      <c r="D4" s="10" t="s">
        <v>43</v>
      </c>
      <c r="E4" s="10" t="s">
        <v>444</v>
      </c>
      <c r="F4" s="10" t="s">
        <v>44</v>
      </c>
      <c r="G4" s="10" t="s">
        <v>45</v>
      </c>
      <c r="H4" s="10" t="s">
        <v>445</v>
      </c>
      <c r="I4" s="10" t="s">
        <v>46</v>
      </c>
      <c r="J4" s="10" t="s">
        <v>14</v>
      </c>
      <c r="K4" s="387"/>
      <c r="L4" s="59" t="s">
        <v>41</v>
      </c>
      <c r="M4" s="59" t="s">
        <v>42</v>
      </c>
      <c r="N4" s="59" t="s">
        <v>43</v>
      </c>
      <c r="O4" s="59" t="s">
        <v>444</v>
      </c>
      <c r="P4" s="59" t="s">
        <v>44</v>
      </c>
      <c r="Q4" s="59" t="s">
        <v>45</v>
      </c>
      <c r="R4" s="59" t="s">
        <v>445</v>
      </c>
      <c r="S4" s="59" t="s">
        <v>46</v>
      </c>
      <c r="T4" s="59" t="s">
        <v>14</v>
      </c>
      <c r="U4" s="646"/>
      <c r="V4" s="59" t="s">
        <v>41</v>
      </c>
      <c r="W4" s="59" t="s">
        <v>42</v>
      </c>
      <c r="X4" s="59" t="s">
        <v>43</v>
      </c>
      <c r="Y4" s="59" t="s">
        <v>444</v>
      </c>
      <c r="Z4" s="59" t="s">
        <v>44</v>
      </c>
      <c r="AA4" s="59" t="s">
        <v>45</v>
      </c>
      <c r="AB4" s="59" t="s">
        <v>445</v>
      </c>
      <c r="AC4" s="59" t="s">
        <v>46</v>
      </c>
      <c r="AD4" s="59" t="s">
        <v>14</v>
      </c>
      <c r="AF4" s="59" t="s">
        <v>41</v>
      </c>
      <c r="AG4" s="59" t="s">
        <v>42</v>
      </c>
      <c r="AH4" s="59" t="s">
        <v>43</v>
      </c>
      <c r="AI4" s="59" t="s">
        <v>444</v>
      </c>
      <c r="AJ4" s="59" t="s">
        <v>44</v>
      </c>
      <c r="AK4" s="59" t="s">
        <v>45</v>
      </c>
      <c r="AL4" s="59" t="s">
        <v>445</v>
      </c>
      <c r="AM4" s="59" t="s">
        <v>46</v>
      </c>
      <c r="AN4" s="59" t="s">
        <v>14</v>
      </c>
    </row>
    <row r="5" spans="1:40" ht="15" customHeight="1" thickTop="1" thickBot="1" x14ac:dyDescent="0.3">
      <c r="A5" s="41" t="s">
        <v>25</v>
      </c>
      <c r="B5" s="42"/>
      <c r="C5" s="42"/>
      <c r="D5" s="42"/>
      <c r="E5" s="42"/>
      <c r="F5" s="42"/>
      <c r="G5" s="42"/>
      <c r="H5" s="42"/>
      <c r="I5" s="42"/>
      <c r="J5" s="43"/>
      <c r="K5" s="395"/>
    </row>
    <row r="6" spans="1:40" ht="15" customHeight="1" thickTop="1" thickBot="1" x14ac:dyDescent="0.3">
      <c r="A6" s="44" t="s">
        <v>26</v>
      </c>
      <c r="B6" s="22"/>
      <c r="C6" s="22"/>
      <c r="D6" s="22"/>
      <c r="E6" s="22"/>
      <c r="F6" s="45"/>
      <c r="G6" s="22"/>
      <c r="H6" s="22"/>
      <c r="I6" s="22"/>
      <c r="J6" s="15">
        <f>SUM(B6:H6)</f>
        <v>0</v>
      </c>
      <c r="T6" s="647">
        <f>SUM(B6:I6)-J6</f>
        <v>0</v>
      </c>
      <c r="V6" s="665">
        <f>B6-B34</f>
        <v>0</v>
      </c>
      <c r="W6" s="665">
        <f t="shared" ref="W6:AB6" si="0">C6-C34</f>
        <v>0</v>
      </c>
      <c r="X6" s="665">
        <f t="shared" si="0"/>
        <v>0</v>
      </c>
      <c r="Y6" s="665">
        <f t="shared" si="0"/>
        <v>0</v>
      </c>
      <c r="Z6" s="665">
        <f t="shared" si="0"/>
        <v>0</v>
      </c>
      <c r="AA6" s="665">
        <f t="shared" si="0"/>
        <v>0</v>
      </c>
      <c r="AB6" s="665">
        <f t="shared" si="0"/>
        <v>0</v>
      </c>
      <c r="AC6" s="665">
        <f>I6-I34</f>
        <v>0</v>
      </c>
      <c r="AD6" s="647">
        <f>J6-J34</f>
        <v>0</v>
      </c>
    </row>
    <row r="7" spans="1:40" ht="15" customHeight="1" thickBot="1" x14ac:dyDescent="0.3">
      <c r="A7" s="14" t="s">
        <v>27</v>
      </c>
      <c r="B7" s="22"/>
      <c r="C7" s="22"/>
      <c r="D7" s="22"/>
      <c r="E7" s="22"/>
      <c r="F7" s="46"/>
      <c r="G7" s="22"/>
      <c r="H7" s="22"/>
      <c r="I7" s="22"/>
      <c r="J7" s="15">
        <f t="shared" ref="J7:J9" si="1">SUM(B7:H7)</f>
        <v>0</v>
      </c>
      <c r="T7" s="647">
        <f t="shared" ref="T7:T9" si="2">SUM(B7:I7)-J7</f>
        <v>0</v>
      </c>
      <c r="W7" s="646"/>
      <c r="X7" s="646"/>
      <c r="Y7" s="646"/>
      <c r="Z7" s="646"/>
      <c r="AA7" s="646"/>
      <c r="AB7" s="646"/>
      <c r="AC7" s="646"/>
    </row>
    <row r="8" spans="1:40" ht="15" customHeight="1" thickBot="1" x14ac:dyDescent="0.3">
      <c r="A8" s="14" t="s">
        <v>28</v>
      </c>
      <c r="B8" s="22"/>
      <c r="C8" s="22"/>
      <c r="D8" s="22"/>
      <c r="E8" s="22"/>
      <c r="F8" s="46"/>
      <c r="G8" s="22"/>
      <c r="H8" s="22"/>
      <c r="I8" s="22"/>
      <c r="J8" s="15">
        <f t="shared" si="1"/>
        <v>0</v>
      </c>
      <c r="T8" s="647">
        <f t="shared" si="2"/>
        <v>0</v>
      </c>
      <c r="W8" s="646"/>
      <c r="X8" s="646"/>
      <c r="Y8" s="646"/>
      <c r="Z8" s="646"/>
      <c r="AA8" s="646"/>
      <c r="AB8" s="646"/>
      <c r="AC8" s="646"/>
    </row>
    <row r="9" spans="1:40" ht="15" customHeight="1" thickBot="1" x14ac:dyDescent="0.3">
      <c r="A9" s="14" t="s">
        <v>29</v>
      </c>
      <c r="B9" s="22"/>
      <c r="C9" s="22"/>
      <c r="D9" s="22"/>
      <c r="E9" s="22"/>
      <c r="F9" s="46"/>
      <c r="G9" s="22"/>
      <c r="H9" s="22"/>
      <c r="I9" s="22"/>
      <c r="J9" s="15">
        <f t="shared" si="1"/>
        <v>0</v>
      </c>
      <c r="T9" s="647">
        <f t="shared" si="2"/>
        <v>0</v>
      </c>
      <c r="W9" s="646"/>
      <c r="X9" s="646"/>
      <c r="Y9" s="646"/>
      <c r="Z9" s="646"/>
      <c r="AA9" s="646"/>
      <c r="AB9" s="646"/>
      <c r="AC9" s="646"/>
    </row>
    <row r="10" spans="1:40" ht="15" customHeight="1" thickBot="1" x14ac:dyDescent="0.3">
      <c r="A10" s="25" t="s">
        <v>30</v>
      </c>
      <c r="B10" s="26">
        <f>B6+B7-B8+B9</f>
        <v>0</v>
      </c>
      <c r="C10" s="26">
        <f>C6+C7-C8+C9</f>
        <v>0</v>
      </c>
      <c r="D10" s="26">
        <f>D6+D7-D8+D9</f>
        <v>0</v>
      </c>
      <c r="E10" s="26">
        <f t="shared" ref="E10:H10" si="3">E6+E7-E8+E9</f>
        <v>0</v>
      </c>
      <c r="F10" s="26">
        <f t="shared" si="3"/>
        <v>0</v>
      </c>
      <c r="G10" s="26">
        <f t="shared" si="3"/>
        <v>0</v>
      </c>
      <c r="H10" s="26">
        <f t="shared" si="3"/>
        <v>0</v>
      </c>
      <c r="I10" s="26">
        <f>I6+I7-I8+I9</f>
        <v>0</v>
      </c>
      <c r="J10" s="17">
        <f>J6+J7-J8+J9</f>
        <v>0</v>
      </c>
      <c r="L10" s="650">
        <f>B6+B7-B8+B9-B10</f>
        <v>0</v>
      </c>
      <c r="M10" s="665">
        <f t="shared" ref="M10:T10" si="4">C6+C7-C8+C9-C10</f>
        <v>0</v>
      </c>
      <c r="N10" s="665">
        <f t="shared" si="4"/>
        <v>0</v>
      </c>
      <c r="O10" s="665">
        <f t="shared" si="4"/>
        <v>0</v>
      </c>
      <c r="P10" s="665">
        <f t="shared" si="4"/>
        <v>0</v>
      </c>
      <c r="Q10" s="665">
        <f t="shared" si="4"/>
        <v>0</v>
      </c>
      <c r="R10" s="665">
        <f t="shared" si="4"/>
        <v>0</v>
      </c>
      <c r="S10" s="665">
        <f t="shared" si="4"/>
        <v>0</v>
      </c>
      <c r="T10" s="665">
        <f t="shared" si="4"/>
        <v>0</v>
      </c>
      <c r="W10" s="646"/>
      <c r="X10" s="646"/>
      <c r="Y10" s="646"/>
      <c r="Z10" s="646"/>
      <c r="AA10" s="646"/>
      <c r="AB10" s="646"/>
      <c r="AC10" s="646"/>
      <c r="AF10" s="650">
        <f>B10-BS!$D$21</f>
        <v>0</v>
      </c>
      <c r="AG10" s="665">
        <f>C10-BS!$D$22</f>
        <v>0</v>
      </c>
      <c r="AH10" s="665">
        <f>D10-BS!$D$23</f>
        <v>-38844</v>
      </c>
      <c r="AI10" s="665">
        <f>E10-BS!$D$24</f>
        <v>0</v>
      </c>
      <c r="AJ10" s="665">
        <f>F10-BS!$D$25</f>
        <v>0</v>
      </c>
      <c r="AK10" s="665">
        <f>G10-BS!$D$26</f>
        <v>0</v>
      </c>
      <c r="AL10" s="665">
        <f>H10-BS!$D$27</f>
        <v>0</v>
      </c>
      <c r="AM10" s="665">
        <f>I10-BS!$D$28</f>
        <v>0</v>
      </c>
      <c r="AN10" s="647">
        <f>J10-BS!$D$20</f>
        <v>-38844</v>
      </c>
    </row>
    <row r="11" spans="1:40" ht="15" customHeight="1" thickTop="1" thickBot="1" x14ac:dyDescent="0.3">
      <c r="A11" s="41" t="s">
        <v>31</v>
      </c>
      <c r="B11" s="42"/>
      <c r="C11" s="42"/>
      <c r="D11" s="42"/>
      <c r="E11" s="42"/>
      <c r="F11" s="42"/>
      <c r="G11" s="42"/>
      <c r="H11" s="42"/>
      <c r="I11" s="42"/>
      <c r="J11" s="43"/>
      <c r="L11" s="645"/>
      <c r="T11" s="647"/>
      <c r="W11" s="646"/>
      <c r="X11" s="646"/>
      <c r="Y11" s="646"/>
      <c r="Z11" s="646"/>
      <c r="AA11" s="646"/>
      <c r="AB11" s="646"/>
      <c r="AC11" s="646"/>
    </row>
    <row r="12" spans="1:40" ht="15" customHeight="1" thickTop="1" thickBot="1" x14ac:dyDescent="0.3">
      <c r="A12" s="44" t="s">
        <v>32</v>
      </c>
      <c r="B12" s="22"/>
      <c r="C12" s="22"/>
      <c r="D12" s="22"/>
      <c r="E12" s="22"/>
      <c r="F12" s="22"/>
      <c r="G12" s="22"/>
      <c r="H12" s="22"/>
      <c r="I12" s="22"/>
      <c r="J12" s="15">
        <f>SUM(B12:H12)</f>
        <v>0</v>
      </c>
      <c r="L12" s="645"/>
      <c r="T12" s="647">
        <f t="shared" ref="T12:T14" si="5">SUM(B12:I12)-J12</f>
        <v>0</v>
      </c>
      <c r="V12" s="665">
        <f>B12-B39</f>
        <v>0</v>
      </c>
      <c r="W12" s="665">
        <f t="shared" ref="W12:AB12" si="6">C12-C39</f>
        <v>0</v>
      </c>
      <c r="X12" s="665">
        <f t="shared" si="6"/>
        <v>0</v>
      </c>
      <c r="Y12" s="665">
        <f t="shared" si="6"/>
        <v>0</v>
      </c>
      <c r="Z12" s="665">
        <f t="shared" si="6"/>
        <v>0</v>
      </c>
      <c r="AA12" s="665">
        <f t="shared" si="6"/>
        <v>0</v>
      </c>
      <c r="AB12" s="665">
        <f t="shared" si="6"/>
        <v>0</v>
      </c>
      <c r="AC12" s="665">
        <f>I12-I39</f>
        <v>0</v>
      </c>
      <c r="AD12" s="647">
        <f>J12-J39</f>
        <v>0</v>
      </c>
    </row>
    <row r="13" spans="1:40" ht="15" customHeight="1" thickBot="1" x14ac:dyDescent="0.3">
      <c r="A13" s="14" t="s">
        <v>27</v>
      </c>
      <c r="B13" s="22"/>
      <c r="C13" s="22"/>
      <c r="D13" s="22"/>
      <c r="E13" s="22"/>
      <c r="F13" s="22"/>
      <c r="G13" s="22"/>
      <c r="H13" s="22"/>
      <c r="I13" s="22"/>
      <c r="J13" s="15">
        <f t="shared" ref="J13:J14" si="7">SUM(B13:H13)</f>
        <v>0</v>
      </c>
      <c r="L13" s="645"/>
      <c r="T13" s="647">
        <f t="shared" si="5"/>
        <v>0</v>
      </c>
      <c r="W13" s="646"/>
      <c r="X13" s="646"/>
      <c r="Y13" s="646"/>
      <c r="Z13" s="646"/>
      <c r="AA13" s="646"/>
      <c r="AB13" s="646"/>
      <c r="AC13" s="646"/>
    </row>
    <row r="14" spans="1:40" ht="15" customHeight="1" thickBot="1" x14ac:dyDescent="0.3">
      <c r="A14" s="14" t="s">
        <v>28</v>
      </c>
      <c r="B14" s="22"/>
      <c r="C14" s="22"/>
      <c r="D14" s="22"/>
      <c r="E14" s="22"/>
      <c r="F14" s="22"/>
      <c r="G14" s="22"/>
      <c r="H14" s="22"/>
      <c r="I14" s="22"/>
      <c r="J14" s="15">
        <f t="shared" si="7"/>
        <v>0</v>
      </c>
      <c r="L14" s="645"/>
      <c r="T14" s="647">
        <f t="shared" si="5"/>
        <v>0</v>
      </c>
      <c r="W14" s="646"/>
      <c r="X14" s="646"/>
      <c r="Y14" s="646"/>
      <c r="Z14" s="646"/>
      <c r="AA14" s="646"/>
      <c r="AB14" s="646"/>
      <c r="AC14" s="646"/>
      <c r="AF14" s="670" t="s">
        <v>1141</v>
      </c>
    </row>
    <row r="15" spans="1:40" ht="15" customHeight="1" thickBot="1" x14ac:dyDescent="0.3">
      <c r="A15" s="25" t="s">
        <v>30</v>
      </c>
      <c r="B15" s="26">
        <f>B12+B13-B14</f>
        <v>0</v>
      </c>
      <c r="C15" s="26">
        <f>C12+C13-C14</f>
        <v>0</v>
      </c>
      <c r="D15" s="26">
        <f t="shared" ref="D15:I15" si="8">D12+D13-D14</f>
        <v>0</v>
      </c>
      <c r="E15" s="26">
        <f t="shared" si="8"/>
        <v>0</v>
      </c>
      <c r="F15" s="26">
        <f t="shared" si="8"/>
        <v>0</v>
      </c>
      <c r="G15" s="26">
        <f t="shared" si="8"/>
        <v>0</v>
      </c>
      <c r="H15" s="26">
        <f t="shared" si="8"/>
        <v>0</v>
      </c>
      <c r="I15" s="26">
        <f t="shared" si="8"/>
        <v>0</v>
      </c>
      <c r="J15" s="17">
        <f>J12+J13-J14</f>
        <v>0</v>
      </c>
      <c r="L15" s="650">
        <f>B12+B13-B14-B15</f>
        <v>0</v>
      </c>
      <c r="M15" s="665">
        <f t="shared" ref="M15:T15" si="9">C12+C13-C14-C15</f>
        <v>0</v>
      </c>
      <c r="N15" s="665">
        <f t="shared" si="9"/>
        <v>0</v>
      </c>
      <c r="O15" s="665">
        <f t="shared" si="9"/>
        <v>0</v>
      </c>
      <c r="P15" s="665">
        <f t="shared" si="9"/>
        <v>0</v>
      </c>
      <c r="Q15" s="665">
        <f t="shared" si="9"/>
        <v>0</v>
      </c>
      <c r="R15" s="665">
        <f t="shared" si="9"/>
        <v>0</v>
      </c>
      <c r="S15" s="665">
        <f t="shared" si="9"/>
        <v>0</v>
      </c>
      <c r="T15" s="665">
        <f t="shared" si="9"/>
        <v>0</v>
      </c>
      <c r="W15" s="646"/>
      <c r="X15" s="646"/>
      <c r="Y15" s="646"/>
      <c r="Z15" s="646"/>
      <c r="AA15" s="646"/>
      <c r="AB15" s="646"/>
      <c r="AC15" s="646"/>
      <c r="AF15" s="650">
        <f>B15+B20-BS!$E$21</f>
        <v>0</v>
      </c>
      <c r="AG15" s="665">
        <f>C15+C20-BS!$E$22</f>
        <v>0</v>
      </c>
      <c r="AH15" s="665">
        <f>D15+D20-BS!$E$23</f>
        <v>-20604</v>
      </c>
      <c r="AI15" s="665">
        <f>E15+E20-BS!$E$24</f>
        <v>0</v>
      </c>
      <c r="AJ15" s="665">
        <f>F15+F20-BS!$E$25</f>
        <v>0</v>
      </c>
      <c r="AK15" s="665">
        <f>G15+G20-BS!$E$26</f>
        <v>0</v>
      </c>
      <c r="AL15" s="665">
        <f>H15+H20-BS!$E$27</f>
        <v>0</v>
      </c>
      <c r="AM15" s="665">
        <f>I15+I20-BS!$E$28</f>
        <v>0</v>
      </c>
      <c r="AN15" s="647">
        <f>J15+J20-BS!$E$20</f>
        <v>-20604</v>
      </c>
    </row>
    <row r="16" spans="1:40" ht="15" customHeight="1" thickTop="1" thickBot="1" x14ac:dyDescent="0.3">
      <c r="A16" s="41" t="s">
        <v>33</v>
      </c>
      <c r="B16" s="42"/>
      <c r="C16" s="42"/>
      <c r="D16" s="42"/>
      <c r="E16" s="42"/>
      <c r="F16" s="42"/>
      <c r="G16" s="42"/>
      <c r="H16" s="42"/>
      <c r="I16" s="42"/>
      <c r="J16" s="43"/>
      <c r="L16" s="645"/>
      <c r="T16" s="647"/>
      <c r="W16" s="646"/>
      <c r="X16" s="646"/>
      <c r="Y16" s="646"/>
      <c r="Z16" s="646"/>
      <c r="AA16" s="646"/>
      <c r="AB16" s="646"/>
      <c r="AC16" s="646"/>
      <c r="AG16" s="646"/>
      <c r="AH16" s="646"/>
      <c r="AI16" s="646"/>
      <c r="AJ16" s="646"/>
      <c r="AK16" s="646"/>
      <c r="AL16" s="646"/>
    </row>
    <row r="17" spans="1:40" ht="15" customHeight="1" thickTop="1" thickBot="1" x14ac:dyDescent="0.3">
      <c r="A17" s="44" t="s">
        <v>32</v>
      </c>
      <c r="B17" s="22"/>
      <c r="C17" s="22"/>
      <c r="D17" s="22"/>
      <c r="E17" s="22"/>
      <c r="F17" s="22"/>
      <c r="G17" s="22"/>
      <c r="H17" s="22"/>
      <c r="I17" s="22"/>
      <c r="J17" s="15">
        <f>SUM(B17:H17)</f>
        <v>0</v>
      </c>
      <c r="L17" s="645"/>
      <c r="T17" s="647">
        <f t="shared" ref="T17:T19" si="10">SUM(B17:I17)-J17</f>
        <v>0</v>
      </c>
      <c r="V17" s="665">
        <f>B17-B44</f>
        <v>0</v>
      </c>
      <c r="W17" s="665">
        <f t="shared" ref="W17:AB17" si="11">C17-C44</f>
        <v>0</v>
      </c>
      <c r="X17" s="665">
        <f t="shared" si="11"/>
        <v>0</v>
      </c>
      <c r="Y17" s="665">
        <f t="shared" si="11"/>
        <v>0</v>
      </c>
      <c r="Z17" s="665">
        <f t="shared" si="11"/>
        <v>0</v>
      </c>
      <c r="AA17" s="665">
        <f t="shared" si="11"/>
        <v>0</v>
      </c>
      <c r="AB17" s="665">
        <f t="shared" si="11"/>
        <v>0</v>
      </c>
      <c r="AC17" s="665">
        <f>I17-I44</f>
        <v>0</v>
      </c>
      <c r="AD17" s="647">
        <f>J17-J44</f>
        <v>0</v>
      </c>
      <c r="AG17" s="646"/>
      <c r="AH17" s="646"/>
      <c r="AI17" s="646"/>
      <c r="AJ17" s="646"/>
      <c r="AK17" s="646"/>
      <c r="AL17" s="646"/>
    </row>
    <row r="18" spans="1:40" ht="15" customHeight="1" thickBot="1" x14ac:dyDescent="0.3">
      <c r="A18" s="14" t="s">
        <v>27</v>
      </c>
      <c r="B18" s="22"/>
      <c r="C18" s="22"/>
      <c r="D18" s="22"/>
      <c r="E18" s="22"/>
      <c r="F18" s="22"/>
      <c r="G18" s="22"/>
      <c r="H18" s="22"/>
      <c r="I18" s="22"/>
      <c r="J18" s="15">
        <f t="shared" ref="J18:J19" si="12">SUM(B18:H18)</f>
        <v>0</v>
      </c>
      <c r="L18" s="645"/>
      <c r="T18" s="647">
        <f t="shared" si="10"/>
        <v>0</v>
      </c>
      <c r="W18" s="646"/>
      <c r="X18" s="646"/>
      <c r="Y18" s="646"/>
      <c r="Z18" s="646"/>
      <c r="AA18" s="646"/>
      <c r="AB18" s="646"/>
      <c r="AC18" s="646"/>
      <c r="AG18" s="646"/>
      <c r="AH18" s="646"/>
      <c r="AI18" s="646"/>
      <c r="AJ18" s="646"/>
      <c r="AK18" s="646"/>
      <c r="AL18" s="646"/>
    </row>
    <row r="19" spans="1:40" ht="15" customHeight="1" thickBot="1" x14ac:dyDescent="0.3">
      <c r="A19" s="14" t="s">
        <v>28</v>
      </c>
      <c r="B19" s="22"/>
      <c r="C19" s="22"/>
      <c r="D19" s="22"/>
      <c r="E19" s="22"/>
      <c r="F19" s="22"/>
      <c r="G19" s="22"/>
      <c r="H19" s="22"/>
      <c r="I19" s="22"/>
      <c r="J19" s="15">
        <f t="shared" si="12"/>
        <v>0</v>
      </c>
      <c r="L19" s="645"/>
      <c r="T19" s="647">
        <f t="shared" si="10"/>
        <v>0</v>
      </c>
      <c r="W19" s="646"/>
      <c r="X19" s="646"/>
      <c r="Y19" s="646"/>
      <c r="Z19" s="646"/>
      <c r="AA19" s="646"/>
      <c r="AB19" s="646"/>
      <c r="AC19" s="646"/>
      <c r="AG19" s="646"/>
      <c r="AH19" s="646"/>
      <c r="AI19" s="646"/>
      <c r="AJ19" s="646"/>
      <c r="AK19" s="646"/>
      <c r="AL19" s="646"/>
    </row>
    <row r="20" spans="1:40" ht="15" customHeight="1" thickBot="1" x14ac:dyDescent="0.3">
      <c r="A20" s="25" t="s">
        <v>30</v>
      </c>
      <c r="B20" s="26">
        <f>B17+B18-B19</f>
        <v>0</v>
      </c>
      <c r="C20" s="26">
        <f>C17+C18-C19</f>
        <v>0</v>
      </c>
      <c r="D20" s="26">
        <f t="shared" ref="D20:I20" si="13">D17+D18-D19</f>
        <v>0</v>
      </c>
      <c r="E20" s="26">
        <f t="shared" si="13"/>
        <v>0</v>
      </c>
      <c r="F20" s="26">
        <f t="shared" si="13"/>
        <v>0</v>
      </c>
      <c r="G20" s="26">
        <f t="shared" si="13"/>
        <v>0</v>
      </c>
      <c r="H20" s="26">
        <f t="shared" si="13"/>
        <v>0</v>
      </c>
      <c r="I20" s="26">
        <f t="shared" si="13"/>
        <v>0</v>
      </c>
      <c r="J20" s="17">
        <f>J17+J18-J19</f>
        <v>0</v>
      </c>
      <c r="L20" s="650">
        <f>B17+B18-B19-B20</f>
        <v>0</v>
      </c>
      <c r="M20" s="665">
        <f t="shared" ref="M20:T20" si="14">C17+C18-C19-C20</f>
        <v>0</v>
      </c>
      <c r="N20" s="665">
        <f t="shared" si="14"/>
        <v>0</v>
      </c>
      <c r="O20" s="665">
        <f t="shared" si="14"/>
        <v>0</v>
      </c>
      <c r="P20" s="665">
        <f t="shared" si="14"/>
        <v>0</v>
      </c>
      <c r="Q20" s="665">
        <f t="shared" si="14"/>
        <v>0</v>
      </c>
      <c r="R20" s="665">
        <f t="shared" si="14"/>
        <v>0</v>
      </c>
      <c r="S20" s="665">
        <f t="shared" si="14"/>
        <v>0</v>
      </c>
      <c r="T20" s="665">
        <f t="shared" si="14"/>
        <v>0</v>
      </c>
      <c r="W20" s="646"/>
      <c r="X20" s="646"/>
      <c r="Y20" s="646"/>
      <c r="Z20" s="646"/>
      <c r="AA20" s="646"/>
      <c r="AB20" s="646"/>
      <c r="AC20" s="646"/>
      <c r="AG20" s="646"/>
      <c r="AH20" s="646"/>
      <c r="AI20" s="646"/>
      <c r="AJ20" s="646"/>
      <c r="AK20" s="646"/>
      <c r="AL20" s="646"/>
    </row>
    <row r="21" spans="1:40" ht="15" customHeight="1" thickTop="1" thickBot="1" x14ac:dyDescent="0.3">
      <c r="A21" s="41" t="s">
        <v>34</v>
      </c>
      <c r="B21" s="42"/>
      <c r="C21" s="42"/>
      <c r="D21" s="42"/>
      <c r="E21" s="42"/>
      <c r="F21" s="42"/>
      <c r="G21" s="42"/>
      <c r="H21" s="42"/>
      <c r="I21" s="42"/>
      <c r="J21" s="43"/>
      <c r="L21" s="645"/>
      <c r="T21" s="647"/>
      <c r="W21" s="646"/>
      <c r="X21" s="646"/>
      <c r="Y21" s="646"/>
      <c r="Z21" s="646"/>
      <c r="AA21" s="646"/>
      <c r="AB21" s="646"/>
      <c r="AC21" s="646"/>
      <c r="AG21" s="646"/>
      <c r="AH21" s="646"/>
      <c r="AI21" s="646"/>
      <c r="AJ21" s="646"/>
      <c r="AK21" s="646"/>
      <c r="AL21" s="646"/>
    </row>
    <row r="22" spans="1:40" ht="15" customHeight="1" thickTop="1" thickBot="1" x14ac:dyDescent="0.3">
      <c r="A22" s="44" t="s">
        <v>32</v>
      </c>
      <c r="B22" s="22">
        <f>B6-B12-B17</f>
        <v>0</v>
      </c>
      <c r="C22" s="22">
        <f>C6-C12-C17</f>
        <v>0</v>
      </c>
      <c r="D22" s="22">
        <f t="shared" ref="D22:J22" si="15">D6-D12-D17</f>
        <v>0</v>
      </c>
      <c r="E22" s="22">
        <f t="shared" si="15"/>
        <v>0</v>
      </c>
      <c r="F22" s="22">
        <f t="shared" si="15"/>
        <v>0</v>
      </c>
      <c r="G22" s="22">
        <f t="shared" si="15"/>
        <v>0</v>
      </c>
      <c r="H22" s="22">
        <f t="shared" si="15"/>
        <v>0</v>
      </c>
      <c r="I22" s="22">
        <f t="shared" ref="I22" si="16">I6-I12-I17</f>
        <v>0</v>
      </c>
      <c r="J22" s="15">
        <f t="shared" si="15"/>
        <v>0</v>
      </c>
      <c r="L22" s="650">
        <f>B6-B12-B17-B22</f>
        <v>0</v>
      </c>
      <c r="M22" s="665">
        <f t="shared" ref="M22:S22" si="17">C6-C12-C17-C22</f>
        <v>0</v>
      </c>
      <c r="N22" s="665">
        <f t="shared" si="17"/>
        <v>0</v>
      </c>
      <c r="O22" s="665">
        <f t="shared" si="17"/>
        <v>0</v>
      </c>
      <c r="P22" s="665">
        <f t="shared" si="17"/>
        <v>0</v>
      </c>
      <c r="Q22" s="665">
        <f t="shared" si="17"/>
        <v>0</v>
      </c>
      <c r="R22" s="665">
        <f t="shared" si="17"/>
        <v>0</v>
      </c>
      <c r="S22" s="665">
        <f t="shared" si="17"/>
        <v>0</v>
      </c>
      <c r="T22" s="647">
        <f t="shared" ref="T22:T23" si="18">SUM(B22:I22)-J22</f>
        <v>0</v>
      </c>
      <c r="V22" s="665">
        <f>B22-B47</f>
        <v>0</v>
      </c>
      <c r="W22" s="665">
        <f t="shared" ref="W22:AB22" si="19">C22-C47</f>
        <v>0</v>
      </c>
      <c r="X22" s="665">
        <f t="shared" si="19"/>
        <v>0</v>
      </c>
      <c r="Y22" s="665">
        <f t="shared" si="19"/>
        <v>0</v>
      </c>
      <c r="Z22" s="665">
        <f t="shared" si="19"/>
        <v>0</v>
      </c>
      <c r="AA22" s="665">
        <f t="shared" si="19"/>
        <v>0</v>
      </c>
      <c r="AB22" s="665">
        <f t="shared" si="19"/>
        <v>0</v>
      </c>
      <c r="AC22" s="665">
        <f>I22-I47</f>
        <v>0</v>
      </c>
      <c r="AD22" s="647">
        <f>J22-J47</f>
        <v>0</v>
      </c>
      <c r="AG22" s="646"/>
      <c r="AH22" s="646"/>
      <c r="AI22" s="646"/>
      <c r="AJ22" s="646"/>
      <c r="AK22" s="646"/>
      <c r="AL22" s="646"/>
    </row>
    <row r="23" spans="1:40" ht="15" customHeight="1" thickBot="1" x14ac:dyDescent="0.3">
      <c r="A23" s="25" t="s">
        <v>30</v>
      </c>
      <c r="B23" s="26">
        <f>B10-B15-B20</f>
        <v>0</v>
      </c>
      <c r="C23" s="26">
        <f>C10-C15-C20</f>
        <v>0</v>
      </c>
      <c r="D23" s="26">
        <f t="shared" ref="D23:J23" si="20">D10-D15-D20</f>
        <v>0</v>
      </c>
      <c r="E23" s="26">
        <f t="shared" si="20"/>
        <v>0</v>
      </c>
      <c r="F23" s="26">
        <f t="shared" si="20"/>
        <v>0</v>
      </c>
      <c r="G23" s="26">
        <f t="shared" si="20"/>
        <v>0</v>
      </c>
      <c r="H23" s="26">
        <f t="shared" si="20"/>
        <v>0</v>
      </c>
      <c r="I23" s="26">
        <f t="shared" ref="I23" si="21">I10-I15-I20</f>
        <v>0</v>
      </c>
      <c r="J23" s="17">
        <f t="shared" si="20"/>
        <v>0</v>
      </c>
      <c r="L23" s="650">
        <f>B10-B15-B20-B23</f>
        <v>0</v>
      </c>
      <c r="M23" s="665">
        <f t="shared" ref="M23:S23" si="22">C10-C15-C20-C23</f>
        <v>0</v>
      </c>
      <c r="N23" s="665">
        <f t="shared" si="22"/>
        <v>0</v>
      </c>
      <c r="O23" s="665">
        <f t="shared" si="22"/>
        <v>0</v>
      </c>
      <c r="P23" s="665">
        <f t="shared" si="22"/>
        <v>0</v>
      </c>
      <c r="Q23" s="665">
        <f t="shared" si="22"/>
        <v>0</v>
      </c>
      <c r="R23" s="665">
        <f t="shared" si="22"/>
        <v>0</v>
      </c>
      <c r="S23" s="665">
        <f t="shared" si="22"/>
        <v>0</v>
      </c>
      <c r="T23" s="647">
        <f t="shared" si="18"/>
        <v>0</v>
      </c>
      <c r="AF23" s="650">
        <f>B23-BS!$F$21</f>
        <v>0</v>
      </c>
      <c r="AG23" s="665">
        <f>C23-BS!$F$22</f>
        <v>0</v>
      </c>
      <c r="AH23" s="665">
        <f>D23-BS!$F$23</f>
        <v>-18240</v>
      </c>
      <c r="AI23" s="665">
        <f>E23-BS!$F$24</f>
        <v>0</v>
      </c>
      <c r="AJ23" s="665">
        <f>F23-BS!$F$25</f>
        <v>0</v>
      </c>
      <c r="AK23" s="665">
        <f>G23-BS!$F$26</f>
        <v>0</v>
      </c>
      <c r="AL23" s="665">
        <f>H23-BS!$F$27</f>
        <v>0</v>
      </c>
      <c r="AM23" s="665">
        <f>I23-BS!$F$28</f>
        <v>0</v>
      </c>
      <c r="AN23" s="647">
        <f>J23-BS!$F$20</f>
        <v>-18240</v>
      </c>
    </row>
    <row r="24" spans="1:40" ht="15.75" thickTop="1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</row>
    <row r="25" spans="1:40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</row>
    <row r="26" spans="1:40" ht="15.75" thickBot="1" x14ac:dyDescent="0.3">
      <c r="A26" s="20" t="s">
        <v>15</v>
      </c>
      <c r="B26" s="20"/>
      <c r="C26" s="20"/>
      <c r="D26" s="20"/>
      <c r="E26" s="20"/>
      <c r="F26" s="20"/>
      <c r="G26" s="20"/>
      <c r="H26" s="20"/>
      <c r="I26" s="20"/>
      <c r="J26" s="20"/>
    </row>
    <row r="27" spans="1:40" ht="16.5" customHeight="1" thickTop="1" thickBot="1" x14ac:dyDescent="0.3">
      <c r="A27" s="1426" t="s">
        <v>40</v>
      </c>
      <c r="B27" s="1363" t="s">
        <v>3</v>
      </c>
      <c r="C27" s="1364"/>
      <c r="D27" s="1364"/>
      <c r="E27" s="1364"/>
      <c r="F27" s="1364"/>
      <c r="G27" s="1364"/>
      <c r="H27" s="1364"/>
      <c r="I27" s="1364"/>
      <c r="J27" s="1365"/>
      <c r="K27" s="395"/>
    </row>
    <row r="28" spans="1:40" ht="62.25" customHeight="1" thickTop="1" thickBot="1" x14ac:dyDescent="0.3">
      <c r="A28" s="1427"/>
      <c r="B28" s="10" t="s">
        <v>41</v>
      </c>
      <c r="C28" s="10" t="s">
        <v>42</v>
      </c>
      <c r="D28" s="10" t="s">
        <v>43</v>
      </c>
      <c r="E28" s="10" t="s">
        <v>444</v>
      </c>
      <c r="F28" s="10" t="s">
        <v>44</v>
      </c>
      <c r="G28" s="10" t="s">
        <v>45</v>
      </c>
      <c r="H28" s="10" t="s">
        <v>445</v>
      </c>
      <c r="I28" s="10" t="s">
        <v>46</v>
      </c>
      <c r="J28" s="10" t="s">
        <v>14</v>
      </c>
    </row>
    <row r="29" spans="1:40" ht="15" customHeight="1" thickTop="1" thickBot="1" x14ac:dyDescent="0.3">
      <c r="A29" s="41" t="s">
        <v>25</v>
      </c>
      <c r="B29" s="42"/>
      <c r="C29" s="42"/>
      <c r="D29" s="42"/>
      <c r="E29" s="42"/>
      <c r="F29" s="42"/>
      <c r="G29" s="42"/>
      <c r="H29" s="42"/>
      <c r="I29" s="42"/>
      <c r="J29" s="43"/>
      <c r="K29" s="395"/>
    </row>
    <row r="30" spans="1:40" ht="15" customHeight="1" thickTop="1" thickBot="1" x14ac:dyDescent="0.3">
      <c r="A30" s="44" t="s">
        <v>26</v>
      </c>
      <c r="B30" s="22"/>
      <c r="C30" s="22"/>
      <c r="D30" s="22"/>
      <c r="E30" s="22"/>
      <c r="F30" s="45"/>
      <c r="G30" s="22"/>
      <c r="H30" s="22"/>
      <c r="I30" s="22"/>
      <c r="J30" s="15">
        <f>SUM(B30:H30)</f>
        <v>0</v>
      </c>
      <c r="T30" s="647">
        <f>SUM(B30:I30)-J30</f>
        <v>0</v>
      </c>
    </row>
    <row r="31" spans="1:40" ht="15" customHeight="1" thickBot="1" x14ac:dyDescent="0.3">
      <c r="A31" s="14" t="s">
        <v>27</v>
      </c>
      <c r="B31" s="22"/>
      <c r="C31" s="22"/>
      <c r="D31" s="22"/>
      <c r="E31" s="22"/>
      <c r="F31" s="46"/>
      <c r="G31" s="22"/>
      <c r="H31" s="22"/>
      <c r="I31" s="22"/>
      <c r="J31" s="15">
        <f t="shared" ref="J31:J33" si="23">SUM(B31:H31)</f>
        <v>0</v>
      </c>
      <c r="T31" s="647">
        <f t="shared" ref="T31:T33" si="24">SUM(B31:I31)-J31</f>
        <v>0</v>
      </c>
    </row>
    <row r="32" spans="1:40" ht="15" customHeight="1" thickBot="1" x14ac:dyDescent="0.3">
      <c r="A32" s="14" t="s">
        <v>28</v>
      </c>
      <c r="B32" s="22"/>
      <c r="C32" s="22"/>
      <c r="D32" s="22"/>
      <c r="E32" s="22"/>
      <c r="F32" s="46"/>
      <c r="G32" s="22"/>
      <c r="H32" s="22"/>
      <c r="I32" s="22"/>
      <c r="J32" s="15">
        <f t="shared" si="23"/>
        <v>0</v>
      </c>
      <c r="T32" s="647">
        <f t="shared" si="24"/>
        <v>0</v>
      </c>
    </row>
    <row r="33" spans="1:40" ht="15" customHeight="1" thickBot="1" x14ac:dyDescent="0.3">
      <c r="A33" s="14" t="s">
        <v>29</v>
      </c>
      <c r="B33" s="22"/>
      <c r="C33" s="22"/>
      <c r="D33" s="22"/>
      <c r="E33" s="22"/>
      <c r="F33" s="46"/>
      <c r="G33" s="22"/>
      <c r="H33" s="22"/>
      <c r="I33" s="22"/>
      <c r="J33" s="15">
        <f t="shared" si="23"/>
        <v>0</v>
      </c>
      <c r="T33" s="647">
        <f t="shared" si="24"/>
        <v>0</v>
      </c>
    </row>
    <row r="34" spans="1:40" ht="15" customHeight="1" thickBot="1" x14ac:dyDescent="0.3">
      <c r="A34" s="25" t="s">
        <v>30</v>
      </c>
      <c r="B34" s="26">
        <f>B30+B31-B32+B33</f>
        <v>0</v>
      </c>
      <c r="C34" s="26">
        <f>C30+C31-C32+C33</f>
        <v>0</v>
      </c>
      <c r="D34" s="26">
        <f>D30+D31-D32+D33</f>
        <v>0</v>
      </c>
      <c r="E34" s="26">
        <f t="shared" ref="E34:H34" si="25">E30+E31-E32+E33</f>
        <v>0</v>
      </c>
      <c r="F34" s="26">
        <f t="shared" si="25"/>
        <v>0</v>
      </c>
      <c r="G34" s="26">
        <f t="shared" si="25"/>
        <v>0</v>
      </c>
      <c r="H34" s="26">
        <f t="shared" si="25"/>
        <v>0</v>
      </c>
      <c r="I34" s="26">
        <f>I30+I31-I32+I33</f>
        <v>0</v>
      </c>
      <c r="J34" s="17">
        <f>J30+J31-J32+J33</f>
        <v>0</v>
      </c>
      <c r="L34" s="650">
        <f>B30+B31-B32+B33-B34</f>
        <v>0</v>
      </c>
      <c r="M34" s="665">
        <f t="shared" ref="M34:T34" si="26">C30+C31-C32+C33-C34</f>
        <v>0</v>
      </c>
      <c r="N34" s="665">
        <f t="shared" si="26"/>
        <v>0</v>
      </c>
      <c r="O34" s="665">
        <f t="shared" si="26"/>
        <v>0</v>
      </c>
      <c r="P34" s="665">
        <f t="shared" si="26"/>
        <v>0</v>
      </c>
      <c r="Q34" s="665">
        <f t="shared" si="26"/>
        <v>0</v>
      </c>
      <c r="R34" s="665">
        <f t="shared" si="26"/>
        <v>0</v>
      </c>
      <c r="S34" s="665">
        <f t="shared" si="26"/>
        <v>0</v>
      </c>
      <c r="T34" s="665">
        <f t="shared" si="26"/>
        <v>0</v>
      </c>
    </row>
    <row r="35" spans="1:40" ht="15" customHeight="1" thickTop="1" thickBot="1" x14ac:dyDescent="0.3">
      <c r="A35" s="41" t="s">
        <v>31</v>
      </c>
      <c r="B35" s="42"/>
      <c r="C35" s="42"/>
      <c r="D35" s="42"/>
      <c r="E35" s="42"/>
      <c r="F35" s="42"/>
      <c r="G35" s="42"/>
      <c r="H35" s="42"/>
      <c r="I35" s="42"/>
      <c r="J35" s="43"/>
      <c r="L35" s="645"/>
      <c r="T35" s="647"/>
    </row>
    <row r="36" spans="1:40" ht="15" customHeight="1" thickTop="1" thickBot="1" x14ac:dyDescent="0.3">
      <c r="A36" s="44" t="s">
        <v>32</v>
      </c>
      <c r="B36" s="22"/>
      <c r="C36" s="22"/>
      <c r="D36" s="22"/>
      <c r="E36" s="22"/>
      <c r="F36" s="22"/>
      <c r="G36" s="22"/>
      <c r="H36" s="22"/>
      <c r="I36" s="22"/>
      <c r="J36" s="15">
        <f>SUM(B36:H36)</f>
        <v>0</v>
      </c>
      <c r="L36" s="645"/>
      <c r="T36" s="647">
        <f t="shared" ref="T36:T38" si="27">SUM(B36:I36)-J36</f>
        <v>0</v>
      </c>
    </row>
    <row r="37" spans="1:40" ht="15" customHeight="1" thickBot="1" x14ac:dyDescent="0.3">
      <c r="A37" s="14" t="s">
        <v>27</v>
      </c>
      <c r="B37" s="22"/>
      <c r="C37" s="22"/>
      <c r="D37" s="22"/>
      <c r="E37" s="22"/>
      <c r="F37" s="22"/>
      <c r="G37" s="22"/>
      <c r="H37" s="22"/>
      <c r="I37" s="22"/>
      <c r="J37" s="15">
        <f t="shared" ref="J37:J38" si="28">SUM(B37:H37)</f>
        <v>0</v>
      </c>
      <c r="L37" s="645"/>
      <c r="T37" s="647">
        <f t="shared" si="27"/>
        <v>0</v>
      </c>
    </row>
    <row r="38" spans="1:40" ht="15" customHeight="1" thickBot="1" x14ac:dyDescent="0.3">
      <c r="A38" s="14" t="s">
        <v>28</v>
      </c>
      <c r="B38" s="22"/>
      <c r="C38" s="22"/>
      <c r="D38" s="22"/>
      <c r="E38" s="22"/>
      <c r="F38" s="22"/>
      <c r="G38" s="22"/>
      <c r="H38" s="22"/>
      <c r="I38" s="22"/>
      <c r="J38" s="15">
        <f t="shared" si="28"/>
        <v>0</v>
      </c>
      <c r="L38" s="645"/>
      <c r="T38" s="647">
        <f t="shared" si="27"/>
        <v>0</v>
      </c>
    </row>
    <row r="39" spans="1:40" ht="15" customHeight="1" thickBot="1" x14ac:dyDescent="0.3">
      <c r="A39" s="25" t="s">
        <v>30</v>
      </c>
      <c r="B39" s="26">
        <f>B36+B37-B38</f>
        <v>0</v>
      </c>
      <c r="C39" s="26">
        <f>C36+C37-C38</f>
        <v>0</v>
      </c>
      <c r="D39" s="26">
        <f t="shared" ref="D39:I39" si="29">D36+D37-D38</f>
        <v>0</v>
      </c>
      <c r="E39" s="26">
        <f t="shared" si="29"/>
        <v>0</v>
      </c>
      <c r="F39" s="26">
        <f t="shared" si="29"/>
        <v>0</v>
      </c>
      <c r="G39" s="26">
        <f t="shared" si="29"/>
        <v>0</v>
      </c>
      <c r="H39" s="26">
        <f t="shared" si="29"/>
        <v>0</v>
      </c>
      <c r="I39" s="26">
        <f t="shared" si="29"/>
        <v>0</v>
      </c>
      <c r="J39" s="17">
        <f>J36+J37-J38</f>
        <v>0</v>
      </c>
      <c r="L39" s="650">
        <f>B36+B37-B38-B39</f>
        <v>0</v>
      </c>
      <c r="M39" s="665">
        <f t="shared" ref="M39:T39" si="30">C36+C37-C38-C39</f>
        <v>0</v>
      </c>
      <c r="N39" s="665">
        <f t="shared" si="30"/>
        <v>0</v>
      </c>
      <c r="O39" s="665">
        <f t="shared" si="30"/>
        <v>0</v>
      </c>
      <c r="P39" s="665">
        <f t="shared" si="30"/>
        <v>0</v>
      </c>
      <c r="Q39" s="665">
        <f t="shared" si="30"/>
        <v>0</v>
      </c>
      <c r="R39" s="665">
        <f t="shared" si="30"/>
        <v>0</v>
      </c>
      <c r="S39" s="665">
        <f t="shared" si="30"/>
        <v>0</v>
      </c>
      <c r="T39" s="665">
        <f t="shared" si="30"/>
        <v>0</v>
      </c>
    </row>
    <row r="40" spans="1:40" ht="15" customHeight="1" thickTop="1" thickBot="1" x14ac:dyDescent="0.3">
      <c r="A40" s="41" t="s">
        <v>33</v>
      </c>
      <c r="B40" s="42"/>
      <c r="C40" s="42"/>
      <c r="D40" s="42"/>
      <c r="E40" s="42"/>
      <c r="F40" s="42"/>
      <c r="G40" s="42"/>
      <c r="H40" s="42"/>
      <c r="I40" s="42"/>
      <c r="J40" s="43"/>
      <c r="L40" s="645"/>
      <c r="T40" s="647"/>
    </row>
    <row r="41" spans="1:40" ht="15" customHeight="1" thickTop="1" thickBot="1" x14ac:dyDescent="0.3">
      <c r="A41" s="44" t="s">
        <v>32</v>
      </c>
      <c r="B41" s="22"/>
      <c r="C41" s="22"/>
      <c r="D41" s="22"/>
      <c r="E41" s="22"/>
      <c r="F41" s="22"/>
      <c r="G41" s="22"/>
      <c r="H41" s="22"/>
      <c r="I41" s="22"/>
      <c r="J41" s="15">
        <f>SUM(B41:H41)</f>
        <v>0</v>
      </c>
      <c r="L41" s="645"/>
      <c r="T41" s="647">
        <f t="shared" ref="T41:T43" si="31">SUM(B41:I41)-J41</f>
        <v>0</v>
      </c>
    </row>
    <row r="42" spans="1:40" ht="15" customHeight="1" thickBot="1" x14ac:dyDescent="0.3">
      <c r="A42" s="14" t="s">
        <v>27</v>
      </c>
      <c r="B42" s="22"/>
      <c r="C42" s="22"/>
      <c r="D42" s="22"/>
      <c r="E42" s="22"/>
      <c r="F42" s="22"/>
      <c r="G42" s="22"/>
      <c r="H42" s="22"/>
      <c r="I42" s="22"/>
      <c r="J42" s="15">
        <f t="shared" ref="J42:J43" si="32">SUM(B42:H42)</f>
        <v>0</v>
      </c>
      <c r="L42" s="645"/>
      <c r="T42" s="647">
        <f t="shared" si="31"/>
        <v>0</v>
      </c>
    </row>
    <row r="43" spans="1:40" ht="15" customHeight="1" thickBot="1" x14ac:dyDescent="0.3">
      <c r="A43" s="14" t="s">
        <v>28</v>
      </c>
      <c r="B43" s="22"/>
      <c r="C43" s="22"/>
      <c r="D43" s="22"/>
      <c r="E43" s="22"/>
      <c r="F43" s="22"/>
      <c r="G43" s="22"/>
      <c r="H43" s="22"/>
      <c r="I43" s="22"/>
      <c r="J43" s="15">
        <f t="shared" si="32"/>
        <v>0</v>
      </c>
      <c r="L43" s="645"/>
      <c r="T43" s="647">
        <f t="shared" si="31"/>
        <v>0</v>
      </c>
    </row>
    <row r="44" spans="1:40" ht="15" customHeight="1" thickBot="1" x14ac:dyDescent="0.3">
      <c r="A44" s="25" t="s">
        <v>30</v>
      </c>
      <c r="B44" s="26">
        <f>B41+B42-B43</f>
        <v>0</v>
      </c>
      <c r="C44" s="26">
        <f>C41+C42-C43</f>
        <v>0</v>
      </c>
      <c r="D44" s="26">
        <f t="shared" ref="D44:I44" si="33">D41+D42-D43</f>
        <v>0</v>
      </c>
      <c r="E44" s="26">
        <f t="shared" si="33"/>
        <v>0</v>
      </c>
      <c r="F44" s="26">
        <f t="shared" si="33"/>
        <v>0</v>
      </c>
      <c r="G44" s="26">
        <f t="shared" si="33"/>
        <v>0</v>
      </c>
      <c r="H44" s="26">
        <f t="shared" si="33"/>
        <v>0</v>
      </c>
      <c r="I44" s="26">
        <f t="shared" si="33"/>
        <v>0</v>
      </c>
      <c r="J44" s="17">
        <f>J41+J42-J43</f>
        <v>0</v>
      </c>
      <c r="L44" s="650">
        <f>B41+B42-B43-B44</f>
        <v>0</v>
      </c>
      <c r="M44" s="665">
        <f t="shared" ref="M44:T44" si="34">C41+C42-C43-C44</f>
        <v>0</v>
      </c>
      <c r="N44" s="665">
        <f t="shared" si="34"/>
        <v>0</v>
      </c>
      <c r="O44" s="665">
        <f t="shared" si="34"/>
        <v>0</v>
      </c>
      <c r="P44" s="665">
        <f t="shared" si="34"/>
        <v>0</v>
      </c>
      <c r="Q44" s="665">
        <f t="shared" si="34"/>
        <v>0</v>
      </c>
      <c r="R44" s="665">
        <f t="shared" si="34"/>
        <v>0</v>
      </c>
      <c r="S44" s="665">
        <f t="shared" si="34"/>
        <v>0</v>
      </c>
      <c r="T44" s="665">
        <f t="shared" si="34"/>
        <v>0</v>
      </c>
    </row>
    <row r="45" spans="1:40" ht="15" customHeight="1" thickTop="1" thickBot="1" x14ac:dyDescent="0.3">
      <c r="A45" s="41" t="s">
        <v>34</v>
      </c>
      <c r="B45" s="42"/>
      <c r="C45" s="42"/>
      <c r="D45" s="42"/>
      <c r="E45" s="42"/>
      <c r="F45" s="42"/>
      <c r="G45" s="42"/>
      <c r="H45" s="42"/>
      <c r="I45" s="42"/>
      <c r="J45" s="43"/>
      <c r="L45" s="645"/>
      <c r="T45" s="647"/>
    </row>
    <row r="46" spans="1:40" ht="15" customHeight="1" thickTop="1" thickBot="1" x14ac:dyDescent="0.3">
      <c r="A46" s="44" t="s">
        <v>32</v>
      </c>
      <c r="B46" s="22">
        <f>B30-B36-B41</f>
        <v>0</v>
      </c>
      <c r="C46" s="22">
        <f t="shared" ref="C46:J46" si="35">C30-C36-C41</f>
        <v>0</v>
      </c>
      <c r="D46" s="22">
        <f t="shared" si="35"/>
        <v>0</v>
      </c>
      <c r="E46" s="22">
        <f t="shared" si="35"/>
        <v>0</v>
      </c>
      <c r="F46" s="22">
        <f t="shared" si="35"/>
        <v>0</v>
      </c>
      <c r="G46" s="22">
        <f t="shared" si="35"/>
        <v>0</v>
      </c>
      <c r="H46" s="22">
        <f t="shared" si="35"/>
        <v>0</v>
      </c>
      <c r="I46" s="22">
        <f t="shared" si="35"/>
        <v>0</v>
      </c>
      <c r="J46" s="15">
        <f t="shared" si="35"/>
        <v>0</v>
      </c>
      <c r="L46" s="650">
        <f>B30-B36-B41-B46</f>
        <v>0</v>
      </c>
      <c r="M46" s="665">
        <f t="shared" ref="M46:S46" si="36">C30-C36-C41-C46</f>
        <v>0</v>
      </c>
      <c r="N46" s="665">
        <f t="shared" si="36"/>
        <v>0</v>
      </c>
      <c r="O46" s="665">
        <f t="shared" si="36"/>
        <v>0</v>
      </c>
      <c r="P46" s="665">
        <f t="shared" si="36"/>
        <v>0</v>
      </c>
      <c r="Q46" s="665">
        <f t="shared" si="36"/>
        <v>0</v>
      </c>
      <c r="R46" s="665">
        <f t="shared" si="36"/>
        <v>0</v>
      </c>
      <c r="S46" s="665">
        <f t="shared" si="36"/>
        <v>0</v>
      </c>
      <c r="T46" s="647">
        <f t="shared" ref="T46:T47" si="37">SUM(B46:I46)-J46</f>
        <v>0</v>
      </c>
    </row>
    <row r="47" spans="1:40" ht="15" customHeight="1" thickBot="1" x14ac:dyDescent="0.3">
      <c r="A47" s="25" t="s">
        <v>30</v>
      </c>
      <c r="B47" s="26">
        <f>B34-B39-B44</f>
        <v>0</v>
      </c>
      <c r="C47" s="26">
        <f t="shared" ref="C47:J47" si="38">C34-C39-C44</f>
        <v>0</v>
      </c>
      <c r="D47" s="26">
        <f t="shared" si="38"/>
        <v>0</v>
      </c>
      <c r="E47" s="26">
        <f t="shared" si="38"/>
        <v>0</v>
      </c>
      <c r="F47" s="26">
        <f t="shared" si="38"/>
        <v>0</v>
      </c>
      <c r="G47" s="26">
        <f t="shared" si="38"/>
        <v>0</v>
      </c>
      <c r="H47" s="26">
        <f t="shared" si="38"/>
        <v>0</v>
      </c>
      <c r="I47" s="26">
        <f t="shared" si="38"/>
        <v>0</v>
      </c>
      <c r="J47" s="17">
        <f t="shared" si="38"/>
        <v>0</v>
      </c>
      <c r="L47" s="650">
        <f>B34-B39-B44-B47</f>
        <v>0</v>
      </c>
      <c r="M47" s="665">
        <f t="shared" ref="M47:S47" si="39">C34-C39-C44-C47</f>
        <v>0</v>
      </c>
      <c r="N47" s="665">
        <f t="shared" si="39"/>
        <v>0</v>
      </c>
      <c r="O47" s="665">
        <f t="shared" si="39"/>
        <v>0</v>
      </c>
      <c r="P47" s="665">
        <f t="shared" si="39"/>
        <v>0</v>
      </c>
      <c r="Q47" s="665">
        <f t="shared" si="39"/>
        <v>0</v>
      </c>
      <c r="R47" s="665">
        <f t="shared" si="39"/>
        <v>0</v>
      </c>
      <c r="S47" s="665">
        <f t="shared" si="39"/>
        <v>0</v>
      </c>
      <c r="T47" s="647">
        <f t="shared" si="37"/>
        <v>0</v>
      </c>
      <c r="AF47" s="650">
        <f>B47-BS!$G$21</f>
        <v>0</v>
      </c>
      <c r="AG47" s="665">
        <f>C47-BS!$G$22</f>
        <v>0</v>
      </c>
      <c r="AH47" s="665">
        <f>D47-BS!$G$23</f>
        <v>-26010</v>
      </c>
      <c r="AI47" s="665">
        <f>E47-BS!$G$24</f>
        <v>0</v>
      </c>
      <c r="AJ47" s="665">
        <f>F47-BS!$G$25</f>
        <v>0</v>
      </c>
      <c r="AK47" s="665">
        <f>G47-BS!$G$26</f>
        <v>0</v>
      </c>
      <c r="AL47" s="665">
        <f>H47-BS!$G$27</f>
        <v>0</v>
      </c>
      <c r="AM47" s="665">
        <f>I47-BS!$G$28</f>
        <v>0</v>
      </c>
      <c r="AN47" s="647">
        <f>J47-BS!$G$20</f>
        <v>-26010</v>
      </c>
    </row>
    <row r="48" spans="1:40" ht="15.75" thickTop="1" x14ac:dyDescent="0.25"/>
  </sheetData>
  <mergeCells count="7">
    <mergeCell ref="V1:AD1"/>
    <mergeCell ref="AF1:AN1"/>
    <mergeCell ref="A3:A4"/>
    <mergeCell ref="A27:A28"/>
    <mergeCell ref="B27:J27"/>
    <mergeCell ref="B3:J3"/>
    <mergeCell ref="L1:T1"/>
  </mergeCells>
  <conditionalFormatting sqref="L6:T23 V6:AD22 AF10:AN29">
    <cfRule type="cellIs" dxfId="247" priority="57" operator="lessThan">
      <formula>0</formula>
    </cfRule>
    <cfRule type="cellIs" dxfId="246" priority="58" operator="greaterThan">
      <formula>0</formula>
    </cfRule>
  </conditionalFormatting>
  <conditionalFormatting sqref="L30:T47">
    <cfRule type="cellIs" dxfId="245" priority="55" operator="lessThan">
      <formula>0</formula>
    </cfRule>
    <cfRule type="cellIs" dxfId="244" priority="56" operator="greaterThan">
      <formula>0</formula>
    </cfRule>
  </conditionalFormatting>
  <conditionalFormatting sqref="AF30:AN47">
    <cfRule type="cellIs" dxfId="243" priority="51" operator="lessThan">
      <formula>0</formula>
    </cfRule>
    <cfRule type="cellIs" dxfId="242" priority="52" operator="greaterThan">
      <formula>0</formula>
    </cfRule>
  </conditionalFormatting>
  <conditionalFormatting sqref="L30:T47">
    <cfRule type="cellIs" dxfId="241" priority="49" operator="lessThan">
      <formula>0</formula>
    </cfRule>
    <cfRule type="cellIs" dxfId="240" priority="50" operator="greaterThan">
      <formula>0</formula>
    </cfRule>
  </conditionalFormatting>
  <conditionalFormatting sqref="L6:T23">
    <cfRule type="cellIs" dxfId="239" priority="47" operator="lessThan">
      <formula>0</formula>
    </cfRule>
    <cfRule type="cellIs" dxfId="238" priority="48" operator="greaterThan">
      <formula>0</formula>
    </cfRule>
  </conditionalFormatting>
  <conditionalFormatting sqref="L30:T47">
    <cfRule type="cellIs" dxfId="237" priority="45" operator="lessThan">
      <formula>0</formula>
    </cfRule>
    <cfRule type="cellIs" dxfId="236" priority="46" operator="greaterThan">
      <formula>0</formula>
    </cfRule>
  </conditionalFormatting>
  <conditionalFormatting sqref="L30:T47">
    <cfRule type="cellIs" dxfId="235" priority="43" operator="lessThan">
      <formula>0</formula>
    </cfRule>
    <cfRule type="cellIs" dxfId="234" priority="44" operator="greaterThan">
      <formula>0</formula>
    </cfRule>
  </conditionalFormatting>
  <conditionalFormatting sqref="M10:T10 L15:T15 L20:T20 M11:S14 L10:L14 L16:S19 L21:S23">
    <cfRule type="cellIs" dxfId="233" priority="41" operator="lessThan">
      <formula>0</formula>
    </cfRule>
    <cfRule type="cellIs" dxfId="232" priority="42" operator="greaterThan">
      <formula>0</formula>
    </cfRule>
  </conditionalFormatting>
  <conditionalFormatting sqref="T10">
    <cfRule type="cellIs" dxfId="231" priority="39" operator="lessThan">
      <formula>0</formula>
    </cfRule>
    <cfRule type="cellIs" dxfId="230" priority="40" operator="greaterThan">
      <formula>0</formula>
    </cfRule>
  </conditionalFormatting>
  <conditionalFormatting sqref="T15">
    <cfRule type="cellIs" dxfId="229" priority="37" operator="lessThan">
      <formula>0</formula>
    </cfRule>
    <cfRule type="cellIs" dxfId="228" priority="38" operator="greaterThan">
      <formula>0</formula>
    </cfRule>
  </conditionalFormatting>
  <conditionalFormatting sqref="T20">
    <cfRule type="cellIs" dxfId="227" priority="35" operator="lessThan">
      <formula>0</formula>
    </cfRule>
    <cfRule type="cellIs" dxfId="226" priority="36" operator="greaterThan">
      <formula>0</formula>
    </cfRule>
  </conditionalFormatting>
  <conditionalFormatting sqref="T10">
    <cfRule type="cellIs" dxfId="225" priority="33" operator="lessThan">
      <formula>0</formula>
    </cfRule>
    <cfRule type="cellIs" dxfId="224" priority="34" operator="greaterThan">
      <formula>0</formula>
    </cfRule>
  </conditionalFormatting>
  <conditionalFormatting sqref="T15">
    <cfRule type="cellIs" dxfId="223" priority="31" operator="lessThan">
      <formula>0</formula>
    </cfRule>
    <cfRule type="cellIs" dxfId="222" priority="32" operator="greaterThan">
      <formula>0</formula>
    </cfRule>
  </conditionalFormatting>
  <conditionalFormatting sqref="T15">
    <cfRule type="cellIs" dxfId="221" priority="29" operator="lessThan">
      <formula>0</formula>
    </cfRule>
    <cfRule type="cellIs" dxfId="220" priority="30" operator="greaterThan">
      <formula>0</formula>
    </cfRule>
  </conditionalFormatting>
  <conditionalFormatting sqref="T20">
    <cfRule type="cellIs" dxfId="219" priority="27" operator="lessThan">
      <formula>0</formula>
    </cfRule>
    <cfRule type="cellIs" dxfId="218" priority="28" operator="greaterThan">
      <formula>0</formula>
    </cfRule>
  </conditionalFormatting>
  <conditionalFormatting sqref="T20">
    <cfRule type="cellIs" dxfId="217" priority="25" operator="lessThan">
      <formula>0</formula>
    </cfRule>
    <cfRule type="cellIs" dxfId="216" priority="26" operator="greaterThan">
      <formula>0</formula>
    </cfRule>
  </conditionalFormatting>
  <conditionalFormatting sqref="T20">
    <cfRule type="cellIs" dxfId="215" priority="23" operator="lessThan">
      <formula>0</formula>
    </cfRule>
    <cfRule type="cellIs" dxfId="214" priority="24" operator="greaterThan">
      <formula>0</formula>
    </cfRule>
  </conditionalFormatting>
  <conditionalFormatting sqref="L30:T47">
    <cfRule type="cellIs" dxfId="213" priority="21" operator="lessThan">
      <formula>0</formula>
    </cfRule>
    <cfRule type="cellIs" dxfId="212" priority="22" operator="greaterThan">
      <formula>0</formula>
    </cfRule>
  </conditionalFormatting>
  <conditionalFormatting sqref="M34:T34 L39:T39 L44:T44 M35:S38 L34:L38 L40:S43 L45:S47">
    <cfRule type="cellIs" dxfId="211" priority="19" operator="lessThan">
      <formula>0</formula>
    </cfRule>
    <cfRule type="cellIs" dxfId="210" priority="20" operator="greaterThan">
      <formula>0</formula>
    </cfRule>
  </conditionalFormatting>
  <conditionalFormatting sqref="T34">
    <cfRule type="cellIs" dxfId="209" priority="17" operator="lessThan">
      <formula>0</formula>
    </cfRule>
    <cfRule type="cellIs" dxfId="208" priority="18" operator="greaterThan">
      <formula>0</formula>
    </cfRule>
  </conditionalFormatting>
  <conditionalFormatting sqref="T39">
    <cfRule type="cellIs" dxfId="207" priority="15" operator="lessThan">
      <formula>0</formula>
    </cfRule>
    <cfRule type="cellIs" dxfId="206" priority="16" operator="greaterThan">
      <formula>0</formula>
    </cfRule>
  </conditionalFormatting>
  <conditionalFormatting sqref="T44">
    <cfRule type="cellIs" dxfId="205" priority="13" operator="lessThan">
      <formula>0</formula>
    </cfRule>
    <cfRule type="cellIs" dxfId="204" priority="14" operator="greaterThan">
      <formula>0</formula>
    </cfRule>
  </conditionalFormatting>
  <conditionalFormatting sqref="T34">
    <cfRule type="cellIs" dxfId="203" priority="11" operator="lessThan">
      <formula>0</formula>
    </cfRule>
    <cfRule type="cellIs" dxfId="202" priority="12" operator="greaterThan">
      <formula>0</formula>
    </cfRule>
  </conditionalFormatting>
  <conditionalFormatting sqref="T39">
    <cfRule type="cellIs" dxfId="201" priority="9" operator="lessThan">
      <formula>0</formula>
    </cfRule>
    <cfRule type="cellIs" dxfId="200" priority="10" operator="greaterThan">
      <formula>0</formula>
    </cfRule>
  </conditionalFormatting>
  <conditionalFormatting sqref="T39">
    <cfRule type="cellIs" dxfId="199" priority="7" operator="lessThan">
      <formula>0</formula>
    </cfRule>
    <cfRule type="cellIs" dxfId="198" priority="8" operator="greaterThan">
      <formula>0</formula>
    </cfRule>
  </conditionalFormatting>
  <conditionalFormatting sqref="T44">
    <cfRule type="cellIs" dxfId="197" priority="5" operator="lessThan">
      <formula>0</formula>
    </cfRule>
    <cfRule type="cellIs" dxfId="196" priority="6" operator="greaterThan">
      <formula>0</formula>
    </cfRule>
  </conditionalFormatting>
  <conditionalFormatting sqref="T44">
    <cfRule type="cellIs" dxfId="195" priority="3" operator="lessThan">
      <formula>0</formula>
    </cfRule>
    <cfRule type="cellIs" dxfId="194" priority="4" operator="greaterThan">
      <formula>0</formula>
    </cfRule>
  </conditionalFormatting>
  <conditionalFormatting sqref="T44">
    <cfRule type="cellIs" dxfId="193" priority="1" operator="lessThan">
      <formula>0</formula>
    </cfRule>
    <cfRule type="cellIs" dxfId="19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5"/>
  <sheetViews>
    <sheetView showGridLines="0" zoomScaleNormal="100" workbookViewId="0">
      <selection activeCell="A20" sqref="A20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47</v>
      </c>
    </row>
    <row r="2" spans="1:2" ht="21" customHeight="1" thickTop="1" thickBot="1" x14ac:dyDescent="0.3">
      <c r="A2" s="10" t="s">
        <v>40</v>
      </c>
      <c r="B2" s="11" t="s">
        <v>36</v>
      </c>
    </row>
    <row r="3" spans="1:2" ht="23.25" customHeight="1" thickTop="1" thickBot="1" x14ac:dyDescent="0.3">
      <c r="A3" s="12" t="s">
        <v>48</v>
      </c>
      <c r="B3" s="13"/>
    </row>
    <row r="4" spans="1:2" ht="23.25" customHeight="1" thickBot="1" x14ac:dyDescent="0.3">
      <c r="A4" s="16" t="s">
        <v>49</v>
      </c>
      <c r="B4" s="17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N50"/>
  <sheetViews>
    <sheetView showGridLines="0" zoomScale="85" zoomScaleNormal="85" workbookViewId="0">
      <pane xSplit="1" ySplit="4" topLeftCell="V32" activePane="bottomRight" state="frozen"/>
      <selection pane="topRight" activeCell="B1" sqref="B1"/>
      <selection pane="bottomLeft" activeCell="A5" sqref="A5"/>
      <selection pane="bottomRight" activeCell="AG45" sqref="AG45"/>
    </sheetView>
  </sheetViews>
  <sheetFormatPr defaultRowHeight="15" outlineLevelCol="1" x14ac:dyDescent="0.25"/>
  <cols>
    <col min="1" max="1" width="29.140625" customWidth="1"/>
    <col min="2" max="10" width="11.28515625" customWidth="1"/>
    <col min="11" max="11" width="9.140625" style="391"/>
    <col min="12" max="19" width="9.140625" style="387" customWidth="1" outlineLevel="1"/>
    <col min="20" max="20" width="18.28515625" style="391" customWidth="1"/>
    <col min="21" max="21" width="9.140625" style="393"/>
    <col min="22" max="22" width="9.140625" style="387" customWidth="1" outlineLevel="1"/>
    <col min="23" max="29" width="9.140625" customWidth="1" outlineLevel="1"/>
    <col min="30" max="30" width="26.85546875" style="391" customWidth="1"/>
    <col min="31" max="31" width="9.140625" style="391"/>
    <col min="32" max="32" width="9.140625" style="386" customWidth="1" outlineLevel="1"/>
    <col min="33" max="39" width="9.140625" customWidth="1" outlineLevel="1"/>
    <col min="40" max="40" width="26.7109375" style="391" customWidth="1"/>
  </cols>
  <sheetData>
    <row r="1" spans="1:40" ht="16.5" x14ac:dyDescent="0.3">
      <c r="A1" s="1" t="s">
        <v>50</v>
      </c>
      <c r="L1" s="1431" t="s">
        <v>1138</v>
      </c>
      <c r="M1" s="1432"/>
      <c r="N1" s="1432"/>
      <c r="O1" s="1432"/>
      <c r="P1" s="1432"/>
      <c r="Q1" s="1432"/>
      <c r="R1" s="1432"/>
      <c r="S1" s="1432"/>
      <c r="T1" s="1433"/>
      <c r="V1" s="1431" t="s">
        <v>1139</v>
      </c>
      <c r="W1" s="1432"/>
      <c r="X1" s="1432"/>
      <c r="Y1" s="1432"/>
      <c r="Z1" s="1432"/>
      <c r="AA1" s="1432"/>
      <c r="AB1" s="1432"/>
      <c r="AC1" s="1432"/>
      <c r="AD1" s="1433"/>
      <c r="AF1" s="1431" t="s">
        <v>1140</v>
      </c>
      <c r="AG1" s="1432"/>
      <c r="AH1" s="1432"/>
      <c r="AI1" s="1432"/>
      <c r="AJ1" s="1432"/>
      <c r="AK1" s="1432"/>
      <c r="AL1" s="1432"/>
      <c r="AM1" s="1432"/>
      <c r="AN1" s="1433"/>
    </row>
    <row r="2" spans="1:40" ht="17.25" thickBot="1" x14ac:dyDescent="0.35">
      <c r="A2" s="2" t="s">
        <v>8</v>
      </c>
    </row>
    <row r="3" spans="1:40" ht="16.5" thickTop="1" thickBot="1" x14ac:dyDescent="0.3">
      <c r="A3" s="1426" t="s">
        <v>55</v>
      </c>
      <c r="B3" s="1366" t="s">
        <v>2</v>
      </c>
      <c r="C3" s="1367"/>
      <c r="D3" s="1367"/>
      <c r="E3" s="1367"/>
      <c r="F3" s="1367"/>
      <c r="G3" s="1367"/>
      <c r="H3" s="1367"/>
      <c r="I3" s="1367"/>
      <c r="J3" s="1368"/>
      <c r="K3" s="395"/>
    </row>
    <row r="4" spans="1:40" ht="60.75" customHeight="1" thickTop="1" thickBot="1" x14ac:dyDescent="0.3">
      <c r="A4" s="1430"/>
      <c r="B4" s="10" t="s">
        <v>51</v>
      </c>
      <c r="C4" s="137" t="s">
        <v>495</v>
      </c>
      <c r="D4" s="10" t="s">
        <v>52</v>
      </c>
      <c r="E4" s="137" t="s">
        <v>494</v>
      </c>
      <c r="F4" s="10" t="s">
        <v>53</v>
      </c>
      <c r="G4" s="10" t="s">
        <v>54</v>
      </c>
      <c r="H4" s="11" t="s">
        <v>446</v>
      </c>
      <c r="I4" s="10" t="s">
        <v>447</v>
      </c>
      <c r="J4" s="10" t="s">
        <v>14</v>
      </c>
      <c r="K4" s="387"/>
      <c r="L4" s="59" t="s">
        <v>51</v>
      </c>
      <c r="M4" s="438" t="s">
        <v>495</v>
      </c>
      <c r="N4" s="59" t="s">
        <v>52</v>
      </c>
      <c r="O4" s="438" t="s">
        <v>494</v>
      </c>
      <c r="P4" s="59" t="s">
        <v>53</v>
      </c>
      <c r="Q4" s="59" t="s">
        <v>54</v>
      </c>
      <c r="R4" s="438" t="s">
        <v>446</v>
      </c>
      <c r="S4" s="59" t="s">
        <v>447</v>
      </c>
      <c r="T4" s="59" t="s">
        <v>14</v>
      </c>
      <c r="U4" s="387"/>
      <c r="V4" s="59" t="s">
        <v>51</v>
      </c>
      <c r="W4" s="438" t="s">
        <v>495</v>
      </c>
      <c r="X4" s="59" t="s">
        <v>52</v>
      </c>
      <c r="Y4" s="438" t="s">
        <v>494</v>
      </c>
      <c r="Z4" s="59" t="s">
        <v>53</v>
      </c>
      <c r="AA4" s="59" t="s">
        <v>54</v>
      </c>
      <c r="AB4" s="438" t="s">
        <v>446</v>
      </c>
      <c r="AC4" s="59" t="s">
        <v>447</v>
      </c>
      <c r="AD4" s="59" t="s">
        <v>14</v>
      </c>
      <c r="AE4" s="387"/>
      <c r="AF4" s="59" t="s">
        <v>51</v>
      </c>
      <c r="AG4" s="438" t="s">
        <v>495</v>
      </c>
      <c r="AH4" s="59" t="s">
        <v>52</v>
      </c>
      <c r="AI4" s="438" t="s">
        <v>494</v>
      </c>
      <c r="AJ4" s="59" t="s">
        <v>53</v>
      </c>
      <c r="AK4" s="59" t="s">
        <v>54</v>
      </c>
      <c r="AL4" s="438" t="s">
        <v>446</v>
      </c>
      <c r="AM4" s="59" t="s">
        <v>447</v>
      </c>
      <c r="AN4" s="59" t="s">
        <v>14</v>
      </c>
    </row>
    <row r="5" spans="1:40" ht="15" customHeight="1" thickTop="1" thickBot="1" x14ac:dyDescent="0.3">
      <c r="A5" s="41" t="s">
        <v>25</v>
      </c>
      <c r="B5" s="42"/>
      <c r="C5" s="42"/>
      <c r="D5" s="42"/>
      <c r="E5" s="42"/>
      <c r="F5" s="42"/>
      <c r="G5" s="42"/>
      <c r="H5" s="42"/>
      <c r="I5" s="42"/>
      <c r="J5" s="43"/>
      <c r="K5" s="395"/>
    </row>
    <row r="6" spans="1:40" ht="15" customHeight="1" thickTop="1" thickBot="1" x14ac:dyDescent="0.3">
      <c r="A6" s="44" t="s">
        <v>26</v>
      </c>
      <c r="B6" s="22"/>
      <c r="C6" s="22"/>
      <c r="D6" s="22"/>
      <c r="E6" s="22"/>
      <c r="F6" s="45"/>
      <c r="G6" s="22"/>
      <c r="H6" s="22"/>
      <c r="I6" s="22"/>
      <c r="J6" s="15">
        <f>SUM(B6:H6)</f>
        <v>0</v>
      </c>
      <c r="T6" s="392">
        <f>SUM(B6:I6)-J6</f>
        <v>0</v>
      </c>
      <c r="V6" s="388">
        <f>B6-B34</f>
        <v>0</v>
      </c>
      <c r="W6" s="388">
        <f t="shared" ref="W6:AB6" si="0">C6-C34</f>
        <v>0</v>
      </c>
      <c r="X6" s="388">
        <f t="shared" si="0"/>
        <v>0</v>
      </c>
      <c r="Y6" s="388">
        <f t="shared" si="0"/>
        <v>0</v>
      </c>
      <c r="Z6" s="388">
        <f t="shared" si="0"/>
        <v>0</v>
      </c>
      <c r="AA6" s="388">
        <f t="shared" si="0"/>
        <v>0</v>
      </c>
      <c r="AB6" s="388">
        <f t="shared" si="0"/>
        <v>0</v>
      </c>
      <c r="AC6" s="388">
        <f>I6-I34</f>
        <v>0</v>
      </c>
      <c r="AD6" s="392">
        <f>J6-J34</f>
        <v>0</v>
      </c>
    </row>
    <row r="7" spans="1:40" ht="15" customHeight="1" thickBot="1" x14ac:dyDescent="0.3">
      <c r="A7" s="14" t="s">
        <v>27</v>
      </c>
      <c r="B7" s="22"/>
      <c r="C7" s="22"/>
      <c r="D7" s="22"/>
      <c r="E7" s="22"/>
      <c r="F7" s="46"/>
      <c r="G7" s="22"/>
      <c r="H7" s="22"/>
      <c r="I7" s="22"/>
      <c r="J7" s="15">
        <f t="shared" ref="J7:J9" si="1">SUM(B7:H7)</f>
        <v>0</v>
      </c>
      <c r="T7" s="392">
        <f t="shared" ref="T7:T9" si="2">SUM(B7:I7)-J7</f>
        <v>0</v>
      </c>
      <c r="W7" s="387"/>
      <c r="X7" s="387"/>
      <c r="Y7" s="387"/>
      <c r="Z7" s="387"/>
      <c r="AA7" s="387"/>
      <c r="AB7" s="387"/>
      <c r="AC7" s="387"/>
    </row>
    <row r="8" spans="1:40" ht="15" customHeight="1" thickBot="1" x14ac:dyDescent="0.3">
      <c r="A8" s="14" t="s">
        <v>28</v>
      </c>
      <c r="B8" s="22"/>
      <c r="C8" s="22"/>
      <c r="D8" s="22"/>
      <c r="E8" s="22"/>
      <c r="F8" s="46"/>
      <c r="G8" s="22"/>
      <c r="H8" s="22"/>
      <c r="I8" s="22"/>
      <c r="J8" s="15">
        <f t="shared" si="1"/>
        <v>0</v>
      </c>
      <c r="T8" s="392">
        <f t="shared" si="2"/>
        <v>0</v>
      </c>
      <c r="W8" s="387"/>
      <c r="X8" s="387"/>
      <c r="Y8" s="387"/>
      <c r="Z8" s="387"/>
      <c r="AA8" s="387"/>
      <c r="AB8" s="387"/>
      <c r="AC8" s="387"/>
    </row>
    <row r="9" spans="1:40" ht="15" customHeight="1" thickBot="1" x14ac:dyDescent="0.3">
      <c r="A9" s="14" t="s">
        <v>29</v>
      </c>
      <c r="B9" s="22"/>
      <c r="C9" s="22"/>
      <c r="D9" s="22"/>
      <c r="E9" s="22"/>
      <c r="F9" s="46"/>
      <c r="G9" s="22"/>
      <c r="H9" s="22"/>
      <c r="I9" s="22"/>
      <c r="J9" s="15">
        <f t="shared" si="1"/>
        <v>0</v>
      </c>
      <c r="T9" s="392">
        <f t="shared" si="2"/>
        <v>0</v>
      </c>
      <c r="W9" s="387"/>
      <c r="X9" s="387"/>
      <c r="Y9" s="387"/>
      <c r="Z9" s="387"/>
      <c r="AA9" s="387"/>
      <c r="AB9" s="387"/>
      <c r="AC9" s="387"/>
    </row>
    <row r="10" spans="1:40" ht="15" customHeight="1" thickBot="1" x14ac:dyDescent="0.3">
      <c r="A10" s="25" t="s">
        <v>30</v>
      </c>
      <c r="B10" s="26">
        <f>B6+B7-B8+B9</f>
        <v>0</v>
      </c>
      <c r="C10" s="26">
        <f>C6+C7-C8+C9</f>
        <v>0</v>
      </c>
      <c r="D10" s="26">
        <f>D6+D7-D8+D9</f>
        <v>0</v>
      </c>
      <c r="E10" s="26">
        <f t="shared" ref="E10:H10" si="3">E6+E7-E8+E9</f>
        <v>0</v>
      </c>
      <c r="F10" s="26">
        <f t="shared" si="3"/>
        <v>0</v>
      </c>
      <c r="G10" s="26">
        <f t="shared" si="3"/>
        <v>0</v>
      </c>
      <c r="H10" s="26">
        <f t="shared" si="3"/>
        <v>0</v>
      </c>
      <c r="I10" s="26">
        <f>I6+I7-I8+I9</f>
        <v>0</v>
      </c>
      <c r="J10" s="17">
        <f>J6+J7-J8+J9</f>
        <v>0</v>
      </c>
      <c r="L10" s="389">
        <f>B6+B7-B8+B9-B10</f>
        <v>0</v>
      </c>
      <c r="M10" s="388">
        <f t="shared" ref="M10:T10" si="4">C6+C7-C8+C9-C10</f>
        <v>0</v>
      </c>
      <c r="N10" s="388">
        <f t="shared" si="4"/>
        <v>0</v>
      </c>
      <c r="O10" s="388">
        <f t="shared" si="4"/>
        <v>0</v>
      </c>
      <c r="P10" s="388">
        <f t="shared" si="4"/>
        <v>0</v>
      </c>
      <c r="Q10" s="388">
        <f t="shared" si="4"/>
        <v>0</v>
      </c>
      <c r="R10" s="388">
        <f t="shared" si="4"/>
        <v>0</v>
      </c>
      <c r="S10" s="388">
        <f t="shared" si="4"/>
        <v>0</v>
      </c>
      <c r="T10" s="388">
        <f t="shared" si="4"/>
        <v>0</v>
      </c>
      <c r="W10" s="387"/>
      <c r="X10" s="387"/>
      <c r="Y10" s="387"/>
      <c r="Z10" s="387"/>
      <c r="AA10" s="387"/>
      <c r="AB10" s="387"/>
      <c r="AC10" s="387"/>
      <c r="AF10" s="389">
        <f>B10-BS!$D$31</f>
        <v>0</v>
      </c>
      <c r="AG10" s="388">
        <f>C10-BS!$D$32</f>
        <v>0</v>
      </c>
      <c r="AH10" s="388">
        <f>D10-BS!$D$33</f>
        <v>0</v>
      </c>
      <c r="AI10" s="388">
        <f>E10-BS!$D$34</f>
        <v>0</v>
      </c>
      <c r="AJ10" s="388">
        <f>F10-BS!$D$35</f>
        <v>0</v>
      </c>
      <c r="AK10" s="388">
        <f>G10-BS!$D$36</f>
        <v>0</v>
      </c>
      <c r="AL10" s="388">
        <f>H10-BS!$D$37</f>
        <v>0</v>
      </c>
      <c r="AM10" s="388">
        <f>I10-BS!$D$38</f>
        <v>0</v>
      </c>
      <c r="AN10" s="392">
        <f>J10-BS!$D$30</f>
        <v>0</v>
      </c>
    </row>
    <row r="11" spans="1:40" ht="15" customHeight="1" thickTop="1" thickBot="1" x14ac:dyDescent="0.3">
      <c r="A11" s="41" t="s">
        <v>31</v>
      </c>
      <c r="B11" s="42"/>
      <c r="C11" s="42"/>
      <c r="D11" s="42"/>
      <c r="E11" s="42"/>
      <c r="F11" s="42"/>
      <c r="G11" s="42"/>
      <c r="H11" s="42"/>
      <c r="I11" s="42"/>
      <c r="J11" s="43"/>
      <c r="L11" s="386"/>
      <c r="T11" s="392"/>
      <c r="W11" s="387"/>
      <c r="X11" s="387"/>
      <c r="Y11" s="387"/>
      <c r="Z11" s="387"/>
      <c r="AA11" s="387"/>
      <c r="AB11" s="387"/>
      <c r="AC11" s="387"/>
    </row>
    <row r="12" spans="1:40" ht="15" customHeight="1" thickTop="1" thickBot="1" x14ac:dyDescent="0.3">
      <c r="A12" s="44" t="s">
        <v>32</v>
      </c>
      <c r="B12" s="22"/>
      <c r="C12" s="22"/>
      <c r="D12" s="22"/>
      <c r="E12" s="22"/>
      <c r="F12" s="22"/>
      <c r="G12" s="22"/>
      <c r="H12" s="22"/>
      <c r="I12" s="22"/>
      <c r="J12" s="15">
        <f>SUM(B12:H12)</f>
        <v>0</v>
      </c>
      <c r="L12" s="386"/>
      <c r="T12" s="392">
        <f t="shared" ref="T12:T14" si="5">SUM(B12:I12)-J12</f>
        <v>0</v>
      </c>
      <c r="V12" s="388">
        <f>B12-B39</f>
        <v>0</v>
      </c>
      <c r="W12" s="388">
        <f t="shared" ref="W12:AB12" si="6">C12-C39</f>
        <v>0</v>
      </c>
      <c r="X12" s="388">
        <f t="shared" si="6"/>
        <v>0</v>
      </c>
      <c r="Y12" s="388">
        <f t="shared" si="6"/>
        <v>0</v>
      </c>
      <c r="Z12" s="388">
        <f>F12-F39</f>
        <v>0</v>
      </c>
      <c r="AA12" s="388">
        <f t="shared" si="6"/>
        <v>0</v>
      </c>
      <c r="AB12" s="388">
        <f t="shared" si="6"/>
        <v>0</v>
      </c>
      <c r="AC12" s="388">
        <f>I12-I39</f>
        <v>0</v>
      </c>
      <c r="AD12" s="392">
        <f>J12-J39</f>
        <v>0</v>
      </c>
    </row>
    <row r="13" spans="1:40" ht="15" customHeight="1" thickBot="1" x14ac:dyDescent="0.3">
      <c r="A13" s="14" t="s">
        <v>27</v>
      </c>
      <c r="B13" s="22"/>
      <c r="C13" s="22"/>
      <c r="D13" s="22"/>
      <c r="E13" s="22"/>
      <c r="F13" s="22"/>
      <c r="G13" s="22"/>
      <c r="H13" s="22"/>
      <c r="I13" s="22"/>
      <c r="J13" s="15">
        <f t="shared" ref="J13:J14" si="7">SUM(B13:H13)</f>
        <v>0</v>
      </c>
      <c r="L13" s="386"/>
      <c r="T13" s="392">
        <f t="shared" si="5"/>
        <v>0</v>
      </c>
      <c r="W13" s="387"/>
      <c r="X13" s="387"/>
      <c r="Y13" s="387"/>
      <c r="Z13" s="387"/>
      <c r="AA13" s="387"/>
      <c r="AB13" s="387"/>
      <c r="AC13" s="387"/>
    </row>
    <row r="14" spans="1:40" ht="15" customHeight="1" thickBot="1" x14ac:dyDescent="0.3">
      <c r="A14" s="14" t="s">
        <v>28</v>
      </c>
      <c r="B14" s="22"/>
      <c r="C14" s="22"/>
      <c r="D14" s="22"/>
      <c r="E14" s="22"/>
      <c r="F14" s="22"/>
      <c r="G14" s="22"/>
      <c r="H14" s="22"/>
      <c r="I14" s="22"/>
      <c r="J14" s="15">
        <f t="shared" si="7"/>
        <v>0</v>
      </c>
      <c r="L14" s="386"/>
      <c r="T14" s="392">
        <f t="shared" si="5"/>
        <v>0</v>
      </c>
      <c r="W14" s="387"/>
      <c r="X14" s="387"/>
      <c r="Y14" s="387"/>
      <c r="Z14" s="387"/>
      <c r="AA14" s="387"/>
      <c r="AB14" s="387"/>
      <c r="AC14" s="387"/>
      <c r="AF14" s="394" t="s">
        <v>1141</v>
      </c>
    </row>
    <row r="15" spans="1:40" ht="15" customHeight="1" thickBot="1" x14ac:dyDescent="0.3">
      <c r="A15" s="25" t="s">
        <v>30</v>
      </c>
      <c r="B15" s="26">
        <f>B12+B13-B14</f>
        <v>0</v>
      </c>
      <c r="C15" s="26">
        <f>C12+C13-C14</f>
        <v>0</v>
      </c>
      <c r="D15" s="26">
        <f t="shared" ref="D15:I15" si="8">D12+D13-D14</f>
        <v>0</v>
      </c>
      <c r="E15" s="26">
        <f t="shared" si="8"/>
        <v>0</v>
      </c>
      <c r="F15" s="26">
        <f t="shared" si="8"/>
        <v>0</v>
      </c>
      <c r="G15" s="26">
        <f>G12+G13-G14</f>
        <v>0</v>
      </c>
      <c r="H15" s="26">
        <f t="shared" si="8"/>
        <v>0</v>
      </c>
      <c r="I15" s="26">
        <f t="shared" si="8"/>
        <v>0</v>
      </c>
      <c r="J15" s="17">
        <f>J12+J13-J14</f>
        <v>0</v>
      </c>
      <c r="L15" s="389">
        <f>B12+B13-B14-B15</f>
        <v>0</v>
      </c>
      <c r="M15" s="388">
        <f t="shared" ref="M15:T15" si="9">C12+C13-C14-C15</f>
        <v>0</v>
      </c>
      <c r="N15" s="388">
        <f t="shared" si="9"/>
        <v>0</v>
      </c>
      <c r="O15" s="388">
        <f t="shared" si="9"/>
        <v>0</v>
      </c>
      <c r="P15" s="388">
        <f t="shared" si="9"/>
        <v>0</v>
      </c>
      <c r="Q15" s="388">
        <f t="shared" si="9"/>
        <v>0</v>
      </c>
      <c r="R15" s="388">
        <f t="shared" si="9"/>
        <v>0</v>
      </c>
      <c r="S15" s="388">
        <f t="shared" si="9"/>
        <v>0</v>
      </c>
      <c r="T15" s="388">
        <f t="shared" si="9"/>
        <v>0</v>
      </c>
      <c r="W15" s="387"/>
      <c r="X15" s="387"/>
      <c r="Y15" s="387"/>
      <c r="Z15" s="387"/>
      <c r="AA15" s="387"/>
      <c r="AB15" s="387"/>
      <c r="AC15" s="387"/>
      <c r="AF15" s="389">
        <f>B15+B20-BS!$E$31</f>
        <v>0</v>
      </c>
      <c r="AG15" s="388">
        <f>C15+C20-BS!$E$32</f>
        <v>0</v>
      </c>
      <c r="AH15" s="388">
        <f>D15+D20-BS!$E$33</f>
        <v>0</v>
      </c>
      <c r="AI15" s="388">
        <f>E15+E20-BS!$E$34</f>
        <v>0</v>
      </c>
      <c r="AJ15" s="388">
        <f>F15+F20-BS!$E$35</f>
        <v>0</v>
      </c>
      <c r="AK15" s="388">
        <f>G15+G20-BS!$E$36</f>
        <v>0</v>
      </c>
      <c r="AL15" s="388">
        <f>H15+H20-BS!$E$37</f>
        <v>0</v>
      </c>
      <c r="AM15" s="388">
        <f>I15+I20-BS!$E$38</f>
        <v>0</v>
      </c>
      <c r="AN15" s="392">
        <f>J15+J20-BS!$E$30</f>
        <v>0</v>
      </c>
    </row>
    <row r="16" spans="1:40" ht="15" customHeight="1" thickTop="1" thickBot="1" x14ac:dyDescent="0.3">
      <c r="A16" s="41" t="s">
        <v>33</v>
      </c>
      <c r="B16" s="42"/>
      <c r="C16" s="42"/>
      <c r="D16" s="42"/>
      <c r="E16" s="42"/>
      <c r="F16" s="42"/>
      <c r="G16" s="42"/>
      <c r="H16" s="42"/>
      <c r="I16" s="42"/>
      <c r="J16" s="43"/>
      <c r="L16" s="386"/>
      <c r="T16" s="392"/>
      <c r="W16" s="387"/>
      <c r="X16" s="387"/>
      <c r="Y16" s="387"/>
      <c r="Z16" s="387"/>
      <c r="AA16" s="387"/>
      <c r="AB16" s="387"/>
      <c r="AC16" s="387"/>
      <c r="AG16" s="387"/>
      <c r="AH16" s="387"/>
      <c r="AI16" s="387"/>
      <c r="AJ16" s="387"/>
      <c r="AK16" s="387"/>
      <c r="AL16" s="387"/>
    </row>
    <row r="17" spans="1:40" ht="15" customHeight="1" thickTop="1" thickBot="1" x14ac:dyDescent="0.3">
      <c r="A17" s="44" t="s">
        <v>32</v>
      </c>
      <c r="B17" s="22"/>
      <c r="C17" s="22"/>
      <c r="D17" s="22"/>
      <c r="E17" s="22"/>
      <c r="F17" s="22"/>
      <c r="G17" s="22"/>
      <c r="H17" s="22"/>
      <c r="I17" s="22"/>
      <c r="J17" s="15">
        <f>SUM(B17:H17)</f>
        <v>0</v>
      </c>
      <c r="L17" s="386"/>
      <c r="T17" s="392">
        <f t="shared" ref="T17:T19" si="10">SUM(B17:I17)-J17</f>
        <v>0</v>
      </c>
      <c r="V17" s="388">
        <f>B17-B44</f>
        <v>0</v>
      </c>
      <c r="W17" s="388">
        <f t="shared" ref="W17:AB17" si="11">C17-C44</f>
        <v>0</v>
      </c>
      <c r="X17" s="388">
        <f t="shared" si="11"/>
        <v>0</v>
      </c>
      <c r="Y17" s="388">
        <f t="shared" si="11"/>
        <v>0</v>
      </c>
      <c r="Z17" s="388">
        <f t="shared" si="11"/>
        <v>0</v>
      </c>
      <c r="AA17" s="388">
        <f t="shared" si="11"/>
        <v>0</v>
      </c>
      <c r="AB17" s="388">
        <f t="shared" si="11"/>
        <v>0</v>
      </c>
      <c r="AC17" s="388">
        <f>I17-I44</f>
        <v>0</v>
      </c>
      <c r="AD17" s="392">
        <f>J17-J44</f>
        <v>0</v>
      </c>
      <c r="AG17" s="387"/>
      <c r="AH17" s="387"/>
      <c r="AI17" s="387"/>
      <c r="AJ17" s="387"/>
      <c r="AK17" s="387"/>
      <c r="AL17" s="387"/>
    </row>
    <row r="18" spans="1:40" ht="15" customHeight="1" thickBot="1" x14ac:dyDescent="0.3">
      <c r="A18" s="14" t="s">
        <v>27</v>
      </c>
      <c r="B18" s="22"/>
      <c r="C18" s="22"/>
      <c r="D18" s="22"/>
      <c r="E18" s="22"/>
      <c r="F18" s="22"/>
      <c r="G18" s="22"/>
      <c r="H18" s="22"/>
      <c r="I18" s="22"/>
      <c r="J18" s="15">
        <f t="shared" ref="J18:J19" si="12">SUM(B18:H18)</f>
        <v>0</v>
      </c>
      <c r="L18" s="386"/>
      <c r="T18" s="392">
        <f t="shared" si="10"/>
        <v>0</v>
      </c>
      <c r="W18" s="387"/>
      <c r="X18" s="387"/>
      <c r="Y18" s="387"/>
      <c r="Z18" s="387"/>
      <c r="AA18" s="387"/>
      <c r="AB18" s="387"/>
      <c r="AC18" s="387"/>
      <c r="AG18" s="387"/>
      <c r="AH18" s="387"/>
      <c r="AI18" s="387"/>
      <c r="AJ18" s="387"/>
      <c r="AK18" s="387"/>
      <c r="AL18" s="387"/>
    </row>
    <row r="19" spans="1:40" ht="15" customHeight="1" thickBot="1" x14ac:dyDescent="0.3">
      <c r="A19" s="14" t="s">
        <v>28</v>
      </c>
      <c r="B19" s="22"/>
      <c r="C19" s="22"/>
      <c r="D19" s="22"/>
      <c r="E19" s="22"/>
      <c r="F19" s="22"/>
      <c r="G19" s="22"/>
      <c r="H19" s="22"/>
      <c r="I19" s="22"/>
      <c r="J19" s="15">
        <f t="shared" si="12"/>
        <v>0</v>
      </c>
      <c r="L19" s="386"/>
      <c r="T19" s="392">
        <f t="shared" si="10"/>
        <v>0</v>
      </c>
      <c r="W19" s="387"/>
      <c r="X19" s="387"/>
      <c r="Y19" s="387"/>
      <c r="Z19" s="387"/>
      <c r="AA19" s="387"/>
      <c r="AB19" s="387"/>
      <c r="AC19" s="387"/>
      <c r="AG19" s="387"/>
      <c r="AH19" s="387"/>
      <c r="AI19" s="387"/>
      <c r="AJ19" s="387"/>
      <c r="AK19" s="387"/>
      <c r="AL19" s="387"/>
    </row>
    <row r="20" spans="1:40" ht="15" customHeight="1" thickBot="1" x14ac:dyDescent="0.3">
      <c r="A20" s="25" t="s">
        <v>30</v>
      </c>
      <c r="B20" s="26">
        <f>B17+B18-B19</f>
        <v>0</v>
      </c>
      <c r="C20" s="26">
        <f>C17+C18-C19</f>
        <v>0</v>
      </c>
      <c r="D20" s="26">
        <f t="shared" ref="D20" si="13">D17+D18-D19</f>
        <v>0</v>
      </c>
      <c r="E20" s="26">
        <f t="shared" ref="E20" si="14">E17+E18-E19</f>
        <v>0</v>
      </c>
      <c r="F20" s="26">
        <f t="shared" ref="F20" si="15">F17+F18-F19</f>
        <v>0</v>
      </c>
      <c r="G20" s="26">
        <f t="shared" ref="G20" si="16">G17+G18-G19</f>
        <v>0</v>
      </c>
      <c r="H20" s="26">
        <f t="shared" ref="H20" si="17">H17+H18-H19</f>
        <v>0</v>
      </c>
      <c r="I20" s="26">
        <f t="shared" ref="I20" si="18">I17+I18-I19</f>
        <v>0</v>
      </c>
      <c r="J20" s="17">
        <f>J17+J18-J19</f>
        <v>0</v>
      </c>
      <c r="L20" s="389">
        <f>B17+B18-B19-B20</f>
        <v>0</v>
      </c>
      <c r="M20" s="388">
        <f t="shared" ref="M20:T20" si="19">C17+C18-C19-C20</f>
        <v>0</v>
      </c>
      <c r="N20" s="388">
        <f t="shared" si="19"/>
        <v>0</v>
      </c>
      <c r="O20" s="388">
        <f t="shared" si="19"/>
        <v>0</v>
      </c>
      <c r="P20" s="388">
        <f t="shared" si="19"/>
        <v>0</v>
      </c>
      <c r="Q20" s="388">
        <f t="shared" si="19"/>
        <v>0</v>
      </c>
      <c r="R20" s="388">
        <f t="shared" si="19"/>
        <v>0</v>
      </c>
      <c r="S20" s="388">
        <f t="shared" si="19"/>
        <v>0</v>
      </c>
      <c r="T20" s="388">
        <f t="shared" si="19"/>
        <v>0</v>
      </c>
      <c r="W20" s="387"/>
      <c r="X20" s="387"/>
      <c r="Y20" s="387"/>
      <c r="Z20" s="387"/>
      <c r="AA20" s="387"/>
      <c r="AB20" s="387"/>
      <c r="AC20" s="387"/>
      <c r="AG20" s="387"/>
      <c r="AH20" s="387"/>
      <c r="AI20" s="387"/>
      <c r="AJ20" s="387"/>
      <c r="AK20" s="387"/>
      <c r="AL20" s="387"/>
    </row>
    <row r="21" spans="1:40" ht="15" customHeight="1" thickTop="1" thickBot="1" x14ac:dyDescent="0.3">
      <c r="A21" s="41" t="s">
        <v>34</v>
      </c>
      <c r="B21" s="42"/>
      <c r="C21" s="42"/>
      <c r="D21" s="42"/>
      <c r="E21" s="42"/>
      <c r="F21" s="42"/>
      <c r="G21" s="42"/>
      <c r="H21" s="42"/>
      <c r="I21" s="42"/>
      <c r="J21" s="43"/>
      <c r="L21" s="386"/>
      <c r="T21" s="392"/>
      <c r="W21" s="387"/>
      <c r="X21" s="387"/>
      <c r="Y21" s="387"/>
      <c r="Z21" s="387"/>
      <c r="AA21" s="387"/>
      <c r="AB21" s="387"/>
      <c r="AC21" s="387"/>
      <c r="AG21" s="387"/>
      <c r="AH21" s="387"/>
      <c r="AI21" s="387"/>
      <c r="AJ21" s="387"/>
      <c r="AK21" s="387"/>
      <c r="AL21" s="387"/>
    </row>
    <row r="22" spans="1:40" ht="15" customHeight="1" thickTop="1" thickBot="1" x14ac:dyDescent="0.3">
      <c r="A22" s="44" t="s">
        <v>32</v>
      </c>
      <c r="B22" s="22">
        <f>B6-B12-B17</f>
        <v>0</v>
      </c>
      <c r="C22" s="22">
        <f t="shared" ref="C22:J22" si="20">C6-C12-C17</f>
        <v>0</v>
      </c>
      <c r="D22" s="22">
        <f t="shared" si="20"/>
        <v>0</v>
      </c>
      <c r="E22" s="22">
        <f t="shared" si="20"/>
        <v>0</v>
      </c>
      <c r="F22" s="22">
        <f t="shared" si="20"/>
        <v>0</v>
      </c>
      <c r="G22" s="22">
        <f t="shared" si="20"/>
        <v>0</v>
      </c>
      <c r="H22" s="22">
        <f t="shared" si="20"/>
        <v>0</v>
      </c>
      <c r="I22" s="22">
        <f t="shared" si="20"/>
        <v>0</v>
      </c>
      <c r="J22" s="15">
        <f t="shared" si="20"/>
        <v>0</v>
      </c>
      <c r="L22" s="389">
        <f>B6-B12-B17-B22</f>
        <v>0</v>
      </c>
      <c r="M22" s="388">
        <f t="shared" ref="M22:S22" si="21">C6-C12-C17-C22</f>
        <v>0</v>
      </c>
      <c r="N22" s="388">
        <f t="shared" si="21"/>
        <v>0</v>
      </c>
      <c r="O22" s="388">
        <f t="shared" si="21"/>
        <v>0</v>
      </c>
      <c r="P22" s="388">
        <f t="shared" si="21"/>
        <v>0</v>
      </c>
      <c r="Q22" s="388">
        <f t="shared" si="21"/>
        <v>0</v>
      </c>
      <c r="R22" s="388">
        <f t="shared" si="21"/>
        <v>0</v>
      </c>
      <c r="S22" s="388">
        <f t="shared" si="21"/>
        <v>0</v>
      </c>
      <c r="T22" s="392">
        <f t="shared" ref="T22:T23" si="22">SUM(B22:I22)-J22</f>
        <v>0</v>
      </c>
      <c r="V22" s="388">
        <f>B22-B47</f>
        <v>0</v>
      </c>
      <c r="W22" s="388">
        <f t="shared" ref="W22:AB22" si="23">C22-C47</f>
        <v>0</v>
      </c>
      <c r="X22" s="388">
        <f t="shared" si="23"/>
        <v>0</v>
      </c>
      <c r="Y22" s="388">
        <f t="shared" si="23"/>
        <v>0</v>
      </c>
      <c r="Z22" s="388">
        <f t="shared" si="23"/>
        <v>0</v>
      </c>
      <c r="AA22" s="388">
        <f t="shared" si="23"/>
        <v>0</v>
      </c>
      <c r="AB22" s="388">
        <f t="shared" si="23"/>
        <v>0</v>
      </c>
      <c r="AC22" s="388">
        <f>I22-I47</f>
        <v>0</v>
      </c>
      <c r="AD22" s="392">
        <f>J22-J47</f>
        <v>0</v>
      </c>
      <c r="AG22" s="387"/>
      <c r="AH22" s="387"/>
      <c r="AI22" s="387"/>
      <c r="AJ22" s="387"/>
      <c r="AK22" s="387"/>
      <c r="AL22" s="387"/>
    </row>
    <row r="23" spans="1:40" ht="15" customHeight="1" thickBot="1" x14ac:dyDescent="0.3">
      <c r="A23" s="25" t="s">
        <v>30</v>
      </c>
      <c r="B23" s="26">
        <f>B10-B15-B20</f>
        <v>0</v>
      </c>
      <c r="C23" s="26">
        <f t="shared" ref="C23:J23" si="24">C10-C15-C20</f>
        <v>0</v>
      </c>
      <c r="D23" s="26">
        <f t="shared" si="24"/>
        <v>0</v>
      </c>
      <c r="E23" s="26">
        <f t="shared" si="24"/>
        <v>0</v>
      </c>
      <c r="F23" s="26">
        <f t="shared" si="24"/>
        <v>0</v>
      </c>
      <c r="G23" s="26">
        <f t="shared" si="24"/>
        <v>0</v>
      </c>
      <c r="H23" s="26">
        <f t="shared" si="24"/>
        <v>0</v>
      </c>
      <c r="I23" s="26">
        <f t="shared" si="24"/>
        <v>0</v>
      </c>
      <c r="J23" s="17">
        <f t="shared" si="24"/>
        <v>0</v>
      </c>
      <c r="L23" s="389">
        <f>B10-B15-B20-B23</f>
        <v>0</v>
      </c>
      <c r="M23" s="388">
        <f t="shared" ref="M23:S23" si="25">C10-C15-C20-C23</f>
        <v>0</v>
      </c>
      <c r="N23" s="388">
        <f t="shared" si="25"/>
        <v>0</v>
      </c>
      <c r="O23" s="388">
        <f t="shared" si="25"/>
        <v>0</v>
      </c>
      <c r="P23" s="388">
        <f t="shared" si="25"/>
        <v>0</v>
      </c>
      <c r="Q23" s="388">
        <f t="shared" si="25"/>
        <v>0</v>
      </c>
      <c r="R23" s="388">
        <f t="shared" si="25"/>
        <v>0</v>
      </c>
      <c r="S23" s="388">
        <f t="shared" si="25"/>
        <v>0</v>
      </c>
      <c r="T23" s="392">
        <f t="shared" si="22"/>
        <v>0</v>
      </c>
      <c r="AF23" s="389">
        <f>B23-BS!$F$31</f>
        <v>0</v>
      </c>
      <c r="AG23" s="388">
        <f>C23-BS!$F$32</f>
        <v>0</v>
      </c>
      <c r="AH23" s="388">
        <f>D23-BS!$F$33</f>
        <v>0</v>
      </c>
      <c r="AI23" s="388">
        <f>E23-BS!$F$34</f>
        <v>0</v>
      </c>
      <c r="AJ23" s="388">
        <f>F23-BS!$F$35</f>
        <v>0</v>
      </c>
      <c r="AK23" s="388">
        <f>G23-BS!$F$36</f>
        <v>0</v>
      </c>
      <c r="AL23" s="388">
        <f>H23-BS!$F$37</f>
        <v>0</v>
      </c>
      <c r="AM23" s="388">
        <f>I23-BS!$F$38</f>
        <v>0</v>
      </c>
      <c r="AN23" s="392">
        <f>J23-BS!$F$30</f>
        <v>0</v>
      </c>
    </row>
    <row r="24" spans="1:40" ht="15.75" thickTop="1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</row>
    <row r="25" spans="1:40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</row>
    <row r="26" spans="1:40" ht="15.75" thickBot="1" x14ac:dyDescent="0.3">
      <c r="A26" s="20" t="s">
        <v>15</v>
      </c>
      <c r="B26" s="20"/>
      <c r="C26" s="20"/>
      <c r="D26" s="20"/>
      <c r="E26" s="20"/>
      <c r="F26" s="20"/>
      <c r="G26" s="20"/>
      <c r="H26" s="20"/>
      <c r="I26" s="20"/>
      <c r="J26" s="20"/>
    </row>
    <row r="27" spans="1:40" ht="16.5" thickTop="1" thickBot="1" x14ac:dyDescent="0.3">
      <c r="A27" s="1426" t="s">
        <v>55</v>
      </c>
      <c r="B27" s="1366" t="s">
        <v>3</v>
      </c>
      <c r="C27" s="1367"/>
      <c r="D27" s="1367"/>
      <c r="E27" s="1367"/>
      <c r="F27" s="1367"/>
      <c r="G27" s="1367"/>
      <c r="H27" s="1367"/>
      <c r="I27" s="1367"/>
      <c r="J27" s="1368"/>
      <c r="K27" s="395"/>
    </row>
    <row r="28" spans="1:40" ht="60.75" customHeight="1" thickTop="1" thickBot="1" x14ac:dyDescent="0.3">
      <c r="A28" s="1430"/>
      <c r="B28" s="136" t="s">
        <v>51</v>
      </c>
      <c r="C28" s="137" t="s">
        <v>495</v>
      </c>
      <c r="D28" s="136" t="s">
        <v>52</v>
      </c>
      <c r="E28" s="137" t="s">
        <v>494</v>
      </c>
      <c r="F28" s="136" t="s">
        <v>53</v>
      </c>
      <c r="G28" s="136" t="s">
        <v>54</v>
      </c>
      <c r="H28" s="137" t="s">
        <v>446</v>
      </c>
      <c r="I28" s="136" t="s">
        <v>447</v>
      </c>
      <c r="J28" s="136" t="s">
        <v>14</v>
      </c>
    </row>
    <row r="29" spans="1:40" ht="15" customHeight="1" thickTop="1" thickBot="1" x14ac:dyDescent="0.3">
      <c r="A29" s="41" t="s">
        <v>25</v>
      </c>
      <c r="B29" s="42"/>
      <c r="C29" s="42"/>
      <c r="D29" s="42"/>
      <c r="E29" s="42"/>
      <c r="F29" s="42"/>
      <c r="G29" s="42"/>
      <c r="H29" s="42"/>
      <c r="I29" s="42"/>
      <c r="J29" s="43"/>
      <c r="K29" s="395"/>
    </row>
    <row r="30" spans="1:40" ht="15" customHeight="1" thickTop="1" thickBot="1" x14ac:dyDescent="0.3">
      <c r="A30" s="44" t="s">
        <v>26</v>
      </c>
      <c r="B30" s="22"/>
      <c r="C30" s="22"/>
      <c r="D30" s="22"/>
      <c r="E30" s="22"/>
      <c r="F30" s="45"/>
      <c r="G30" s="22"/>
      <c r="H30" s="22"/>
      <c r="I30" s="22"/>
      <c r="J30" s="15">
        <f>SUM(B30:H30)</f>
        <v>0</v>
      </c>
      <c r="T30" s="392">
        <f>SUM(B30:I30)-J30</f>
        <v>0</v>
      </c>
    </row>
    <row r="31" spans="1:40" ht="15" customHeight="1" thickBot="1" x14ac:dyDescent="0.3">
      <c r="A31" s="14" t="s">
        <v>27</v>
      </c>
      <c r="B31" s="22"/>
      <c r="C31" s="22"/>
      <c r="D31" s="22"/>
      <c r="E31" s="22"/>
      <c r="F31" s="46"/>
      <c r="G31" s="22"/>
      <c r="H31" s="22"/>
      <c r="I31" s="22"/>
      <c r="J31" s="15">
        <f t="shared" ref="J31:J33" si="26">SUM(B31:H31)</f>
        <v>0</v>
      </c>
      <c r="T31" s="392">
        <f t="shared" ref="T31:T33" si="27">SUM(B31:I31)-J31</f>
        <v>0</v>
      </c>
    </row>
    <row r="32" spans="1:40" ht="15" customHeight="1" thickBot="1" x14ac:dyDescent="0.3">
      <c r="A32" s="14" t="s">
        <v>28</v>
      </c>
      <c r="B32" s="22"/>
      <c r="C32" s="22"/>
      <c r="D32" s="22"/>
      <c r="E32" s="22"/>
      <c r="F32" s="46"/>
      <c r="G32" s="22"/>
      <c r="H32" s="22"/>
      <c r="I32" s="22"/>
      <c r="J32" s="15">
        <f t="shared" si="26"/>
        <v>0</v>
      </c>
      <c r="T32" s="392">
        <f t="shared" si="27"/>
        <v>0</v>
      </c>
    </row>
    <row r="33" spans="1:40" ht="15" customHeight="1" thickBot="1" x14ac:dyDescent="0.3">
      <c r="A33" s="14" t="s">
        <v>29</v>
      </c>
      <c r="B33" s="22"/>
      <c r="C33" s="22"/>
      <c r="D33" s="22"/>
      <c r="E33" s="22"/>
      <c r="F33" s="46"/>
      <c r="G33" s="22"/>
      <c r="H33" s="22"/>
      <c r="I33" s="22"/>
      <c r="J33" s="15">
        <f t="shared" si="26"/>
        <v>0</v>
      </c>
      <c r="T33" s="392">
        <f t="shared" si="27"/>
        <v>0</v>
      </c>
    </row>
    <row r="34" spans="1:40" ht="15" customHeight="1" thickBot="1" x14ac:dyDescent="0.3">
      <c r="A34" s="25" t="s">
        <v>30</v>
      </c>
      <c r="B34" s="26">
        <f>B30+B31-B32+B33</f>
        <v>0</v>
      </c>
      <c r="C34" s="26">
        <f>C30+C31-C32+C33</f>
        <v>0</v>
      </c>
      <c r="D34" s="26">
        <f>D30+D31-D32+D33</f>
        <v>0</v>
      </c>
      <c r="E34" s="26">
        <f t="shared" ref="E34:H34" si="28">E30+E31-E32+E33</f>
        <v>0</v>
      </c>
      <c r="F34" s="26">
        <f t="shared" si="28"/>
        <v>0</v>
      </c>
      <c r="G34" s="26">
        <f t="shared" si="28"/>
        <v>0</v>
      </c>
      <c r="H34" s="26">
        <f t="shared" si="28"/>
        <v>0</v>
      </c>
      <c r="I34" s="26">
        <f>I30+I31-I32+I33</f>
        <v>0</v>
      </c>
      <c r="J34" s="17">
        <f>J30+J31-J32+J33</f>
        <v>0</v>
      </c>
      <c r="L34" s="389">
        <f>B30+B31-B32+B33-B34</f>
        <v>0</v>
      </c>
      <c r="M34" s="388">
        <f t="shared" ref="M34:T34" si="29">C30+C31-C32+C33-C34</f>
        <v>0</v>
      </c>
      <c r="N34" s="388">
        <f t="shared" si="29"/>
        <v>0</v>
      </c>
      <c r="O34" s="388">
        <f t="shared" si="29"/>
        <v>0</v>
      </c>
      <c r="P34" s="388">
        <f t="shared" si="29"/>
        <v>0</v>
      </c>
      <c r="Q34" s="388">
        <f t="shared" si="29"/>
        <v>0</v>
      </c>
      <c r="R34" s="388">
        <f t="shared" si="29"/>
        <v>0</v>
      </c>
      <c r="S34" s="388">
        <f t="shared" si="29"/>
        <v>0</v>
      </c>
      <c r="T34" s="388">
        <f t="shared" si="29"/>
        <v>0</v>
      </c>
    </row>
    <row r="35" spans="1:40" ht="15" customHeight="1" thickTop="1" thickBot="1" x14ac:dyDescent="0.3">
      <c r="A35" s="41" t="s">
        <v>31</v>
      </c>
      <c r="B35" s="42"/>
      <c r="C35" s="42"/>
      <c r="D35" s="42"/>
      <c r="E35" s="42"/>
      <c r="F35" s="42"/>
      <c r="G35" s="42"/>
      <c r="H35" s="42"/>
      <c r="I35" s="42"/>
      <c r="J35" s="43"/>
      <c r="L35" s="386"/>
      <c r="T35" s="392"/>
    </row>
    <row r="36" spans="1:40" ht="15" customHeight="1" thickTop="1" thickBot="1" x14ac:dyDescent="0.3">
      <c r="A36" s="44" t="s">
        <v>32</v>
      </c>
      <c r="B36" s="22"/>
      <c r="C36" s="22"/>
      <c r="D36" s="22"/>
      <c r="E36" s="22"/>
      <c r="F36" s="22"/>
      <c r="G36" s="22"/>
      <c r="H36" s="22"/>
      <c r="I36" s="22"/>
      <c r="J36" s="15">
        <f>SUM(B36:H36)</f>
        <v>0</v>
      </c>
      <c r="L36" s="386"/>
      <c r="T36" s="392">
        <f t="shared" ref="T36:T38" si="30">SUM(B36:I36)-J36</f>
        <v>0</v>
      </c>
    </row>
    <row r="37" spans="1:40" ht="15" customHeight="1" thickBot="1" x14ac:dyDescent="0.3">
      <c r="A37" s="14" t="s">
        <v>27</v>
      </c>
      <c r="B37" s="22"/>
      <c r="C37" s="22"/>
      <c r="D37" s="22"/>
      <c r="E37" s="22"/>
      <c r="F37" s="22"/>
      <c r="G37" s="22"/>
      <c r="H37" s="22"/>
      <c r="I37" s="22"/>
      <c r="J37" s="15">
        <f t="shared" ref="J37:J38" si="31">SUM(B37:H37)</f>
        <v>0</v>
      </c>
      <c r="L37" s="386"/>
      <c r="T37" s="392">
        <f t="shared" si="30"/>
        <v>0</v>
      </c>
    </row>
    <row r="38" spans="1:40" ht="15" customHeight="1" thickBot="1" x14ac:dyDescent="0.3">
      <c r="A38" s="14" t="s">
        <v>28</v>
      </c>
      <c r="B38" s="22"/>
      <c r="C38" s="22"/>
      <c r="D38" s="22"/>
      <c r="E38" s="22"/>
      <c r="F38" s="22"/>
      <c r="G38" s="22"/>
      <c r="H38" s="22"/>
      <c r="I38" s="22"/>
      <c r="J38" s="15">
        <f t="shared" si="31"/>
        <v>0</v>
      </c>
      <c r="L38" s="386"/>
      <c r="T38" s="392">
        <f t="shared" si="30"/>
        <v>0</v>
      </c>
    </row>
    <row r="39" spans="1:40" ht="15" customHeight="1" thickBot="1" x14ac:dyDescent="0.3">
      <c r="A39" s="25" t="s">
        <v>30</v>
      </c>
      <c r="B39" s="26">
        <f>B36+B37-B38</f>
        <v>0</v>
      </c>
      <c r="C39" s="26">
        <f>C36+C37-C38</f>
        <v>0</v>
      </c>
      <c r="D39" s="26">
        <f t="shared" ref="D39:I39" si="32">D36+D37-D38</f>
        <v>0</v>
      </c>
      <c r="E39" s="26">
        <f t="shared" si="32"/>
        <v>0</v>
      </c>
      <c r="F39" s="26">
        <f t="shared" si="32"/>
        <v>0</v>
      </c>
      <c r="G39" s="26">
        <f t="shared" si="32"/>
        <v>0</v>
      </c>
      <c r="H39" s="26">
        <f t="shared" si="32"/>
        <v>0</v>
      </c>
      <c r="I39" s="26">
        <f t="shared" si="32"/>
        <v>0</v>
      </c>
      <c r="J39" s="17">
        <f>J36+J37-J38</f>
        <v>0</v>
      </c>
      <c r="L39" s="389">
        <f>B36+B37-B38-B39</f>
        <v>0</v>
      </c>
      <c r="M39" s="388">
        <f t="shared" ref="M39:T39" si="33">C36+C37-C38-C39</f>
        <v>0</v>
      </c>
      <c r="N39" s="388">
        <f t="shared" si="33"/>
        <v>0</v>
      </c>
      <c r="O39" s="388">
        <f t="shared" si="33"/>
        <v>0</v>
      </c>
      <c r="P39" s="388">
        <f t="shared" si="33"/>
        <v>0</v>
      </c>
      <c r="Q39" s="388">
        <f t="shared" si="33"/>
        <v>0</v>
      </c>
      <c r="R39" s="388">
        <f t="shared" si="33"/>
        <v>0</v>
      </c>
      <c r="S39" s="388">
        <f t="shared" si="33"/>
        <v>0</v>
      </c>
      <c r="T39" s="388">
        <f t="shared" si="33"/>
        <v>0</v>
      </c>
    </row>
    <row r="40" spans="1:40" ht="15" customHeight="1" thickTop="1" thickBot="1" x14ac:dyDescent="0.3">
      <c r="A40" s="41" t="s">
        <v>33</v>
      </c>
      <c r="B40" s="42"/>
      <c r="C40" s="42"/>
      <c r="D40" s="42"/>
      <c r="E40" s="42"/>
      <c r="F40" s="42"/>
      <c r="G40" s="42"/>
      <c r="H40" s="42"/>
      <c r="I40" s="42"/>
      <c r="J40" s="43"/>
      <c r="L40" s="386"/>
      <c r="T40" s="392"/>
    </row>
    <row r="41" spans="1:40" ht="15" customHeight="1" thickTop="1" thickBot="1" x14ac:dyDescent="0.3">
      <c r="A41" s="44" t="s">
        <v>32</v>
      </c>
      <c r="B41" s="22"/>
      <c r="C41" s="22"/>
      <c r="D41" s="22"/>
      <c r="E41" s="22"/>
      <c r="F41" s="22"/>
      <c r="G41" s="22"/>
      <c r="H41" s="22"/>
      <c r="I41" s="22"/>
      <c r="J41" s="15">
        <f>SUM(B41:H41)</f>
        <v>0</v>
      </c>
      <c r="L41" s="386"/>
      <c r="T41" s="392">
        <f t="shared" ref="T41:T43" si="34">SUM(B41:I41)-J41</f>
        <v>0</v>
      </c>
    </row>
    <row r="42" spans="1:40" ht="15" customHeight="1" thickBot="1" x14ac:dyDescent="0.3">
      <c r="A42" s="14" t="s">
        <v>27</v>
      </c>
      <c r="B42" s="22"/>
      <c r="C42" s="22"/>
      <c r="D42" s="22"/>
      <c r="E42" s="22"/>
      <c r="F42" s="22"/>
      <c r="G42" s="22"/>
      <c r="H42" s="22"/>
      <c r="I42" s="22"/>
      <c r="J42" s="15">
        <f t="shared" ref="J42:J43" si="35">SUM(B42:H42)</f>
        <v>0</v>
      </c>
      <c r="L42" s="386"/>
      <c r="T42" s="392">
        <f t="shared" si="34"/>
        <v>0</v>
      </c>
    </row>
    <row r="43" spans="1:40" ht="15" customHeight="1" thickBot="1" x14ac:dyDescent="0.3">
      <c r="A43" s="14" t="s">
        <v>28</v>
      </c>
      <c r="B43" s="22"/>
      <c r="C43" s="22"/>
      <c r="D43" s="22"/>
      <c r="E43" s="22"/>
      <c r="F43" s="22"/>
      <c r="G43" s="22"/>
      <c r="H43" s="22"/>
      <c r="I43" s="22"/>
      <c r="J43" s="15">
        <f t="shared" si="35"/>
        <v>0</v>
      </c>
      <c r="L43" s="386"/>
      <c r="T43" s="392">
        <f t="shared" si="34"/>
        <v>0</v>
      </c>
    </row>
    <row r="44" spans="1:40" ht="15" customHeight="1" thickBot="1" x14ac:dyDescent="0.3">
      <c r="A44" s="25" t="s">
        <v>30</v>
      </c>
      <c r="B44" s="26">
        <f>B41+B42-B43</f>
        <v>0</v>
      </c>
      <c r="C44" s="26">
        <f>C41+C42-C43</f>
        <v>0</v>
      </c>
      <c r="D44" s="26">
        <f t="shared" ref="D44:I44" si="36">D41+D42-D43</f>
        <v>0</v>
      </c>
      <c r="E44" s="26">
        <f t="shared" si="36"/>
        <v>0</v>
      </c>
      <c r="F44" s="26">
        <f t="shared" si="36"/>
        <v>0</v>
      </c>
      <c r="G44" s="26">
        <f t="shared" si="36"/>
        <v>0</v>
      </c>
      <c r="H44" s="26">
        <f t="shared" si="36"/>
        <v>0</v>
      </c>
      <c r="I44" s="26">
        <f t="shared" si="36"/>
        <v>0</v>
      </c>
      <c r="J44" s="17">
        <f>J41+J42-J43</f>
        <v>0</v>
      </c>
      <c r="L44" s="389">
        <f>B41+B42-B43-B44</f>
        <v>0</v>
      </c>
      <c r="M44" s="388">
        <f t="shared" ref="M44:T44" si="37">C41+C42-C43-C44</f>
        <v>0</v>
      </c>
      <c r="N44" s="388">
        <f t="shared" si="37"/>
        <v>0</v>
      </c>
      <c r="O44" s="388">
        <f t="shared" si="37"/>
        <v>0</v>
      </c>
      <c r="P44" s="388">
        <f t="shared" si="37"/>
        <v>0</v>
      </c>
      <c r="Q44" s="388">
        <f t="shared" si="37"/>
        <v>0</v>
      </c>
      <c r="R44" s="388">
        <f t="shared" si="37"/>
        <v>0</v>
      </c>
      <c r="S44" s="388">
        <f t="shared" si="37"/>
        <v>0</v>
      </c>
      <c r="T44" s="388">
        <f t="shared" si="37"/>
        <v>0</v>
      </c>
    </row>
    <row r="45" spans="1:40" ht="15" customHeight="1" thickTop="1" thickBot="1" x14ac:dyDescent="0.3">
      <c r="A45" s="41" t="s">
        <v>34</v>
      </c>
      <c r="B45" s="42"/>
      <c r="C45" s="42"/>
      <c r="D45" s="42"/>
      <c r="E45" s="42"/>
      <c r="F45" s="42"/>
      <c r="G45" s="42"/>
      <c r="H45" s="42"/>
      <c r="I45" s="42"/>
      <c r="J45" s="43"/>
      <c r="L45" s="386"/>
      <c r="T45" s="392"/>
    </row>
    <row r="46" spans="1:40" ht="15" customHeight="1" thickTop="1" thickBot="1" x14ac:dyDescent="0.3">
      <c r="A46" s="44" t="s">
        <v>32</v>
      </c>
      <c r="B46" s="22">
        <f>B30-B36-B41</f>
        <v>0</v>
      </c>
      <c r="C46" s="22">
        <f t="shared" ref="C46:J46" si="38">C30-C36-C41</f>
        <v>0</v>
      </c>
      <c r="D46" s="22">
        <f t="shared" si="38"/>
        <v>0</v>
      </c>
      <c r="E46" s="22">
        <f t="shared" si="38"/>
        <v>0</v>
      </c>
      <c r="F46" s="22">
        <f t="shared" si="38"/>
        <v>0</v>
      </c>
      <c r="G46" s="22">
        <f t="shared" si="38"/>
        <v>0</v>
      </c>
      <c r="H46" s="22">
        <f t="shared" si="38"/>
        <v>0</v>
      </c>
      <c r="I46" s="22">
        <f t="shared" si="38"/>
        <v>0</v>
      </c>
      <c r="J46" s="15">
        <f t="shared" si="38"/>
        <v>0</v>
      </c>
      <c r="L46" s="389">
        <f>B30-B36-B41-B46</f>
        <v>0</v>
      </c>
      <c r="M46" s="388">
        <f t="shared" ref="M46:S46" si="39">C30-C36-C41-C46</f>
        <v>0</v>
      </c>
      <c r="N46" s="388">
        <f t="shared" si="39"/>
        <v>0</v>
      </c>
      <c r="O46" s="388">
        <f t="shared" si="39"/>
        <v>0</v>
      </c>
      <c r="P46" s="388">
        <f t="shared" si="39"/>
        <v>0</v>
      </c>
      <c r="Q46" s="388">
        <f t="shared" si="39"/>
        <v>0</v>
      </c>
      <c r="R46" s="388">
        <f t="shared" si="39"/>
        <v>0</v>
      </c>
      <c r="S46" s="388">
        <f t="shared" si="39"/>
        <v>0</v>
      </c>
      <c r="T46" s="392">
        <f t="shared" ref="T46:T47" si="40">SUM(B46:I46)-J46</f>
        <v>0</v>
      </c>
    </row>
    <row r="47" spans="1:40" ht="15" customHeight="1" thickBot="1" x14ac:dyDescent="0.3">
      <c r="A47" s="25" t="s">
        <v>30</v>
      </c>
      <c r="B47" s="26">
        <f>B34-B39-B44</f>
        <v>0</v>
      </c>
      <c r="C47" s="26">
        <f t="shared" ref="C47:J47" si="41">C34-C39-C44</f>
        <v>0</v>
      </c>
      <c r="D47" s="26">
        <f t="shared" si="41"/>
        <v>0</v>
      </c>
      <c r="E47" s="26">
        <f t="shared" si="41"/>
        <v>0</v>
      </c>
      <c r="F47" s="26">
        <f t="shared" si="41"/>
        <v>0</v>
      </c>
      <c r="G47" s="26">
        <f t="shared" si="41"/>
        <v>0</v>
      </c>
      <c r="H47" s="26">
        <f t="shared" si="41"/>
        <v>0</v>
      </c>
      <c r="I47" s="26">
        <f t="shared" si="41"/>
        <v>0</v>
      </c>
      <c r="J47" s="17">
        <f t="shared" si="41"/>
        <v>0</v>
      </c>
      <c r="L47" s="389">
        <f>B34-B39-B44-B47</f>
        <v>0</v>
      </c>
      <c r="M47" s="388">
        <f t="shared" ref="M47:S47" si="42">C34-C39-C44-C47</f>
        <v>0</v>
      </c>
      <c r="N47" s="388">
        <f t="shared" si="42"/>
        <v>0</v>
      </c>
      <c r="O47" s="388">
        <f t="shared" si="42"/>
        <v>0</v>
      </c>
      <c r="P47" s="388">
        <f t="shared" si="42"/>
        <v>0</v>
      </c>
      <c r="Q47" s="388">
        <f t="shared" si="42"/>
        <v>0</v>
      </c>
      <c r="R47" s="388">
        <f t="shared" si="42"/>
        <v>0</v>
      </c>
      <c r="S47" s="388">
        <f t="shared" si="42"/>
        <v>0</v>
      </c>
      <c r="T47" s="392">
        <f t="shared" si="40"/>
        <v>0</v>
      </c>
      <c r="AF47" s="389">
        <f>B47-BS!$G$31</f>
        <v>0</v>
      </c>
      <c r="AG47" s="388">
        <f>C47-BS!$G$32</f>
        <v>0</v>
      </c>
      <c r="AH47" s="388">
        <f>D47-BS!$G$33</f>
        <v>0</v>
      </c>
      <c r="AI47" s="388">
        <f>E47-BS!$G$34</f>
        <v>0</v>
      </c>
      <c r="AJ47" s="388">
        <f>F47-BS!$G$35</f>
        <v>0</v>
      </c>
      <c r="AK47" s="388">
        <f>G47-BS!$G$36</f>
        <v>0</v>
      </c>
      <c r="AL47" s="388">
        <f>H47-BS!$G$37</f>
        <v>0</v>
      </c>
      <c r="AM47" s="388">
        <f>I47-BS!$G$38</f>
        <v>0</v>
      </c>
      <c r="AN47" s="392">
        <f>J47-BS!$G$30</f>
        <v>0</v>
      </c>
    </row>
    <row r="48" spans="1:40" ht="15.75" thickTop="1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</row>
    <row r="49" spans="1:10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</row>
    <row r="50" spans="1:10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</row>
  </sheetData>
  <mergeCells count="7">
    <mergeCell ref="V1:AD1"/>
    <mergeCell ref="AF1:AN1"/>
    <mergeCell ref="A27:A28"/>
    <mergeCell ref="B27:J27"/>
    <mergeCell ref="A3:A4"/>
    <mergeCell ref="B3:J3"/>
    <mergeCell ref="L1:T1"/>
  </mergeCells>
  <conditionalFormatting sqref="L6:T23 V6:AD22 AF10:AN29">
    <cfRule type="cellIs" dxfId="191" priority="61" operator="lessThan">
      <formula>0</formula>
    </cfRule>
    <cfRule type="cellIs" dxfId="190" priority="62" operator="greaterThan">
      <formula>0</formula>
    </cfRule>
  </conditionalFormatting>
  <conditionalFormatting sqref="L30:T47">
    <cfRule type="cellIs" dxfId="189" priority="59" operator="lessThan">
      <formula>0</formula>
    </cfRule>
    <cfRule type="cellIs" dxfId="188" priority="60" operator="greaterThan">
      <formula>0</formula>
    </cfRule>
  </conditionalFormatting>
  <conditionalFormatting sqref="AF30:AN47">
    <cfRule type="cellIs" dxfId="187" priority="57" operator="lessThan">
      <formula>0</formula>
    </cfRule>
    <cfRule type="cellIs" dxfId="186" priority="58" operator="greaterThan">
      <formula>0</formula>
    </cfRule>
  </conditionalFormatting>
  <conditionalFormatting sqref="L30:T47">
    <cfRule type="cellIs" dxfId="185" priority="55" operator="lessThan">
      <formula>0</formula>
    </cfRule>
    <cfRule type="cellIs" dxfId="184" priority="56" operator="greaterThan">
      <formula>0</formula>
    </cfRule>
  </conditionalFormatting>
  <conditionalFormatting sqref="L6:T23">
    <cfRule type="cellIs" dxfId="183" priority="53" operator="lessThan">
      <formula>0</formula>
    </cfRule>
    <cfRule type="cellIs" dxfId="182" priority="54" operator="greaterThan">
      <formula>0</formula>
    </cfRule>
  </conditionalFormatting>
  <conditionalFormatting sqref="L30:T47">
    <cfRule type="cellIs" dxfId="181" priority="51" operator="lessThan">
      <formula>0</formula>
    </cfRule>
    <cfRule type="cellIs" dxfId="180" priority="52" operator="greaterThan">
      <formula>0</formula>
    </cfRule>
  </conditionalFormatting>
  <conditionalFormatting sqref="L30:T47">
    <cfRule type="cellIs" dxfId="179" priority="49" operator="lessThan">
      <formula>0</formula>
    </cfRule>
    <cfRule type="cellIs" dxfId="178" priority="50" operator="greaterThan">
      <formula>0</formula>
    </cfRule>
  </conditionalFormatting>
  <conditionalFormatting sqref="L6:T23">
    <cfRule type="cellIs" dxfId="177" priority="47" operator="lessThan">
      <formula>0</formula>
    </cfRule>
    <cfRule type="cellIs" dxfId="176" priority="48" operator="greaterThan">
      <formula>0</formula>
    </cfRule>
  </conditionalFormatting>
  <conditionalFormatting sqref="L30:T47">
    <cfRule type="cellIs" dxfId="175" priority="45" operator="lessThan">
      <formula>0</formula>
    </cfRule>
    <cfRule type="cellIs" dxfId="174" priority="46" operator="greaterThan">
      <formula>0</formula>
    </cfRule>
  </conditionalFormatting>
  <conditionalFormatting sqref="L30:T47">
    <cfRule type="cellIs" dxfId="173" priority="43" operator="lessThan">
      <formula>0</formula>
    </cfRule>
    <cfRule type="cellIs" dxfId="172" priority="44" operator="greaterThan">
      <formula>0</formula>
    </cfRule>
  </conditionalFormatting>
  <conditionalFormatting sqref="M10:T10 L15:T15 L20:T20 M11:S14 L10:L14 L16:S19 L21:S23">
    <cfRule type="cellIs" dxfId="171" priority="41" operator="lessThan">
      <formula>0</formula>
    </cfRule>
    <cfRule type="cellIs" dxfId="170" priority="42" operator="greaterThan">
      <formula>0</formula>
    </cfRule>
  </conditionalFormatting>
  <conditionalFormatting sqref="T10">
    <cfRule type="cellIs" dxfId="169" priority="39" operator="lessThan">
      <formula>0</formula>
    </cfRule>
    <cfRule type="cellIs" dxfId="168" priority="40" operator="greaterThan">
      <formula>0</formula>
    </cfRule>
  </conditionalFormatting>
  <conditionalFormatting sqref="T15">
    <cfRule type="cellIs" dxfId="167" priority="37" operator="lessThan">
      <formula>0</formula>
    </cfRule>
    <cfRule type="cellIs" dxfId="166" priority="38" operator="greaterThan">
      <formula>0</formula>
    </cfRule>
  </conditionalFormatting>
  <conditionalFormatting sqref="T20">
    <cfRule type="cellIs" dxfId="165" priority="35" operator="lessThan">
      <formula>0</formula>
    </cfRule>
    <cfRule type="cellIs" dxfId="164" priority="36" operator="greaterThan">
      <formula>0</formula>
    </cfRule>
  </conditionalFormatting>
  <conditionalFormatting sqref="T10">
    <cfRule type="cellIs" dxfId="163" priority="33" operator="lessThan">
      <formula>0</formula>
    </cfRule>
    <cfRule type="cellIs" dxfId="162" priority="34" operator="greaterThan">
      <formula>0</formula>
    </cfRule>
  </conditionalFormatting>
  <conditionalFormatting sqref="T15">
    <cfRule type="cellIs" dxfId="161" priority="31" operator="lessThan">
      <formula>0</formula>
    </cfRule>
    <cfRule type="cellIs" dxfId="160" priority="32" operator="greaterThan">
      <formula>0</formula>
    </cfRule>
  </conditionalFormatting>
  <conditionalFormatting sqref="T15">
    <cfRule type="cellIs" dxfId="159" priority="29" operator="lessThan">
      <formula>0</formula>
    </cfRule>
    <cfRule type="cellIs" dxfId="158" priority="30" operator="greaterThan">
      <formula>0</formula>
    </cfRule>
  </conditionalFormatting>
  <conditionalFormatting sqref="T20">
    <cfRule type="cellIs" dxfId="157" priority="27" operator="lessThan">
      <formula>0</formula>
    </cfRule>
    <cfRule type="cellIs" dxfId="156" priority="28" operator="greaterThan">
      <formula>0</formula>
    </cfRule>
  </conditionalFormatting>
  <conditionalFormatting sqref="T20">
    <cfRule type="cellIs" dxfId="155" priority="25" operator="lessThan">
      <formula>0</formula>
    </cfRule>
    <cfRule type="cellIs" dxfId="154" priority="26" operator="greaterThan">
      <formula>0</formula>
    </cfRule>
  </conditionalFormatting>
  <conditionalFormatting sqref="T20">
    <cfRule type="cellIs" dxfId="153" priority="23" operator="lessThan">
      <formula>0</formula>
    </cfRule>
    <cfRule type="cellIs" dxfId="152" priority="24" operator="greaterThan">
      <formula>0</formula>
    </cfRule>
  </conditionalFormatting>
  <conditionalFormatting sqref="L30:T47">
    <cfRule type="cellIs" dxfId="151" priority="21" operator="lessThan">
      <formula>0</formula>
    </cfRule>
    <cfRule type="cellIs" dxfId="150" priority="22" operator="greaterThan">
      <formula>0</formula>
    </cfRule>
  </conditionalFormatting>
  <conditionalFormatting sqref="M34:T34 L39:T39 L44:T44 M35:S38 L34:L38 L40:S43 L45:S47">
    <cfRule type="cellIs" dxfId="149" priority="19" operator="lessThan">
      <formula>0</formula>
    </cfRule>
    <cfRule type="cellIs" dxfId="148" priority="20" operator="greaterThan">
      <formula>0</formula>
    </cfRule>
  </conditionalFormatting>
  <conditionalFormatting sqref="T34">
    <cfRule type="cellIs" dxfId="147" priority="17" operator="lessThan">
      <formula>0</formula>
    </cfRule>
    <cfRule type="cellIs" dxfId="146" priority="18" operator="greaterThan">
      <formula>0</formula>
    </cfRule>
  </conditionalFormatting>
  <conditionalFormatting sqref="T39">
    <cfRule type="cellIs" dxfId="145" priority="15" operator="lessThan">
      <formula>0</formula>
    </cfRule>
    <cfRule type="cellIs" dxfId="144" priority="16" operator="greaterThan">
      <formula>0</formula>
    </cfRule>
  </conditionalFormatting>
  <conditionalFormatting sqref="T44">
    <cfRule type="cellIs" dxfId="143" priority="13" operator="lessThan">
      <formula>0</formula>
    </cfRule>
    <cfRule type="cellIs" dxfId="142" priority="14" operator="greaterThan">
      <formula>0</formula>
    </cfRule>
  </conditionalFormatting>
  <conditionalFormatting sqref="T34">
    <cfRule type="cellIs" dxfId="141" priority="11" operator="lessThan">
      <formula>0</formula>
    </cfRule>
    <cfRule type="cellIs" dxfId="140" priority="12" operator="greaterThan">
      <formula>0</formula>
    </cfRule>
  </conditionalFormatting>
  <conditionalFormatting sqref="T39">
    <cfRule type="cellIs" dxfId="139" priority="9" operator="lessThan">
      <formula>0</formula>
    </cfRule>
    <cfRule type="cellIs" dxfId="138" priority="10" operator="greaterThan">
      <formula>0</formula>
    </cfRule>
  </conditionalFormatting>
  <conditionalFormatting sqref="T39">
    <cfRule type="cellIs" dxfId="137" priority="7" operator="lessThan">
      <formula>0</formula>
    </cfRule>
    <cfRule type="cellIs" dxfId="136" priority="8" operator="greaterThan">
      <formula>0</formula>
    </cfRule>
  </conditionalFormatting>
  <conditionalFormatting sqref="T44">
    <cfRule type="cellIs" dxfId="135" priority="5" operator="lessThan">
      <formula>0</formula>
    </cfRule>
    <cfRule type="cellIs" dxfId="134" priority="6" operator="greaterThan">
      <formula>0</formula>
    </cfRule>
  </conditionalFormatting>
  <conditionalFormatting sqref="T44">
    <cfRule type="cellIs" dxfId="133" priority="3" operator="lessThan">
      <formula>0</formula>
    </cfRule>
    <cfRule type="cellIs" dxfId="132" priority="4" operator="greaterThan">
      <formula>0</formula>
    </cfRule>
  </conditionalFormatting>
  <conditionalFormatting sqref="T44">
    <cfRule type="cellIs" dxfId="131" priority="1" operator="lessThan">
      <formula>0</formula>
    </cfRule>
    <cfRule type="cellIs" dxfId="13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5"/>
  <sheetViews>
    <sheetView showGridLines="0" zoomScaleNormal="100" workbookViewId="0">
      <selection activeCell="A5" sqref="A5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56</v>
      </c>
    </row>
    <row r="2" spans="1:2" ht="21" customHeight="1" thickTop="1" thickBot="1" x14ac:dyDescent="0.3">
      <c r="A2" s="636" t="s">
        <v>55</v>
      </c>
      <c r="B2" s="11" t="s">
        <v>36</v>
      </c>
    </row>
    <row r="3" spans="1:2" ht="23.25" customHeight="1" thickTop="1" thickBot="1" x14ac:dyDescent="0.3">
      <c r="A3" s="12" t="s">
        <v>57</v>
      </c>
      <c r="B3" s="13"/>
    </row>
    <row r="4" spans="1:2" ht="23.25" customHeight="1" thickBot="1" x14ac:dyDescent="0.3">
      <c r="A4" s="16" t="s">
        <v>58</v>
      </c>
      <c r="B4" s="17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F20"/>
  <sheetViews>
    <sheetView showGridLines="0" zoomScaleNormal="100" workbookViewId="0">
      <selection activeCell="F19" sqref="F19"/>
    </sheetView>
  </sheetViews>
  <sheetFormatPr defaultRowHeight="15" x14ac:dyDescent="0.25"/>
  <cols>
    <col min="1" max="1" width="21.28515625" customWidth="1"/>
    <col min="2" max="4" width="12.7109375" customWidth="1"/>
    <col min="5" max="5" width="14.28515625" customWidth="1"/>
    <col min="6" max="6" width="12.7109375" customWidth="1"/>
  </cols>
  <sheetData>
    <row r="1" spans="1:6" ht="17.25" thickBot="1" x14ac:dyDescent="0.35">
      <c r="A1" s="2" t="s">
        <v>59</v>
      </c>
    </row>
    <row r="2" spans="1:6" ht="16.5" thickTop="1" thickBot="1" x14ac:dyDescent="0.3">
      <c r="A2" s="1426" t="s">
        <v>60</v>
      </c>
      <c r="B2" s="1434" t="s">
        <v>2</v>
      </c>
      <c r="C2" s="1435"/>
      <c r="D2" s="1435"/>
      <c r="E2" s="1435"/>
      <c r="F2" s="1436"/>
    </row>
    <row r="3" spans="1:6" ht="70.5" customHeight="1" thickBot="1" x14ac:dyDescent="0.3">
      <c r="A3" s="1430"/>
      <c r="B3" s="57" t="s">
        <v>61</v>
      </c>
      <c r="C3" s="57" t="s">
        <v>62</v>
      </c>
      <c r="D3" s="40" t="s">
        <v>448</v>
      </c>
      <c r="E3" s="57" t="s">
        <v>449</v>
      </c>
      <c r="F3" s="57" t="s">
        <v>64</v>
      </c>
    </row>
    <row r="4" spans="1:6" ht="16.5" thickTop="1" thickBot="1" x14ac:dyDescent="0.3">
      <c r="A4" s="138" t="s">
        <v>65</v>
      </c>
      <c r="B4" s="53"/>
      <c r="C4" s="53"/>
      <c r="D4" s="53"/>
      <c r="E4" s="53"/>
      <c r="F4" s="54"/>
    </row>
    <row r="5" spans="1:6" ht="16.5" thickTop="1" thickBot="1" x14ac:dyDescent="0.3">
      <c r="A5" s="139"/>
      <c r="B5" s="55"/>
      <c r="C5" s="55"/>
      <c r="D5" s="22"/>
      <c r="E5" s="22"/>
      <c r="F5" s="15"/>
    </row>
    <row r="6" spans="1:6" ht="15.75" thickBot="1" x14ac:dyDescent="0.3">
      <c r="A6" s="139"/>
      <c r="B6" s="55"/>
      <c r="C6" s="55"/>
      <c r="D6" s="22"/>
      <c r="E6" s="22"/>
      <c r="F6" s="15"/>
    </row>
    <row r="7" spans="1:6" ht="15.75" thickBot="1" x14ac:dyDescent="0.3">
      <c r="A7" s="140"/>
      <c r="B7" s="56"/>
      <c r="C7" s="56"/>
      <c r="D7" s="26"/>
      <c r="E7" s="26"/>
      <c r="F7" s="17"/>
    </row>
    <row r="8" spans="1:6" ht="16.5" thickTop="1" thickBot="1" x14ac:dyDescent="0.3">
      <c r="A8" s="138" t="s">
        <v>66</v>
      </c>
      <c r="B8" s="53"/>
      <c r="C8" s="53"/>
      <c r="D8" s="53"/>
      <c r="E8" s="53"/>
      <c r="F8" s="54"/>
    </row>
    <row r="9" spans="1:6" ht="16.5" thickTop="1" thickBot="1" x14ac:dyDescent="0.3">
      <c r="A9" s="139"/>
      <c r="B9" s="55"/>
      <c r="C9" s="55"/>
      <c r="D9" s="22"/>
      <c r="E9" s="22"/>
      <c r="F9" s="15"/>
    </row>
    <row r="10" spans="1:6" ht="15.75" thickBot="1" x14ac:dyDescent="0.3">
      <c r="A10" s="139"/>
      <c r="B10" s="55"/>
      <c r="C10" s="55"/>
      <c r="D10" s="22"/>
      <c r="E10" s="22"/>
      <c r="F10" s="15"/>
    </row>
    <row r="11" spans="1:6" ht="15.75" thickBot="1" x14ac:dyDescent="0.3">
      <c r="A11" s="140"/>
      <c r="B11" s="56"/>
      <c r="C11" s="56"/>
      <c r="D11" s="26"/>
      <c r="E11" s="26"/>
      <c r="F11" s="17"/>
    </row>
    <row r="12" spans="1:6" ht="16.5" thickTop="1" thickBot="1" x14ac:dyDescent="0.3">
      <c r="A12" s="138" t="s">
        <v>67</v>
      </c>
      <c r="B12" s="53"/>
      <c r="C12" s="53"/>
      <c r="D12" s="53"/>
      <c r="E12" s="53"/>
      <c r="F12" s="54"/>
    </row>
    <row r="13" spans="1:6" ht="16.5" thickTop="1" thickBot="1" x14ac:dyDescent="0.3">
      <c r="A13" s="139"/>
      <c r="B13" s="55"/>
      <c r="C13" s="55"/>
      <c r="D13" s="22"/>
      <c r="E13" s="22"/>
      <c r="F13" s="15"/>
    </row>
    <row r="14" spans="1:6" ht="15.75" thickBot="1" x14ac:dyDescent="0.3">
      <c r="A14" s="139"/>
      <c r="B14" s="55"/>
      <c r="C14" s="55"/>
      <c r="D14" s="22"/>
      <c r="E14" s="22"/>
      <c r="F14" s="15"/>
    </row>
    <row r="15" spans="1:6" ht="15.75" thickBot="1" x14ac:dyDescent="0.3">
      <c r="A15" s="140"/>
      <c r="B15" s="56"/>
      <c r="C15" s="56"/>
      <c r="D15" s="26"/>
      <c r="E15" s="26"/>
      <c r="F15" s="17"/>
    </row>
    <row r="16" spans="1:6" ht="16.5" thickTop="1" thickBot="1" x14ac:dyDescent="0.3">
      <c r="A16" s="138" t="s">
        <v>68</v>
      </c>
      <c r="B16" s="53"/>
      <c r="C16" s="53"/>
      <c r="D16" s="53"/>
      <c r="E16" s="53"/>
      <c r="F16" s="54"/>
    </row>
    <row r="17" spans="1:6" ht="16.5" thickTop="1" thickBot="1" x14ac:dyDescent="0.3">
      <c r="A17" s="141"/>
      <c r="B17" s="55"/>
      <c r="C17" s="55"/>
      <c r="D17" s="22"/>
      <c r="E17" s="22"/>
      <c r="F17" s="15"/>
    </row>
    <row r="18" spans="1:6" ht="15.75" thickBot="1" x14ac:dyDescent="0.3">
      <c r="A18" s="86"/>
      <c r="B18" s="56"/>
      <c r="C18" s="56"/>
      <c r="D18" s="173"/>
      <c r="E18" s="47"/>
      <c r="F18" s="174"/>
    </row>
    <row r="19" spans="1:6" ht="24" thickTop="1" thickBot="1" x14ac:dyDescent="0.3">
      <c r="A19" s="25" t="s">
        <v>69</v>
      </c>
      <c r="B19" s="34" t="s">
        <v>18</v>
      </c>
      <c r="C19" s="34" t="s">
        <v>18</v>
      </c>
      <c r="D19" s="34" t="s">
        <v>18</v>
      </c>
      <c r="E19" s="34" t="s">
        <v>18</v>
      </c>
      <c r="F19" s="17">
        <f>SUM(F17:F18)+SUM(F13:F15)+SUM(F9:F11)+SUM(F5:F7)</f>
        <v>0</v>
      </c>
    </row>
    <row r="20" spans="1:6" ht="15.75" thickTop="1" x14ac:dyDescent="0.25"/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M8"/>
  <sheetViews>
    <sheetView showGridLines="0" zoomScaleNormal="100" workbookViewId="0">
      <selection activeCell="I1" sqref="I1:M1"/>
    </sheetView>
  </sheetViews>
  <sheetFormatPr defaultRowHeight="15" outlineLevelCol="1" x14ac:dyDescent="0.25"/>
  <cols>
    <col min="1" max="1" width="17.140625" customWidth="1"/>
    <col min="2" max="2" width="12.42578125" customWidth="1"/>
    <col min="3" max="7" width="11.42578125" customWidth="1"/>
    <col min="8" max="8" width="9.140625" style="391"/>
    <col min="9" max="9" width="9.140625" style="386" customWidth="1" outlineLevel="1"/>
    <col min="10" max="11" width="9.140625" customWidth="1" outlineLevel="1"/>
    <col min="12" max="12" width="17" customWidth="1" outlineLevel="1"/>
    <col min="13" max="13" width="19.7109375" style="391" customWidth="1"/>
  </cols>
  <sheetData>
    <row r="1" spans="1:13" ht="17.25" thickBot="1" x14ac:dyDescent="0.35">
      <c r="A1" s="1" t="s">
        <v>70</v>
      </c>
      <c r="I1" s="1437" t="s">
        <v>1138</v>
      </c>
      <c r="J1" s="1438"/>
      <c r="K1" s="1438"/>
      <c r="L1" s="1438"/>
      <c r="M1" s="1439"/>
    </row>
    <row r="2" spans="1:13" ht="74.25" customHeight="1" thickTop="1" thickBot="1" x14ac:dyDescent="0.3">
      <c r="A2" s="59" t="s">
        <v>452</v>
      </c>
      <c r="B2" s="59" t="s">
        <v>71</v>
      </c>
      <c r="C2" s="38" t="s">
        <v>450</v>
      </c>
      <c r="D2" s="59" t="s">
        <v>72</v>
      </c>
      <c r="E2" s="59" t="s">
        <v>73</v>
      </c>
      <c r="F2" s="38" t="s">
        <v>451</v>
      </c>
      <c r="G2" s="59" t="s">
        <v>79</v>
      </c>
      <c r="H2" s="387"/>
      <c r="I2" s="59" t="s">
        <v>450</v>
      </c>
      <c r="J2" s="59" t="s">
        <v>72</v>
      </c>
      <c r="K2" s="59" t="s">
        <v>73</v>
      </c>
      <c r="L2" s="177" t="s">
        <v>451</v>
      </c>
      <c r="M2" s="59" t="s">
        <v>79</v>
      </c>
    </row>
    <row r="3" spans="1:13" ht="27" customHeight="1" thickTop="1" thickBot="1" x14ac:dyDescent="0.3">
      <c r="A3" s="14" t="s">
        <v>74</v>
      </c>
      <c r="B3" s="62"/>
      <c r="C3" s="22"/>
      <c r="D3" s="22"/>
      <c r="E3" s="22"/>
      <c r="F3" s="22"/>
      <c r="G3" s="15">
        <f>SUM(C3:F3)</f>
        <v>0</v>
      </c>
      <c r="J3" s="387"/>
      <c r="K3" s="387"/>
      <c r="L3" s="387"/>
      <c r="M3" s="392">
        <f>SUM(C3:F3)-G3</f>
        <v>0</v>
      </c>
    </row>
    <row r="4" spans="1:13" ht="27" customHeight="1" thickBot="1" x14ac:dyDescent="0.3">
      <c r="A4" s="14" t="s">
        <v>75</v>
      </c>
      <c r="B4" s="62"/>
      <c r="C4" s="22"/>
      <c r="D4" s="22"/>
      <c r="E4" s="22"/>
      <c r="F4" s="22"/>
      <c r="G4" s="15">
        <f>SUM(C4:F4)</f>
        <v>0</v>
      </c>
      <c r="J4" s="387"/>
      <c r="K4" s="387"/>
      <c r="L4" s="387"/>
      <c r="M4" s="392">
        <f t="shared" ref="M4" si="0">SUM(C4:F4)-G4</f>
        <v>0</v>
      </c>
    </row>
    <row r="5" spans="1:13" ht="27" customHeight="1" thickBot="1" x14ac:dyDescent="0.3">
      <c r="A5" s="14" t="s">
        <v>76</v>
      </c>
      <c r="B5" s="62"/>
      <c r="C5" s="22"/>
      <c r="D5" s="22"/>
      <c r="E5" s="22"/>
      <c r="F5" s="22"/>
      <c r="G5" s="15">
        <f>SUM(C5:F5)</f>
        <v>0</v>
      </c>
      <c r="J5" s="387"/>
      <c r="K5" s="387"/>
      <c r="L5" s="387"/>
      <c r="M5" s="392">
        <f>SUM(C5:F5)-G5</f>
        <v>0</v>
      </c>
    </row>
    <row r="6" spans="1:13" ht="27" customHeight="1" thickBot="1" x14ac:dyDescent="0.3">
      <c r="A6" s="14" t="s">
        <v>77</v>
      </c>
      <c r="B6" s="62"/>
      <c r="C6" s="22"/>
      <c r="D6" s="22"/>
      <c r="E6" s="22"/>
      <c r="F6" s="22"/>
      <c r="G6" s="15">
        <f>SUM(C6:F6)</f>
        <v>0</v>
      </c>
      <c r="J6" s="387"/>
      <c r="K6" s="387"/>
      <c r="L6" s="387"/>
      <c r="M6" s="392">
        <f>SUM(C6:F6)-G6</f>
        <v>0</v>
      </c>
    </row>
    <row r="7" spans="1:13" ht="27" customHeight="1" thickBot="1" x14ac:dyDescent="0.3">
      <c r="A7" s="25" t="s">
        <v>78</v>
      </c>
      <c r="B7" s="61" t="s">
        <v>18</v>
      </c>
      <c r="C7" s="58">
        <f>SUM(C3:C6)</f>
        <v>0</v>
      </c>
      <c r="D7" s="58">
        <f>SUM(D3:D6)</f>
        <v>0</v>
      </c>
      <c r="E7" s="58">
        <f>SUM(E3:E6)</f>
        <v>0</v>
      </c>
      <c r="F7" s="58">
        <f>SUM(F3:F6)</f>
        <v>0</v>
      </c>
      <c r="G7" s="60">
        <f>SUM(G3:G6)</f>
        <v>0</v>
      </c>
      <c r="I7" s="389">
        <f>SUM(C3:C6)-C7</f>
        <v>0</v>
      </c>
      <c r="J7" s="388">
        <f>SUM(D3:D6)-D7</f>
        <v>0</v>
      </c>
      <c r="K7" s="388">
        <f>SUM(E3:E6)-E7</f>
        <v>0</v>
      </c>
      <c r="L7" s="388">
        <f>SUM(F3:F6)-F7</f>
        <v>0</v>
      </c>
      <c r="M7" s="392">
        <f>SUM(G3:G6)-G7</f>
        <v>0</v>
      </c>
    </row>
    <row r="8" spans="1:13" ht="15.75" thickTop="1" x14ac:dyDescent="0.25"/>
  </sheetData>
  <mergeCells count="1">
    <mergeCell ref="I1:M1"/>
  </mergeCells>
  <conditionalFormatting sqref="I3:M7">
    <cfRule type="cellIs" dxfId="129" priority="5" operator="lessThan">
      <formula>0</formula>
    </cfRule>
    <cfRule type="cellIs" dxfId="128" priority="6" operator="greaterThan">
      <formula>0</formula>
    </cfRule>
    <cfRule type="cellIs" dxfId="127" priority="7" operator="lessThan">
      <formula>0</formula>
    </cfRule>
    <cfRule type="cellIs" dxfId="126" priority="8" operator="greaterThan">
      <formula>0</formula>
    </cfRule>
  </conditionalFormatting>
  <conditionalFormatting sqref="I3:M7">
    <cfRule type="cellIs" dxfId="125" priority="1" operator="lessThan">
      <formula>0</formula>
    </cfRule>
    <cfRule type="cellIs" dxfId="124" priority="2" operator="greaterThan">
      <formula>0</formula>
    </cfRule>
    <cfRule type="cellIs" dxfId="123" priority="3" operator="lessThan">
      <formula>0</formula>
    </cfRule>
    <cfRule type="cellIs" dxfId="122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L8"/>
  <sheetViews>
    <sheetView showGridLines="0" zoomScaleNormal="100" workbookViewId="0">
      <selection activeCell="F9" sqref="F9"/>
    </sheetView>
  </sheetViews>
  <sheetFormatPr defaultRowHeight="15" outlineLevelCol="1" x14ac:dyDescent="0.25"/>
  <cols>
    <col min="1" max="1" width="20.42578125" customWidth="1"/>
    <col min="2" max="6" width="13.28515625" customWidth="1"/>
    <col min="7" max="7" width="17.5703125" style="391" customWidth="1"/>
    <col min="8" max="8" width="9.140625" style="386" customWidth="1" outlineLevel="1"/>
    <col min="9" max="11" width="9.140625" customWidth="1" outlineLevel="1"/>
    <col min="12" max="12" width="23.5703125" style="391" customWidth="1"/>
  </cols>
  <sheetData>
    <row r="1" spans="1:12" ht="17.25" thickBot="1" x14ac:dyDescent="0.35">
      <c r="A1" s="1" t="s">
        <v>80</v>
      </c>
      <c r="H1" s="1431" t="s">
        <v>1138</v>
      </c>
      <c r="I1" s="1432"/>
      <c r="J1" s="1432"/>
      <c r="K1" s="1432"/>
      <c r="L1" s="1433"/>
    </row>
    <row r="2" spans="1:12" ht="58.5" customHeight="1" thickTop="1" thickBot="1" x14ac:dyDescent="0.3">
      <c r="A2" s="59" t="s">
        <v>81</v>
      </c>
      <c r="B2" s="38" t="s">
        <v>450</v>
      </c>
      <c r="C2" s="59" t="s">
        <v>72</v>
      </c>
      <c r="D2" s="59" t="s">
        <v>73</v>
      </c>
      <c r="E2" s="59" t="s">
        <v>453</v>
      </c>
      <c r="F2" s="38" t="s">
        <v>30</v>
      </c>
      <c r="G2" s="387"/>
      <c r="H2" s="59" t="s">
        <v>450</v>
      </c>
      <c r="I2" s="59" t="s">
        <v>72</v>
      </c>
      <c r="J2" s="59" t="s">
        <v>73</v>
      </c>
      <c r="K2" s="59" t="s">
        <v>453</v>
      </c>
      <c r="L2" s="59" t="s">
        <v>30</v>
      </c>
    </row>
    <row r="3" spans="1:12" ht="27" customHeight="1" thickTop="1" thickBot="1" x14ac:dyDescent="0.3">
      <c r="A3" s="14" t="s">
        <v>74</v>
      </c>
      <c r="B3" s="22"/>
      <c r="C3" s="22"/>
      <c r="D3" s="22"/>
      <c r="E3" s="22"/>
      <c r="F3" s="15">
        <f>SUM(B3:E3)</f>
        <v>0</v>
      </c>
      <c r="I3" s="387"/>
      <c r="J3" s="387"/>
      <c r="K3" s="387"/>
      <c r="L3" s="392">
        <f>SUM(B3:E3)-F3</f>
        <v>0</v>
      </c>
    </row>
    <row r="4" spans="1:12" ht="27" customHeight="1" thickBot="1" x14ac:dyDescent="0.3">
      <c r="A4" s="14" t="s">
        <v>82</v>
      </c>
      <c r="B4" s="22"/>
      <c r="C4" s="22"/>
      <c r="D4" s="22"/>
      <c r="E4" s="22"/>
      <c r="F4" s="15">
        <f>SUM(B4:E4)</f>
        <v>0</v>
      </c>
      <c r="I4" s="387"/>
      <c r="J4" s="387"/>
      <c r="K4" s="387"/>
      <c r="L4" s="392">
        <f>SUM(B4:E4)-F4</f>
        <v>0</v>
      </c>
    </row>
    <row r="5" spans="1:12" ht="27" customHeight="1" thickBot="1" x14ac:dyDescent="0.3">
      <c r="A5" s="14" t="s">
        <v>83</v>
      </c>
      <c r="B5" s="22"/>
      <c r="C5" s="22"/>
      <c r="D5" s="22"/>
      <c r="E5" s="22"/>
      <c r="F5" s="15">
        <f>SUM(B5:E5)</f>
        <v>0</v>
      </c>
      <c r="I5" s="387"/>
      <c r="J5" s="387"/>
      <c r="K5" s="387"/>
      <c r="L5" s="392">
        <f t="shared" ref="L5:L6" si="0">SUM(B5:E5)-F5</f>
        <v>0</v>
      </c>
    </row>
    <row r="6" spans="1:12" ht="27" customHeight="1" thickBot="1" x14ac:dyDescent="0.3">
      <c r="A6" s="14" t="s">
        <v>77</v>
      </c>
      <c r="B6" s="22"/>
      <c r="C6" s="22"/>
      <c r="D6" s="22"/>
      <c r="E6" s="22"/>
      <c r="F6" s="15">
        <f>SUM(B6:E6)</f>
        <v>0</v>
      </c>
      <c r="I6" s="387"/>
      <c r="J6" s="387"/>
      <c r="K6" s="387"/>
      <c r="L6" s="392">
        <f t="shared" si="0"/>
        <v>0</v>
      </c>
    </row>
    <row r="7" spans="1:12" ht="27" customHeight="1" thickBot="1" x14ac:dyDescent="0.3">
      <c r="A7" s="25" t="s">
        <v>84</v>
      </c>
      <c r="B7" s="58">
        <f>SUM(B3:B6)</f>
        <v>0</v>
      </c>
      <c r="C7" s="58">
        <f>SUM(C3:C6)</f>
        <v>0</v>
      </c>
      <c r="D7" s="58">
        <f>SUM(D3:D6)</f>
        <v>0</v>
      </c>
      <c r="E7" s="58">
        <f>SUM(E3:E6)</f>
        <v>0</v>
      </c>
      <c r="F7" s="60">
        <f>SUM(F3:F6)</f>
        <v>0</v>
      </c>
      <c r="H7" s="389">
        <f>SUM(B3:B6)-B7</f>
        <v>0</v>
      </c>
      <c r="I7" s="388">
        <f>SUM(C3:C6)-C7</f>
        <v>0</v>
      </c>
      <c r="J7" s="388">
        <f>SUM(D3:D6)-D7</f>
        <v>0</v>
      </c>
      <c r="K7" s="388">
        <f>SUM(E3:E6)-E7</f>
        <v>0</v>
      </c>
      <c r="L7" s="392">
        <f>SUM(F3:F6)-F7</f>
        <v>0</v>
      </c>
    </row>
    <row r="8" spans="1:12" ht="15.75" thickTop="1" x14ac:dyDescent="0.25"/>
  </sheetData>
  <mergeCells count="1">
    <mergeCell ref="H1:L1"/>
  </mergeCells>
  <conditionalFormatting sqref="H3:L7">
    <cfRule type="cellIs" dxfId="121" priority="1" operator="lessThan">
      <formula>0</formula>
    </cfRule>
    <cfRule type="cellIs" dxfId="120" priority="2" operator="greaterThan">
      <formula>0</formula>
    </cfRule>
    <cfRule type="cellIs" dxfId="119" priority="3" operator="lessThan">
      <formula>0</formula>
    </cfRule>
    <cfRule type="cellIs" dxfId="118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37"/>
  <sheetViews>
    <sheetView showGridLines="0" workbookViewId="0">
      <selection activeCell="E26" sqref="E26"/>
    </sheetView>
  </sheetViews>
  <sheetFormatPr defaultRowHeight="15" x14ac:dyDescent="0.25"/>
  <cols>
    <col min="1" max="1" width="22" customWidth="1"/>
    <col min="2" max="2" width="21.5703125" customWidth="1"/>
  </cols>
  <sheetData>
    <row r="1" spans="1:2" x14ac:dyDescent="0.25">
      <c r="A1" t="s">
        <v>405</v>
      </c>
    </row>
    <row r="2" spans="1:2" x14ac:dyDescent="0.25">
      <c r="A2" t="s">
        <v>406</v>
      </c>
    </row>
    <row r="3" spans="1:2" x14ac:dyDescent="0.25">
      <c r="A3" t="s">
        <v>407</v>
      </c>
    </row>
    <row r="4" spans="1:2" x14ac:dyDescent="0.25">
      <c r="A4" t="s">
        <v>408</v>
      </c>
    </row>
    <row r="5" spans="1:2" x14ac:dyDescent="0.25">
      <c r="A5" t="s">
        <v>409</v>
      </c>
    </row>
    <row r="6" spans="1:2" x14ac:dyDescent="0.25">
      <c r="A6" t="s">
        <v>410</v>
      </c>
    </row>
    <row r="7" spans="1:2" x14ac:dyDescent="0.25">
      <c r="A7" t="s">
        <v>411</v>
      </c>
    </row>
    <row r="8" spans="1:2" x14ac:dyDescent="0.25">
      <c r="A8" t="s">
        <v>412</v>
      </c>
    </row>
    <row r="9" spans="1:2" x14ac:dyDescent="0.25">
      <c r="A9" t="s">
        <v>413</v>
      </c>
    </row>
    <row r="10" spans="1:2" x14ac:dyDescent="0.25">
      <c r="A10" t="s">
        <v>414</v>
      </c>
    </row>
    <row r="11" spans="1:2" x14ac:dyDescent="0.25">
      <c r="A11" s="9" t="s">
        <v>388</v>
      </c>
      <c r="B11" s="9" t="s">
        <v>415</v>
      </c>
    </row>
    <row r="12" spans="1:2" x14ac:dyDescent="0.25">
      <c r="A12" s="7">
        <v>1</v>
      </c>
      <c r="B12" s="8" t="s">
        <v>416</v>
      </c>
    </row>
    <row r="13" spans="1:2" x14ac:dyDescent="0.25">
      <c r="A13" s="7">
        <v>2</v>
      </c>
      <c r="B13" s="8" t="s">
        <v>417</v>
      </c>
    </row>
    <row r="14" spans="1:2" x14ac:dyDescent="0.25">
      <c r="A14" s="7">
        <v>3</v>
      </c>
      <c r="B14" s="8" t="s">
        <v>418</v>
      </c>
    </row>
    <row r="15" spans="1:2" x14ac:dyDescent="0.25">
      <c r="A15" s="7">
        <v>4</v>
      </c>
      <c r="B15" s="8" t="s">
        <v>419</v>
      </c>
    </row>
    <row r="16" spans="1:2" x14ac:dyDescent="0.25">
      <c r="A16" s="7">
        <v>5</v>
      </c>
      <c r="B16" s="8" t="s">
        <v>420</v>
      </c>
    </row>
    <row r="17" spans="1:2" x14ac:dyDescent="0.25">
      <c r="A17" s="7">
        <v>6</v>
      </c>
      <c r="B17" s="8" t="s">
        <v>421</v>
      </c>
    </row>
    <row r="18" spans="1:2" x14ac:dyDescent="0.25">
      <c r="A18" s="7">
        <v>7</v>
      </c>
      <c r="B18" s="8" t="s">
        <v>422</v>
      </c>
    </row>
    <row r="19" spans="1:2" x14ac:dyDescent="0.25">
      <c r="A19" s="7">
        <v>8</v>
      </c>
      <c r="B19" s="8" t="s">
        <v>423</v>
      </c>
    </row>
    <row r="20" spans="1:2" x14ac:dyDescent="0.25">
      <c r="A20" s="7">
        <v>9</v>
      </c>
      <c r="B20" s="8" t="s">
        <v>424</v>
      </c>
    </row>
    <row r="21" spans="1:2" x14ac:dyDescent="0.25">
      <c r="A21" s="7">
        <v>10</v>
      </c>
      <c r="B21" s="8" t="s">
        <v>425</v>
      </c>
    </row>
    <row r="22" spans="1:2" x14ac:dyDescent="0.25">
      <c r="A22" s="7">
        <v>11</v>
      </c>
      <c r="B22" s="8" t="s">
        <v>426</v>
      </c>
    </row>
    <row r="24" spans="1:2" x14ac:dyDescent="0.25">
      <c r="A24" t="s">
        <v>427</v>
      </c>
    </row>
    <row r="25" spans="1:2" x14ac:dyDescent="0.25">
      <c r="A25" t="s">
        <v>428</v>
      </c>
    </row>
    <row r="26" spans="1:2" x14ac:dyDescent="0.25">
      <c r="A26" t="s">
        <v>429</v>
      </c>
    </row>
    <row r="27" spans="1:2" x14ac:dyDescent="0.25">
      <c r="A27" t="s">
        <v>430</v>
      </c>
    </row>
    <row r="28" spans="1:2" x14ac:dyDescent="0.25">
      <c r="A28" t="s">
        <v>431</v>
      </c>
    </row>
    <row r="29" spans="1:2" x14ac:dyDescent="0.25">
      <c r="A29" t="s">
        <v>432</v>
      </c>
    </row>
    <row r="30" spans="1:2" x14ac:dyDescent="0.25">
      <c r="A30" t="s">
        <v>433</v>
      </c>
    </row>
    <row r="31" spans="1:2" x14ac:dyDescent="0.25">
      <c r="A31" t="s">
        <v>434</v>
      </c>
    </row>
    <row r="32" spans="1:2" x14ac:dyDescent="0.25">
      <c r="A32" t="s">
        <v>435</v>
      </c>
    </row>
    <row r="33" spans="1:1" x14ac:dyDescent="0.25">
      <c r="A33" t="s">
        <v>436</v>
      </c>
    </row>
    <row r="34" spans="1:1" x14ac:dyDescent="0.25">
      <c r="A34" t="s">
        <v>437</v>
      </c>
    </row>
    <row r="35" spans="1:1" x14ac:dyDescent="0.25">
      <c r="A35" t="s">
        <v>438</v>
      </c>
    </row>
    <row r="36" spans="1:1" x14ac:dyDescent="0.25">
      <c r="A36" t="s">
        <v>439</v>
      </c>
    </row>
    <row r="37" spans="1:1" x14ac:dyDescent="0.25">
      <c r="A37" t="s">
        <v>440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V13"/>
  <sheetViews>
    <sheetView showGridLines="0" zoomScaleNormal="100" workbookViewId="0">
      <pane xSplit="1" ySplit="4" topLeftCell="H5" activePane="bottomRight" state="frozen"/>
      <selection pane="topRight" activeCell="B1" sqref="B1"/>
      <selection pane="bottomLeft" activeCell="A5" sqref="A5"/>
      <selection pane="bottomRight" activeCell="N12" sqref="N12"/>
    </sheetView>
  </sheetViews>
  <sheetFormatPr defaultRowHeight="15" outlineLevelCol="1" x14ac:dyDescent="0.25"/>
  <cols>
    <col min="1" max="1" width="18.5703125" customWidth="1"/>
    <col min="2" max="6" width="13.5703125" customWidth="1"/>
    <col min="7" max="7" width="17.5703125" style="391" customWidth="1"/>
    <col min="8" max="8" width="13.42578125" style="387" customWidth="1" outlineLevel="1"/>
    <col min="9" max="10" width="13.42578125" customWidth="1" outlineLevel="1"/>
    <col min="11" max="11" width="21.140625" customWidth="1" outlineLevel="1"/>
    <col min="12" max="12" width="24.7109375" style="391" customWidth="1"/>
    <col min="14" max="14" width="22" style="393" customWidth="1"/>
    <col min="22" max="22" width="9.140625" style="387"/>
  </cols>
  <sheetData>
    <row r="1" spans="1:22" ht="16.5" x14ac:dyDescent="0.3">
      <c r="A1" s="1" t="s">
        <v>85</v>
      </c>
      <c r="H1" s="1431" t="s">
        <v>1138</v>
      </c>
      <c r="I1" s="1432"/>
      <c r="J1" s="1432"/>
      <c r="K1" s="1432"/>
      <c r="L1" s="1433"/>
      <c r="N1" s="401" t="s">
        <v>1140</v>
      </c>
      <c r="O1" s="396"/>
      <c r="P1" s="396"/>
      <c r="Q1" s="396"/>
      <c r="R1" s="396"/>
      <c r="S1" s="396"/>
      <c r="T1" s="396"/>
      <c r="U1" s="396"/>
      <c r="V1" s="396"/>
    </row>
    <row r="2" spans="1:22" ht="17.25" thickBot="1" x14ac:dyDescent="0.35">
      <c r="A2" s="2" t="s">
        <v>8</v>
      </c>
    </row>
    <row r="3" spans="1:22" ht="16.5" thickTop="1" thickBot="1" x14ac:dyDescent="0.3">
      <c r="A3" s="1426" t="s">
        <v>86</v>
      </c>
      <c r="B3" s="1366" t="s">
        <v>2</v>
      </c>
      <c r="C3" s="1367"/>
      <c r="D3" s="1367"/>
      <c r="E3" s="1367"/>
      <c r="F3" s="1368"/>
    </row>
    <row r="4" spans="1:22" ht="60" customHeight="1" thickTop="1" thickBot="1" x14ac:dyDescent="0.3">
      <c r="A4" s="1427"/>
      <c r="B4" s="639" t="s">
        <v>87</v>
      </c>
      <c r="C4" s="21" t="s">
        <v>455</v>
      </c>
      <c r="D4" s="639" t="s">
        <v>1458</v>
      </c>
      <c r="E4" s="21" t="s">
        <v>457</v>
      </c>
      <c r="F4" s="639" t="s">
        <v>89</v>
      </c>
      <c r="G4" s="387"/>
      <c r="H4" s="59" t="s">
        <v>87</v>
      </c>
      <c r="I4" s="438" t="s">
        <v>456</v>
      </c>
      <c r="J4" s="59" t="s">
        <v>459</v>
      </c>
      <c r="K4" s="438" t="s">
        <v>457</v>
      </c>
      <c r="L4" s="59" t="s">
        <v>89</v>
      </c>
      <c r="N4" s="59" t="s">
        <v>89</v>
      </c>
    </row>
    <row r="5" spans="1:22" ht="23.25" customHeight="1" thickTop="1" thickBot="1" x14ac:dyDescent="0.3">
      <c r="A5" s="14" t="s">
        <v>90</v>
      </c>
      <c r="B5" s="22"/>
      <c r="C5" s="22"/>
      <c r="D5" s="22"/>
      <c r="E5" s="22"/>
      <c r="F5" s="15">
        <f>SUM(B5:E5)</f>
        <v>0</v>
      </c>
      <c r="I5" s="387"/>
      <c r="J5" s="387"/>
      <c r="K5" s="387"/>
      <c r="L5" s="392">
        <f>SUM(B5:E5)-F5</f>
        <v>0</v>
      </c>
      <c r="N5" s="400">
        <f>F5-BS!E41</f>
        <v>0</v>
      </c>
    </row>
    <row r="6" spans="1:22" ht="23.25" customHeight="1" thickBot="1" x14ac:dyDescent="0.3">
      <c r="A6" s="14" t="s">
        <v>98</v>
      </c>
      <c r="B6" s="22"/>
      <c r="C6" s="22"/>
      <c r="D6" s="22"/>
      <c r="E6" s="22"/>
      <c r="F6" s="15">
        <f t="shared" ref="F6:F11" si="0">SUM(B6:E6)</f>
        <v>0</v>
      </c>
      <c r="I6" s="387"/>
      <c r="J6" s="387"/>
      <c r="K6" s="387"/>
      <c r="L6" s="392">
        <f t="shared" ref="L6:L11" si="1">SUM(B6:E6)-F6</f>
        <v>0</v>
      </c>
      <c r="N6" s="400">
        <f>F6-BS!E42</f>
        <v>0</v>
      </c>
    </row>
    <row r="7" spans="1:22" ht="23.25" customHeight="1" thickBot="1" x14ac:dyDescent="0.3">
      <c r="A7" s="14" t="s">
        <v>91</v>
      </c>
      <c r="B7" s="22"/>
      <c r="C7" s="22"/>
      <c r="D7" s="22"/>
      <c r="E7" s="22"/>
      <c r="F7" s="15">
        <f t="shared" si="0"/>
        <v>0</v>
      </c>
      <c r="I7" s="387"/>
      <c r="J7" s="387"/>
      <c r="K7" s="387"/>
      <c r="L7" s="392">
        <f t="shared" si="1"/>
        <v>0</v>
      </c>
      <c r="N7" s="400">
        <f>F7-BS!E43</f>
        <v>0</v>
      </c>
    </row>
    <row r="8" spans="1:22" ht="23.25" customHeight="1" thickBot="1" x14ac:dyDescent="0.3">
      <c r="A8" s="14" t="s">
        <v>92</v>
      </c>
      <c r="B8" s="22"/>
      <c r="C8" s="22"/>
      <c r="D8" s="22"/>
      <c r="E8" s="22"/>
      <c r="F8" s="15">
        <f t="shared" si="0"/>
        <v>0</v>
      </c>
      <c r="I8" s="387"/>
      <c r="J8" s="387"/>
      <c r="K8" s="387"/>
      <c r="L8" s="392">
        <f t="shared" si="1"/>
        <v>0</v>
      </c>
      <c r="N8" s="400">
        <f>F8-BS!E44</f>
        <v>0</v>
      </c>
    </row>
    <row r="9" spans="1:22" ht="23.25" customHeight="1" thickBot="1" x14ac:dyDescent="0.3">
      <c r="A9" s="14" t="s">
        <v>93</v>
      </c>
      <c r="B9" s="22"/>
      <c r="C9" s="22"/>
      <c r="D9" s="22"/>
      <c r="E9" s="22"/>
      <c r="F9" s="15">
        <f t="shared" si="0"/>
        <v>0</v>
      </c>
      <c r="L9" s="392">
        <f t="shared" si="1"/>
        <v>0</v>
      </c>
      <c r="N9" s="400">
        <f>F9-BS!E45</f>
        <v>0</v>
      </c>
    </row>
    <row r="10" spans="1:22" ht="23.25" customHeight="1" thickBot="1" x14ac:dyDescent="0.3">
      <c r="A10" s="14" t="s">
        <v>94</v>
      </c>
      <c r="B10" s="22"/>
      <c r="C10" s="22"/>
      <c r="D10" s="22"/>
      <c r="E10" s="22"/>
      <c r="F10" s="15">
        <f t="shared" si="0"/>
        <v>0</v>
      </c>
      <c r="L10" s="392">
        <f t="shared" si="1"/>
        <v>0</v>
      </c>
      <c r="N10" s="439"/>
    </row>
    <row r="11" spans="1:22" ht="23.25" customHeight="1" thickBot="1" x14ac:dyDescent="0.3">
      <c r="A11" s="14" t="s">
        <v>458</v>
      </c>
      <c r="B11" s="22"/>
      <c r="C11" s="22"/>
      <c r="D11" s="22"/>
      <c r="E11" s="22"/>
      <c r="F11" s="15">
        <f t="shared" si="0"/>
        <v>0</v>
      </c>
      <c r="L11" s="392">
        <f t="shared" si="1"/>
        <v>0</v>
      </c>
      <c r="N11" s="400">
        <f>F11-BS!E46</f>
        <v>0</v>
      </c>
    </row>
    <row r="12" spans="1:22" ht="23.25" customHeight="1" thickBot="1" x14ac:dyDescent="0.3">
      <c r="A12" s="25" t="s">
        <v>95</v>
      </c>
      <c r="B12" s="58">
        <f>SUM(B5:B11)</f>
        <v>0</v>
      </c>
      <c r="C12" s="58">
        <f t="shared" ref="C12:E12" si="2">SUM(C5:C11)</f>
        <v>0</v>
      </c>
      <c r="D12" s="58">
        <f>SUM(D5:D11)</f>
        <v>0</v>
      </c>
      <c r="E12" s="58">
        <f t="shared" si="2"/>
        <v>0</v>
      </c>
      <c r="F12" s="60">
        <f>SUM(F5:F11)</f>
        <v>0</v>
      </c>
      <c r="H12" s="388">
        <f>SUM(B5:B11)-B12</f>
        <v>0</v>
      </c>
      <c r="I12" s="388">
        <f t="shared" ref="I12:L12" si="3">SUM(C5:C11)-C12</f>
        <v>0</v>
      </c>
      <c r="J12" s="388">
        <f t="shared" si="3"/>
        <v>0</v>
      </c>
      <c r="K12" s="388">
        <f t="shared" si="3"/>
        <v>0</v>
      </c>
      <c r="L12" s="392">
        <f t="shared" si="3"/>
        <v>0</v>
      </c>
      <c r="N12" s="400">
        <f>F12-BS!E40</f>
        <v>0</v>
      </c>
    </row>
    <row r="13" spans="1:22" ht="17.25" thickTop="1" x14ac:dyDescent="0.3">
      <c r="A13" s="2"/>
    </row>
  </sheetData>
  <mergeCells count="3">
    <mergeCell ref="B3:F3"/>
    <mergeCell ref="A3:A4"/>
    <mergeCell ref="H1:L1"/>
  </mergeCells>
  <conditionalFormatting sqref="H5:L8 H12:L12 L6:L12">
    <cfRule type="cellIs" dxfId="117" priority="3" operator="lessThan">
      <formula>0</formula>
    </cfRule>
    <cfRule type="cellIs" dxfId="116" priority="4" operator="greaterThan">
      <formula>0</formula>
    </cfRule>
    <cfRule type="cellIs" dxfId="115" priority="5" operator="lessThan">
      <formula>0</formula>
    </cfRule>
    <cfRule type="cellIs" dxfId="114" priority="6" operator="greaterThan">
      <formula>0</formula>
    </cfRule>
  </conditionalFormatting>
  <conditionalFormatting sqref="N5:N12">
    <cfRule type="cellIs" dxfId="113" priority="1" operator="lessThan">
      <formula>0</formula>
    </cfRule>
    <cfRule type="cellIs" dxfId="11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B7"/>
  <sheetViews>
    <sheetView showGridLines="0" zoomScaleNormal="100" workbookViewId="0">
      <selection activeCell="B21" sqref="B21"/>
    </sheetView>
  </sheetViews>
  <sheetFormatPr defaultRowHeight="15" x14ac:dyDescent="0.25"/>
  <cols>
    <col min="1" max="1" width="44.42578125" customWidth="1"/>
    <col min="2" max="2" width="42.140625" customWidth="1"/>
    <col min="3" max="3" width="19.140625" customWidth="1"/>
    <col min="4" max="4" width="15.42578125" customWidth="1"/>
    <col min="5" max="5" width="14.5703125" customWidth="1"/>
    <col min="6" max="6" width="13.5703125" customWidth="1"/>
    <col min="7" max="7" width="17.5703125" customWidth="1"/>
  </cols>
  <sheetData>
    <row r="1" spans="1:2" ht="16.5" x14ac:dyDescent="0.3">
      <c r="A1" s="1" t="s">
        <v>85</v>
      </c>
    </row>
    <row r="2" spans="1:2" ht="16.5" x14ac:dyDescent="0.3">
      <c r="A2" s="2"/>
    </row>
    <row r="3" spans="1:2" ht="17.25" thickBot="1" x14ac:dyDescent="0.35">
      <c r="A3" s="2" t="s">
        <v>15</v>
      </c>
    </row>
    <row r="4" spans="1:2" ht="24" customHeight="1" thickTop="1" thickBot="1" x14ac:dyDescent="0.3">
      <c r="A4" s="10" t="s">
        <v>94</v>
      </c>
      <c r="B4" s="11" t="s">
        <v>63</v>
      </c>
    </row>
    <row r="5" spans="1:2" ht="24" thickTop="1" thickBot="1" x14ac:dyDescent="0.3">
      <c r="A5" s="12" t="s">
        <v>96</v>
      </c>
      <c r="B5" s="13"/>
    </row>
    <row r="6" spans="1:2" ht="24.75" customHeight="1" thickBot="1" x14ac:dyDescent="0.3">
      <c r="A6" s="16" t="s">
        <v>97</v>
      </c>
      <c r="B6" s="17"/>
    </row>
    <row r="7" spans="1:2" ht="15.75" thickTop="1" x14ac:dyDescent="0.25">
      <c r="A7" s="63"/>
      <c r="B7" s="18"/>
    </row>
  </sheetData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B5"/>
  <sheetViews>
    <sheetView showGridLines="0" zoomScaleNormal="100" workbookViewId="0">
      <selection activeCell="B3" sqref="B3"/>
    </sheetView>
  </sheetViews>
  <sheetFormatPr defaultRowHeight="15" x14ac:dyDescent="0.25"/>
  <cols>
    <col min="1" max="1" width="44.42578125" customWidth="1"/>
    <col min="2" max="2" width="42.140625" customWidth="1"/>
    <col min="3" max="3" width="19.140625" customWidth="1"/>
  </cols>
  <sheetData>
    <row r="1" spans="1:2" ht="17.25" thickBot="1" x14ac:dyDescent="0.35">
      <c r="A1" s="1" t="s">
        <v>99</v>
      </c>
    </row>
    <row r="2" spans="1:2" ht="16.5" thickTop="1" thickBot="1" x14ac:dyDescent="0.3">
      <c r="A2" s="638" t="s">
        <v>86</v>
      </c>
      <c r="B2" s="641" t="s">
        <v>36</v>
      </c>
    </row>
    <row r="3" spans="1:2" ht="24" customHeight="1" thickTop="1" thickBot="1" x14ac:dyDescent="0.3">
      <c r="A3" s="12" t="s">
        <v>100</v>
      </c>
      <c r="B3" s="13"/>
    </row>
    <row r="4" spans="1:2" ht="24" customHeight="1" thickBot="1" x14ac:dyDescent="0.3">
      <c r="A4" s="16" t="s">
        <v>101</v>
      </c>
      <c r="B4" s="17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M14"/>
  <sheetViews>
    <sheetView showGridLines="0" zoomScaleNormal="100" workbookViewId="0">
      <selection activeCell="H13" sqref="H13:J13"/>
    </sheetView>
  </sheetViews>
  <sheetFormatPr defaultRowHeight="15" x14ac:dyDescent="0.25"/>
  <cols>
    <col min="1" max="1" width="22.140625" customWidth="1"/>
    <col min="2" max="4" width="21.42578125" customWidth="1"/>
    <col min="8" max="8" width="20" style="386" customWidth="1"/>
    <col min="9" max="9" width="15.28515625" style="387" customWidth="1"/>
    <col min="10" max="10" width="20.85546875" style="391" customWidth="1"/>
  </cols>
  <sheetData>
    <row r="1" spans="1:13" ht="16.5" x14ac:dyDescent="0.3">
      <c r="A1" s="1" t="s">
        <v>102</v>
      </c>
      <c r="H1" s="1431" t="s">
        <v>1138</v>
      </c>
      <c r="I1" s="1432"/>
      <c r="J1" s="1433"/>
      <c r="K1" s="396"/>
      <c r="L1" s="396"/>
      <c r="M1" s="387"/>
    </row>
    <row r="2" spans="1:13" ht="17.25" thickBot="1" x14ac:dyDescent="0.35">
      <c r="A2" s="2" t="s">
        <v>8</v>
      </c>
    </row>
    <row r="3" spans="1:13" ht="45" customHeight="1" thickTop="1" thickBot="1" x14ac:dyDescent="0.3">
      <c r="A3" s="59" t="s">
        <v>1</v>
      </c>
      <c r="B3" s="70" t="s">
        <v>489</v>
      </c>
      <c r="C3" s="70" t="s">
        <v>104</v>
      </c>
      <c r="D3" s="70" t="s">
        <v>491</v>
      </c>
      <c r="H3" s="59" t="s">
        <v>489</v>
      </c>
      <c r="I3" s="438" t="s">
        <v>104</v>
      </c>
      <c r="J3" s="438" t="s">
        <v>491</v>
      </c>
    </row>
    <row r="4" spans="1:13" ht="20.25" customHeight="1" thickTop="1" thickBot="1" x14ac:dyDescent="0.3">
      <c r="A4" s="14" t="s">
        <v>106</v>
      </c>
      <c r="B4" s="15"/>
      <c r="C4" s="15"/>
      <c r="D4" s="15"/>
    </row>
    <row r="5" spans="1:13" ht="20.25" customHeight="1" thickBot="1" x14ac:dyDescent="0.3">
      <c r="A5" s="14" t="s">
        <v>107</v>
      </c>
      <c r="B5" s="15"/>
      <c r="C5" s="15"/>
      <c r="D5" s="15"/>
    </row>
    <row r="6" spans="1:13" ht="20.25" customHeight="1" thickBot="1" x14ac:dyDescent="0.3">
      <c r="A6" s="16" t="s">
        <v>108</v>
      </c>
      <c r="B6" s="17">
        <f>B4+B5</f>
        <v>0</v>
      </c>
      <c r="C6" s="17">
        <f t="shared" ref="C6:D6" si="0">C4+C5</f>
        <v>0</v>
      </c>
      <c r="D6" s="17">
        <f t="shared" si="0"/>
        <v>0</v>
      </c>
      <c r="H6" s="389">
        <f>SUM(B4:B5)-B6</f>
        <v>0</v>
      </c>
      <c r="I6" s="388">
        <f t="shared" ref="I6" si="1">SUM(C4:C5)-C6</f>
        <v>0</v>
      </c>
      <c r="J6" s="392">
        <f>SUM(D4:D5)-D6</f>
        <v>0</v>
      </c>
    </row>
    <row r="7" spans="1:13" ht="15.75" thickTop="1" x14ac:dyDescent="0.25">
      <c r="A7" s="48"/>
      <c r="B7" s="20"/>
      <c r="C7" s="20"/>
      <c r="D7" s="20"/>
    </row>
    <row r="8" spans="1:13" x14ac:dyDescent="0.25">
      <c r="A8" s="48"/>
      <c r="B8" s="20"/>
      <c r="C8" s="20"/>
      <c r="D8" s="20"/>
    </row>
    <row r="9" spans="1:13" ht="15.75" thickBot="1" x14ac:dyDescent="0.3">
      <c r="A9" s="48" t="s">
        <v>114</v>
      </c>
      <c r="B9" s="20"/>
      <c r="C9" s="20"/>
      <c r="D9" s="20"/>
    </row>
    <row r="10" spans="1:13" ht="45" customHeight="1" thickTop="1" thickBot="1" x14ac:dyDescent="0.3">
      <c r="A10" s="59" t="s">
        <v>1</v>
      </c>
      <c r="B10" s="70" t="s">
        <v>489</v>
      </c>
      <c r="C10" s="70" t="s">
        <v>104</v>
      </c>
      <c r="D10" s="640" t="s">
        <v>490</v>
      </c>
    </row>
    <row r="11" spans="1:13" ht="20.25" customHeight="1" thickTop="1" thickBot="1" x14ac:dyDescent="0.3">
      <c r="A11" s="14" t="s">
        <v>115</v>
      </c>
      <c r="B11" s="15"/>
      <c r="C11" s="15"/>
      <c r="D11" s="15"/>
    </row>
    <row r="12" spans="1:13" ht="20.25" customHeight="1" thickBot="1" x14ac:dyDescent="0.3">
      <c r="A12" s="14" t="s">
        <v>116</v>
      </c>
      <c r="B12" s="15"/>
      <c r="C12" s="15"/>
      <c r="D12" s="15"/>
    </row>
    <row r="13" spans="1:13" ht="20.25" customHeight="1" thickBot="1" x14ac:dyDescent="0.3">
      <c r="A13" s="16" t="s">
        <v>108</v>
      </c>
      <c r="B13" s="17">
        <f>B11+B12</f>
        <v>0</v>
      </c>
      <c r="C13" s="17">
        <f t="shared" ref="C13:D13" si="2">C11+C12</f>
        <v>0</v>
      </c>
      <c r="D13" s="17">
        <f t="shared" si="2"/>
        <v>0</v>
      </c>
      <c r="H13" s="389">
        <f>SUM(B11:B12)-B13</f>
        <v>0</v>
      </c>
      <c r="I13" s="388">
        <f>SUM(C11:C12)-C13</f>
        <v>0</v>
      </c>
      <c r="J13" s="392">
        <f t="shared" ref="J13" si="3">SUM(D11:D12)-D13</f>
        <v>0</v>
      </c>
    </row>
    <row r="14" spans="1:13" ht="17.25" thickTop="1" x14ac:dyDescent="0.3">
      <c r="A14" s="5"/>
    </row>
  </sheetData>
  <mergeCells count="1">
    <mergeCell ref="H1:J1"/>
  </mergeCells>
  <conditionalFormatting sqref="H4:J13">
    <cfRule type="cellIs" dxfId="111" priority="1" operator="lessThan">
      <formula>0</formula>
    </cfRule>
    <cfRule type="cellIs" dxfId="11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7"/>
  <sheetViews>
    <sheetView showGridLines="0" zoomScaleNormal="100" workbookViewId="0">
      <selection activeCell="D10" sqref="D10"/>
    </sheetView>
  </sheetViews>
  <sheetFormatPr defaultRowHeight="15" x14ac:dyDescent="0.25"/>
  <cols>
    <col min="1" max="1" width="28.7109375" customWidth="1"/>
    <col min="2" max="3" width="28.85546875" customWidth="1"/>
    <col min="4" max="4" width="36.5703125" customWidth="1"/>
  </cols>
  <sheetData>
    <row r="1" spans="1:3" ht="16.5" x14ac:dyDescent="0.3">
      <c r="A1" s="1" t="s">
        <v>102</v>
      </c>
    </row>
    <row r="2" spans="1:3" ht="16.5" x14ac:dyDescent="0.3">
      <c r="A2" s="2"/>
    </row>
    <row r="3" spans="1:3" ht="15.75" thickBot="1" x14ac:dyDescent="0.3">
      <c r="A3" s="20" t="s">
        <v>15</v>
      </c>
      <c r="B3" s="20"/>
      <c r="C3" s="20"/>
    </row>
    <row r="4" spans="1:3" ht="45" customHeight="1" thickTop="1" thickBot="1" x14ac:dyDescent="0.3">
      <c r="A4" s="59" t="s">
        <v>109</v>
      </c>
      <c r="B4" s="70" t="s">
        <v>103</v>
      </c>
      <c r="C4" s="70" t="s">
        <v>105</v>
      </c>
    </row>
    <row r="5" spans="1:3" ht="20.25" customHeight="1" thickTop="1" thickBot="1" x14ac:dyDescent="0.3">
      <c r="A5" s="14" t="s">
        <v>110</v>
      </c>
      <c r="B5" s="15"/>
      <c r="C5" s="15"/>
    </row>
    <row r="6" spans="1:3" ht="20.25" customHeight="1" thickBot="1" x14ac:dyDescent="0.3">
      <c r="A6" s="14" t="s">
        <v>111</v>
      </c>
      <c r="B6" s="15"/>
      <c r="C6" s="15"/>
    </row>
    <row r="7" spans="1:3" ht="20.25" customHeight="1" thickBot="1" x14ac:dyDescent="0.3">
      <c r="A7" s="14" t="s">
        <v>112</v>
      </c>
      <c r="B7" s="15"/>
      <c r="C7" s="15"/>
    </row>
    <row r="8" spans="1:3" ht="20.25" customHeight="1" thickBot="1" x14ac:dyDescent="0.3">
      <c r="A8" s="16" t="s">
        <v>113</v>
      </c>
      <c r="B8" s="17"/>
      <c r="C8" s="17"/>
    </row>
    <row r="9" spans="1:3" ht="15.75" thickTop="1" x14ac:dyDescent="0.25">
      <c r="A9" s="20"/>
      <c r="B9" s="20"/>
      <c r="C9" s="20"/>
    </row>
    <row r="10" spans="1:3" x14ac:dyDescent="0.25">
      <c r="A10" s="49"/>
      <c r="B10" s="20"/>
      <c r="C10" s="20"/>
    </row>
    <row r="11" spans="1:3" ht="15.75" thickBot="1" x14ac:dyDescent="0.3">
      <c r="A11" s="49" t="s">
        <v>117</v>
      </c>
      <c r="B11" s="20"/>
      <c r="C11" s="20"/>
    </row>
    <row r="12" spans="1:3" ht="45" customHeight="1" thickTop="1" thickBot="1" x14ac:dyDescent="0.3">
      <c r="A12" s="59" t="s">
        <v>118</v>
      </c>
      <c r="B12" s="70" t="s">
        <v>103</v>
      </c>
      <c r="C12" s="640" t="s">
        <v>490</v>
      </c>
    </row>
    <row r="13" spans="1:3" ht="20.25" customHeight="1" thickTop="1" thickBot="1" x14ac:dyDescent="0.3">
      <c r="A13" s="14" t="s">
        <v>119</v>
      </c>
      <c r="B13" s="15"/>
      <c r="C13" s="15"/>
    </row>
    <row r="14" spans="1:3" ht="20.25" customHeight="1" thickBot="1" x14ac:dyDescent="0.3">
      <c r="A14" s="14" t="s">
        <v>111</v>
      </c>
      <c r="B14" s="15"/>
      <c r="C14" s="15"/>
    </row>
    <row r="15" spans="1:3" ht="20.25" customHeight="1" thickBot="1" x14ac:dyDescent="0.3">
      <c r="A15" s="14" t="s">
        <v>120</v>
      </c>
      <c r="B15" s="15"/>
      <c r="C15" s="15"/>
    </row>
    <row r="16" spans="1:3" ht="20.25" customHeight="1" thickBot="1" x14ac:dyDescent="0.3">
      <c r="A16" s="16" t="s">
        <v>113</v>
      </c>
      <c r="B16" s="17"/>
      <c r="C16" s="17"/>
    </row>
    <row r="17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O11"/>
  <sheetViews>
    <sheetView showGridLines="0" zoomScaleNormal="100" workbookViewId="0">
      <selection activeCell="H3" sqref="H3:K3"/>
    </sheetView>
  </sheetViews>
  <sheetFormatPr defaultRowHeight="15" outlineLevelCol="1" x14ac:dyDescent="0.25"/>
  <cols>
    <col min="1" max="1" width="25.28515625" customWidth="1"/>
    <col min="2" max="6" width="12.140625" customWidth="1"/>
    <col min="8" max="8" width="18.85546875" style="386" hidden="1" customWidth="1" outlineLevel="1"/>
    <col min="9" max="11" width="18.85546875" hidden="1" customWidth="1" outlineLevel="1"/>
    <col min="12" max="12" width="24.7109375" style="391" customWidth="1" collapsed="1"/>
    <col min="14" max="14" width="22" style="393" customWidth="1"/>
  </cols>
  <sheetData>
    <row r="1" spans="1:15" ht="17.25" thickBot="1" x14ac:dyDescent="0.35">
      <c r="A1" s="1" t="s">
        <v>121</v>
      </c>
      <c r="H1" s="1431" t="s">
        <v>1138</v>
      </c>
      <c r="I1" s="1432"/>
      <c r="J1" s="1432"/>
      <c r="K1" s="1432"/>
      <c r="L1" s="1433"/>
      <c r="N1" s="401" t="s">
        <v>1140</v>
      </c>
    </row>
    <row r="2" spans="1:15" ht="16.5" thickTop="1" thickBot="1" x14ac:dyDescent="0.3">
      <c r="A2" s="1426" t="s">
        <v>122</v>
      </c>
      <c r="B2" s="1366" t="s">
        <v>2</v>
      </c>
      <c r="C2" s="1367"/>
      <c r="D2" s="1367"/>
      <c r="E2" s="1367"/>
      <c r="F2" s="1368"/>
    </row>
    <row r="3" spans="1:15" ht="62.25" customHeight="1" thickTop="1" thickBot="1" x14ac:dyDescent="0.3">
      <c r="A3" s="1427"/>
      <c r="B3" s="30" t="s">
        <v>123</v>
      </c>
      <c r="C3" s="21" t="s">
        <v>455</v>
      </c>
      <c r="D3" s="30" t="s">
        <v>459</v>
      </c>
      <c r="E3" s="21" t="s">
        <v>457</v>
      </c>
      <c r="F3" s="30" t="s">
        <v>89</v>
      </c>
      <c r="H3" s="59" t="s">
        <v>123</v>
      </c>
      <c r="I3" s="177" t="s">
        <v>455</v>
      </c>
      <c r="J3" s="59" t="s">
        <v>459</v>
      </c>
      <c r="K3" s="177" t="s">
        <v>457</v>
      </c>
      <c r="L3" s="59" t="s">
        <v>89</v>
      </c>
      <c r="N3" s="59" t="s">
        <v>89</v>
      </c>
    </row>
    <row r="4" spans="1:15" s="4" customFormat="1" ht="33" customHeight="1" thickTop="1" thickBot="1" x14ac:dyDescent="0.3">
      <c r="A4" s="14" t="s">
        <v>125</v>
      </c>
      <c r="B4" s="22"/>
      <c r="C4" s="22"/>
      <c r="D4" s="22"/>
      <c r="E4" s="22"/>
      <c r="F4" s="15">
        <f>SUM(B4:E4)</f>
        <v>0</v>
      </c>
      <c r="H4" s="386"/>
      <c r="I4" s="387"/>
      <c r="J4" s="387"/>
      <c r="K4" s="387"/>
      <c r="L4" s="392">
        <f>SUM(B4:E4)-F4</f>
        <v>0</v>
      </c>
      <c r="N4" s="400">
        <f>F4-BS!$E$56-BS!$E$48</f>
        <v>-1716</v>
      </c>
      <c r="O4" s="39"/>
    </row>
    <row r="5" spans="1:15" s="4" customFormat="1" ht="33" customHeight="1" thickBot="1" x14ac:dyDescent="0.3">
      <c r="A5" s="14" t="s">
        <v>126</v>
      </c>
      <c r="B5" s="22"/>
      <c r="C5" s="22"/>
      <c r="D5" s="22"/>
      <c r="E5" s="22"/>
      <c r="F5" s="15">
        <f t="shared" ref="F5:F8" si="0">SUM(B5:E5)</f>
        <v>0</v>
      </c>
      <c r="H5" s="386"/>
      <c r="I5" s="387"/>
      <c r="J5" s="387"/>
      <c r="K5" s="387"/>
      <c r="L5" s="392">
        <f>SUM(B5:E5)-F5</f>
        <v>0</v>
      </c>
      <c r="N5" s="400">
        <f>F5-BS!$E$58-BS!$E$50</f>
        <v>0</v>
      </c>
      <c r="O5" s="39"/>
    </row>
    <row r="6" spans="1:15" s="4" customFormat="1" ht="33" customHeight="1" thickBot="1" x14ac:dyDescent="0.3">
      <c r="A6" s="14" t="s">
        <v>136</v>
      </c>
      <c r="B6" s="22"/>
      <c r="C6" s="22"/>
      <c r="D6" s="22"/>
      <c r="E6" s="22"/>
      <c r="F6" s="15">
        <f t="shared" si="0"/>
        <v>0</v>
      </c>
      <c r="H6" s="386"/>
      <c r="I6" s="387"/>
      <c r="J6" s="387"/>
      <c r="K6" s="387"/>
      <c r="L6" s="392">
        <f t="shared" ref="L6:L8" si="1">SUM(B6:E6)-F6</f>
        <v>0</v>
      </c>
      <c r="N6" s="400">
        <f>F6-BS!$E$59-BS!$E$51</f>
        <v>0</v>
      </c>
      <c r="O6" s="39"/>
    </row>
    <row r="7" spans="1:15" s="4" customFormat="1" ht="33" customHeight="1" thickBot="1" x14ac:dyDescent="0.3">
      <c r="A7" s="14" t="s">
        <v>127</v>
      </c>
      <c r="B7" s="22"/>
      <c r="C7" s="22"/>
      <c r="D7" s="22"/>
      <c r="E7" s="22"/>
      <c r="F7" s="15">
        <f t="shared" si="0"/>
        <v>0</v>
      </c>
      <c r="H7" s="386"/>
      <c r="I7" s="387"/>
      <c r="J7" s="387"/>
      <c r="K7" s="387"/>
      <c r="L7" s="392">
        <f t="shared" si="1"/>
        <v>0</v>
      </c>
      <c r="N7" s="400">
        <f>F7-BS!$E$60-BS!$E$52</f>
        <v>0</v>
      </c>
      <c r="O7" s="39"/>
    </row>
    <row r="8" spans="1:15" s="4" customFormat="1" ht="33" customHeight="1" thickBot="1" x14ac:dyDescent="0.3">
      <c r="A8" s="14" t="s">
        <v>128</v>
      </c>
      <c r="B8" s="22"/>
      <c r="C8" s="22"/>
      <c r="D8" s="22"/>
      <c r="E8" s="22"/>
      <c r="F8" s="15">
        <f t="shared" si="0"/>
        <v>0</v>
      </c>
      <c r="H8" s="386"/>
      <c r="I8"/>
      <c r="J8"/>
      <c r="K8"/>
      <c r="L8" s="392">
        <f t="shared" si="1"/>
        <v>0</v>
      </c>
      <c r="N8" s="400">
        <f>F8-SUM(BS!$E$61:$E$63,BS!$E$53,BS!$E$54)</f>
        <v>0</v>
      </c>
      <c r="O8" s="39"/>
    </row>
    <row r="9" spans="1:15" s="4" customFormat="1" ht="33" customHeight="1" thickBot="1" x14ac:dyDescent="0.3">
      <c r="A9" s="25" t="s">
        <v>129</v>
      </c>
      <c r="B9" s="58">
        <f>SUM(B4:B8)</f>
        <v>0</v>
      </c>
      <c r="C9" s="58">
        <f>SUM(C4:C8)</f>
        <v>0</v>
      </c>
      <c r="D9" s="58">
        <f>SUM(D4:D8)</f>
        <v>0</v>
      </c>
      <c r="E9" s="58">
        <f>SUM(E4:E8)</f>
        <v>0</v>
      </c>
      <c r="F9" s="60">
        <f>SUM(F4:F8)</f>
        <v>0</v>
      </c>
      <c r="H9" s="386"/>
      <c r="I9"/>
      <c r="J9"/>
      <c r="K9"/>
      <c r="L9" s="392">
        <f>SUM(F4:F8)-F9</f>
        <v>0</v>
      </c>
      <c r="N9" s="400">
        <f>F9-BS!$E$47-BS!$E$55</f>
        <v>-1716</v>
      </c>
      <c r="O9" s="39"/>
    </row>
    <row r="10" spans="1:15" ht="15.75" thickTop="1" x14ac:dyDescent="0.25">
      <c r="L10" s="392"/>
      <c r="N10" s="400"/>
      <c r="O10" s="39"/>
    </row>
    <row r="11" spans="1:15" x14ac:dyDescent="0.25">
      <c r="H11" s="389"/>
      <c r="I11" s="388"/>
      <c r="J11" s="388"/>
      <c r="K11" s="388"/>
      <c r="L11" s="392"/>
      <c r="N11" s="400"/>
      <c r="O11" s="39"/>
    </row>
  </sheetData>
  <mergeCells count="3">
    <mergeCell ref="B2:F2"/>
    <mergeCell ref="A2:A3"/>
    <mergeCell ref="H1:L1"/>
  </mergeCells>
  <conditionalFormatting sqref="H4:L7 H11:L11 L5:L10">
    <cfRule type="cellIs" dxfId="109" priority="7" operator="lessThan">
      <formula>0</formula>
    </cfRule>
    <cfRule type="cellIs" dxfId="108" priority="8" operator="greaterThan">
      <formula>0</formula>
    </cfRule>
    <cfRule type="cellIs" dxfId="107" priority="9" operator="lessThan">
      <formula>0</formula>
    </cfRule>
    <cfRule type="cellIs" dxfId="106" priority="10" operator="greaterThan">
      <formula>0</formula>
    </cfRule>
  </conditionalFormatting>
  <conditionalFormatting sqref="N4:N11">
    <cfRule type="cellIs" dxfId="105" priority="5" operator="lessThan">
      <formula>0</formula>
    </cfRule>
    <cfRule type="cellIs" dxfId="104" priority="6" operator="greaterThan">
      <formula>0</formula>
    </cfRule>
  </conditionalFormatting>
  <conditionalFormatting sqref="L9">
    <cfRule type="cellIs" dxfId="103" priority="1" operator="lessThan">
      <formula>0</formula>
    </cfRule>
    <cfRule type="cellIs" dxfId="102" priority="2" operator="greaterThan">
      <formula>0</formula>
    </cfRule>
    <cfRule type="cellIs" dxfId="101" priority="3" operator="lessThan">
      <formula>0</formula>
    </cfRule>
    <cfRule type="cellIs" dxfId="100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J20"/>
  <sheetViews>
    <sheetView showGridLines="0" zoomScaleNormal="100" workbookViewId="0">
      <selection activeCell="J12" sqref="J12:J19"/>
    </sheetView>
  </sheetViews>
  <sheetFormatPr defaultRowHeight="15" outlineLevelCol="1" x14ac:dyDescent="0.25"/>
  <cols>
    <col min="1" max="1" width="25.85546875" customWidth="1"/>
    <col min="2" max="4" width="20.140625" customWidth="1"/>
    <col min="5" max="5" width="20.42578125" customWidth="1"/>
    <col min="6" max="6" width="20.42578125" style="386" customWidth="1" outlineLevel="1"/>
    <col min="7" max="7" width="18.85546875" style="387" customWidth="1" outlineLevel="1"/>
    <col min="8" max="8" width="20.85546875" style="391" customWidth="1"/>
    <col min="10" max="10" width="22" style="393" customWidth="1"/>
  </cols>
  <sheetData>
    <row r="1" spans="1:10" ht="16.5" x14ac:dyDescent="0.3">
      <c r="A1" s="1" t="s">
        <v>130</v>
      </c>
      <c r="F1" s="1431" t="s">
        <v>1138</v>
      </c>
      <c r="G1" s="1432"/>
      <c r="H1" s="1433"/>
      <c r="J1" s="399" t="s">
        <v>1140</v>
      </c>
    </row>
    <row r="2" spans="1:10" ht="17.25" thickBot="1" x14ac:dyDescent="0.35">
      <c r="A2" s="2" t="s">
        <v>8</v>
      </c>
    </row>
    <row r="3" spans="1:10" ht="22.5" customHeight="1" thickTop="1" thickBot="1" x14ac:dyDescent="0.3">
      <c r="A3" s="10" t="s">
        <v>131</v>
      </c>
      <c r="B3" s="11" t="s">
        <v>132</v>
      </c>
      <c r="C3" s="11" t="s">
        <v>133</v>
      </c>
      <c r="D3" s="11" t="s">
        <v>129</v>
      </c>
      <c r="F3" s="59" t="s">
        <v>132</v>
      </c>
      <c r="G3" s="437" t="s">
        <v>133</v>
      </c>
      <c r="H3" s="437" t="s">
        <v>129</v>
      </c>
      <c r="J3" s="59" t="s">
        <v>129</v>
      </c>
    </row>
    <row r="4" spans="1:10" ht="22.5" customHeight="1" thickTop="1" thickBot="1" x14ac:dyDescent="0.3">
      <c r="A4" s="64" t="s">
        <v>134</v>
      </c>
      <c r="B4" s="53"/>
      <c r="C4" s="53"/>
      <c r="D4" s="54"/>
      <c r="J4" s="400"/>
    </row>
    <row r="5" spans="1:10" ht="22.5" customHeight="1" thickTop="1" thickBot="1" x14ac:dyDescent="0.3">
      <c r="A5" s="14" t="s">
        <v>135</v>
      </c>
      <c r="B5" s="22"/>
      <c r="C5" s="22"/>
      <c r="D5" s="15">
        <f>B5+C5</f>
        <v>0</v>
      </c>
      <c r="H5" s="392">
        <f>SUM(B5:C5)-D5</f>
        <v>0</v>
      </c>
      <c r="J5" s="400">
        <f>D5-BS!$D$48</f>
        <v>0</v>
      </c>
    </row>
    <row r="6" spans="1:10" ht="22.5" customHeight="1" thickBot="1" x14ac:dyDescent="0.3">
      <c r="A6" s="14" t="s">
        <v>126</v>
      </c>
      <c r="B6" s="22"/>
      <c r="C6" s="22"/>
      <c r="D6" s="15">
        <f t="shared" ref="D6:D9" si="0">B6+C6</f>
        <v>0</v>
      </c>
      <c r="H6" s="392">
        <f t="shared" ref="H6:H9" si="1">SUM(B6:C6)-D6</f>
        <v>0</v>
      </c>
      <c r="J6" s="400">
        <f>D6-BS!$D$50</f>
        <v>0</v>
      </c>
    </row>
    <row r="7" spans="1:10" ht="22.5" customHeight="1" thickBot="1" x14ac:dyDescent="0.3">
      <c r="A7" s="14" t="s">
        <v>136</v>
      </c>
      <c r="B7" s="22"/>
      <c r="C7" s="22"/>
      <c r="D7" s="15">
        <f t="shared" si="0"/>
        <v>0</v>
      </c>
      <c r="H7" s="392">
        <f t="shared" si="1"/>
        <v>0</v>
      </c>
      <c r="J7" s="400">
        <f>D7-BS!$D$51</f>
        <v>0</v>
      </c>
    </row>
    <row r="8" spans="1:10" ht="22.5" customHeight="1" thickBot="1" x14ac:dyDescent="0.3">
      <c r="A8" s="14" t="s">
        <v>127</v>
      </c>
      <c r="B8" s="22"/>
      <c r="C8" s="22"/>
      <c r="D8" s="15">
        <f t="shared" si="0"/>
        <v>0</v>
      </c>
      <c r="H8" s="392">
        <f t="shared" si="1"/>
        <v>0</v>
      </c>
      <c r="J8" s="400">
        <f>D8-BS!$D$52</f>
        <v>0</v>
      </c>
    </row>
    <row r="9" spans="1:10" ht="22.5" customHeight="1" thickBot="1" x14ac:dyDescent="0.3">
      <c r="A9" s="14" t="s">
        <v>128</v>
      </c>
      <c r="B9" s="22"/>
      <c r="C9" s="22"/>
      <c r="D9" s="15">
        <f t="shared" si="0"/>
        <v>0</v>
      </c>
      <c r="H9" s="392">
        <f t="shared" si="1"/>
        <v>0</v>
      </c>
      <c r="J9" s="400">
        <f>D9-BS!$D$53-BS!$D$54</f>
        <v>-25577</v>
      </c>
    </row>
    <row r="10" spans="1:10" ht="22.5" customHeight="1" thickBot="1" x14ac:dyDescent="0.3">
      <c r="A10" s="25" t="s">
        <v>137</v>
      </c>
      <c r="B10" s="58">
        <f>SUM(B5:B9)</f>
        <v>0</v>
      </c>
      <c r="C10" s="58">
        <f>SUM(C5:C9)</f>
        <v>0</v>
      </c>
      <c r="D10" s="60">
        <f>SUM(D5:D9)</f>
        <v>0</v>
      </c>
      <c r="F10" s="389">
        <f>SUM(B5:B9)-B10</f>
        <v>0</v>
      </c>
      <c r="G10" s="388">
        <f>SUM(C5:C9)-C10</f>
        <v>0</v>
      </c>
      <c r="H10" s="392">
        <f>SUM(D5:D9)-D10</f>
        <v>0</v>
      </c>
      <c r="J10" s="400">
        <f>D10-BS!$D$47</f>
        <v>-25577</v>
      </c>
    </row>
    <row r="11" spans="1:10" ht="22.5" customHeight="1" thickTop="1" thickBot="1" x14ac:dyDescent="0.3">
      <c r="A11" s="64" t="s">
        <v>138</v>
      </c>
      <c r="B11" s="53"/>
      <c r="C11" s="53"/>
      <c r="D11" s="54"/>
      <c r="J11" s="400"/>
    </row>
    <row r="12" spans="1:10" ht="22.5" customHeight="1" thickTop="1" thickBot="1" x14ac:dyDescent="0.3">
      <c r="A12" s="14" t="s">
        <v>139</v>
      </c>
      <c r="B12" s="22"/>
      <c r="C12" s="22"/>
      <c r="D12" s="15">
        <f>B12+C12</f>
        <v>0</v>
      </c>
      <c r="H12" s="392">
        <f>SUM(B12:C12)-D12</f>
        <v>0</v>
      </c>
      <c r="J12" s="400">
        <f>D12-BS!$D$56</f>
        <v>-2820567</v>
      </c>
    </row>
    <row r="13" spans="1:10" ht="22.5" customHeight="1" thickBot="1" x14ac:dyDescent="0.3">
      <c r="A13" s="14" t="s">
        <v>126</v>
      </c>
      <c r="B13" s="22"/>
      <c r="C13" s="22"/>
      <c r="D13" s="15">
        <f t="shared" ref="D13:D18" si="2">B13+C13</f>
        <v>0</v>
      </c>
      <c r="H13" s="392">
        <f t="shared" ref="H13:H18" si="3">SUM(B13:C13)-D13</f>
        <v>0</v>
      </c>
      <c r="J13" s="400">
        <f>D13-BS!$D$58</f>
        <v>0</v>
      </c>
    </row>
    <row r="14" spans="1:10" ht="22.5" customHeight="1" thickBot="1" x14ac:dyDescent="0.3">
      <c r="A14" s="14" t="s">
        <v>136</v>
      </c>
      <c r="B14" s="22"/>
      <c r="C14" s="22"/>
      <c r="D14" s="15">
        <f t="shared" si="2"/>
        <v>0</v>
      </c>
      <c r="H14" s="392">
        <f t="shared" si="3"/>
        <v>0</v>
      </c>
      <c r="J14" s="400">
        <f>D14-BS!$D$59</f>
        <v>0</v>
      </c>
    </row>
    <row r="15" spans="1:10" ht="22.5" customHeight="1" thickBot="1" x14ac:dyDescent="0.3">
      <c r="A15" s="14" t="s">
        <v>127</v>
      </c>
      <c r="B15" s="22"/>
      <c r="C15" s="22"/>
      <c r="D15" s="15">
        <f t="shared" si="2"/>
        <v>0</v>
      </c>
      <c r="H15" s="392">
        <f t="shared" si="3"/>
        <v>0</v>
      </c>
      <c r="J15" s="400">
        <f>D15-BS!$D$60</f>
        <v>0</v>
      </c>
    </row>
    <row r="16" spans="1:10" ht="22.5" customHeight="1" thickBot="1" x14ac:dyDescent="0.3">
      <c r="A16" s="14" t="s">
        <v>140</v>
      </c>
      <c r="B16" s="22"/>
      <c r="C16" s="22"/>
      <c r="D16" s="15">
        <f t="shared" si="2"/>
        <v>0</v>
      </c>
      <c r="H16" s="392">
        <f t="shared" si="3"/>
        <v>0</v>
      </c>
      <c r="J16" s="400">
        <f>D16-BS!$D$61</f>
        <v>0</v>
      </c>
    </row>
    <row r="17" spans="1:10" ht="22.5" customHeight="1" thickBot="1" x14ac:dyDescent="0.3">
      <c r="A17" s="14" t="s">
        <v>141</v>
      </c>
      <c r="B17" s="22"/>
      <c r="C17" s="22"/>
      <c r="D17" s="15">
        <f t="shared" si="2"/>
        <v>0</v>
      </c>
      <c r="H17" s="392">
        <f t="shared" si="3"/>
        <v>0</v>
      </c>
      <c r="J17" s="400">
        <f>D17-BS!$D$62</f>
        <v>0</v>
      </c>
    </row>
    <row r="18" spans="1:10" ht="22.5" customHeight="1" thickBot="1" x14ac:dyDescent="0.3">
      <c r="A18" s="14" t="s">
        <v>128</v>
      </c>
      <c r="B18" s="22"/>
      <c r="C18" s="22"/>
      <c r="D18" s="15">
        <f t="shared" si="2"/>
        <v>0</v>
      </c>
      <c r="H18" s="392">
        <f t="shared" si="3"/>
        <v>0</v>
      </c>
      <c r="J18" s="400">
        <f>D18-BS!$D$63</f>
        <v>-652</v>
      </c>
    </row>
    <row r="19" spans="1:10" ht="22.5" customHeight="1" thickBot="1" x14ac:dyDescent="0.3">
      <c r="A19" s="25" t="s">
        <v>142</v>
      </c>
      <c r="B19" s="58">
        <f>SUM(B12:B18)</f>
        <v>0</v>
      </c>
      <c r="C19" s="58">
        <f>SUM(C12:C18)</f>
        <v>0</v>
      </c>
      <c r="D19" s="60">
        <f>SUM(D12:D18)</f>
        <v>0</v>
      </c>
      <c r="F19" s="389">
        <f>SUM(B12:B18)-B19</f>
        <v>0</v>
      </c>
      <c r="G19" s="388">
        <f>SUM(C12:C18)-C19</f>
        <v>0</v>
      </c>
      <c r="H19" s="392">
        <f>SUM(D12:D18)-D19</f>
        <v>0</v>
      </c>
      <c r="J19" s="400">
        <f>D19-BS!$D$55</f>
        <v>-2821219</v>
      </c>
    </row>
    <row r="20" spans="1:10" ht="17.25" thickTop="1" x14ac:dyDescent="0.3">
      <c r="A20" s="6"/>
    </row>
  </sheetData>
  <mergeCells count="1">
    <mergeCell ref="F1:H1"/>
  </mergeCells>
  <conditionalFormatting sqref="F5:H19">
    <cfRule type="cellIs" dxfId="99" priority="9" operator="lessThan">
      <formula>0</formula>
    </cfRule>
    <cfRule type="cellIs" dxfId="98" priority="10" operator="greaterThan">
      <formula>0</formula>
    </cfRule>
  </conditionalFormatting>
  <conditionalFormatting sqref="J4:J11">
    <cfRule type="cellIs" dxfId="97" priority="7" operator="lessThan">
      <formula>0</formula>
    </cfRule>
    <cfRule type="cellIs" dxfId="96" priority="8" operator="greaterThan">
      <formula>0</formula>
    </cfRule>
  </conditionalFormatting>
  <conditionalFormatting sqref="J12:J19">
    <cfRule type="cellIs" dxfId="95" priority="5" operator="lessThan">
      <formula>0</formula>
    </cfRule>
    <cfRule type="cellIs" dxfId="94" priority="6" operator="greaterThan">
      <formula>0</formula>
    </cfRule>
  </conditionalFormatting>
  <conditionalFormatting sqref="F5:H19">
    <cfRule type="cellIs" dxfId="93" priority="3" operator="lessThan">
      <formula>0</formula>
    </cfRule>
    <cfRule type="cellIs" dxfId="92" priority="4" operator="greaterThan">
      <formula>0</formula>
    </cfRule>
  </conditionalFormatting>
  <conditionalFormatting sqref="J5">
    <cfRule type="cellIs" dxfId="91" priority="1" operator="lessThan">
      <formula>0</formula>
    </cfRule>
    <cfRule type="cellIs" dxfId="9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I11"/>
  <sheetViews>
    <sheetView showGridLines="0" zoomScaleNormal="100" workbookViewId="0">
      <selection activeCell="H7" sqref="H7:I10"/>
    </sheetView>
  </sheetViews>
  <sheetFormatPr defaultRowHeight="15" x14ac:dyDescent="0.25"/>
  <cols>
    <col min="1" max="1" width="33.5703125" customWidth="1"/>
    <col min="2" max="3" width="26.42578125" customWidth="1"/>
    <col min="4" max="4" width="20.42578125" customWidth="1"/>
    <col min="5" max="5" width="25.7109375" style="386" customWidth="1"/>
    <col min="6" max="6" width="25.7109375" style="391" customWidth="1"/>
    <col min="7" max="7" width="3.85546875" customWidth="1"/>
    <col min="8" max="8" width="26" style="386" customWidth="1"/>
    <col min="9" max="9" width="26" style="391" customWidth="1"/>
  </cols>
  <sheetData>
    <row r="1" spans="1:9" ht="16.5" x14ac:dyDescent="0.3">
      <c r="A1" s="1" t="s">
        <v>130</v>
      </c>
      <c r="E1" s="1431" t="s">
        <v>1138</v>
      </c>
      <c r="F1" s="1433"/>
      <c r="G1" s="396"/>
      <c r="H1" s="1431" t="s">
        <v>1140</v>
      </c>
      <c r="I1" s="1433"/>
    </row>
    <row r="2" spans="1:9" ht="17.25" thickBot="1" x14ac:dyDescent="0.35">
      <c r="A2" s="5" t="s">
        <v>15</v>
      </c>
    </row>
    <row r="3" spans="1:9" ht="33" customHeight="1" thickTop="1" x14ac:dyDescent="0.25">
      <c r="A3" s="1426" t="s">
        <v>460</v>
      </c>
      <c r="B3" s="1426" t="s">
        <v>2</v>
      </c>
      <c r="C3" s="1426" t="s">
        <v>3</v>
      </c>
      <c r="E3" s="1426" t="s">
        <v>2</v>
      </c>
      <c r="F3" s="1426" t="s">
        <v>3</v>
      </c>
      <c r="H3" s="1426" t="s">
        <v>2</v>
      </c>
      <c r="I3" s="1426" t="s">
        <v>3</v>
      </c>
    </row>
    <row r="4" spans="1:9" ht="15.75" customHeight="1" thickBot="1" x14ac:dyDescent="0.3">
      <c r="A4" s="1427"/>
      <c r="B4" s="1427"/>
      <c r="C4" s="1427"/>
      <c r="E4" s="1427"/>
      <c r="F4" s="1427"/>
      <c r="H4" s="1427"/>
      <c r="I4" s="1427"/>
    </row>
    <row r="5" spans="1:9" ht="23.25" customHeight="1" thickTop="1" thickBot="1" x14ac:dyDescent="0.3">
      <c r="A5" s="14" t="s">
        <v>143</v>
      </c>
      <c r="B5" s="65"/>
      <c r="C5" s="66"/>
    </row>
    <row r="6" spans="1:9" ht="23.25" customHeight="1" thickBot="1" x14ac:dyDescent="0.3">
      <c r="A6" s="14" t="s">
        <v>461</v>
      </c>
      <c r="B6" s="65"/>
      <c r="C6" s="66"/>
    </row>
    <row r="7" spans="1:9" ht="23.25" customHeight="1" thickBot="1" x14ac:dyDescent="0.3">
      <c r="A7" s="44" t="s">
        <v>142</v>
      </c>
      <c r="B7" s="65">
        <f>B5+B6</f>
        <v>0</v>
      </c>
      <c r="C7" s="66">
        <f>C5+C6</f>
        <v>0</v>
      </c>
      <c r="E7" s="389">
        <f>SUM(B5:B6)-B7</f>
        <v>0</v>
      </c>
      <c r="F7" s="392">
        <f>SUM(C5:C6)-C7</f>
        <v>0</v>
      </c>
      <c r="H7" s="389">
        <f>B7-BS!$D$55</f>
        <v>-2821219</v>
      </c>
      <c r="I7" s="392">
        <f>C7-BS!$G$55</f>
        <v>-2150321</v>
      </c>
    </row>
    <row r="8" spans="1:9" ht="23.25" customHeight="1" thickBot="1" x14ac:dyDescent="0.3">
      <c r="A8" s="14" t="s">
        <v>144</v>
      </c>
      <c r="B8" s="65"/>
      <c r="C8" s="66"/>
    </row>
    <row r="9" spans="1:9" ht="23.25" customHeight="1" thickBot="1" x14ac:dyDescent="0.3">
      <c r="A9" s="14" t="s">
        <v>145</v>
      </c>
      <c r="B9" s="65"/>
      <c r="C9" s="66"/>
    </row>
    <row r="10" spans="1:9" ht="23.25" customHeight="1" thickBot="1" x14ac:dyDescent="0.3">
      <c r="A10" s="25" t="s">
        <v>137</v>
      </c>
      <c r="B10" s="67">
        <f>B8+B9</f>
        <v>0</v>
      </c>
      <c r="C10" s="68">
        <f>C8+C9</f>
        <v>0</v>
      </c>
      <c r="E10" s="389">
        <f>SUM(B8:B9)-B10</f>
        <v>0</v>
      </c>
      <c r="F10" s="392">
        <f>SUM(C8:C9)-C10</f>
        <v>0</v>
      </c>
      <c r="H10" s="389">
        <f>B10-BS!$D$47</f>
        <v>-25577</v>
      </c>
      <c r="I10" s="392">
        <f>C10-BS!$G$47</f>
        <v>-19858</v>
      </c>
    </row>
    <row r="11" spans="1:9" ht="17.25" thickTop="1" x14ac:dyDescent="0.3">
      <c r="A11" s="3"/>
    </row>
  </sheetData>
  <mergeCells count="9">
    <mergeCell ref="I3:I4"/>
    <mergeCell ref="H1:I1"/>
    <mergeCell ref="B3:B4"/>
    <mergeCell ref="C3:C4"/>
    <mergeCell ref="A3:A4"/>
    <mergeCell ref="E1:F1"/>
    <mergeCell ref="E3:E4"/>
    <mergeCell ref="F3:F4"/>
    <mergeCell ref="H3:H4"/>
  </mergeCells>
  <conditionalFormatting sqref="E7:F10">
    <cfRule type="cellIs" dxfId="89" priority="6" operator="lessThan">
      <formula>0</formula>
    </cfRule>
    <cfRule type="cellIs" dxfId="88" priority="7" operator="greaterThan">
      <formula>0</formula>
    </cfRule>
  </conditionalFormatting>
  <conditionalFormatting sqref="H7:I10">
    <cfRule type="cellIs" dxfId="87" priority="1" operator="lessThan">
      <formula>0</formula>
    </cfRule>
    <cfRule type="cellIs" dxfId="86" priority="2" operator="greaterThan">
      <formula>0</formula>
    </cfRule>
    <cfRule type="cellIs" dxfId="85" priority="4" operator="lessThan">
      <formula>0</formula>
    </cfRule>
    <cfRule type="cellIs" dxfId="84" priority="5" operator="greaterThan">
      <formula>0</formula>
    </cfRule>
  </conditionalFormatting>
  <conditionalFormatting sqref="H1:I2 H5:I1048576">
    <cfRule type="cellIs" priority="3" stopIfTrue="1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C7"/>
  <sheetViews>
    <sheetView showGridLines="0" zoomScaleNormal="100" workbookViewId="0">
      <selection activeCell="A7" sqref="A7"/>
    </sheetView>
  </sheetViews>
  <sheetFormatPr defaultRowHeight="15" x14ac:dyDescent="0.25"/>
  <cols>
    <col min="1" max="1" width="32.42578125" customWidth="1"/>
    <col min="2" max="3" width="27" customWidth="1"/>
    <col min="4" max="6" width="20.42578125" customWidth="1"/>
  </cols>
  <sheetData>
    <row r="1" spans="1:3" ht="17.25" thickBot="1" x14ac:dyDescent="0.35">
      <c r="A1" s="1" t="s">
        <v>146</v>
      </c>
    </row>
    <row r="2" spans="1:3" ht="16.5" thickTop="1" thickBot="1" x14ac:dyDescent="0.3">
      <c r="A2" s="1426" t="s">
        <v>147</v>
      </c>
      <c r="B2" s="1440" t="s">
        <v>2</v>
      </c>
      <c r="C2" s="1441"/>
    </row>
    <row r="3" spans="1:3" ht="16.5" thickTop="1" thickBot="1" x14ac:dyDescent="0.3">
      <c r="A3" s="1427"/>
      <c r="B3" s="11" t="s">
        <v>148</v>
      </c>
      <c r="C3" s="59" t="s">
        <v>149</v>
      </c>
    </row>
    <row r="4" spans="1:3" ht="23.25" customHeight="1" thickTop="1" thickBot="1" x14ac:dyDescent="0.3">
      <c r="A4" s="12" t="s">
        <v>150</v>
      </c>
      <c r="B4" s="45"/>
      <c r="C4" s="13"/>
    </row>
    <row r="5" spans="1:3" ht="23.25" customHeight="1" thickBot="1" x14ac:dyDescent="0.3">
      <c r="A5" s="14" t="s">
        <v>151</v>
      </c>
      <c r="B5" s="62" t="s">
        <v>18</v>
      </c>
      <c r="C5" s="15"/>
    </row>
    <row r="6" spans="1:3" ht="23.25" customHeight="1" thickBot="1" x14ac:dyDescent="0.3">
      <c r="A6" s="16" t="s">
        <v>152</v>
      </c>
      <c r="B6" s="34" t="s">
        <v>18</v>
      </c>
      <c r="C6" s="17"/>
    </row>
    <row r="7" spans="1:3" ht="17.25" thickTop="1" x14ac:dyDescent="0.3">
      <c r="A7" s="1"/>
    </row>
  </sheetData>
  <mergeCells count="2">
    <mergeCell ref="A2:A3"/>
    <mergeCell ref="B2:C2"/>
  </mergeCells>
  <pageMargins left="0.7" right="0.7" top="0.75" bottom="0.75" header="0.3" footer="0.3"/>
  <pageSetup paperSize="9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I9"/>
  <sheetViews>
    <sheetView showGridLines="0" topLeftCell="C1" zoomScaleNormal="100" workbookViewId="0">
      <selection activeCell="H3" sqref="H3:I8"/>
    </sheetView>
  </sheetViews>
  <sheetFormatPr defaultRowHeight="15" x14ac:dyDescent="0.25"/>
  <cols>
    <col min="1" max="1" width="33" customWidth="1"/>
    <col min="2" max="3" width="26.7109375" customWidth="1"/>
    <col min="4" max="4" width="20.42578125" customWidth="1"/>
    <col min="5" max="5" width="21.85546875" style="386" customWidth="1"/>
    <col min="6" max="6" width="36" style="391" customWidth="1"/>
    <col min="7" max="7" width="3.85546875" customWidth="1"/>
    <col min="8" max="8" width="18.5703125" style="386" customWidth="1"/>
    <col min="9" max="9" width="37" style="391" customWidth="1"/>
  </cols>
  <sheetData>
    <row r="1" spans="1:9" ht="16.5" x14ac:dyDescent="0.3">
      <c r="A1" s="1" t="s">
        <v>153</v>
      </c>
      <c r="E1" s="1431" t="s">
        <v>1138</v>
      </c>
      <c r="F1" s="1433"/>
      <c r="H1" s="1431" t="s">
        <v>1140</v>
      </c>
      <c r="I1" s="1433"/>
    </row>
    <row r="2" spans="1:9" ht="17.25" thickBot="1" x14ac:dyDescent="0.35">
      <c r="A2" s="5" t="s">
        <v>154</v>
      </c>
    </row>
    <row r="3" spans="1:9" ht="30" customHeight="1" thickTop="1" thickBot="1" x14ac:dyDescent="0.3">
      <c r="A3" s="10" t="s">
        <v>131</v>
      </c>
      <c r="B3" s="11" t="s">
        <v>2</v>
      </c>
      <c r="C3" s="11" t="s">
        <v>3</v>
      </c>
      <c r="E3" s="59" t="s">
        <v>2</v>
      </c>
      <c r="F3" s="59" t="s">
        <v>3</v>
      </c>
      <c r="H3" s="59" t="s">
        <v>2</v>
      </c>
      <c r="I3" s="59" t="s">
        <v>3</v>
      </c>
    </row>
    <row r="4" spans="1:9" ht="18.75" customHeight="1" thickTop="1" thickBot="1" x14ac:dyDescent="0.3">
      <c r="A4" s="12" t="s">
        <v>155</v>
      </c>
      <c r="B4" s="45"/>
      <c r="C4" s="13"/>
      <c r="H4" s="389">
        <f>B4+B7-BS!$D$65</f>
        <v>-286</v>
      </c>
      <c r="I4" s="392">
        <f>C4+C7-BS!$G$65</f>
        <v>-689</v>
      </c>
    </row>
    <row r="5" spans="1:9" ht="18.75" customHeight="1" thickBot="1" x14ac:dyDescent="0.3">
      <c r="A5" s="14" t="s">
        <v>156</v>
      </c>
      <c r="B5" s="22"/>
      <c r="C5" s="15"/>
      <c r="H5" s="389">
        <f>B5-BS!$D$66</f>
        <v>0</v>
      </c>
      <c r="I5" s="392">
        <f>C5-BS!$G$66</f>
        <v>0</v>
      </c>
    </row>
    <row r="6" spans="1:9" ht="18.75" customHeight="1" thickBot="1" x14ac:dyDescent="0.3">
      <c r="A6" s="14" t="s">
        <v>157</v>
      </c>
      <c r="B6" s="22"/>
      <c r="C6" s="15"/>
      <c r="E6" s="389"/>
      <c r="F6" s="392"/>
      <c r="H6" s="389">
        <f>B6-BS!$D$67</f>
        <v>0</v>
      </c>
      <c r="I6" s="392">
        <f>C6-BS!$G$67</f>
        <v>0</v>
      </c>
    </row>
    <row r="7" spans="1:9" ht="18.75" customHeight="1" thickBot="1" x14ac:dyDescent="0.3">
      <c r="A7" s="14" t="s">
        <v>158</v>
      </c>
      <c r="B7" s="22"/>
      <c r="C7" s="15"/>
      <c r="H7" s="389">
        <f>H4</f>
        <v>-286</v>
      </c>
      <c r="I7" s="392">
        <f>I4</f>
        <v>-689</v>
      </c>
    </row>
    <row r="8" spans="1:9" ht="18.75" customHeight="1" thickBot="1" x14ac:dyDescent="0.3">
      <c r="A8" s="25" t="s">
        <v>14</v>
      </c>
      <c r="B8" s="58">
        <f>SUM(B4:B7)</f>
        <v>0</v>
      </c>
      <c r="C8" s="60">
        <f>SUM(C4:C7)</f>
        <v>0</v>
      </c>
      <c r="E8" s="389">
        <f>SUM(B4:B7)-B8</f>
        <v>0</v>
      </c>
      <c r="F8" s="392">
        <f>SUM(C4:C7)-C8</f>
        <v>0</v>
      </c>
      <c r="H8" s="389">
        <f>B8-SUM(BS!$D$65:$D$67)</f>
        <v>-286</v>
      </c>
      <c r="I8" s="392">
        <f>C8-SUM(BS!$G$65:$G$67)</f>
        <v>-689</v>
      </c>
    </row>
    <row r="9" spans="1:9" ht="15.75" thickTop="1" x14ac:dyDescent="0.25">
      <c r="E9" s="389"/>
      <c r="F9" s="392"/>
    </row>
  </sheetData>
  <mergeCells count="2">
    <mergeCell ref="E1:F1"/>
    <mergeCell ref="H1:I1"/>
  </mergeCells>
  <conditionalFormatting sqref="E6:F9">
    <cfRule type="cellIs" dxfId="83" priority="9" operator="lessThan">
      <formula>0</formula>
    </cfRule>
    <cfRule type="cellIs" dxfId="82" priority="10" operator="greaterThan">
      <formula>0</formula>
    </cfRule>
  </conditionalFormatting>
  <conditionalFormatting sqref="H1:I1">
    <cfRule type="cellIs" priority="8" stopIfTrue="1" operator="greaterThan">
      <formula>0</formula>
    </cfRule>
  </conditionalFormatting>
  <conditionalFormatting sqref="H8:I8">
    <cfRule type="cellIs" dxfId="81" priority="6" operator="lessThan">
      <formula>0</formula>
    </cfRule>
    <cfRule type="cellIs" dxfId="80" priority="7" operator="greaterThan">
      <formula>0</formula>
    </cfRule>
  </conditionalFormatting>
  <conditionalFormatting sqref="H4:I8">
    <cfRule type="cellIs" dxfId="79" priority="1" operator="lessThan">
      <formula>0</formula>
    </cfRule>
    <cfRule type="cellIs" dxfId="78" priority="2" operator="greaterThan">
      <formula>0</formula>
    </cfRule>
    <cfRule type="cellIs" priority="3" stopIfTrue="1" operator="greaterThan">
      <formula>0</formula>
    </cfRule>
    <cfRule type="cellIs" priority="4" stopIfTrue="1" operator="greaterThan">
      <formula>0</formula>
    </cfRule>
    <cfRule type="cellIs" priority="5" stopIfTrue="1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outlinePr summaryBelow="0" summaryRight="0"/>
  </sheetPr>
  <dimension ref="A1:AK53"/>
  <sheetViews>
    <sheetView showGridLines="0" view="pageBreakPreview" zoomScaleNormal="100" zoomScaleSheetLayoutView="100" workbookViewId="0"/>
  </sheetViews>
  <sheetFormatPr defaultRowHeight="12.75" x14ac:dyDescent="0.25"/>
  <cols>
    <col min="1" max="45" width="2.5703125" style="911" customWidth="1"/>
    <col min="46" max="46" width="7.7109375" style="911" customWidth="1"/>
    <col min="47" max="61" width="2.5703125" style="911" customWidth="1"/>
    <col min="62" max="16384" width="9.140625" style="911"/>
  </cols>
  <sheetData>
    <row r="1" spans="1:37" s="551" customFormat="1" ht="9.75" x14ac:dyDescent="0.25">
      <c r="C1" s="552" t="s">
        <v>1870</v>
      </c>
    </row>
    <row r="2" spans="1:37" s="448" customFormat="1" ht="21" customHeight="1" x14ac:dyDescent="0.25">
      <c r="C2" s="550" t="s">
        <v>1871</v>
      </c>
      <c r="D2" s="549"/>
      <c r="E2" s="549"/>
      <c r="F2" s="549"/>
      <c r="G2" s="549"/>
      <c r="H2" s="549"/>
      <c r="I2" s="549"/>
      <c r="J2" s="549"/>
      <c r="K2" s="548"/>
      <c r="Q2" s="547" t="s">
        <v>1495</v>
      </c>
    </row>
    <row r="3" spans="1:37" ht="13.5" thickBot="1" x14ac:dyDescent="0.3">
      <c r="N3" s="915"/>
      <c r="O3" s="915" t="s">
        <v>1868</v>
      </c>
    </row>
    <row r="4" spans="1:37" ht="28.5" customHeight="1" thickBot="1" x14ac:dyDescent="0.3">
      <c r="K4" s="913" t="s">
        <v>1869</v>
      </c>
      <c r="L4" s="545"/>
      <c r="M4" s="545"/>
      <c r="N4" s="545"/>
      <c r="O4" s="545" t="str">
        <f>+MID('Input data'!$B$11,1,1)</f>
        <v>3</v>
      </c>
      <c r="P4" s="545" t="str">
        <f>+MID('Input data'!$B$11,2,1)</f>
        <v>1</v>
      </c>
      <c r="Q4" s="545" t="s">
        <v>1147</v>
      </c>
      <c r="R4" s="545" t="str">
        <f>LEFT('Input data'!B13,1)</f>
        <v>1</v>
      </c>
      <c r="S4" s="545" t="str">
        <f>RIGHT('Input data'!B13,1)</f>
        <v>2</v>
      </c>
      <c r="T4" s="545" t="s">
        <v>1147</v>
      </c>
      <c r="U4" s="545" t="str">
        <f>+LEFT('Input data'!$B$14,1)</f>
        <v>2</v>
      </c>
      <c r="V4" s="545" t="str">
        <f>+MID('Input data'!$B$14,2,1)</f>
        <v>0</v>
      </c>
      <c r="W4" s="545" t="str">
        <f>+MID('Input data'!$B$14,3,1)</f>
        <v>1</v>
      </c>
      <c r="X4" s="545" t="str">
        <f>+MID('Input data'!$B$14,4,1)</f>
        <v>3</v>
      </c>
      <c r="Y4" s="914"/>
      <c r="Z4" s="542"/>
    </row>
    <row r="5" spans="1:37" ht="7.5" customHeight="1" thickBot="1" x14ac:dyDescent="0.3"/>
    <row r="6" spans="1:37" s="538" customFormat="1" ht="14.25" customHeight="1" x14ac:dyDescent="0.25">
      <c r="A6" s="541" t="s">
        <v>1149</v>
      </c>
      <c r="B6" s="540"/>
      <c r="C6" s="540"/>
      <c r="D6" s="540"/>
      <c r="E6" s="540"/>
      <c r="F6" s="540"/>
      <c r="G6" s="540"/>
      <c r="H6" s="540"/>
      <c r="I6" s="540"/>
      <c r="J6" s="540"/>
      <c r="K6" s="540"/>
      <c r="L6" s="540"/>
      <c r="M6" s="540"/>
      <c r="N6" s="540"/>
      <c r="O6" s="540"/>
      <c r="P6" s="540"/>
      <c r="Q6" s="540"/>
      <c r="R6" s="540"/>
      <c r="S6" s="539"/>
      <c r="T6" s="540"/>
      <c r="U6" s="540"/>
      <c r="V6" s="540"/>
      <c r="W6" s="540"/>
      <c r="X6" s="540"/>
      <c r="Y6" s="540"/>
      <c r="Z6" s="540"/>
      <c r="AA6" s="540"/>
      <c r="AB6" s="540"/>
      <c r="AC6" s="540"/>
      <c r="AD6" s="540"/>
      <c r="AE6" s="540"/>
      <c r="AF6" s="540"/>
      <c r="AG6" s="540"/>
      <c r="AH6" s="540"/>
      <c r="AI6" s="540"/>
      <c r="AJ6" s="540"/>
      <c r="AK6" s="539"/>
    </row>
    <row r="7" spans="1:37" s="442" customFormat="1" ht="15" customHeight="1" x14ac:dyDescent="0.25">
      <c r="A7" s="454" t="s">
        <v>1150</v>
      </c>
      <c r="B7" s="453"/>
      <c r="C7" s="453"/>
      <c r="D7" s="453"/>
      <c r="E7" s="453"/>
      <c r="F7" s="453"/>
      <c r="G7" s="453"/>
      <c r="H7" s="453"/>
      <c r="I7" s="453"/>
      <c r="J7" s="453"/>
      <c r="K7" s="453"/>
      <c r="L7" s="453"/>
      <c r="M7" s="453"/>
      <c r="N7" s="453"/>
      <c r="O7" s="453"/>
      <c r="P7" s="453"/>
      <c r="Q7" s="453"/>
      <c r="R7" s="453"/>
      <c r="S7" s="537"/>
      <c r="T7" s="453"/>
      <c r="U7" s="453"/>
      <c r="V7" s="453"/>
      <c r="W7" s="453"/>
      <c r="X7" s="453"/>
      <c r="Y7" s="453"/>
      <c r="Z7" s="453"/>
      <c r="AA7" s="453"/>
      <c r="AB7" s="453"/>
      <c r="AC7" s="453"/>
      <c r="AD7" s="453"/>
      <c r="AE7" s="453"/>
      <c r="AF7" s="453"/>
      <c r="AG7" s="453"/>
      <c r="AH7" s="453"/>
      <c r="AI7" s="453"/>
      <c r="AJ7" s="453"/>
      <c r="AK7" s="537"/>
    </row>
    <row r="8" spans="1:37" s="533" customFormat="1" ht="18" customHeight="1" thickBot="1" x14ac:dyDescent="0.3">
      <c r="A8" s="536" t="s">
        <v>1151</v>
      </c>
      <c r="B8" s="535"/>
      <c r="C8" s="535"/>
      <c r="D8" s="535"/>
      <c r="E8" s="536"/>
      <c r="F8" s="535"/>
      <c r="G8" s="535"/>
      <c r="H8" s="535"/>
      <c r="I8" s="535"/>
      <c r="J8" s="535"/>
      <c r="K8" s="535"/>
      <c r="L8" s="535"/>
      <c r="M8" s="535"/>
      <c r="N8" s="535"/>
      <c r="O8" s="535"/>
      <c r="P8" s="535"/>
      <c r="Q8" s="535"/>
      <c r="R8" s="535"/>
      <c r="S8" s="534"/>
      <c r="T8" s="535"/>
      <c r="U8" s="535"/>
      <c r="V8" s="535"/>
      <c r="W8" s="535"/>
      <c r="X8" s="535"/>
      <c r="Y8" s="535"/>
      <c r="Z8" s="535"/>
      <c r="AA8" s="535"/>
      <c r="AB8" s="535"/>
      <c r="AC8" s="535"/>
      <c r="AD8" s="535"/>
      <c r="AE8" s="535"/>
      <c r="AF8" s="535"/>
      <c r="AG8" s="535"/>
      <c r="AH8" s="535"/>
      <c r="AI8" s="535"/>
      <c r="AJ8" s="535"/>
      <c r="AK8" s="534"/>
    </row>
    <row r="9" spans="1:37" s="513" customFormat="1" ht="3.75" customHeight="1" thickBot="1" x14ac:dyDescent="0.3"/>
    <row r="10" spans="1:37" s="513" customFormat="1" ht="14.25" customHeight="1" x14ac:dyDescent="0.25">
      <c r="A10" s="515" t="s">
        <v>1152</v>
      </c>
      <c r="B10" s="514"/>
      <c r="C10" s="514"/>
      <c r="D10" s="514"/>
      <c r="E10" s="514"/>
      <c r="F10" s="514"/>
      <c r="G10" s="514"/>
      <c r="H10" s="514"/>
      <c r="I10" s="458"/>
      <c r="J10" s="457"/>
      <c r="K10" s="531" t="s">
        <v>1153</v>
      </c>
      <c r="L10" s="514"/>
      <c r="M10" s="532"/>
      <c r="N10" s="532"/>
      <c r="O10" s="532"/>
      <c r="P10" s="514"/>
      <c r="Q10" s="531" t="s">
        <v>1153</v>
      </c>
      <c r="R10" s="514"/>
      <c r="S10" s="458"/>
      <c r="T10" s="514"/>
      <c r="U10" s="514"/>
      <c r="V10" s="530"/>
      <c r="W10" s="514"/>
      <c r="X10" s="514"/>
      <c r="Y10" s="514"/>
      <c r="Z10" s="514"/>
      <c r="AA10" s="514"/>
      <c r="AB10" s="514"/>
      <c r="AC10" s="514"/>
      <c r="AD10" s="531" t="s">
        <v>1154</v>
      </c>
      <c r="AE10" s="531"/>
      <c r="AF10" s="531"/>
      <c r="AG10" s="531" t="s">
        <v>1155</v>
      </c>
      <c r="AH10" s="514"/>
      <c r="AI10" s="514"/>
      <c r="AJ10" s="514"/>
      <c r="AK10" s="530"/>
    </row>
    <row r="11" spans="1:37" s="513" customFormat="1" ht="19.5" customHeight="1" x14ac:dyDescent="0.2">
      <c r="A11" s="527" t="str">
        <f>LEFT('Input data'!C24,1)</f>
        <v>2</v>
      </c>
      <c r="B11" s="492" t="str">
        <f>MID('Input data'!$C$24,2,1)</f>
        <v>0</v>
      </c>
      <c r="C11" s="492" t="str">
        <f>MID('Input data'!$C$24,3,1)</f>
        <v>2</v>
      </c>
      <c r="D11" s="492" t="str">
        <f>MID('Input data'!$C$24,4,1)</f>
        <v>0</v>
      </c>
      <c r="E11" s="492" t="str">
        <f>MID('Input data'!$C$24,5,1)</f>
        <v>3</v>
      </c>
      <c r="F11" s="492" t="str">
        <f>MID('Input data'!$C$24,6,1)</f>
        <v>3</v>
      </c>
      <c r="G11" s="492" t="str">
        <f>MID('Input data'!$C$24,7,1)</f>
        <v>6</v>
      </c>
      <c r="H11" s="492" t="str">
        <f>MID('Input data'!$C$24,8,1)</f>
        <v>4</v>
      </c>
      <c r="I11" s="492" t="str">
        <f>MID('Input data'!$C$24,9,1)</f>
        <v>0</v>
      </c>
      <c r="J11" s="499" t="str">
        <f>MID('Input data'!$C$24,10,1)</f>
        <v>6</v>
      </c>
      <c r="K11" s="450"/>
      <c r="L11" s="529" t="str">
        <f>IF('Input data'!D7="x","x"," ")</f>
        <v>x</v>
      </c>
      <c r="M11" s="521" t="s">
        <v>1159</v>
      </c>
      <c r="N11" s="523"/>
      <c r="O11" s="523"/>
      <c r="P11" s="523"/>
      <c r="Q11" s="523"/>
      <c r="R11" s="529" t="str">
        <f>IF('Input data'!D16="x","x"," ")</f>
        <v>x</v>
      </c>
      <c r="S11" s="521" t="s">
        <v>1160</v>
      </c>
      <c r="T11" s="516"/>
      <c r="U11" s="516"/>
      <c r="V11" s="522"/>
      <c r="W11" s="521" t="s">
        <v>1156</v>
      </c>
      <c r="X11" s="516"/>
      <c r="Y11" s="516"/>
      <c r="Z11" s="516"/>
      <c r="AA11" s="516"/>
      <c r="AB11" s="521" t="s">
        <v>1157</v>
      </c>
      <c r="AC11" s="516"/>
      <c r="AD11" s="492" t="str">
        <f>MID('Input data'!$B$8,1,1)</f>
        <v>0</v>
      </c>
      <c r="AE11" s="492" t="str">
        <f>MID('Input data'!$B$8,2,1)</f>
        <v>1</v>
      </c>
      <c r="AF11" s="492"/>
      <c r="AG11" s="492" t="str">
        <f>MID('Input data'!$B$9,1,1)</f>
        <v>2</v>
      </c>
      <c r="AH11" s="492" t="str">
        <f>MID('Input data'!$B$9,2,1)</f>
        <v>0</v>
      </c>
      <c r="AI11" s="492" t="str">
        <f>MID('Input data'!$B$9,3,1)</f>
        <v>1</v>
      </c>
      <c r="AJ11" s="492" t="str">
        <f>MID('Input data'!$B$9,4,1)</f>
        <v>3</v>
      </c>
      <c r="AK11" s="522"/>
    </row>
    <row r="12" spans="1:37" s="513" customFormat="1" ht="19.5" customHeight="1" thickBot="1" x14ac:dyDescent="0.3">
      <c r="A12" s="454" t="s">
        <v>1158</v>
      </c>
      <c r="B12" s="516"/>
      <c r="C12" s="516"/>
      <c r="D12" s="516"/>
      <c r="E12" s="516"/>
      <c r="F12" s="516"/>
      <c r="G12" s="516"/>
      <c r="H12" s="450"/>
      <c r="I12" s="450"/>
      <c r="J12" s="449"/>
      <c r="K12" s="450"/>
      <c r="L12" s="525" t="str">
        <f>IF('Input data'!D8="x","x", "")</f>
        <v/>
      </c>
      <c r="M12" s="521" t="s">
        <v>1162</v>
      </c>
      <c r="N12" s="523"/>
      <c r="O12" s="523"/>
      <c r="P12" s="523"/>
      <c r="Q12" s="523"/>
      <c r="R12" s="526" t="str">
        <f>IF('Input data'!D17="x","x"," ")</f>
        <v xml:space="preserve"> </v>
      </c>
      <c r="S12" s="521" t="s">
        <v>1163</v>
      </c>
      <c r="T12" s="516"/>
      <c r="U12" s="516"/>
      <c r="V12" s="522"/>
      <c r="W12" s="528"/>
      <c r="X12" s="518"/>
      <c r="Y12" s="518"/>
      <c r="Z12" s="518"/>
      <c r="AA12" s="518"/>
      <c r="AB12" s="517" t="s">
        <v>1161</v>
      </c>
      <c r="AC12" s="518"/>
      <c r="AD12" s="490" t="str">
        <f>MID('Input data'!$B$13,1,1)</f>
        <v>1</v>
      </c>
      <c r="AE12" s="490" t="str">
        <f>MID('Input data'!$B$13,2,1)</f>
        <v>2</v>
      </c>
      <c r="AF12" s="490"/>
      <c r="AG12" s="490" t="str">
        <f>MID('Input data'!$B$14,1,1)</f>
        <v>2</v>
      </c>
      <c r="AH12" s="490" t="str">
        <f>MID('Input data'!$B$14,2,1)</f>
        <v>0</v>
      </c>
      <c r="AI12" s="490" t="str">
        <f>MID('Input data'!$B$14,3,1)</f>
        <v>1</v>
      </c>
      <c r="AJ12" s="490" t="str">
        <f>MID('Input data'!$B$14,4,1)</f>
        <v>3</v>
      </c>
      <c r="AK12" s="519"/>
    </row>
    <row r="13" spans="1:37" s="513" customFormat="1" ht="19.5" customHeight="1" x14ac:dyDescent="0.2">
      <c r="A13" s="527" t="str">
        <f>LEFT('Input data'!C26,1)</f>
        <v>3</v>
      </c>
      <c r="B13" s="492" t="str">
        <f>MID('Input data'!$C$26,2,1)</f>
        <v>1</v>
      </c>
      <c r="C13" s="492" t="str">
        <f>MID('Input data'!$C$26,3,1)</f>
        <v>3</v>
      </c>
      <c r="D13" s="492" t="str">
        <f>MID('Input data'!$C$26,4,1)</f>
        <v>5</v>
      </c>
      <c r="E13" s="492" t="str">
        <f>MID('Input data'!$C$26,5,1)</f>
        <v>8</v>
      </c>
      <c r="F13" s="492" t="str">
        <f>MID('Input data'!$C$26,6,1)</f>
        <v>7</v>
      </c>
      <c r="G13" s="492" t="str">
        <f>MID('Input data'!$C$26,7,1)</f>
        <v>3</v>
      </c>
      <c r="H13" s="492" t="str">
        <f>MID('Input data'!$C$26,8,1)</f>
        <v>0</v>
      </c>
      <c r="I13" s="450"/>
      <c r="J13" s="449"/>
      <c r="K13" s="916"/>
      <c r="L13" s="826"/>
      <c r="M13" s="827" t="s">
        <v>1496</v>
      </c>
      <c r="N13" s="826"/>
      <c r="O13" s="826"/>
      <c r="P13" s="826"/>
      <c r="Q13" s="826"/>
      <c r="R13" s="917" t="s">
        <v>1166</v>
      </c>
      <c r="S13" s="826"/>
      <c r="T13" s="826"/>
      <c r="U13" s="826"/>
      <c r="V13" s="829"/>
      <c r="W13" s="521" t="s">
        <v>1164</v>
      </c>
      <c r="X13" s="516"/>
      <c r="Y13" s="453"/>
      <c r="Z13" s="450"/>
      <c r="AA13" s="450"/>
      <c r="AB13" s="523"/>
      <c r="AC13" s="450"/>
      <c r="AD13" s="525"/>
      <c r="AE13" s="525"/>
      <c r="AF13" s="525"/>
      <c r="AG13" s="525"/>
      <c r="AH13" s="525"/>
      <c r="AI13" s="525"/>
      <c r="AJ13" s="525"/>
      <c r="AK13" s="449"/>
    </row>
    <row r="14" spans="1:37" s="513" customFormat="1" ht="19.5" customHeight="1" x14ac:dyDescent="0.2">
      <c r="A14" s="454" t="s">
        <v>1165</v>
      </c>
      <c r="B14" s="516"/>
      <c r="C14" s="516"/>
      <c r="D14" s="516"/>
      <c r="E14" s="516"/>
      <c r="F14" s="516"/>
      <c r="G14" s="516"/>
      <c r="H14" s="516"/>
      <c r="I14" s="450"/>
      <c r="J14" s="449"/>
      <c r="K14" s="450"/>
      <c r="L14" s="529"/>
      <c r="M14" s="521" t="s">
        <v>1872</v>
      </c>
      <c r="N14" s="523"/>
      <c r="O14" s="523"/>
      <c r="P14" s="523"/>
      <c r="Q14" s="523"/>
      <c r="S14" s="523"/>
      <c r="T14" s="516"/>
      <c r="U14" s="516"/>
      <c r="V14" s="522"/>
      <c r="W14" s="521" t="s">
        <v>987</v>
      </c>
      <c r="X14" s="516"/>
      <c r="Y14" s="453"/>
      <c r="Z14" s="450"/>
      <c r="AA14" s="450"/>
      <c r="AB14" s="521" t="s">
        <v>1157</v>
      </c>
      <c r="AC14" s="450"/>
      <c r="AD14" s="492" t="str">
        <f>MID('Input data'!$B$18,1,1)</f>
        <v>0</v>
      </c>
      <c r="AE14" s="492" t="str">
        <f>MID('Input data'!$B$18,2,1)</f>
        <v>1</v>
      </c>
      <c r="AF14" s="492"/>
      <c r="AG14" s="492" t="str">
        <f>MID('Input data'!$B$19,1,1)</f>
        <v>2</v>
      </c>
      <c r="AH14" s="492" t="str">
        <f>MID('Input data'!$B$19,2,1)</f>
        <v>0</v>
      </c>
      <c r="AI14" s="492" t="str">
        <f>MID('Input data'!$B$19,3,1)</f>
        <v>1</v>
      </c>
      <c r="AJ14" s="492" t="str">
        <f>MID('Input data'!$B$19,4,1)</f>
        <v>2</v>
      </c>
      <c r="AK14" s="449"/>
    </row>
    <row r="15" spans="1:37" s="513" customFormat="1" ht="19.5" customHeight="1" thickBot="1" x14ac:dyDescent="0.25">
      <c r="A15" s="520" t="str">
        <f>LEFT('Input data'!$E$12,1)</f>
        <v>7</v>
      </c>
      <c r="B15" s="445" t="str">
        <f>MID('Input data'!$E$12,2,1)</f>
        <v>3</v>
      </c>
      <c r="C15" s="518" t="s">
        <v>1147</v>
      </c>
      <c r="D15" s="445" t="str">
        <f>MID('Input data'!$E$12,3,1)</f>
        <v>1</v>
      </c>
      <c r="E15" s="445" t="str">
        <f>MID('Input data'!$E$12,4,1)</f>
        <v>1</v>
      </c>
      <c r="F15" s="469" t="s">
        <v>1147</v>
      </c>
      <c r="G15" s="445" t="str">
        <f>MID('Input data'!$E$12,5,1)</f>
        <v>0</v>
      </c>
      <c r="H15" s="445"/>
      <c r="I15" s="445"/>
      <c r="J15" s="444"/>
      <c r="K15" s="445"/>
      <c r="L15" s="445"/>
      <c r="M15" s="517" t="s">
        <v>1873</v>
      </c>
      <c r="N15" s="445"/>
      <c r="O15" s="445"/>
      <c r="P15" s="445"/>
      <c r="Q15" s="445"/>
      <c r="R15" s="918" t="s">
        <v>1166</v>
      </c>
      <c r="S15" s="445"/>
      <c r="T15" s="518"/>
      <c r="U15" s="518"/>
      <c r="V15" s="519"/>
      <c r="W15" s="517" t="s">
        <v>1167</v>
      </c>
      <c r="X15" s="518"/>
      <c r="Y15" s="446"/>
      <c r="Z15" s="445"/>
      <c r="AA15" s="445"/>
      <c r="AB15" s="517" t="s">
        <v>1161</v>
      </c>
      <c r="AC15" s="445"/>
      <c r="AD15" s="490" t="str">
        <f>MID('Input data'!$B$21,1,1)</f>
        <v>1</v>
      </c>
      <c r="AE15" s="490" t="str">
        <f>MID('Input data'!$B$21,2,1)</f>
        <v>2</v>
      </c>
      <c r="AF15" s="490"/>
      <c r="AG15" s="490" t="str">
        <f>MID('Input data'!$B$22,1,1)</f>
        <v>2</v>
      </c>
      <c r="AH15" s="490" t="str">
        <f>MID('Input data'!$B$22,2,1)</f>
        <v>0</v>
      </c>
      <c r="AI15" s="490" t="str">
        <f>MID('Input data'!$B$22,3,1)</f>
        <v>1</v>
      </c>
      <c r="AJ15" s="490" t="str">
        <f>MID('Input data'!$B$22,4,1)</f>
        <v>2</v>
      </c>
      <c r="AK15" s="444"/>
    </row>
    <row r="16" spans="1:37" s="513" customFormat="1" ht="4.5" customHeight="1" x14ac:dyDescent="0.25">
      <c r="A16" s="516"/>
      <c r="B16" s="516"/>
      <c r="C16" s="516"/>
      <c r="D16" s="516"/>
      <c r="E16" s="516"/>
      <c r="F16" s="514"/>
      <c r="G16" s="516"/>
      <c r="H16" s="450"/>
      <c r="I16" s="450"/>
      <c r="J16" s="450"/>
      <c r="K16" s="450"/>
      <c r="L16" s="450"/>
      <c r="M16" s="450"/>
      <c r="N16" s="450"/>
      <c r="O16" s="450"/>
      <c r="P16" s="450"/>
      <c r="Q16" s="450"/>
      <c r="R16" s="450"/>
      <c r="S16" s="450"/>
      <c r="T16" s="516"/>
      <c r="U16" s="516"/>
      <c r="V16" s="450"/>
      <c r="W16" s="450"/>
      <c r="X16" s="450"/>
      <c r="Y16" s="450"/>
      <c r="Z16" s="450"/>
      <c r="AA16" s="450"/>
      <c r="AB16" s="450"/>
      <c r="AC16" s="450"/>
      <c r="AD16" s="450"/>
      <c r="AE16" s="450"/>
      <c r="AF16" s="450"/>
      <c r="AG16" s="450"/>
      <c r="AH16" s="450"/>
      <c r="AI16" s="450"/>
      <c r="AJ16" s="450"/>
      <c r="AK16" s="450"/>
    </row>
    <row r="17" spans="1:37" s="513" customFormat="1" ht="3" customHeight="1" thickBot="1" x14ac:dyDescent="0.3">
      <c r="H17" s="443"/>
      <c r="I17" s="443"/>
      <c r="J17" s="443"/>
      <c r="K17" s="443"/>
      <c r="L17" s="443"/>
      <c r="M17" s="443"/>
      <c r="N17" s="443"/>
      <c r="O17" s="443"/>
      <c r="P17" s="443"/>
      <c r="Q17" s="443"/>
      <c r="R17" s="443"/>
      <c r="S17" s="443"/>
      <c r="W17" s="443"/>
      <c r="X17" s="443"/>
      <c r="Y17" s="443"/>
      <c r="Z17" s="443"/>
      <c r="AA17" s="443"/>
      <c r="AB17" s="443"/>
      <c r="AC17" s="443"/>
      <c r="AD17" s="443"/>
      <c r="AE17" s="443"/>
      <c r="AF17" s="443"/>
      <c r="AG17" s="443"/>
      <c r="AH17" s="443"/>
      <c r="AI17" s="443"/>
      <c r="AJ17" s="443"/>
      <c r="AK17" s="443"/>
    </row>
    <row r="18" spans="1:37" s="513" customFormat="1" ht="16.5" x14ac:dyDescent="0.25">
      <c r="A18" s="515" t="s">
        <v>1168</v>
      </c>
      <c r="B18" s="514"/>
      <c r="C18" s="514"/>
      <c r="D18" s="514"/>
      <c r="E18" s="514"/>
      <c r="F18" s="514"/>
      <c r="G18" s="514"/>
      <c r="H18" s="458"/>
      <c r="I18" s="458"/>
      <c r="J18" s="458"/>
      <c r="K18" s="458"/>
      <c r="L18" s="458"/>
      <c r="M18" s="458"/>
      <c r="N18" s="458"/>
      <c r="O18" s="458"/>
      <c r="P18" s="458"/>
      <c r="Q18" s="458"/>
      <c r="R18" s="458"/>
      <c r="S18" s="458"/>
      <c r="T18" s="514"/>
      <c r="U18" s="514"/>
      <c r="V18" s="514"/>
      <c r="W18" s="458"/>
      <c r="X18" s="458"/>
      <c r="Y18" s="458"/>
      <c r="Z18" s="458"/>
      <c r="AA18" s="458"/>
      <c r="AB18" s="458"/>
      <c r="AC18" s="458"/>
      <c r="AD18" s="458"/>
      <c r="AE18" s="458"/>
      <c r="AF18" s="458"/>
      <c r="AG18" s="458"/>
      <c r="AH18" s="458"/>
      <c r="AI18" s="458"/>
      <c r="AJ18" s="458"/>
      <c r="AK18" s="457"/>
    </row>
    <row r="19" spans="1:37" s="513" customFormat="1" ht="19.5" customHeight="1" x14ac:dyDescent="0.25">
      <c r="A19" s="500" t="str">
        <f>+LEFT('Input data'!$F$3,1)</f>
        <v>C</v>
      </c>
      <c r="B19" s="492" t="str">
        <f>+MID('Input data'!$F$3,2,1)</f>
        <v>a</v>
      </c>
      <c r="C19" s="492" t="str">
        <f>+MID('Input data'!$F$3,3,1)</f>
        <v>r</v>
      </c>
      <c r="D19" s="492" t="str">
        <f>+MID('Input data'!$F$3,4,1)</f>
        <v>a</v>
      </c>
      <c r="E19" s="492" t="str">
        <f>+MID('Input data'!$F$3,5,1)</f>
        <v>t</v>
      </c>
      <c r="F19" s="492" t="str">
        <f>+MID('Input data'!$F$3,6,1)</f>
        <v xml:space="preserve"> </v>
      </c>
      <c r="G19" s="492" t="str">
        <f>+MID('Input data'!$F$3,7,1)</f>
        <v>-</v>
      </c>
      <c r="H19" s="492" t="str">
        <f>+MID('Input data'!$F$3,8,1)</f>
        <v xml:space="preserve"> </v>
      </c>
      <c r="I19" s="492" t="str">
        <f>+MID('Input data'!$F$3,9,1)</f>
        <v>S</v>
      </c>
      <c r="J19" s="492" t="str">
        <f>+MID('Input data'!$F$3,10,1)</f>
        <v>l</v>
      </c>
      <c r="K19" s="492" t="str">
        <f>+MID('Input data'!$F$3,11,1)</f>
        <v>o</v>
      </c>
      <c r="L19" s="492" t="str">
        <f>+MID('Input data'!$F$3,12,1)</f>
        <v>v</v>
      </c>
      <c r="M19" s="492" t="str">
        <f>+MID('Input data'!$F$3,13,1)</f>
        <v>a</v>
      </c>
      <c r="N19" s="492" t="str">
        <f>+MID('Input data'!$F$3,14,1)</f>
        <v>k</v>
      </c>
      <c r="O19" s="492" t="str">
        <f>+MID('Input data'!$F$3,15,1)</f>
        <v>i</v>
      </c>
      <c r="P19" s="492" t="str">
        <f>+MID('Input data'!$F$3,16,1)</f>
        <v>a</v>
      </c>
      <c r="Q19" s="492" t="str">
        <f>+MID('Input data'!$F$3,17,1)</f>
        <v>,</v>
      </c>
      <c r="R19" s="492" t="str">
        <f>+MID('Input data'!$F$3,18,1)</f>
        <v xml:space="preserve"> </v>
      </c>
      <c r="S19" s="492" t="str">
        <f>+MID('Input data'!$F$3,19,1)</f>
        <v>s</v>
      </c>
      <c r="T19" s="492" t="str">
        <f>+MID('Input data'!$F$3,20,1)</f>
        <v>.</v>
      </c>
      <c r="U19" s="492" t="str">
        <f>+MID('Input data'!$F$3,21,1)</f>
        <v>r</v>
      </c>
      <c r="V19" s="492" t="str">
        <f>+MID('Input data'!$F$3,22,1)</f>
        <v>.</v>
      </c>
      <c r="W19" s="492" t="str">
        <f>+MID('Input data'!$F$3,23,1)</f>
        <v>o</v>
      </c>
      <c r="X19" s="492" t="str">
        <f>+MID('Input data'!$F$3,24,1)</f>
        <v>.</v>
      </c>
      <c r="Y19" s="492" t="str">
        <f>+MID('Input data'!$F$3,25,1)</f>
        <v/>
      </c>
      <c r="Z19" s="492" t="str">
        <f>+MID('Input data'!$F$3,26,1)</f>
        <v/>
      </c>
      <c r="AA19" s="492" t="str">
        <f>+MID('Input data'!$F$3,27,1)</f>
        <v/>
      </c>
      <c r="AB19" s="492" t="str">
        <f>+MID('Input data'!$F$3,28,1)</f>
        <v/>
      </c>
      <c r="AC19" s="492" t="str">
        <f>+MID('Input data'!$F$3,29,1)</f>
        <v/>
      </c>
      <c r="AD19" s="492" t="str">
        <f>+MID('Input data'!$F$3,30,1)</f>
        <v/>
      </c>
      <c r="AE19" s="492" t="str">
        <f>+MID('Input data'!$F$3,31,1)</f>
        <v/>
      </c>
      <c r="AF19" s="492" t="str">
        <f>+MID('Input data'!$F$3,32,1)</f>
        <v/>
      </c>
      <c r="AG19" s="492" t="str">
        <f>+MID('Input data'!$F$3,33,1)</f>
        <v/>
      </c>
      <c r="AH19" s="492" t="str">
        <f>+MID('Input data'!$E$3,34,1)</f>
        <v/>
      </c>
      <c r="AI19" s="492" t="str">
        <f>+MID('Input data'!$E$3,35,1)</f>
        <v/>
      </c>
      <c r="AJ19" s="492" t="str">
        <f>+MID('Input data'!$E$3,36,1)</f>
        <v/>
      </c>
      <c r="AK19" s="499" t="str">
        <f>+MID('Input data'!$E$3,37,1)</f>
        <v/>
      </c>
    </row>
    <row r="20" spans="1:37" ht="19.5" customHeight="1" x14ac:dyDescent="0.25">
      <c r="A20" s="500" t="str">
        <f>+MID('Input data'!$E$3,38,1)</f>
        <v/>
      </c>
      <c r="B20" s="492" t="str">
        <f>+MID('Input data'!$E$3,39,1)</f>
        <v/>
      </c>
      <c r="C20" s="492" t="str">
        <f>+MID('Input data'!$E$3,40,1)</f>
        <v/>
      </c>
      <c r="D20" s="492" t="str">
        <f>+MID('Input data'!$E$3,41,1)</f>
        <v/>
      </c>
      <c r="E20" s="492" t="str">
        <f>+MID('Input data'!$E$3,42,1)</f>
        <v/>
      </c>
      <c r="F20" s="492" t="str">
        <f>+MID('Input data'!$E$3,43,1)</f>
        <v/>
      </c>
      <c r="G20" s="492" t="str">
        <f>+MID('Input data'!$E$3,44,1)</f>
        <v/>
      </c>
      <c r="H20" s="492" t="str">
        <f>+MID('Input data'!$E$3,45,1)</f>
        <v/>
      </c>
      <c r="I20" s="492" t="str">
        <f>+MID('Input data'!$E$3,46,1)</f>
        <v/>
      </c>
      <c r="J20" s="492" t="str">
        <f>+MID('Input data'!$E$3,47,1)</f>
        <v/>
      </c>
      <c r="K20" s="492" t="str">
        <f>+MID('Input data'!$E$3,48,1)</f>
        <v/>
      </c>
      <c r="L20" s="492" t="str">
        <f>+MID('Input data'!$E$3,49,1)</f>
        <v/>
      </c>
      <c r="M20" s="492" t="str">
        <f>+MID('Input data'!$E$3,50,1)</f>
        <v/>
      </c>
      <c r="N20" s="492" t="str">
        <f>+MID('Input data'!$E$3,51,1)</f>
        <v/>
      </c>
      <c r="O20" s="492" t="str">
        <f>+MID('Input data'!$E$3,52,1)</f>
        <v/>
      </c>
      <c r="P20" s="492" t="str">
        <f>+MID('Input data'!$E$3,53,1)</f>
        <v/>
      </c>
      <c r="Q20" s="492" t="str">
        <f>+MID('Input data'!$E$3,54,1)</f>
        <v/>
      </c>
      <c r="R20" s="492" t="str">
        <f>+MID('Input data'!$E$3,55,1)</f>
        <v/>
      </c>
      <c r="S20" s="492" t="str">
        <f>+MID('Input data'!$E$3,56,1)</f>
        <v/>
      </c>
      <c r="T20" s="492" t="str">
        <f>+MID('Input data'!$E$3,57,1)</f>
        <v/>
      </c>
      <c r="U20" s="492" t="str">
        <f>+MID('Input data'!$E$3,58,1)</f>
        <v/>
      </c>
      <c r="V20" s="492" t="str">
        <f>+MID('Input data'!$E$3,59,1)</f>
        <v/>
      </c>
      <c r="W20" s="492" t="str">
        <f>+MID('Input data'!$E$3,60,1)</f>
        <v/>
      </c>
      <c r="X20" s="492" t="str">
        <f>+MID('Input data'!$E$3,61,1)</f>
        <v/>
      </c>
      <c r="Y20" s="492" t="str">
        <f>+MID('Input data'!$E$3,62,1)</f>
        <v/>
      </c>
      <c r="Z20" s="492" t="str">
        <f>+MID('Input data'!$E$3,63,1)</f>
        <v/>
      </c>
      <c r="AA20" s="492" t="str">
        <f>+MID('Input data'!$E$3,64,1)</f>
        <v/>
      </c>
      <c r="AB20" s="492" t="str">
        <f>+MID('Input data'!$E$3,65,1)</f>
        <v/>
      </c>
      <c r="AC20" s="492" t="str">
        <f>+MID('Input data'!$E$3,66,1)</f>
        <v/>
      </c>
      <c r="AD20" s="492" t="str">
        <f>+MID('Input data'!$E$3,67,1)</f>
        <v/>
      </c>
      <c r="AE20" s="492" t="str">
        <f>+MID('Input data'!$E$3,68,1)</f>
        <v/>
      </c>
      <c r="AF20" s="492" t="str">
        <f>+MID('Input data'!$E$3,69,1)</f>
        <v/>
      </c>
      <c r="AG20" s="492" t="str">
        <f>+MID('Input data'!$E$3,70,1)</f>
        <v/>
      </c>
      <c r="AH20" s="492" t="str">
        <f>+MID('Input data'!$E$3,71,1)</f>
        <v/>
      </c>
      <c r="AI20" s="492" t="str">
        <f>+MID('Input data'!$E$3,72,1)</f>
        <v/>
      </c>
      <c r="AJ20" s="492" t="str">
        <f>+MID('Input data'!$E$3,73,1)</f>
        <v/>
      </c>
      <c r="AK20" s="499" t="str">
        <f>+MID('Input data'!$E$3,74,1)</f>
        <v/>
      </c>
    </row>
    <row r="21" spans="1:37" ht="14.25" customHeight="1" x14ac:dyDescent="0.25">
      <c r="A21" s="512"/>
      <c r="B21" s="511"/>
      <c r="C21" s="511"/>
      <c r="D21" s="511"/>
      <c r="E21" s="511"/>
      <c r="F21" s="511"/>
      <c r="G21" s="511"/>
      <c r="H21" s="511"/>
      <c r="I21" s="511"/>
      <c r="J21" s="511"/>
      <c r="K21" s="511"/>
      <c r="L21" s="511"/>
      <c r="M21" s="511"/>
      <c r="N21" s="511"/>
      <c r="O21" s="511"/>
      <c r="P21" s="511"/>
      <c r="Q21" s="511"/>
      <c r="R21" s="511"/>
      <c r="S21" s="511"/>
      <c r="T21" s="511"/>
      <c r="U21" s="511"/>
      <c r="V21" s="511"/>
      <c r="W21" s="510"/>
      <c r="X21" s="510"/>
      <c r="Y21" s="510"/>
      <c r="Z21" s="510"/>
      <c r="AA21" s="510"/>
      <c r="AB21" s="510"/>
      <c r="AC21" s="510"/>
      <c r="AD21" s="510"/>
      <c r="AE21" s="510"/>
      <c r="AF21" s="510"/>
      <c r="AG21" s="510"/>
      <c r="AH21" s="510"/>
      <c r="AI21" s="510"/>
      <c r="AJ21" s="510"/>
      <c r="AK21" s="509"/>
    </row>
    <row r="22" spans="1:37" ht="19.5" hidden="1" customHeight="1" x14ac:dyDescent="0.25">
      <c r="A22" s="508"/>
      <c r="B22" s="507"/>
      <c r="C22" s="507"/>
      <c r="D22" s="507"/>
      <c r="E22" s="507"/>
      <c r="F22" s="507"/>
      <c r="G22" s="507" t="e">
        <f>+MID('Input data'!#REF!,7,1)</f>
        <v>#REF!</v>
      </c>
      <c r="H22" s="507" t="e">
        <f>+MID('Input data'!#REF!,8,1)</f>
        <v>#REF!</v>
      </c>
      <c r="I22" s="507" t="e">
        <f>+MID('Input data'!#REF!,9,1)</f>
        <v>#REF!</v>
      </c>
      <c r="J22" s="507" t="e">
        <f>+MID('Input data'!#REF!,10,1)</f>
        <v>#REF!</v>
      </c>
      <c r="K22" s="507" t="e">
        <f>+MID('Input data'!#REF!,11,1)</f>
        <v>#REF!</v>
      </c>
      <c r="L22" s="507" t="e">
        <f>+MID('Input data'!#REF!,12,1)</f>
        <v>#REF!</v>
      </c>
      <c r="M22" s="507" t="e">
        <f>+MID('Input data'!#REF!,13,1)</f>
        <v>#REF!</v>
      </c>
      <c r="N22" s="507" t="e">
        <f>+MID('Input data'!#REF!,14,1)</f>
        <v>#REF!</v>
      </c>
      <c r="O22" s="507" t="e">
        <f>+MID('Input data'!#REF!,15,1)</f>
        <v>#REF!</v>
      </c>
      <c r="P22" s="507" t="e">
        <f>+MID('Input data'!#REF!,16,1)</f>
        <v>#REF!</v>
      </c>
      <c r="Q22" s="507" t="e">
        <f>+MID('Input data'!#REF!,17,1)</f>
        <v>#REF!</v>
      </c>
      <c r="R22" s="507" t="e">
        <f>+MID('Input data'!#REF!,18,1)</f>
        <v>#REF!</v>
      </c>
      <c r="S22" s="507" t="e">
        <f>+MID('Input data'!#REF!,19,1)</f>
        <v>#REF!</v>
      </c>
      <c r="T22" s="507" t="e">
        <f>+MID('Input data'!#REF!,20,1)</f>
        <v>#REF!</v>
      </c>
      <c r="U22" s="507" t="e">
        <f>+MID('Input data'!#REF!,21,1)</f>
        <v>#REF!</v>
      </c>
      <c r="V22" s="507" t="e">
        <f>+MID('Input data'!#REF!,22,1)</f>
        <v>#REF!</v>
      </c>
      <c r="W22" s="507" t="e">
        <f>+MID('Input data'!#REF!,23,1)</f>
        <v>#REF!</v>
      </c>
      <c r="X22" s="507" t="e">
        <f>+MID('Input data'!#REF!,24,1)</f>
        <v>#REF!</v>
      </c>
      <c r="Y22" s="507" t="e">
        <f>+MID('Input data'!#REF!,25,1)</f>
        <v>#REF!</v>
      </c>
      <c r="Z22" s="507" t="e">
        <f>+MID('Input data'!#REF!,26,1)</f>
        <v>#REF!</v>
      </c>
      <c r="AA22" s="507" t="e">
        <f>+MID('Input data'!#REF!,27,1)</f>
        <v>#REF!</v>
      </c>
      <c r="AB22" s="507" t="e">
        <f>+MID('Input data'!#REF!,28,1)</f>
        <v>#REF!</v>
      </c>
      <c r="AC22" s="507" t="e">
        <f>+MID('Input data'!#REF!,29,1)</f>
        <v>#REF!</v>
      </c>
      <c r="AD22" s="507" t="e">
        <f>+MID('Input data'!#REF!,30,1)</f>
        <v>#REF!</v>
      </c>
      <c r="AE22" s="507" t="e">
        <f>+MID('Input data'!#REF!,31,1)</f>
        <v>#REF!</v>
      </c>
      <c r="AF22" s="507" t="e">
        <f>+MID('Input data'!#REF!,32,1)</f>
        <v>#REF!</v>
      </c>
      <c r="AG22" s="507" t="e">
        <f>+MID('Input data'!#REF!,33,1)</f>
        <v>#REF!</v>
      </c>
      <c r="AH22" s="507" t="e">
        <f>+MID('Input data'!#REF!,34,1)</f>
        <v>#REF!</v>
      </c>
      <c r="AI22" s="507" t="e">
        <f>+MID('Input data'!#REF!,35,1)</f>
        <v>#REF!</v>
      </c>
      <c r="AJ22" s="507" t="e">
        <f>+MID('Input data'!#REF!,36,1)</f>
        <v>#REF!</v>
      </c>
      <c r="AK22" s="506" t="e">
        <f>+MID('Input data'!#REF!,37,1)</f>
        <v>#REF!</v>
      </c>
    </row>
    <row r="23" spans="1:37" s="501" customFormat="1" ht="12" customHeight="1" x14ac:dyDescent="0.25">
      <c r="A23" s="505" t="s">
        <v>1169</v>
      </c>
      <c r="B23" s="504"/>
      <c r="C23" s="504"/>
      <c r="D23" s="504"/>
      <c r="E23" s="504"/>
      <c r="F23" s="504"/>
      <c r="G23" s="504"/>
      <c r="H23" s="504"/>
      <c r="I23" s="504"/>
      <c r="J23" s="504"/>
      <c r="K23" s="504"/>
      <c r="L23" s="504"/>
      <c r="M23" s="504"/>
      <c r="N23" s="504"/>
      <c r="O23" s="504"/>
      <c r="P23" s="504"/>
      <c r="Q23" s="504"/>
      <c r="R23" s="504"/>
      <c r="S23" s="504"/>
      <c r="T23" s="504"/>
      <c r="U23" s="504"/>
      <c r="V23" s="504"/>
      <c r="W23" s="503"/>
      <c r="X23" s="503"/>
      <c r="Y23" s="503"/>
      <c r="Z23" s="503"/>
      <c r="AA23" s="503"/>
      <c r="AB23" s="503"/>
      <c r="AC23" s="503"/>
      <c r="AD23" s="503"/>
      <c r="AE23" s="503"/>
      <c r="AF23" s="503"/>
      <c r="AG23" s="503"/>
      <c r="AH23" s="503"/>
      <c r="AI23" s="503"/>
      <c r="AJ23" s="503"/>
      <c r="AK23" s="502"/>
    </row>
    <row r="24" spans="1:37" x14ac:dyDescent="0.25">
      <c r="A24" s="497" t="s">
        <v>1170</v>
      </c>
      <c r="B24" s="912"/>
      <c r="C24" s="912"/>
      <c r="D24" s="912"/>
      <c r="E24" s="912"/>
      <c r="F24" s="912"/>
      <c r="G24" s="912"/>
      <c r="H24" s="912"/>
      <c r="I24" s="912"/>
      <c r="J24" s="912"/>
      <c r="K24" s="912"/>
      <c r="L24" s="912"/>
      <c r="M24" s="912"/>
      <c r="N24" s="912"/>
      <c r="O24" s="912"/>
      <c r="P24" s="912"/>
      <c r="Q24" s="912"/>
      <c r="R24" s="912"/>
      <c r="S24" s="912"/>
      <c r="T24" s="912"/>
      <c r="U24" s="912"/>
      <c r="V24" s="912"/>
      <c r="W24" s="450"/>
      <c r="X24" s="450"/>
      <c r="Y24" s="450"/>
      <c r="Z24" s="450"/>
      <c r="AA24" s="450"/>
      <c r="AB24" s="912"/>
      <c r="AC24" s="450"/>
      <c r="AD24" s="453" t="s">
        <v>1171</v>
      </c>
      <c r="AE24" s="450"/>
      <c r="AF24" s="450"/>
      <c r="AG24" s="450"/>
      <c r="AH24" s="450"/>
      <c r="AI24" s="450"/>
      <c r="AJ24" s="450"/>
      <c r="AK24" s="449"/>
    </row>
    <row r="25" spans="1:37" ht="19.5" customHeight="1" x14ac:dyDescent="0.25">
      <c r="A25" s="500" t="str">
        <f>+LEFT('Input data'!$C$28,1)</f>
        <v>T</v>
      </c>
      <c r="B25" s="492" t="str">
        <f>+MID('Input data'!$C$28,2,1)</f>
        <v>e</v>
      </c>
      <c r="C25" s="492" t="str">
        <f>+MID('Input data'!$C$28,3,1)</f>
        <v>s</v>
      </c>
      <c r="D25" s="492" t="str">
        <f>+MID('Input data'!$C$28,4,1)</f>
        <v>l</v>
      </c>
      <c r="E25" s="492" t="str">
        <f>+MID('Input data'!$C$28,5,1)</f>
        <v>o</v>
      </c>
      <c r="F25" s="492" t="str">
        <f>+MID('Input data'!$C$28,6,1)</f>
        <v>v</v>
      </c>
      <c r="G25" s="492" t="str">
        <f>+MID('Input data'!$C$28,7,1)</f>
        <v>a</v>
      </c>
      <c r="H25" s="492" t="str">
        <f>+MID('Input data'!$C$28,8,1)</f>
        <v/>
      </c>
      <c r="I25" s="492" t="str">
        <f>+MID('Input data'!$C$28,9,1)</f>
        <v/>
      </c>
      <c r="J25" s="492" t="str">
        <f>+MID('Input data'!$C$28,10,1)</f>
        <v/>
      </c>
      <c r="K25" s="492" t="str">
        <f>+MID('Input data'!$C$28,11,1)</f>
        <v/>
      </c>
      <c r="L25" s="492" t="str">
        <f>+MID('Input data'!$C$28,12,1)</f>
        <v/>
      </c>
      <c r="M25" s="492" t="str">
        <f>+MID('Input data'!$C$28,13,1)</f>
        <v/>
      </c>
      <c r="N25" s="492" t="str">
        <f>+MID('Input data'!$C$28,14,1)</f>
        <v/>
      </c>
      <c r="O25" s="492" t="str">
        <f>+MID('Input data'!$C$28,15,1)</f>
        <v/>
      </c>
      <c r="P25" s="492" t="str">
        <f>+MID('Input data'!$C$28,16,1)</f>
        <v/>
      </c>
      <c r="Q25" s="492" t="str">
        <f>+MID('Input data'!$C$28,17,1)</f>
        <v/>
      </c>
      <c r="R25" s="492" t="str">
        <f>+MID('Input data'!$C$28,18,1)</f>
        <v/>
      </c>
      <c r="S25" s="492" t="str">
        <f>+MID('Input data'!$C$28,19,1)</f>
        <v/>
      </c>
      <c r="T25" s="492" t="str">
        <f>+MID('Input data'!$C$28,20,1)</f>
        <v/>
      </c>
      <c r="U25" s="492" t="str">
        <f>+MID('Input data'!$C$28,21,1)</f>
        <v/>
      </c>
      <c r="V25" s="492" t="str">
        <f>+MID('Input data'!$C$28,22,1)</f>
        <v/>
      </c>
      <c r="W25" s="492" t="str">
        <f>+MID('Input data'!$C$28,23,1)</f>
        <v/>
      </c>
      <c r="X25" s="492" t="str">
        <f>+MID('Input data'!$C$28,24,1)</f>
        <v/>
      </c>
      <c r="Y25" s="492" t="str">
        <f>+MID('Input data'!$C$28,25,1)</f>
        <v/>
      </c>
      <c r="Z25" s="492" t="str">
        <f>+MID('Input data'!$C$28,26,1)</f>
        <v/>
      </c>
      <c r="AA25" s="492" t="str">
        <f>+MID('Input data'!$C$28,27,1)</f>
        <v/>
      </c>
      <c r="AB25" s="492" t="str">
        <f>+MID('Input data'!$C$28,28,1)</f>
        <v/>
      </c>
      <c r="AC25" s="494"/>
      <c r="AD25" s="492" t="str">
        <f>+LEFT('Input data'!$C$30,1)</f>
        <v>2</v>
      </c>
      <c r="AE25" s="492" t="str">
        <f>+MID('Input data'!$C$30,2,1)</f>
        <v>0</v>
      </c>
      <c r="AF25" s="492" t="str">
        <f>+MID('Input data'!$C$30,3,1)</f>
        <v/>
      </c>
      <c r="AG25" s="492" t="str">
        <f>+MID('Input data'!$C$30,4,1)</f>
        <v/>
      </c>
      <c r="AH25" s="492" t="str">
        <f>+MID('Input data'!$C$30,5,1)</f>
        <v/>
      </c>
      <c r="AI25" s="492" t="str">
        <f>+MID('Input data'!$C$30,6,1)</f>
        <v/>
      </c>
      <c r="AJ25" s="492" t="str">
        <f>+MID('Input data'!$C$30,7,1)</f>
        <v/>
      </c>
      <c r="AK25" s="499" t="str">
        <f>+MID('Input data'!$C$30,8,1)</f>
        <v/>
      </c>
    </row>
    <row r="26" spans="1:37" x14ac:dyDescent="0.25">
      <c r="A26" s="497" t="s">
        <v>1172</v>
      </c>
      <c r="B26" s="912"/>
      <c r="C26" s="912"/>
      <c r="D26" s="912"/>
      <c r="E26" s="912"/>
      <c r="F26" s="912"/>
      <c r="G26" s="496" t="s">
        <v>1173</v>
      </c>
      <c r="H26" s="496"/>
      <c r="I26" s="496"/>
      <c r="J26" s="496"/>
      <c r="K26" s="496"/>
      <c r="L26" s="496"/>
      <c r="M26" s="496"/>
      <c r="N26" s="496"/>
      <c r="O26" s="496"/>
      <c r="P26" s="496"/>
      <c r="Q26" s="496"/>
      <c r="R26" s="496"/>
      <c r="S26" s="496"/>
      <c r="T26" s="496"/>
      <c r="U26" s="496"/>
      <c r="V26" s="496"/>
      <c r="W26" s="496"/>
      <c r="X26" s="496"/>
      <c r="Y26" s="496"/>
      <c r="Z26" s="496"/>
      <c r="AA26" s="496"/>
      <c r="AB26" s="496"/>
      <c r="AC26" s="496"/>
      <c r="AD26" s="496"/>
      <c r="AE26" s="450"/>
      <c r="AF26" s="450"/>
      <c r="AG26" s="450"/>
      <c r="AH26" s="450"/>
      <c r="AI26" s="450"/>
      <c r="AJ26" s="450"/>
      <c r="AK26" s="449"/>
    </row>
    <row r="27" spans="1:37" s="498" customFormat="1" ht="19.5" customHeight="1" x14ac:dyDescent="0.25">
      <c r="A27" s="500" t="str">
        <f>+LEFT('Input data'!$C$32,1)</f>
        <v>8</v>
      </c>
      <c r="B27" s="492" t="str">
        <f>+MID('Input data'!$C$32,2,1)</f>
        <v>2</v>
      </c>
      <c r="C27" s="492" t="str">
        <f>+MID('Input data'!$C$32,3,1)</f>
        <v>1</v>
      </c>
      <c r="D27" s="492" t="str">
        <f>+MID('Input data'!$C$32,4,1)</f>
        <v>0</v>
      </c>
      <c r="E27" s="492" t="str">
        <f>+MID('Input data'!$C$32,5,1)</f>
        <v>2</v>
      </c>
      <c r="F27" s="492"/>
      <c r="G27" s="492" t="str">
        <f>+LEFT('Input data'!$C$34,1)</f>
        <v>B</v>
      </c>
      <c r="H27" s="492" t="str">
        <f>+MID('Input data'!$C$34,2,1)</f>
        <v>r</v>
      </c>
      <c r="I27" s="492" t="str">
        <f>+MID('Input data'!$C$34,3,1)</f>
        <v>a</v>
      </c>
      <c r="J27" s="492" t="str">
        <f>+MID('Input data'!$C$34,4,1)</f>
        <v>t</v>
      </c>
      <c r="K27" s="492" t="str">
        <f>+MID('Input data'!$C$34,5,1)</f>
        <v>i</v>
      </c>
      <c r="L27" s="492" t="str">
        <f>+MID('Input data'!$C$34,6,1)</f>
        <v>s</v>
      </c>
      <c r="M27" s="492" t="str">
        <f>+MID('Input data'!$C$34,7,1)</f>
        <v>l</v>
      </c>
      <c r="N27" s="492" t="str">
        <f>+MID('Input data'!$C$34,8,1)</f>
        <v>a</v>
      </c>
      <c r="O27" s="492" t="str">
        <f>+MID('Input data'!$C$34,9,1)</f>
        <v>v</v>
      </c>
      <c r="P27" s="492" t="str">
        <f>+MID('Input data'!$C$34,10,1)</f>
        <v>a</v>
      </c>
      <c r="Q27" s="492" t="str">
        <f>+MID('Input data'!$C$34,11,1)</f>
        <v/>
      </c>
      <c r="R27" s="492" t="str">
        <f>+MID('Input data'!$C$34,12,1)</f>
        <v/>
      </c>
      <c r="S27" s="492" t="str">
        <f>+MID('Input data'!$C$34,13,1)</f>
        <v/>
      </c>
      <c r="T27" s="492" t="str">
        <f>+MID('Input data'!$C$34,14,1)</f>
        <v/>
      </c>
      <c r="U27" s="492" t="str">
        <f>+MID('Input data'!$C$34,15,1)</f>
        <v/>
      </c>
      <c r="V27" s="492" t="str">
        <f>+MID('Input data'!$C$34,16,1)</f>
        <v/>
      </c>
      <c r="W27" s="492" t="str">
        <f>+MID('Input data'!$C$34,17,1)</f>
        <v/>
      </c>
      <c r="X27" s="492" t="str">
        <f>+MID('Input data'!$C$34,18,1)</f>
        <v/>
      </c>
      <c r="Y27" s="492" t="str">
        <f>+MID('Input data'!$C$34,19,1)</f>
        <v/>
      </c>
      <c r="Z27" s="492" t="str">
        <f>+MID('Input data'!$C$34,20,1)</f>
        <v/>
      </c>
      <c r="AA27" s="492" t="str">
        <f>+MID('Input data'!$C$34,21,1)</f>
        <v/>
      </c>
      <c r="AB27" s="492" t="str">
        <f>+MID('Input data'!$C$34,22,1)</f>
        <v/>
      </c>
      <c r="AC27" s="492" t="str">
        <f>+MID('Input data'!$C$34,23,1)</f>
        <v/>
      </c>
      <c r="AD27" s="492" t="str">
        <f>+MID('Input data'!$C$34,24,1)</f>
        <v/>
      </c>
      <c r="AE27" s="492" t="str">
        <f>+MID('Input data'!$C$34,25,1)</f>
        <v/>
      </c>
      <c r="AF27" s="492" t="str">
        <f>+MID('Input data'!$C$34,26,1)</f>
        <v/>
      </c>
      <c r="AG27" s="492" t="str">
        <f>+MID('Input data'!$C$34,27,1)</f>
        <v/>
      </c>
      <c r="AH27" s="492" t="str">
        <f>+MID('Input data'!$C$34,28,1)</f>
        <v/>
      </c>
      <c r="AI27" s="492" t="str">
        <f>+MID('Input data'!$C$34,29,1)</f>
        <v/>
      </c>
      <c r="AJ27" s="492" t="str">
        <f>+MID('Input data'!$C$34,30,1)</f>
        <v/>
      </c>
      <c r="AK27" s="499" t="str">
        <f>+MID('Input data'!$C$34,31,1)</f>
        <v/>
      </c>
    </row>
    <row r="28" spans="1:37" x14ac:dyDescent="0.25">
      <c r="A28" s="497" t="s">
        <v>1174</v>
      </c>
      <c r="B28" s="912"/>
      <c r="C28" s="912"/>
      <c r="D28" s="912"/>
      <c r="E28" s="912"/>
      <c r="F28" s="912"/>
      <c r="G28" s="496"/>
      <c r="H28" s="496"/>
      <c r="I28" s="496"/>
      <c r="J28" s="496"/>
      <c r="K28" s="496"/>
      <c r="L28" s="496"/>
      <c r="M28" s="496"/>
      <c r="N28" s="912"/>
      <c r="O28" s="496" t="s">
        <v>1175</v>
      </c>
      <c r="P28" s="496"/>
      <c r="Q28" s="496"/>
      <c r="R28" s="496"/>
      <c r="S28" s="496"/>
      <c r="T28" s="496"/>
      <c r="U28" s="496"/>
      <c r="V28" s="496"/>
      <c r="W28" s="496"/>
      <c r="X28" s="496"/>
      <c r="Y28" s="496"/>
      <c r="Z28" s="496"/>
      <c r="AA28" s="496"/>
      <c r="AB28" s="496"/>
      <c r="AC28" s="496"/>
      <c r="AD28" s="496"/>
      <c r="AE28" s="450"/>
      <c r="AF28" s="450"/>
      <c r="AG28" s="450"/>
      <c r="AH28" s="450"/>
      <c r="AI28" s="450"/>
      <c r="AJ28" s="450"/>
      <c r="AK28" s="449"/>
    </row>
    <row r="29" spans="1:37" ht="19.5" customHeight="1" x14ac:dyDescent="0.25">
      <c r="A29" s="495">
        <v>0</v>
      </c>
      <c r="B29" s="492" t="str">
        <f>+LEFT('Input data'!$C$36,1)</f>
        <v>2</v>
      </c>
      <c r="C29" s="492" t="str">
        <f>+MID('Input data'!$C$36,2,1)</f>
        <v/>
      </c>
      <c r="D29" s="492" t="str">
        <f>+MID('Input data'!$C$36,3,1)</f>
        <v/>
      </c>
      <c r="E29" s="492" t="s">
        <v>1176</v>
      </c>
      <c r="F29" s="492" t="str">
        <f>+LEFT('Input data'!$C$38,1)</f>
        <v>4</v>
      </c>
      <c r="G29" s="492" t="str">
        <f>+MID('Input data'!$C$38,2,1)</f>
        <v>9</v>
      </c>
      <c r="H29" s="492" t="str">
        <f>+MID('Input data'!$C$38,3,1)</f>
        <v>3</v>
      </c>
      <c r="I29" s="492" t="str">
        <f>+MID('Input data'!$C$38,4,1)</f>
        <v>0</v>
      </c>
      <c r="J29" s="492" t="str">
        <f>+MID('Input data'!$C$38,5,1)</f>
        <v>0</v>
      </c>
      <c r="K29" s="492" t="str">
        <f>+MID('Input data'!$C$38,6,1)</f>
        <v>5</v>
      </c>
      <c r="L29" s="492" t="str">
        <f>+MID('Input data'!$C$38,7,1)</f>
        <v>1</v>
      </c>
      <c r="M29" s="492" t="str">
        <f>+MID('Input data'!$C$38,8,1)</f>
        <v>3</v>
      </c>
      <c r="N29" s="494"/>
      <c r="O29" s="493">
        <v>0</v>
      </c>
      <c r="P29" s="492" t="str">
        <f>+LEFT('Input data'!$C$36,1)</f>
        <v>2</v>
      </c>
      <c r="Q29" s="492" t="str">
        <f>+MID('Input data'!$C$36,2,1)</f>
        <v/>
      </c>
      <c r="R29" s="492" t="str">
        <f>+MID('Input data'!$C$36,3,1)</f>
        <v/>
      </c>
      <c r="S29" s="492" t="s">
        <v>1176</v>
      </c>
      <c r="T29" s="492" t="str">
        <f>+LEFT('Input data'!$C$40,1)</f>
        <v>4</v>
      </c>
      <c r="U29" s="492" t="str">
        <f>+MID('Input data'!$C$40,2,1)</f>
        <v>9</v>
      </c>
      <c r="V29" s="492" t="str">
        <f>+MID('Input data'!$C$40,3,1)</f>
        <v>3</v>
      </c>
      <c r="W29" s="492" t="str">
        <f>+MID('Input data'!$C$40,4,1)</f>
        <v>0</v>
      </c>
      <c r="X29" s="492" t="str">
        <f>+MID('Input data'!$C$40,5,1)</f>
        <v>0</v>
      </c>
      <c r="Y29" s="492" t="str">
        <f>+MID('Input data'!$C$40,6,1)</f>
        <v>5</v>
      </c>
      <c r="Z29" s="492" t="str">
        <f>+MID('Input data'!$C$40,7,1)</f>
        <v>5</v>
      </c>
      <c r="AA29" s="492" t="str">
        <f>+MID('Input data'!$C$40,8,1)</f>
        <v>0</v>
      </c>
      <c r="AB29" s="492"/>
      <c r="AC29" s="492"/>
      <c r="AD29" s="492"/>
      <c r="AE29" s="450"/>
      <c r="AF29" s="450"/>
      <c r="AG29" s="450" t="s">
        <v>1177</v>
      </c>
      <c r="AH29" s="450"/>
      <c r="AI29" s="450"/>
      <c r="AJ29" s="450"/>
      <c r="AK29" s="449"/>
    </row>
    <row r="30" spans="1:37" s="442" customFormat="1" x14ac:dyDescent="0.25">
      <c r="A30" s="454" t="s">
        <v>1178</v>
      </c>
      <c r="B30" s="453"/>
      <c r="C30" s="453"/>
      <c r="D30" s="453"/>
      <c r="E30" s="453"/>
      <c r="F30" s="453"/>
      <c r="G30" s="453"/>
      <c r="H30" s="453"/>
      <c r="I30" s="453"/>
      <c r="J30" s="453"/>
      <c r="K30" s="453"/>
      <c r="L30" s="453"/>
      <c r="M30" s="453"/>
      <c r="N30" s="453"/>
      <c r="O30" s="453"/>
      <c r="P30" s="453"/>
      <c r="Q30" s="453"/>
      <c r="R30" s="453"/>
      <c r="S30" s="453"/>
      <c r="T30" s="453"/>
      <c r="U30" s="453"/>
      <c r="V30" s="453"/>
      <c r="W30" s="450"/>
      <c r="X30" s="450"/>
      <c r="Y30" s="450"/>
      <c r="Z30" s="450"/>
      <c r="AA30" s="450"/>
      <c r="AB30" s="450"/>
      <c r="AC30" s="450"/>
      <c r="AD30" s="450"/>
      <c r="AE30" s="450"/>
      <c r="AF30" s="450"/>
      <c r="AG30" s="450"/>
      <c r="AH30" s="450"/>
      <c r="AI30" s="450"/>
      <c r="AJ30" s="450"/>
      <c r="AK30" s="449"/>
    </row>
    <row r="31" spans="1:37" ht="19.5" customHeight="1" thickBot="1" x14ac:dyDescent="0.3">
      <c r="A31" s="491" t="str">
        <f>+LEFT('Input data'!$B$42,1)</f>
        <v/>
      </c>
      <c r="B31" s="490" t="str">
        <f>+MID('Input data'!$B$42,2,1)</f>
        <v/>
      </c>
      <c r="C31" s="490" t="str">
        <f>+MID('Input data'!$B$42,3,1)</f>
        <v/>
      </c>
      <c r="D31" s="490" t="str">
        <f>+MID('Input data'!$B$42,4,1)</f>
        <v/>
      </c>
      <c r="E31" s="490" t="str">
        <f>+MID('Input data'!$B$42,5,1)</f>
        <v/>
      </c>
      <c r="F31" s="490" t="str">
        <f>+MID('Input data'!$B$42,6,1)</f>
        <v/>
      </c>
      <c r="G31" s="490" t="str">
        <f>+MID('Input data'!$B$42,7,1)</f>
        <v/>
      </c>
      <c r="H31" s="490" t="str">
        <f>+MID('Input data'!$B$42,8,1)</f>
        <v/>
      </c>
      <c r="I31" s="490" t="str">
        <f>+MID('Input data'!$B$42,9,1)</f>
        <v/>
      </c>
      <c r="J31" s="490" t="str">
        <f>+MID('Input data'!$B$42,10,1)</f>
        <v/>
      </c>
      <c r="K31" s="490" t="str">
        <f>+MID('Input data'!$B$42,11,1)</f>
        <v/>
      </c>
      <c r="L31" s="490" t="str">
        <f>+MID('Input data'!$B$42,12,1)</f>
        <v/>
      </c>
      <c r="M31" s="490" t="str">
        <f>+MID('Input data'!$B$42,13,1)</f>
        <v/>
      </c>
      <c r="N31" s="490" t="str">
        <f>+MID('Input data'!$B$42,14,1)</f>
        <v/>
      </c>
      <c r="O31" s="490" t="str">
        <f>+MID('Input data'!$B$42,15,1)</f>
        <v/>
      </c>
      <c r="P31" s="490" t="str">
        <f>+MID('Input data'!$B$42,16,1)</f>
        <v/>
      </c>
      <c r="Q31" s="490" t="str">
        <f>+MID('Input data'!$B$42,17,1)</f>
        <v/>
      </c>
      <c r="R31" s="490" t="str">
        <f>+MID('Input data'!$B$42,18,1)</f>
        <v/>
      </c>
      <c r="S31" s="490" t="str">
        <f>+MID('Input data'!$B$42,19,1)</f>
        <v/>
      </c>
      <c r="T31" s="490" t="str">
        <f>+MID('Input data'!$B$42,20,1)</f>
        <v/>
      </c>
      <c r="U31" s="490" t="str">
        <f>+MID('Input data'!$B$42,21,1)</f>
        <v/>
      </c>
      <c r="V31" s="490" t="str">
        <f>+MID('Input data'!$B$42,22,1)</f>
        <v/>
      </c>
      <c r="W31" s="490" t="str">
        <f>+MID('Input data'!$B$42,23,1)</f>
        <v/>
      </c>
      <c r="X31" s="490" t="str">
        <f>+MID('Input data'!$B$42,24,1)</f>
        <v/>
      </c>
      <c r="Y31" s="490" t="str">
        <f>+MID('Input data'!$B$42,25,1)</f>
        <v/>
      </c>
      <c r="Z31" s="490" t="str">
        <f>+MID('Input data'!$B$42,26,1)</f>
        <v/>
      </c>
      <c r="AA31" s="490" t="str">
        <f>+MID('Input data'!$B$42,27,1)</f>
        <v/>
      </c>
      <c r="AB31" s="490" t="str">
        <f>+MID('Input data'!$B$42,28,1)</f>
        <v/>
      </c>
      <c r="AC31" s="490" t="str">
        <f>+MID('Input data'!$B$42,29,1)</f>
        <v/>
      </c>
      <c r="AD31" s="490" t="str">
        <f>+MID('Input data'!$B$42,30,1)</f>
        <v/>
      </c>
      <c r="AE31" s="490" t="str">
        <f>+MID('Input data'!$B$42,31,1)</f>
        <v/>
      </c>
      <c r="AF31" s="490" t="str">
        <f>+MID('Input data'!$B$42,32,1)</f>
        <v/>
      </c>
      <c r="AG31" s="490" t="str">
        <f>+MID('Input data'!$B$42,33,1)</f>
        <v/>
      </c>
      <c r="AH31" s="490" t="str">
        <f>+MID('Input data'!$B$42,34,1)</f>
        <v/>
      </c>
      <c r="AI31" s="490" t="str">
        <f>+MID('Input data'!$B$42,35,1)</f>
        <v/>
      </c>
      <c r="AJ31" s="490" t="str">
        <f>+MID('Input data'!$B$42,36,1)</f>
        <v/>
      </c>
      <c r="AK31" s="489" t="str">
        <f>+MID('Input data'!$B$42,37,1)</f>
        <v/>
      </c>
    </row>
    <row r="32" spans="1:37" s="442" customFormat="1" ht="4.5" customHeight="1" thickBot="1" x14ac:dyDescent="0.3">
      <c r="W32" s="443"/>
      <c r="X32" s="443"/>
      <c r="Y32" s="443"/>
      <c r="Z32" s="443"/>
      <c r="AA32" s="443"/>
      <c r="AB32" s="443"/>
      <c r="AC32" s="443"/>
      <c r="AD32" s="443"/>
      <c r="AE32" s="443"/>
      <c r="AF32" s="443"/>
      <c r="AG32" s="443"/>
      <c r="AH32" s="443"/>
      <c r="AI32" s="443"/>
      <c r="AJ32" s="443"/>
      <c r="AK32" s="443"/>
    </row>
    <row r="33" spans="1:37" s="485" customFormat="1" ht="12.75" customHeight="1" x14ac:dyDescent="0.25">
      <c r="A33" s="488" t="s">
        <v>1179</v>
      </c>
      <c r="B33" s="487"/>
      <c r="C33" s="487"/>
      <c r="D33" s="487"/>
      <c r="E33" s="487"/>
      <c r="F33" s="487"/>
      <c r="G33" s="487"/>
      <c r="H33" s="487"/>
      <c r="I33" s="487"/>
      <c r="J33" s="487"/>
      <c r="K33" s="486"/>
      <c r="L33" s="1017" t="s">
        <v>1875</v>
      </c>
      <c r="M33" s="1018"/>
      <c r="N33" s="1018"/>
      <c r="O33" s="1018"/>
      <c r="P33" s="1018"/>
      <c r="Q33" s="1018"/>
      <c r="R33" s="1018"/>
      <c r="S33" s="1018"/>
      <c r="T33" s="1019"/>
      <c r="U33" s="1018" t="s">
        <v>1181</v>
      </c>
      <c r="V33" s="1018"/>
      <c r="W33" s="1018"/>
      <c r="X33" s="1018"/>
      <c r="Y33" s="1018"/>
      <c r="Z33" s="1018"/>
      <c r="AA33" s="1018"/>
      <c r="AB33" s="1019"/>
      <c r="AC33" s="1017" t="s">
        <v>1874</v>
      </c>
      <c r="AD33" s="1018"/>
      <c r="AE33" s="1018"/>
      <c r="AF33" s="1018"/>
      <c r="AG33" s="1018"/>
      <c r="AH33" s="1018"/>
      <c r="AI33" s="1018"/>
      <c r="AJ33" s="1018"/>
      <c r="AK33" s="1023"/>
    </row>
    <row r="34" spans="1:37" s="442" customFormat="1" ht="19.5" customHeight="1" x14ac:dyDescent="0.25">
      <c r="A34" s="471" t="str">
        <f>LEFT(TEXT('Input data'!F25,"dd.m.yyyy"),1)</f>
        <v>1</v>
      </c>
      <c r="B34" s="470" t="str">
        <f>MID(TEXT('Input data'!$F$25,"dd.mm.yyyy"),2,1)</f>
        <v>3</v>
      </c>
      <c r="C34" s="469" t="s">
        <v>1147</v>
      </c>
      <c r="D34" s="470" t="str">
        <f>MID(TEXT('Input data'!$F$25,"dd.mm.yyyy"),4,1)</f>
        <v>0</v>
      </c>
      <c r="E34" s="470" t="str">
        <f>MID(TEXT('Input data'!$F$25,"dd.mm.yyyy"),5,1)</f>
        <v>6</v>
      </c>
      <c r="F34" s="469" t="s">
        <v>1147</v>
      </c>
      <c r="G34" s="468" t="str">
        <f>MID(TEXT('Input data'!$F$25,"dd.mm.yyyy"),7,1)</f>
        <v>2</v>
      </c>
      <c r="H34" s="468" t="str">
        <f>MID(TEXT('Input data'!$F$25,"dd.mm.yyyy"),8,1)</f>
        <v>0</v>
      </c>
      <c r="I34" s="468" t="str">
        <f>MID(TEXT('Input data'!$F$25,"dd.mm.yyyy"),9,1)</f>
        <v>1</v>
      </c>
      <c r="J34" s="468" t="str">
        <f>MID(TEXT('Input data'!$F$25,"dd.mm.yyyy"),10,1)</f>
        <v>4</v>
      </c>
      <c r="K34" s="484"/>
      <c r="L34" s="1020"/>
      <c r="M34" s="1021"/>
      <c r="N34" s="1021"/>
      <c r="O34" s="1021"/>
      <c r="P34" s="1021"/>
      <c r="Q34" s="1021"/>
      <c r="R34" s="1021"/>
      <c r="S34" s="1021"/>
      <c r="T34" s="1022"/>
      <c r="U34" s="1021"/>
      <c r="V34" s="1021"/>
      <c r="W34" s="1021"/>
      <c r="X34" s="1021"/>
      <c r="Y34" s="1021"/>
      <c r="Z34" s="1021"/>
      <c r="AA34" s="1021"/>
      <c r="AB34" s="1022"/>
      <c r="AC34" s="1020"/>
      <c r="AD34" s="1021"/>
      <c r="AE34" s="1021"/>
      <c r="AF34" s="1021"/>
      <c r="AG34" s="1021"/>
      <c r="AH34" s="1021"/>
      <c r="AI34" s="1021"/>
      <c r="AJ34" s="1021"/>
      <c r="AK34" s="1024"/>
    </row>
    <row r="35" spans="1:37" s="442" customFormat="1" ht="13.5" customHeight="1" x14ac:dyDescent="0.25">
      <c r="A35" s="483"/>
      <c r="B35" s="482"/>
      <c r="C35" s="482"/>
      <c r="D35" s="482"/>
      <c r="E35" s="482"/>
      <c r="F35" s="482"/>
      <c r="G35" s="481"/>
      <c r="H35" s="481"/>
      <c r="I35" s="481"/>
      <c r="J35" s="481"/>
      <c r="K35" s="480"/>
      <c r="L35" s="1020"/>
      <c r="M35" s="1021"/>
      <c r="N35" s="1021"/>
      <c r="O35" s="1021"/>
      <c r="P35" s="1021"/>
      <c r="Q35" s="1021"/>
      <c r="R35" s="1021"/>
      <c r="S35" s="1021"/>
      <c r="T35" s="1022"/>
      <c r="U35" s="1021"/>
      <c r="V35" s="1021"/>
      <c r="W35" s="1021"/>
      <c r="X35" s="1021"/>
      <c r="Y35" s="1021"/>
      <c r="Z35" s="1021"/>
      <c r="AA35" s="1021"/>
      <c r="AB35" s="1022"/>
      <c r="AC35" s="1020"/>
      <c r="AD35" s="1021"/>
      <c r="AE35" s="1021"/>
      <c r="AF35" s="1021"/>
      <c r="AG35" s="1021"/>
      <c r="AH35" s="1021"/>
      <c r="AI35" s="1021"/>
      <c r="AJ35" s="1021"/>
      <c r="AK35" s="1024"/>
    </row>
    <row r="36" spans="1:37" s="442" customFormat="1" x14ac:dyDescent="0.2">
      <c r="A36" s="454" t="s">
        <v>1183</v>
      </c>
      <c r="B36" s="453"/>
      <c r="C36" s="453"/>
      <c r="D36" s="453"/>
      <c r="E36" s="453"/>
      <c r="F36" s="453"/>
      <c r="G36" s="479"/>
      <c r="H36" s="479"/>
      <c r="I36" s="479"/>
      <c r="J36" s="479"/>
      <c r="K36" s="478"/>
      <c r="L36" s="477"/>
      <c r="M36" s="477"/>
      <c r="N36" s="477"/>
      <c r="O36" s="477"/>
      <c r="P36" s="477"/>
      <c r="Q36" s="477"/>
      <c r="R36" s="477"/>
      <c r="S36" s="453"/>
      <c r="T36" s="475"/>
      <c r="U36" s="476"/>
      <c r="V36" s="476"/>
      <c r="W36" s="476"/>
      <c r="X36" s="476"/>
      <c r="Y36" s="476"/>
      <c r="Z36" s="450"/>
      <c r="AA36" s="476"/>
      <c r="AB36" s="475"/>
      <c r="AC36" s="474"/>
      <c r="AD36" s="473"/>
      <c r="AE36" s="473"/>
      <c r="AF36" s="473"/>
      <c r="AG36" s="473"/>
      <c r="AH36" s="473"/>
      <c r="AI36" s="473"/>
      <c r="AJ36" s="473"/>
      <c r="AK36" s="472"/>
    </row>
    <row r="37" spans="1:37" s="442" customFormat="1" ht="19.5" customHeight="1" x14ac:dyDescent="0.25">
      <c r="A37" s="471" t="str">
        <f>IF('Input data'!$F$27="","",LEFT(TEXT('Input data'!$F$27,"dd.mm.yyyy"),1))</f>
        <v/>
      </c>
      <c r="B37" s="470" t="str">
        <f>IF('Input data'!$F$27="","",MID(TEXT('Input data'!$F$27,"dd.mm.yyyy"),2,1))</f>
        <v/>
      </c>
      <c r="C37" s="469" t="s">
        <v>1147</v>
      </c>
      <c r="D37" s="470" t="str">
        <f>IF('Input data'!$F$27="","",MID(TEXT('Input data'!$F$27,"dd.mm.yyyy"),4,1))</f>
        <v/>
      </c>
      <c r="E37" s="470" t="str">
        <f>IF('Input data'!$F$27="","",MID(TEXT('Input data'!$F$27,"dd.mm.yyyy"),5,1))</f>
        <v/>
      </c>
      <c r="F37" s="469" t="s">
        <v>1147</v>
      </c>
      <c r="G37" s="468" t="str">
        <f>IF('Input data'!$F$27="","",MID(TEXT('Input data'!$F$27,"dd.mm.yyyy"),7,1))</f>
        <v/>
      </c>
      <c r="H37" s="468" t="str">
        <f>IF('Input data'!$F$27="","",MID(TEXT('Input data'!$F$27,"dd.mm.yyyy"),8,1))</f>
        <v/>
      </c>
      <c r="I37" s="468" t="str">
        <f>IF('Input data'!$F$27="","",MID(TEXT('Input data'!$F$27,"dd.mm.yyyy"),9,1))</f>
        <v/>
      </c>
      <c r="J37" s="468" t="str">
        <f>IF('Input data'!$F$27="","",MID(TEXT('Input data'!$F$27,"dd.mm.yyyy"),10,1))</f>
        <v/>
      </c>
      <c r="K37" s="467"/>
      <c r="L37" s="466"/>
      <c r="M37" s="465"/>
      <c r="N37" s="465"/>
      <c r="O37" s="465"/>
      <c r="P37" s="465"/>
      <c r="Q37" s="465"/>
      <c r="R37" s="465"/>
      <c r="S37" s="465"/>
      <c r="T37" s="464"/>
      <c r="U37" s="466"/>
      <c r="V37" s="465"/>
      <c r="W37" s="465"/>
      <c r="X37" s="465"/>
      <c r="Y37" s="465"/>
      <c r="Z37" s="465"/>
      <c r="AA37" s="465"/>
      <c r="AB37" s="464"/>
      <c r="AC37" s="450"/>
      <c r="AD37" s="450"/>
      <c r="AE37" s="450"/>
      <c r="AF37" s="450"/>
      <c r="AG37" s="450"/>
      <c r="AH37" s="450"/>
      <c r="AI37" s="450"/>
      <c r="AJ37" s="450"/>
      <c r="AK37" s="449"/>
    </row>
    <row r="38" spans="1:37" s="448" customFormat="1" thickBot="1" x14ac:dyDescent="0.3">
      <c r="A38" s="463"/>
      <c r="B38" s="462"/>
      <c r="C38" s="462"/>
      <c r="D38" s="462"/>
      <c r="E38" s="462"/>
      <c r="F38" s="462"/>
      <c r="G38" s="462"/>
      <c r="H38" s="462"/>
      <c r="I38" s="462"/>
      <c r="J38" s="462"/>
      <c r="K38" s="461"/>
      <c r="L38" s="1025">
        <f>'Input data'!F31</f>
        <v>0</v>
      </c>
      <c r="M38" s="1026"/>
      <c r="N38" s="1026"/>
      <c r="O38" s="1026"/>
      <c r="P38" s="1026"/>
      <c r="Q38" s="1026"/>
      <c r="R38" s="1026"/>
      <c r="S38" s="1026"/>
      <c r="T38" s="1027"/>
      <c r="U38" s="1025">
        <f>'Input data'!F35</f>
        <v>0</v>
      </c>
      <c r="V38" s="1026"/>
      <c r="W38" s="1026"/>
      <c r="X38" s="1026"/>
      <c r="Y38" s="1026"/>
      <c r="Z38" s="1026"/>
      <c r="AA38" s="1026"/>
      <c r="AB38" s="1027"/>
      <c r="AC38" s="1028">
        <f>'Input data'!F39</f>
        <v>0</v>
      </c>
      <c r="AD38" s="1026"/>
      <c r="AE38" s="1026"/>
      <c r="AF38" s="1026"/>
      <c r="AG38" s="1026"/>
      <c r="AH38" s="1026"/>
      <c r="AI38" s="1026"/>
      <c r="AJ38" s="1026"/>
      <c r="AK38" s="1029"/>
    </row>
    <row r="39" spans="1:37" s="448" customFormat="1" x14ac:dyDescent="0.25">
      <c r="W39" s="443"/>
      <c r="X39" s="443"/>
      <c r="Y39" s="443"/>
      <c r="Z39" s="443"/>
      <c r="AA39" s="443"/>
      <c r="AB39" s="443"/>
      <c r="AC39" s="443"/>
      <c r="AD39" s="443"/>
      <c r="AE39" s="443"/>
      <c r="AF39" s="443"/>
      <c r="AG39" s="443"/>
      <c r="AH39" s="443"/>
      <c r="AI39" s="443"/>
      <c r="AJ39" s="443"/>
      <c r="AK39" s="443"/>
    </row>
    <row r="40" spans="1:37" s="448" customFormat="1" ht="12.75" customHeight="1" x14ac:dyDescent="0.25">
      <c r="W40" s="443"/>
      <c r="X40" s="443"/>
      <c r="Y40" s="443"/>
      <c r="Z40" s="443"/>
      <c r="AA40" s="443"/>
      <c r="AB40" s="443"/>
      <c r="AC40" s="443"/>
      <c r="AD40" s="443"/>
      <c r="AE40" s="443"/>
      <c r="AF40" s="443"/>
      <c r="AG40" s="443"/>
      <c r="AH40" s="443"/>
      <c r="AI40" s="443"/>
      <c r="AJ40" s="443"/>
      <c r="AK40" s="443"/>
    </row>
    <row r="41" spans="1:37" s="448" customFormat="1" x14ac:dyDescent="0.25">
      <c r="W41" s="443"/>
      <c r="X41" s="443"/>
      <c r="Y41" s="443"/>
      <c r="Z41" s="443"/>
      <c r="AA41" s="443"/>
      <c r="AB41" s="443"/>
      <c r="AC41" s="443"/>
      <c r="AD41" s="443"/>
      <c r="AE41" s="443"/>
      <c r="AF41" s="443"/>
      <c r="AG41" s="443"/>
      <c r="AH41" s="443"/>
      <c r="AI41" s="443"/>
      <c r="AJ41" s="443"/>
      <c r="AK41" s="443"/>
    </row>
    <row r="42" spans="1:37" ht="13.5" thickBot="1" x14ac:dyDescent="0.3">
      <c r="W42" s="443"/>
      <c r="X42" s="443"/>
      <c r="Y42" s="443"/>
      <c r="Z42" s="443"/>
      <c r="AA42" s="443"/>
      <c r="AB42" s="443"/>
      <c r="AC42" s="443"/>
      <c r="AD42" s="443"/>
      <c r="AE42" s="443"/>
      <c r="AF42" s="443"/>
      <c r="AG42" s="443"/>
      <c r="AH42" s="443"/>
      <c r="AI42" s="443"/>
      <c r="AJ42" s="443"/>
      <c r="AK42" s="443"/>
    </row>
    <row r="43" spans="1:37" s="448" customFormat="1" x14ac:dyDescent="0.25">
      <c r="B43" s="460" t="s">
        <v>1184</v>
      </c>
      <c r="C43" s="459"/>
      <c r="D43" s="459"/>
      <c r="E43" s="459"/>
      <c r="F43" s="459"/>
      <c r="G43" s="459"/>
      <c r="H43" s="459"/>
      <c r="I43" s="459"/>
      <c r="J43" s="459"/>
      <c r="K43" s="459"/>
      <c r="L43" s="459"/>
      <c r="M43" s="459"/>
      <c r="N43" s="459"/>
      <c r="O43" s="459"/>
      <c r="P43" s="459"/>
      <c r="Q43" s="459"/>
      <c r="R43" s="459"/>
      <c r="S43" s="459"/>
      <c r="T43" s="459"/>
      <c r="U43" s="459"/>
      <c r="V43" s="459"/>
      <c r="W43" s="458"/>
      <c r="X43" s="458"/>
      <c r="Y43" s="458"/>
      <c r="Z43" s="458"/>
      <c r="AA43" s="458"/>
      <c r="AB43" s="458"/>
      <c r="AC43" s="458"/>
      <c r="AD43" s="458"/>
      <c r="AE43" s="458"/>
      <c r="AF43" s="458"/>
      <c r="AG43" s="458"/>
      <c r="AH43" s="458"/>
      <c r="AI43" s="458"/>
      <c r="AJ43" s="457"/>
      <c r="AK43" s="443"/>
    </row>
    <row r="44" spans="1:37" s="448" customFormat="1" x14ac:dyDescent="0.25">
      <c r="B44" s="452"/>
      <c r="C44" s="451"/>
      <c r="D44" s="451"/>
      <c r="E44" s="451"/>
      <c r="F44" s="451"/>
      <c r="G44" s="451"/>
      <c r="H44" s="451"/>
      <c r="I44" s="451"/>
      <c r="J44" s="451"/>
      <c r="K44" s="451"/>
      <c r="L44" s="451"/>
      <c r="M44" s="451"/>
      <c r="N44" s="451"/>
      <c r="O44" s="451"/>
      <c r="P44" s="451"/>
      <c r="Q44" s="451"/>
      <c r="R44" s="451"/>
      <c r="S44" s="451"/>
      <c r="T44" s="451"/>
      <c r="U44" s="451"/>
      <c r="V44" s="451"/>
      <c r="W44" s="450"/>
      <c r="X44" s="450"/>
      <c r="Y44" s="450"/>
      <c r="Z44" s="450"/>
      <c r="AA44" s="450"/>
      <c r="AB44" s="450"/>
      <c r="AC44" s="450"/>
      <c r="AD44" s="450"/>
      <c r="AE44" s="450"/>
      <c r="AF44" s="450"/>
      <c r="AG44" s="450"/>
      <c r="AH44" s="450"/>
      <c r="AI44" s="450"/>
      <c r="AJ44" s="449"/>
      <c r="AK44" s="443"/>
    </row>
    <row r="45" spans="1:37" ht="12.75" customHeight="1" x14ac:dyDescent="0.25">
      <c r="B45" s="456"/>
      <c r="C45" s="912"/>
      <c r="D45" s="912"/>
      <c r="E45" s="912"/>
      <c r="F45" s="912"/>
      <c r="G45" s="912"/>
      <c r="H45" s="912"/>
      <c r="I45" s="912"/>
      <c r="J45" s="912"/>
      <c r="K45" s="912"/>
      <c r="L45" s="912"/>
      <c r="M45" s="912"/>
      <c r="N45" s="912"/>
      <c r="O45" s="912"/>
      <c r="P45" s="912"/>
      <c r="Q45" s="912"/>
      <c r="R45" s="912"/>
      <c r="S45" s="912"/>
      <c r="T45" s="912"/>
      <c r="U45" s="912"/>
      <c r="V45" s="912"/>
      <c r="W45" s="450"/>
      <c r="X45" s="450"/>
      <c r="Y45" s="450"/>
      <c r="Z45" s="450"/>
      <c r="AA45" s="450"/>
      <c r="AB45" s="450"/>
      <c r="AC45" s="450"/>
      <c r="AD45" s="450"/>
      <c r="AE45" s="450"/>
      <c r="AF45" s="450"/>
      <c r="AG45" s="450"/>
      <c r="AH45" s="450"/>
      <c r="AI45" s="450"/>
      <c r="AJ45" s="449"/>
      <c r="AK45" s="443"/>
    </row>
    <row r="46" spans="1:37" s="448" customFormat="1" x14ac:dyDescent="0.25">
      <c r="B46" s="452"/>
      <c r="C46" s="451"/>
      <c r="D46" s="451"/>
      <c r="E46" s="451"/>
      <c r="F46" s="451"/>
      <c r="G46" s="451"/>
      <c r="H46" s="451"/>
      <c r="I46" s="451"/>
      <c r="J46" s="451"/>
      <c r="K46" s="451"/>
      <c r="L46" s="451"/>
      <c r="M46" s="451"/>
      <c r="N46" s="451"/>
      <c r="O46" s="451"/>
      <c r="P46" s="451"/>
      <c r="Q46" s="451"/>
      <c r="R46" s="451"/>
      <c r="S46" s="451"/>
      <c r="T46" s="451"/>
      <c r="U46" s="451"/>
      <c r="V46" s="451"/>
      <c r="W46" s="450"/>
      <c r="X46" s="450"/>
      <c r="Y46" s="450"/>
      <c r="Z46" s="450"/>
      <c r="AA46" s="450"/>
      <c r="AB46" s="450"/>
      <c r="AC46" s="450"/>
      <c r="AD46" s="450"/>
      <c r="AE46" s="450"/>
      <c r="AF46" s="450"/>
      <c r="AG46" s="450"/>
      <c r="AH46" s="450"/>
      <c r="AI46" s="450"/>
      <c r="AJ46" s="449"/>
      <c r="AK46" s="443"/>
    </row>
    <row r="47" spans="1:37" s="442" customFormat="1" x14ac:dyDescent="0.25">
      <c r="B47" s="454"/>
      <c r="C47" s="453"/>
      <c r="D47" s="453"/>
      <c r="E47" s="453"/>
      <c r="F47" s="453"/>
      <c r="G47" s="453"/>
      <c r="H47" s="453"/>
      <c r="I47" s="453"/>
      <c r="J47" s="453"/>
      <c r="K47" s="453"/>
      <c r="L47" s="453"/>
      <c r="M47" s="453"/>
      <c r="N47" s="453"/>
      <c r="O47" s="453"/>
      <c r="P47" s="453"/>
      <c r="Q47" s="453"/>
      <c r="R47" s="453"/>
      <c r="S47" s="453"/>
      <c r="T47" s="453"/>
      <c r="U47" s="453"/>
      <c r="V47" s="453"/>
      <c r="W47" s="450"/>
      <c r="X47" s="450"/>
      <c r="Y47" s="450"/>
      <c r="Z47" s="450"/>
      <c r="AA47" s="450"/>
      <c r="AB47" s="450"/>
      <c r="AC47" s="450"/>
      <c r="AD47" s="450"/>
      <c r="AE47" s="450"/>
      <c r="AF47" s="450"/>
      <c r="AG47" s="450"/>
      <c r="AH47" s="450"/>
      <c r="AI47" s="450"/>
      <c r="AJ47" s="449"/>
      <c r="AK47" s="443"/>
    </row>
    <row r="48" spans="1:37" s="442" customFormat="1" x14ac:dyDescent="0.25">
      <c r="B48" s="454"/>
      <c r="C48" s="453"/>
      <c r="D48" s="453"/>
      <c r="E48" s="453"/>
      <c r="F48" s="453"/>
      <c r="G48" s="453"/>
      <c r="H48" s="453"/>
      <c r="I48" s="453"/>
      <c r="J48" s="453"/>
      <c r="K48" s="453"/>
      <c r="L48" s="453"/>
      <c r="M48" s="453"/>
      <c r="N48" s="453"/>
      <c r="O48" s="453"/>
      <c r="P48" s="453"/>
      <c r="Q48" s="453"/>
      <c r="R48" s="453"/>
      <c r="S48" s="453"/>
      <c r="T48" s="453"/>
      <c r="U48" s="453"/>
      <c r="V48" s="453"/>
      <c r="W48" s="450"/>
      <c r="X48" s="450"/>
      <c r="Y48" s="450"/>
      <c r="Z48" s="450"/>
      <c r="AA48" s="450"/>
      <c r="AB48" s="450"/>
      <c r="AC48" s="450"/>
      <c r="AD48" s="450"/>
      <c r="AE48" s="450"/>
      <c r="AF48" s="450"/>
      <c r="AG48" s="450"/>
      <c r="AH48" s="450"/>
      <c r="AI48" s="450"/>
      <c r="AJ48" s="449"/>
      <c r="AK48" s="443"/>
    </row>
    <row r="49" spans="2:37" s="448" customFormat="1" x14ac:dyDescent="0.25">
      <c r="B49" s="452"/>
      <c r="C49" s="451"/>
      <c r="D49" s="451"/>
      <c r="E49" s="451"/>
      <c r="F49" s="451"/>
      <c r="G49" s="451"/>
      <c r="H49" s="451"/>
      <c r="I49" s="451"/>
      <c r="J49" s="451"/>
      <c r="K49" s="451"/>
      <c r="L49" s="451"/>
      <c r="M49" s="451"/>
      <c r="N49" s="451"/>
      <c r="O49" s="451"/>
      <c r="P49" s="451"/>
      <c r="Q49" s="451"/>
      <c r="R49" s="451"/>
      <c r="S49" s="451"/>
      <c r="T49" s="451"/>
      <c r="U49" s="451"/>
      <c r="V49" s="451"/>
      <c r="W49" s="450"/>
      <c r="X49" s="450"/>
      <c r="Y49" s="450"/>
      <c r="Z49" s="450"/>
      <c r="AA49" s="450"/>
      <c r="AB49" s="450"/>
      <c r="AC49" s="450"/>
      <c r="AD49" s="450"/>
      <c r="AE49" s="450"/>
      <c r="AF49" s="450"/>
      <c r="AG49" s="450"/>
      <c r="AH49" s="450"/>
      <c r="AI49" s="450"/>
      <c r="AJ49" s="449"/>
      <c r="AK49" s="443"/>
    </row>
    <row r="50" spans="2:37" s="448" customFormat="1" x14ac:dyDescent="0.25">
      <c r="B50" s="452"/>
      <c r="C50" s="451"/>
      <c r="D50" s="451"/>
      <c r="E50" s="451"/>
      <c r="F50" s="451"/>
      <c r="G50" s="451"/>
      <c r="H50" s="451"/>
      <c r="I50" s="451"/>
      <c r="J50" s="451"/>
      <c r="K50" s="451"/>
      <c r="L50" s="451"/>
      <c r="M50" s="451"/>
      <c r="N50" s="451"/>
      <c r="O50" s="451"/>
      <c r="P50" s="451"/>
      <c r="Q50" s="451"/>
      <c r="R50" s="451"/>
      <c r="S50" s="451"/>
      <c r="T50" s="451"/>
      <c r="U50" s="451"/>
      <c r="V50" s="451"/>
      <c r="W50" s="450"/>
      <c r="X50" s="450"/>
      <c r="Y50" s="450"/>
      <c r="Z50" s="450"/>
      <c r="AA50" s="450"/>
      <c r="AB50" s="450"/>
      <c r="AC50" s="450"/>
      <c r="AD50" s="450"/>
      <c r="AE50" s="450"/>
      <c r="AF50" s="450"/>
      <c r="AG50" s="450"/>
      <c r="AH50" s="450"/>
      <c r="AI50" s="450"/>
      <c r="AJ50" s="449"/>
      <c r="AK50" s="443"/>
    </row>
    <row r="51" spans="2:37" s="448" customFormat="1" x14ac:dyDescent="0.25">
      <c r="B51" s="452"/>
      <c r="C51" s="451"/>
      <c r="D51" s="451"/>
      <c r="E51" s="451"/>
      <c r="F51" s="451"/>
      <c r="G51" s="451"/>
      <c r="H51" s="451"/>
      <c r="I51" s="451"/>
      <c r="J51" s="451"/>
      <c r="K51" s="451"/>
      <c r="L51" s="451"/>
      <c r="M51" s="451"/>
      <c r="N51" s="451"/>
      <c r="O51" s="451"/>
      <c r="P51" s="451"/>
      <c r="Q51" s="451"/>
      <c r="R51" s="451"/>
      <c r="S51" s="451"/>
      <c r="T51" s="451"/>
      <c r="U51" s="451"/>
      <c r="V51" s="451"/>
      <c r="W51" s="450"/>
      <c r="X51" s="450"/>
      <c r="Y51" s="450"/>
      <c r="Z51" s="450"/>
      <c r="AA51" s="450"/>
      <c r="AB51" s="450"/>
      <c r="AC51" s="450"/>
      <c r="AD51" s="450"/>
      <c r="AE51" s="450"/>
      <c r="AF51" s="450"/>
      <c r="AG51" s="450"/>
      <c r="AH51" s="450"/>
      <c r="AI51" s="450"/>
      <c r="AJ51" s="449"/>
      <c r="AK51" s="443"/>
    </row>
    <row r="52" spans="2:37" s="448" customFormat="1" x14ac:dyDescent="0.25">
      <c r="B52" s="452"/>
      <c r="C52" s="451"/>
      <c r="D52" s="451"/>
      <c r="E52" s="451"/>
      <c r="F52" s="451"/>
      <c r="G52" s="451"/>
      <c r="H52" s="451"/>
      <c r="I52" s="451"/>
      <c r="J52" s="451"/>
      <c r="K52" s="451"/>
      <c r="L52" s="451"/>
      <c r="M52" s="451"/>
      <c r="N52" s="451"/>
      <c r="O52" s="451"/>
      <c r="P52" s="451"/>
      <c r="Q52" s="451"/>
      <c r="R52" s="451"/>
      <c r="S52" s="451"/>
      <c r="T52" s="451"/>
      <c r="U52" s="451"/>
      <c r="V52" s="451"/>
      <c r="W52" s="450"/>
      <c r="X52" s="450"/>
      <c r="Y52" s="450"/>
      <c r="Z52" s="450"/>
      <c r="AA52" s="450"/>
      <c r="AB52" s="450"/>
      <c r="AC52" s="450"/>
      <c r="AD52" s="450"/>
      <c r="AE52" s="450"/>
      <c r="AF52" s="450"/>
      <c r="AG52" s="450"/>
      <c r="AH52" s="450"/>
      <c r="AI52" s="450"/>
      <c r="AJ52" s="449"/>
      <c r="AK52" s="443"/>
    </row>
    <row r="53" spans="2:37" s="442" customFormat="1" ht="13.5" thickBot="1" x14ac:dyDescent="0.3">
      <c r="B53" s="447"/>
      <c r="C53" s="446"/>
      <c r="D53" s="446"/>
      <c r="E53" s="446"/>
      <c r="F53" s="446"/>
      <c r="G53" s="446" t="s">
        <v>1185</v>
      </c>
      <c r="H53" s="446"/>
      <c r="I53" s="446"/>
      <c r="J53" s="446"/>
      <c r="K53" s="446"/>
      <c r="L53" s="446"/>
      <c r="M53" s="446"/>
      <c r="N53" s="446"/>
      <c r="O53" s="446"/>
      <c r="P53" s="446"/>
      <c r="Q53" s="446"/>
      <c r="R53" s="446"/>
      <c r="S53" s="446"/>
      <c r="T53" s="446"/>
      <c r="U53" s="446" t="s">
        <v>1186</v>
      </c>
      <c r="V53" s="446"/>
      <c r="W53" s="445"/>
      <c r="X53" s="445"/>
      <c r="Y53" s="445"/>
      <c r="Z53" s="445"/>
      <c r="AA53" s="445"/>
      <c r="AB53" s="445"/>
      <c r="AC53" s="445"/>
      <c r="AD53" s="445"/>
      <c r="AE53" s="445"/>
      <c r="AF53" s="445"/>
      <c r="AG53" s="445"/>
      <c r="AH53" s="445"/>
      <c r="AI53" s="445"/>
      <c r="AJ53" s="444"/>
      <c r="AK53" s="443"/>
    </row>
  </sheetData>
  <mergeCells count="6">
    <mergeCell ref="L33:T35"/>
    <mergeCell ref="U33:AB35"/>
    <mergeCell ref="AC33:AK35"/>
    <mergeCell ref="L38:T38"/>
    <mergeCell ref="U38:AB38"/>
    <mergeCell ref="AC38:AK38"/>
  </mergeCells>
  <pageMargins left="0.39370078740157483" right="0.39370078740157483" top="0.35433070866141736" bottom="0.35433070866141736" header="0.23622047244094491" footer="0.23622047244094491"/>
  <pageSetup scale="98" orientation="portrait" r:id="rId1"/>
  <headerFooter alignWithMargins="0">
    <oddFooter>&amp;LMF SR č. 25947/1/2010&amp;RStrana 1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M14"/>
  <sheetViews>
    <sheetView showGridLines="0" zoomScaleNormal="100" workbookViewId="0">
      <selection activeCell="C19" sqref="C19"/>
    </sheetView>
  </sheetViews>
  <sheetFormatPr defaultRowHeight="15" outlineLevelCol="1" x14ac:dyDescent="0.25"/>
  <cols>
    <col min="1" max="1" width="24.5703125" customWidth="1"/>
    <col min="2" max="5" width="15.42578125" customWidth="1"/>
    <col min="6" max="6" width="20.42578125" customWidth="1"/>
    <col min="7" max="7" width="20.42578125" style="386" customWidth="1" outlineLevel="1"/>
    <col min="8" max="9" width="20.42578125" style="387" customWidth="1" outlineLevel="1"/>
    <col min="10" max="10" width="20.42578125" style="391" customWidth="1"/>
    <col min="12" max="12" width="20.42578125" style="393" customWidth="1"/>
  </cols>
  <sheetData>
    <row r="1" spans="1:13" ht="16.5" x14ac:dyDescent="0.3">
      <c r="A1" s="1" t="s">
        <v>153</v>
      </c>
      <c r="G1" s="1431" t="s">
        <v>1138</v>
      </c>
      <c r="H1" s="1432"/>
      <c r="I1" s="1432"/>
      <c r="J1" s="1433"/>
      <c r="L1" s="399" t="s">
        <v>1140</v>
      </c>
      <c r="M1" s="396"/>
    </row>
    <row r="3" spans="1:13" ht="17.25" thickBot="1" x14ac:dyDescent="0.35">
      <c r="A3" s="5" t="s">
        <v>15</v>
      </c>
    </row>
    <row r="4" spans="1:13" ht="16.5" thickTop="1" thickBot="1" x14ac:dyDescent="0.3">
      <c r="A4" s="1426" t="s">
        <v>159</v>
      </c>
      <c r="B4" s="1366" t="s">
        <v>2</v>
      </c>
      <c r="C4" s="1367"/>
      <c r="D4" s="1367"/>
      <c r="E4" s="1368"/>
    </row>
    <row r="5" spans="1:13" ht="18" customHeight="1" thickTop="1" x14ac:dyDescent="0.25">
      <c r="A5" s="1430"/>
      <c r="B5" s="1430" t="s">
        <v>32</v>
      </c>
      <c r="C5" s="1430" t="s">
        <v>27</v>
      </c>
      <c r="D5" s="1430" t="s">
        <v>28</v>
      </c>
      <c r="E5" s="1430" t="s">
        <v>30</v>
      </c>
      <c r="G5" s="1426" t="s">
        <v>32</v>
      </c>
      <c r="H5" s="1426" t="s">
        <v>27</v>
      </c>
      <c r="I5" s="1426" t="s">
        <v>28</v>
      </c>
      <c r="J5" s="1426" t="s">
        <v>30</v>
      </c>
      <c r="L5" s="1426" t="s">
        <v>30</v>
      </c>
    </row>
    <row r="6" spans="1:13" ht="17.25" customHeight="1" thickBot="1" x14ac:dyDescent="0.3">
      <c r="A6" s="1427"/>
      <c r="B6" s="1427"/>
      <c r="C6" s="1427"/>
      <c r="D6" s="1427"/>
      <c r="E6" s="1427"/>
      <c r="G6" s="1427"/>
      <c r="H6" s="1427"/>
      <c r="I6" s="1427"/>
      <c r="J6" s="1427"/>
      <c r="L6" s="1427"/>
    </row>
    <row r="7" spans="1:13" ht="21.75" customHeight="1" thickTop="1" thickBot="1" x14ac:dyDescent="0.3">
      <c r="A7" s="14" t="s">
        <v>160</v>
      </c>
      <c r="B7" s="22"/>
      <c r="C7" s="22"/>
      <c r="D7" s="22"/>
      <c r="E7" s="15">
        <f>SUM(B7:D7)</f>
        <v>0</v>
      </c>
      <c r="J7" s="392">
        <f>SUM(B7:D7)-E7</f>
        <v>0</v>
      </c>
    </row>
    <row r="8" spans="1:13" ht="21.75" customHeight="1" thickBot="1" x14ac:dyDescent="0.3">
      <c r="A8" s="14" t="s">
        <v>161</v>
      </c>
      <c r="B8" s="22"/>
      <c r="C8" s="22"/>
      <c r="D8" s="22"/>
      <c r="E8" s="15">
        <f t="shared" ref="E8:E12" si="0">SUM(B8:D8)</f>
        <v>0</v>
      </c>
      <c r="J8" s="392">
        <f t="shared" ref="J8:J12" si="1">SUM(B8:D8)-E8</f>
        <v>0</v>
      </c>
    </row>
    <row r="9" spans="1:13" ht="21.75" customHeight="1" thickBot="1" x14ac:dyDescent="0.3">
      <c r="A9" s="14" t="s">
        <v>162</v>
      </c>
      <c r="B9" s="22"/>
      <c r="C9" s="22"/>
      <c r="D9" s="22"/>
      <c r="E9" s="15">
        <f t="shared" si="0"/>
        <v>0</v>
      </c>
      <c r="J9" s="392">
        <f t="shared" si="1"/>
        <v>0</v>
      </c>
    </row>
    <row r="10" spans="1:13" ht="21.75" customHeight="1" thickBot="1" x14ac:dyDescent="0.3">
      <c r="A10" s="14" t="s">
        <v>163</v>
      </c>
      <c r="B10" s="22"/>
      <c r="C10" s="22"/>
      <c r="D10" s="22"/>
      <c r="E10" s="15">
        <f t="shared" si="0"/>
        <v>0</v>
      </c>
      <c r="J10" s="392">
        <f t="shared" si="1"/>
        <v>0</v>
      </c>
    </row>
    <row r="11" spans="1:13" ht="21.75" customHeight="1" thickBot="1" x14ac:dyDescent="0.3">
      <c r="A11" s="14" t="s">
        <v>164</v>
      </c>
      <c r="B11" s="22"/>
      <c r="C11" s="22"/>
      <c r="D11" s="22"/>
      <c r="E11" s="15">
        <f t="shared" si="0"/>
        <v>0</v>
      </c>
      <c r="J11" s="392">
        <f t="shared" si="1"/>
        <v>0</v>
      </c>
    </row>
    <row r="12" spans="1:13" ht="21.75" customHeight="1" thickBot="1" x14ac:dyDescent="0.3">
      <c r="A12" s="14" t="s">
        <v>165</v>
      </c>
      <c r="B12" s="22"/>
      <c r="C12" s="22"/>
      <c r="D12" s="22"/>
      <c r="E12" s="15">
        <f t="shared" si="0"/>
        <v>0</v>
      </c>
      <c r="J12" s="392">
        <f t="shared" si="1"/>
        <v>0</v>
      </c>
    </row>
    <row r="13" spans="1:13" ht="21.75" customHeight="1" thickBot="1" x14ac:dyDescent="0.3">
      <c r="A13" s="25" t="s">
        <v>166</v>
      </c>
      <c r="B13" s="58">
        <f>SUM(B7:B12)</f>
        <v>0</v>
      </c>
      <c r="C13" s="58">
        <f t="shared" ref="C13:E13" si="2">SUM(C7:C12)</f>
        <v>0</v>
      </c>
      <c r="D13" s="58">
        <f t="shared" si="2"/>
        <v>0</v>
      </c>
      <c r="E13" s="60">
        <f t="shared" si="2"/>
        <v>0</v>
      </c>
      <c r="G13" s="389">
        <f>SUM(B7:B12)-B13</f>
        <v>0</v>
      </c>
      <c r="H13" s="388">
        <f t="shared" ref="H13:J13" si="3">SUM(C7:C12)-C13</f>
        <v>0</v>
      </c>
      <c r="I13" s="388">
        <f t="shared" si="3"/>
        <v>0</v>
      </c>
      <c r="J13" s="392">
        <f t="shared" si="3"/>
        <v>0</v>
      </c>
      <c r="L13" s="400">
        <f>E13-SUM(BS!$D$68:$D$69)</f>
        <v>0</v>
      </c>
    </row>
    <row r="14" spans="1:13" ht="15.75" thickTop="1" x14ac:dyDescent="0.25"/>
  </sheetData>
  <mergeCells count="12">
    <mergeCell ref="G1:J1"/>
    <mergeCell ref="L5:L6"/>
    <mergeCell ref="A4:A6"/>
    <mergeCell ref="B4:E4"/>
    <mergeCell ref="B5:B6"/>
    <mergeCell ref="C5:C6"/>
    <mergeCell ref="D5:D6"/>
    <mergeCell ref="E5:E6"/>
    <mergeCell ref="G5:G6"/>
    <mergeCell ref="H5:H6"/>
    <mergeCell ref="I5:I6"/>
    <mergeCell ref="J5:J6"/>
  </mergeCells>
  <conditionalFormatting sqref="L1:M1">
    <cfRule type="cellIs" priority="5" stopIfTrue="1" operator="greaterThan">
      <formula>0</formula>
    </cfRule>
  </conditionalFormatting>
  <conditionalFormatting sqref="G7:L13">
    <cfRule type="cellIs" dxfId="77" priority="3" operator="lessThan">
      <formula>0</formula>
    </cfRule>
    <cfRule type="cellIs" dxfId="76" priority="4" operator="greaterThan">
      <formula>0</formula>
    </cfRule>
  </conditionalFormatting>
  <conditionalFormatting sqref="J13">
    <cfRule type="cellIs" dxfId="75" priority="1" operator="lessThan">
      <formula>0</formula>
    </cfRule>
    <cfRule type="cellIs" dxfId="74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O10"/>
  <sheetViews>
    <sheetView showGridLines="0" topLeftCell="C1" zoomScaleNormal="100" workbookViewId="0">
      <selection activeCell="O6" sqref="O6"/>
    </sheetView>
  </sheetViews>
  <sheetFormatPr defaultRowHeight="15" outlineLevelCol="1" x14ac:dyDescent="0.25"/>
  <cols>
    <col min="1" max="1" width="21.42578125" customWidth="1"/>
    <col min="2" max="6" width="13" customWidth="1"/>
    <col min="9" max="9" width="23.140625" style="386" hidden="1" customWidth="1" outlineLevel="1"/>
    <col min="10" max="11" width="23.140625" style="387" hidden="1" customWidth="1" outlineLevel="1"/>
    <col min="12" max="12" width="20.140625" style="387" hidden="1" customWidth="1" outlineLevel="1"/>
    <col min="13" max="13" width="24.85546875" style="391" customWidth="1" collapsed="1"/>
    <col min="14" max="14" width="9.140625" style="387"/>
    <col min="15" max="15" width="20.42578125" style="393" customWidth="1"/>
  </cols>
  <sheetData>
    <row r="1" spans="1:15" ht="17.25" thickBot="1" x14ac:dyDescent="0.35">
      <c r="A1" s="1" t="s">
        <v>167</v>
      </c>
      <c r="I1" s="1437" t="s">
        <v>1138</v>
      </c>
      <c r="J1" s="1438"/>
      <c r="K1" s="1438"/>
      <c r="L1" s="1438"/>
      <c r="M1" s="1439"/>
      <c r="N1" s="391"/>
      <c r="O1" s="399" t="s">
        <v>1140</v>
      </c>
    </row>
    <row r="2" spans="1:15" ht="55.5" customHeight="1" thickTop="1" thickBot="1" x14ac:dyDescent="0.3">
      <c r="A2" s="59" t="s">
        <v>168</v>
      </c>
      <c r="B2" s="59" t="s">
        <v>169</v>
      </c>
      <c r="C2" s="59" t="s">
        <v>170</v>
      </c>
      <c r="D2" s="59" t="s">
        <v>88</v>
      </c>
      <c r="E2" s="59" t="s">
        <v>457</v>
      </c>
      <c r="F2" s="59" t="s">
        <v>171</v>
      </c>
      <c r="I2" s="59" t="s">
        <v>169</v>
      </c>
      <c r="J2" s="59" t="s">
        <v>170</v>
      </c>
      <c r="K2" s="59" t="s">
        <v>88</v>
      </c>
      <c r="L2" s="176" t="s">
        <v>457</v>
      </c>
      <c r="M2" s="59" t="s">
        <v>171</v>
      </c>
      <c r="N2" s="402"/>
      <c r="O2" s="59" t="s">
        <v>171</v>
      </c>
    </row>
    <row r="3" spans="1:15" ht="23.25" customHeight="1" thickTop="1" thickBot="1" x14ac:dyDescent="0.3">
      <c r="A3" s="71" t="s">
        <v>164</v>
      </c>
      <c r="B3" s="79"/>
      <c r="C3" s="79"/>
      <c r="D3" s="79"/>
      <c r="E3" s="79"/>
      <c r="F3" s="80">
        <f>SUM(B3:E3)</f>
        <v>0</v>
      </c>
      <c r="M3" s="392">
        <f>SUM(B3:E3)-F3</f>
        <v>0</v>
      </c>
      <c r="N3" s="392"/>
    </row>
    <row r="4" spans="1:15" ht="23.25" customHeight="1" thickBot="1" x14ac:dyDescent="0.3">
      <c r="A4" s="14" t="s">
        <v>165</v>
      </c>
      <c r="B4" s="79"/>
      <c r="C4" s="79"/>
      <c r="D4" s="79"/>
      <c r="E4" s="79"/>
      <c r="F4" s="80">
        <f t="shared" ref="F4:F5" si="0">SUM(B4:E4)</f>
        <v>0</v>
      </c>
      <c r="M4" s="392">
        <f>SUM(B4:E4)-F4</f>
        <v>0</v>
      </c>
      <c r="N4" s="392"/>
    </row>
    <row r="5" spans="1:15" ht="23.25" customHeight="1" thickBot="1" x14ac:dyDescent="0.3">
      <c r="A5" s="25" t="s">
        <v>166</v>
      </c>
      <c r="B5" s="81">
        <f>SUM(B3:B4)</f>
        <v>0</v>
      </c>
      <c r="C5" s="81">
        <f>SUM(C3:C4)</f>
        <v>0</v>
      </c>
      <c r="D5" s="81">
        <f>SUM(D3:D4)</f>
        <v>0</v>
      </c>
      <c r="E5" s="81">
        <f>SUM(E3:E4)</f>
        <v>0</v>
      </c>
      <c r="F5" s="82">
        <f t="shared" si="0"/>
        <v>0</v>
      </c>
      <c r="I5" s="389">
        <f>SUM(B3:B4)-B5</f>
        <v>0</v>
      </c>
      <c r="J5" s="388">
        <f>SUM(C3:C4)-C5</f>
        <v>0</v>
      </c>
      <c r="K5" s="388">
        <f>SUM(D3:D4)-D5</f>
        <v>0</v>
      </c>
      <c r="L5" s="388">
        <f>SUM(E3:E4)-E5</f>
        <v>0</v>
      </c>
      <c r="M5" s="392">
        <f>SUM(F3:F4)-F5</f>
        <v>0</v>
      </c>
      <c r="N5" s="392"/>
      <c r="O5" s="400">
        <f>F5-SUM(BS!E68:E69)</f>
        <v>0</v>
      </c>
    </row>
    <row r="6" spans="1:15" ht="15.75" thickTop="1" x14ac:dyDescent="0.25">
      <c r="M6" s="392"/>
      <c r="N6" s="392"/>
    </row>
    <row r="7" spans="1:15" x14ac:dyDescent="0.25">
      <c r="M7" s="392"/>
      <c r="N7" s="392"/>
    </row>
    <row r="8" spans="1:15" x14ac:dyDescent="0.25">
      <c r="M8" s="392"/>
      <c r="N8" s="392"/>
    </row>
    <row r="10" spans="1:15" x14ac:dyDescent="0.25">
      <c r="B10" s="20"/>
    </row>
  </sheetData>
  <mergeCells count="1">
    <mergeCell ref="I1:M1"/>
  </mergeCells>
  <conditionalFormatting sqref="O1">
    <cfRule type="cellIs" priority="3" stopIfTrue="1" operator="greaterThan">
      <formula>0</formula>
    </cfRule>
  </conditionalFormatting>
  <conditionalFormatting sqref="I3:K8 L5 O3:O8 M3:N9">
    <cfRule type="cellIs" dxfId="73" priority="1" operator="lessThan">
      <formula>0</formula>
    </cfRule>
    <cfRule type="cellIs" dxfId="7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B5"/>
  <sheetViews>
    <sheetView showGridLines="0" zoomScaleNormal="100" workbookViewId="0">
      <selection activeCell="C11" sqref="C11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174</v>
      </c>
    </row>
    <row r="2" spans="1:2" ht="16.5" thickTop="1" thickBot="1" x14ac:dyDescent="0.3">
      <c r="A2" s="75" t="s">
        <v>131</v>
      </c>
      <c r="B2" s="76" t="s">
        <v>36</v>
      </c>
    </row>
    <row r="3" spans="1:2" ht="24" thickTop="1" thickBot="1" x14ac:dyDescent="0.3">
      <c r="A3" s="12" t="s">
        <v>172</v>
      </c>
      <c r="B3" s="77"/>
    </row>
    <row r="4" spans="1:2" ht="23.25" thickBot="1" x14ac:dyDescent="0.3">
      <c r="A4" s="16" t="s">
        <v>173</v>
      </c>
      <c r="B4" s="78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D8"/>
  <sheetViews>
    <sheetView showGridLines="0" zoomScaleNormal="100" workbookViewId="0">
      <selection activeCell="A3" sqref="A3:A7"/>
    </sheetView>
  </sheetViews>
  <sheetFormatPr defaultRowHeight="15" x14ac:dyDescent="0.25"/>
  <cols>
    <col min="1" max="1" width="26.140625" customWidth="1"/>
    <col min="2" max="4" width="20.140625" customWidth="1"/>
  </cols>
  <sheetData>
    <row r="1" spans="1:4" ht="17.25" thickBot="1" x14ac:dyDescent="0.35">
      <c r="A1" s="1" t="s">
        <v>175</v>
      </c>
    </row>
    <row r="2" spans="1:4" ht="44.25" customHeight="1" thickTop="1" thickBot="1" x14ac:dyDescent="0.3">
      <c r="A2" s="84" t="s">
        <v>168</v>
      </c>
      <c r="B2" s="640" t="s">
        <v>462</v>
      </c>
      <c r="C2" s="640" t="s">
        <v>463</v>
      </c>
      <c r="D2" s="640" t="s">
        <v>464</v>
      </c>
    </row>
    <row r="3" spans="1:4" ht="16.5" thickTop="1" thickBot="1" x14ac:dyDescent="0.3">
      <c r="A3" s="71" t="s">
        <v>160</v>
      </c>
      <c r="B3" s="79"/>
      <c r="C3" s="79"/>
      <c r="D3" s="80"/>
    </row>
    <row r="4" spans="1:4" ht="15.75" thickBot="1" x14ac:dyDescent="0.3">
      <c r="A4" s="71" t="s">
        <v>161</v>
      </c>
      <c r="B4" s="79"/>
      <c r="C4" s="79"/>
      <c r="D4" s="80"/>
    </row>
    <row r="5" spans="1:4" ht="15.75" thickBot="1" x14ac:dyDescent="0.3">
      <c r="A5" s="71" t="s">
        <v>176</v>
      </c>
      <c r="B5" s="79"/>
      <c r="C5" s="79"/>
      <c r="D5" s="80"/>
    </row>
    <row r="6" spans="1:4" ht="15.75" thickBot="1" x14ac:dyDescent="0.3">
      <c r="A6" s="71" t="s">
        <v>164</v>
      </c>
      <c r="B6" s="79"/>
      <c r="C6" s="79"/>
      <c r="D6" s="80"/>
    </row>
    <row r="7" spans="1:4" ht="26.25" customHeight="1" thickBot="1" x14ac:dyDescent="0.3">
      <c r="A7" s="86" t="s">
        <v>166</v>
      </c>
      <c r="B7" s="85"/>
      <c r="C7" s="85"/>
      <c r="D7" s="78"/>
    </row>
    <row r="8" spans="1:4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I15"/>
  <sheetViews>
    <sheetView showGridLines="0" topLeftCell="C1" zoomScaleNormal="100" workbookViewId="0">
      <selection activeCell="H3" sqref="H3:I12"/>
    </sheetView>
  </sheetViews>
  <sheetFormatPr defaultRowHeight="15" x14ac:dyDescent="0.25"/>
  <cols>
    <col min="1" max="1" width="35.42578125" customWidth="1"/>
    <col min="2" max="3" width="25.5703125" customWidth="1"/>
    <col min="4" max="4" width="22.28515625" customWidth="1"/>
    <col min="5" max="5" width="34.7109375" style="386" customWidth="1"/>
    <col min="6" max="6" width="41.28515625" style="391" customWidth="1"/>
    <col min="8" max="8" width="26.7109375" style="386" customWidth="1"/>
    <col min="9" max="9" width="26.7109375" style="391" customWidth="1"/>
  </cols>
  <sheetData>
    <row r="1" spans="1:9" ht="17.25" thickBot="1" x14ac:dyDescent="0.35">
      <c r="A1" s="1" t="s">
        <v>177</v>
      </c>
      <c r="E1" s="1437" t="s">
        <v>1138</v>
      </c>
      <c r="F1" s="1439"/>
      <c r="G1" s="396"/>
      <c r="H1" s="1431" t="s">
        <v>1140</v>
      </c>
      <c r="I1" s="1433"/>
    </row>
    <row r="2" spans="1:9" ht="35.25" thickTop="1" thickBot="1" x14ac:dyDescent="0.3">
      <c r="A2" s="84" t="s">
        <v>178</v>
      </c>
      <c r="B2" s="640" t="s">
        <v>2</v>
      </c>
      <c r="C2" s="640" t="s">
        <v>3</v>
      </c>
      <c r="E2" s="59" t="s">
        <v>2</v>
      </c>
      <c r="F2" s="59" t="s">
        <v>3</v>
      </c>
      <c r="H2" s="59" t="s">
        <v>2</v>
      </c>
      <c r="I2" s="59" t="s">
        <v>3</v>
      </c>
    </row>
    <row r="3" spans="1:9" ht="24" thickTop="1" thickBot="1" x14ac:dyDescent="0.3">
      <c r="A3" s="25" t="s">
        <v>179</v>
      </c>
      <c r="B3" s="403">
        <f>SUM(B4:B5)</f>
        <v>0</v>
      </c>
      <c r="C3" s="143">
        <f>SUM(C4:C5)</f>
        <v>0</v>
      </c>
      <c r="E3" s="389">
        <f>SUM(B4:B5)-B3</f>
        <v>0</v>
      </c>
      <c r="F3" s="392">
        <f>SUM(C4:C5)-C3</f>
        <v>0</v>
      </c>
      <c r="H3" s="389">
        <f>B3-BS!$D$71</f>
        <v>0</v>
      </c>
      <c r="I3" s="406">
        <f>C3-BS!$G$71</f>
        <v>0</v>
      </c>
    </row>
    <row r="4" spans="1:9" ht="16.5" thickTop="1" thickBot="1" x14ac:dyDescent="0.3">
      <c r="A4" s="14"/>
      <c r="B4" s="404"/>
      <c r="C4" s="80"/>
    </row>
    <row r="5" spans="1:9" ht="15.75" thickBot="1" x14ac:dyDescent="0.3">
      <c r="A5" s="16"/>
      <c r="B5" s="405"/>
      <c r="C5" s="78"/>
    </row>
    <row r="6" spans="1:9" ht="24" thickTop="1" thickBot="1" x14ac:dyDescent="0.3">
      <c r="A6" s="25" t="s">
        <v>180</v>
      </c>
      <c r="B6" s="405">
        <f>SUM(B7:B8)</f>
        <v>0</v>
      </c>
      <c r="C6" s="143">
        <f>SUM(C7:C8)</f>
        <v>0</v>
      </c>
      <c r="E6" s="389">
        <f>SUM(B7:B8)-B6</f>
        <v>0</v>
      </c>
      <c r="F6" s="392">
        <f>SUM(C7:C8)-C6</f>
        <v>0</v>
      </c>
      <c r="H6" s="389">
        <f>B6-BS!$D$72</f>
        <v>-2033</v>
      </c>
      <c r="I6" s="392">
        <f>C6-BS!$G$72</f>
        <v>-766</v>
      </c>
    </row>
    <row r="7" spans="1:9" ht="16.5" thickTop="1" thickBot="1" x14ac:dyDescent="0.3">
      <c r="A7" s="14"/>
      <c r="B7" s="404"/>
      <c r="C7" s="80"/>
    </row>
    <row r="8" spans="1:9" ht="15.75" thickBot="1" x14ac:dyDescent="0.3">
      <c r="A8" s="16"/>
      <c r="B8" s="405"/>
      <c r="C8" s="78"/>
    </row>
    <row r="9" spans="1:9" ht="24" customHeight="1" thickTop="1" thickBot="1" x14ac:dyDescent="0.3">
      <c r="A9" s="25" t="s">
        <v>181</v>
      </c>
      <c r="B9" s="405">
        <f>SUM(B10:B11)</f>
        <v>0</v>
      </c>
      <c r="C9" s="143">
        <f>SUM(C10:C11)</f>
        <v>0</v>
      </c>
      <c r="E9" s="389">
        <f>SUM(B10:B11)-B9</f>
        <v>0</v>
      </c>
      <c r="F9" s="392">
        <f>SUM(C10:C11)-C9</f>
        <v>0</v>
      </c>
      <c r="H9" s="389">
        <f>B9-BS!$D$73</f>
        <v>0</v>
      </c>
      <c r="I9" s="392">
        <f>C9-BS!$G$73</f>
        <v>0</v>
      </c>
    </row>
    <row r="10" spans="1:9" ht="16.5" thickTop="1" thickBot="1" x14ac:dyDescent="0.3">
      <c r="A10" s="14"/>
      <c r="B10" s="404"/>
      <c r="C10" s="80"/>
    </row>
    <row r="11" spans="1:9" ht="15.75" thickBot="1" x14ac:dyDescent="0.3">
      <c r="A11" s="16"/>
      <c r="B11" s="405"/>
      <c r="C11" s="78"/>
    </row>
    <row r="12" spans="1:9" ht="24" thickTop="1" thickBot="1" x14ac:dyDescent="0.3">
      <c r="A12" s="25" t="s">
        <v>182</v>
      </c>
      <c r="B12" s="405">
        <f>SUM(B13:B14)</f>
        <v>0</v>
      </c>
      <c r="C12" s="143">
        <f>SUM(C13:C14)</f>
        <v>0</v>
      </c>
      <c r="E12" s="389">
        <f>SUM(B13:B14)-B12</f>
        <v>0</v>
      </c>
      <c r="F12" s="392">
        <f>SUM(C13:C14)-C12</f>
        <v>0</v>
      </c>
      <c r="H12" s="389">
        <f>B12-BS!$D$74</f>
        <v>-1989</v>
      </c>
      <c r="I12" s="392">
        <f>C12-BS!$G$74</f>
        <v>-19171</v>
      </c>
    </row>
    <row r="13" spans="1:9" ht="16.5" thickTop="1" thickBot="1" x14ac:dyDescent="0.3">
      <c r="A13" s="14"/>
      <c r="B13" s="404"/>
      <c r="C13" s="80"/>
    </row>
    <row r="14" spans="1:9" ht="15.75" thickBot="1" x14ac:dyDescent="0.3">
      <c r="A14" s="16"/>
      <c r="B14" s="405"/>
      <c r="C14" s="78"/>
    </row>
    <row r="15" spans="1:9" ht="15.75" thickTop="1" x14ac:dyDescent="0.25"/>
  </sheetData>
  <mergeCells count="2">
    <mergeCell ref="E1:F1"/>
    <mergeCell ref="H1:I1"/>
  </mergeCells>
  <conditionalFormatting sqref="H1">
    <cfRule type="cellIs" priority="5" stopIfTrue="1" operator="greaterThan">
      <formula>0</formula>
    </cfRule>
  </conditionalFormatting>
  <conditionalFormatting sqref="E3:F12">
    <cfRule type="cellIs" dxfId="71" priority="3" operator="lessThan">
      <formula>0</formula>
    </cfRule>
    <cfRule type="cellIs" dxfId="70" priority="4" operator="greaterThan">
      <formula>0</formula>
    </cfRule>
  </conditionalFormatting>
  <conditionalFormatting sqref="H3:I12">
    <cfRule type="cellIs" dxfId="69" priority="1" operator="lessThan">
      <formula>0</formula>
    </cfRule>
    <cfRule type="cellIs" dxfId="68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O8"/>
  <sheetViews>
    <sheetView showGridLines="0" zoomScaleNormal="100" workbookViewId="0">
      <selection activeCell="O7" sqref="J2:O7"/>
    </sheetView>
  </sheetViews>
  <sheetFormatPr defaultRowHeight="15" x14ac:dyDescent="0.25"/>
  <cols>
    <col min="1" max="1" width="14.42578125" customWidth="1"/>
    <col min="2" max="7" width="12" customWidth="1"/>
    <col min="10" max="10" width="9.140625" style="386"/>
    <col min="11" max="14" width="9.140625" style="387"/>
    <col min="15" max="15" width="9.140625" style="391"/>
  </cols>
  <sheetData>
    <row r="1" spans="1:15" ht="17.25" thickBot="1" x14ac:dyDescent="0.35">
      <c r="A1" s="1" t="s">
        <v>183</v>
      </c>
      <c r="J1" s="1437" t="s">
        <v>1138</v>
      </c>
      <c r="K1" s="1438"/>
      <c r="L1" s="1438"/>
      <c r="M1" s="1438"/>
      <c r="N1" s="1438"/>
      <c r="O1" s="1439"/>
    </row>
    <row r="2" spans="1:15" ht="49.5" customHeight="1" thickTop="1" thickBot="1" x14ac:dyDescent="0.3">
      <c r="A2" s="1442" t="s">
        <v>1</v>
      </c>
      <c r="B2" s="1363" t="s">
        <v>2</v>
      </c>
      <c r="C2" s="1364"/>
      <c r="D2" s="1365"/>
      <c r="E2" s="1366" t="s">
        <v>492</v>
      </c>
      <c r="F2" s="1367"/>
      <c r="G2" s="1368"/>
      <c r="J2" s="1363" t="s">
        <v>2</v>
      </c>
      <c r="K2" s="1364"/>
      <c r="L2" s="1365"/>
      <c r="M2" s="1366" t="s">
        <v>492</v>
      </c>
      <c r="N2" s="1367"/>
      <c r="O2" s="1368"/>
    </row>
    <row r="3" spans="1:15" ht="16.5" thickTop="1" thickBot="1" x14ac:dyDescent="0.3">
      <c r="A3" s="1443"/>
      <c r="B3" s="1363" t="s">
        <v>184</v>
      </c>
      <c r="C3" s="1364"/>
      <c r="D3" s="1365"/>
      <c r="E3" s="1363" t="s">
        <v>184</v>
      </c>
      <c r="F3" s="1364"/>
      <c r="G3" s="1365"/>
      <c r="J3" s="1363" t="s">
        <v>184</v>
      </c>
      <c r="K3" s="1364"/>
      <c r="L3" s="1365"/>
      <c r="M3" s="1363" t="s">
        <v>184</v>
      </c>
      <c r="N3" s="1364"/>
      <c r="O3" s="1365"/>
    </row>
    <row r="4" spans="1:15" s="4" customFormat="1" ht="45" customHeight="1" thickTop="1" thickBot="1" x14ac:dyDescent="0.3">
      <c r="A4" s="1444"/>
      <c r="B4" s="21" t="s">
        <v>185</v>
      </c>
      <c r="C4" s="21" t="s">
        <v>186</v>
      </c>
      <c r="D4" s="21" t="s">
        <v>187</v>
      </c>
      <c r="E4" s="21" t="s">
        <v>185</v>
      </c>
      <c r="F4" s="21" t="s">
        <v>186</v>
      </c>
      <c r="G4" s="21" t="s">
        <v>187</v>
      </c>
      <c r="J4" s="59" t="s">
        <v>185</v>
      </c>
      <c r="K4" s="21" t="s">
        <v>186</v>
      </c>
      <c r="L4" s="21" t="s">
        <v>187</v>
      </c>
      <c r="M4" s="21" t="s">
        <v>185</v>
      </c>
      <c r="N4" s="21" t="s">
        <v>186</v>
      </c>
      <c r="O4" s="21" t="s">
        <v>187</v>
      </c>
    </row>
    <row r="5" spans="1:15" ht="16.5" thickTop="1" thickBot="1" x14ac:dyDescent="0.3">
      <c r="A5" s="71" t="s">
        <v>188</v>
      </c>
      <c r="B5" s="79"/>
      <c r="C5" s="79"/>
      <c r="D5" s="79"/>
      <c r="E5" s="79"/>
      <c r="F5" s="79"/>
      <c r="G5" s="80"/>
    </row>
    <row r="6" spans="1:15" ht="15.75" thickBot="1" x14ac:dyDescent="0.3">
      <c r="A6" s="71" t="s">
        <v>189</v>
      </c>
      <c r="B6" s="79"/>
      <c r="C6" s="79"/>
      <c r="D6" s="79"/>
      <c r="E6" s="79"/>
      <c r="F6" s="79"/>
      <c r="G6" s="80"/>
    </row>
    <row r="7" spans="1:15" ht="15.75" thickBot="1" x14ac:dyDescent="0.3">
      <c r="A7" s="72" t="s">
        <v>14</v>
      </c>
      <c r="B7" s="85">
        <f>B5+B6</f>
        <v>0</v>
      </c>
      <c r="C7" s="85">
        <f t="shared" ref="C7:G7" si="0">C5+C6</f>
        <v>0</v>
      </c>
      <c r="D7" s="85">
        <f t="shared" si="0"/>
        <v>0</v>
      </c>
      <c r="E7" s="85">
        <f t="shared" si="0"/>
        <v>0</v>
      </c>
      <c r="F7" s="85">
        <f t="shared" si="0"/>
        <v>0</v>
      </c>
      <c r="G7" s="78">
        <f t="shared" si="0"/>
        <v>0</v>
      </c>
      <c r="J7" s="389">
        <f>SUM(B5:B6)-B7</f>
        <v>0</v>
      </c>
      <c r="K7" s="388">
        <f t="shared" ref="K7:O7" si="1">SUM(C5:C6)-C7</f>
        <v>0</v>
      </c>
      <c r="L7" s="388">
        <f t="shared" si="1"/>
        <v>0</v>
      </c>
      <c r="M7" s="388">
        <f t="shared" si="1"/>
        <v>0</v>
      </c>
      <c r="N7" s="388">
        <f t="shared" si="1"/>
        <v>0</v>
      </c>
      <c r="O7" s="392">
        <f t="shared" si="1"/>
        <v>0</v>
      </c>
    </row>
    <row r="8" spans="1:15" ht="15.75" thickTop="1" x14ac:dyDescent="0.25"/>
  </sheetData>
  <mergeCells count="10">
    <mergeCell ref="J2:L2"/>
    <mergeCell ref="M2:O2"/>
    <mergeCell ref="J3:L3"/>
    <mergeCell ref="M3:O3"/>
    <mergeCell ref="J1:O1"/>
    <mergeCell ref="B2:D2"/>
    <mergeCell ref="E2:G2"/>
    <mergeCell ref="B3:D3"/>
    <mergeCell ref="E3:G3"/>
    <mergeCell ref="A2:A4"/>
  </mergeCells>
  <conditionalFormatting sqref="J5:O7">
    <cfRule type="cellIs" dxfId="67" priority="3" operator="lessThan">
      <formula>0</formula>
    </cfRule>
    <cfRule type="cellIs" dxfId="66" priority="4" operator="greaterThan">
      <formula>0</formula>
    </cfRule>
  </conditionalFormatting>
  <conditionalFormatting sqref="J7:O7">
    <cfRule type="cellIs" dxfId="65" priority="1" operator="lessThan">
      <formula>0</formula>
    </cfRule>
    <cfRule type="cellIs" dxfId="64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H27"/>
  <sheetViews>
    <sheetView showGridLines="0" zoomScaleNormal="100" workbookViewId="0">
      <selection activeCell="C23" sqref="C23"/>
    </sheetView>
  </sheetViews>
  <sheetFormatPr defaultRowHeight="15" x14ac:dyDescent="0.25"/>
  <cols>
    <col min="1" max="1" width="41" customWidth="1"/>
    <col min="2" max="2" width="45.42578125" customWidth="1"/>
    <col min="3" max="3" width="15.7109375" customWidth="1"/>
    <col min="4" max="4" width="41" style="393" customWidth="1"/>
    <col min="5" max="5" width="14.42578125" customWidth="1"/>
    <col min="6" max="6" width="11.42578125" customWidth="1"/>
  </cols>
  <sheetData>
    <row r="1" spans="1:8" ht="49.5" x14ac:dyDescent="0.3">
      <c r="A1" s="3" t="s">
        <v>190</v>
      </c>
      <c r="D1" s="401" t="s">
        <v>1138</v>
      </c>
      <c r="E1" s="396"/>
      <c r="F1" s="396"/>
      <c r="G1" s="396"/>
      <c r="H1" s="396"/>
    </row>
    <row r="2" spans="1:8" ht="15.75" thickBot="1" x14ac:dyDescent="0.3">
      <c r="A2" s="20" t="s">
        <v>8</v>
      </c>
      <c r="B2" s="20"/>
    </row>
    <row r="3" spans="1:8" ht="18.75" customHeight="1" thickTop="1" thickBot="1" x14ac:dyDescent="0.3">
      <c r="A3" s="84" t="s">
        <v>131</v>
      </c>
      <c r="B3" s="51" t="s">
        <v>3</v>
      </c>
      <c r="D3" s="84" t="s">
        <v>3</v>
      </c>
    </row>
    <row r="4" spans="1:8" ht="18.75" customHeight="1" thickTop="1" thickBot="1" x14ac:dyDescent="0.3">
      <c r="A4" s="72" t="s">
        <v>191</v>
      </c>
      <c r="B4" s="89"/>
    </row>
    <row r="5" spans="1:8" ht="18.75" customHeight="1" thickTop="1" thickBot="1" x14ac:dyDescent="0.3">
      <c r="A5" s="72" t="s">
        <v>192</v>
      </c>
      <c r="B5" s="88" t="s">
        <v>2</v>
      </c>
    </row>
    <row r="6" spans="1:8" ht="18.75" customHeight="1" thickTop="1" thickBot="1" x14ac:dyDescent="0.3">
      <c r="A6" s="71" t="s">
        <v>193</v>
      </c>
      <c r="B6" s="80"/>
    </row>
    <row r="7" spans="1:8" ht="18.75" customHeight="1" thickBot="1" x14ac:dyDescent="0.3">
      <c r="A7" s="71" t="s">
        <v>194</v>
      </c>
      <c r="B7" s="80"/>
    </row>
    <row r="8" spans="1:8" ht="18.75" customHeight="1" thickBot="1" x14ac:dyDescent="0.3">
      <c r="A8" s="71" t="s">
        <v>195</v>
      </c>
      <c r="B8" s="80"/>
    </row>
    <row r="9" spans="1:8" ht="18.75" customHeight="1" thickBot="1" x14ac:dyDescent="0.3">
      <c r="A9" s="71" t="s">
        <v>196</v>
      </c>
      <c r="B9" s="80"/>
    </row>
    <row r="10" spans="1:8" ht="18.75" customHeight="1" thickBot="1" x14ac:dyDescent="0.3">
      <c r="A10" s="71" t="s">
        <v>197</v>
      </c>
      <c r="B10" s="80"/>
    </row>
    <row r="11" spans="1:8" ht="18.75" customHeight="1" thickBot="1" x14ac:dyDescent="0.3">
      <c r="A11" s="71" t="s">
        <v>198</v>
      </c>
      <c r="B11" s="80"/>
    </row>
    <row r="12" spans="1:8" ht="18.75" customHeight="1" thickBot="1" x14ac:dyDescent="0.3">
      <c r="A12" s="71" t="s">
        <v>199</v>
      </c>
      <c r="B12" s="80"/>
    </row>
    <row r="13" spans="1:8" ht="18.75" customHeight="1" thickBot="1" x14ac:dyDescent="0.3">
      <c r="A13" s="71" t="s">
        <v>200</v>
      </c>
      <c r="B13" s="80"/>
    </row>
    <row r="14" spans="1:8" ht="18.75" customHeight="1" thickBot="1" x14ac:dyDescent="0.3">
      <c r="A14" s="72" t="s">
        <v>14</v>
      </c>
      <c r="B14" s="78">
        <f>SUM(B6:B13)</f>
        <v>0</v>
      </c>
      <c r="D14" s="400">
        <f>SUM(B6:B13)-B14</f>
        <v>0</v>
      </c>
    </row>
    <row r="15" spans="1:8" ht="18.75" customHeight="1" thickTop="1" x14ac:dyDescent="0.25">
      <c r="A15" s="20"/>
      <c r="B15" s="20"/>
    </row>
    <row r="16" spans="1:8" ht="18.75" customHeight="1" thickBot="1" x14ac:dyDescent="0.3">
      <c r="A16" s="20" t="s">
        <v>15</v>
      </c>
      <c r="B16" s="20"/>
    </row>
    <row r="17" spans="1:4" ht="18.75" customHeight="1" thickTop="1" thickBot="1" x14ac:dyDescent="0.3">
      <c r="A17" s="84" t="s">
        <v>131</v>
      </c>
      <c r="B17" s="51" t="s">
        <v>3</v>
      </c>
    </row>
    <row r="18" spans="1:4" ht="18.75" customHeight="1" thickTop="1" thickBot="1" x14ac:dyDescent="0.3">
      <c r="A18" s="72" t="s">
        <v>201</v>
      </c>
      <c r="B18" s="89"/>
    </row>
    <row r="19" spans="1:4" ht="18.75" customHeight="1" thickTop="1" thickBot="1" x14ac:dyDescent="0.3">
      <c r="A19" s="72" t="s">
        <v>202</v>
      </c>
      <c r="B19" s="88" t="s">
        <v>2</v>
      </c>
    </row>
    <row r="20" spans="1:4" ht="18.75" customHeight="1" thickTop="1" thickBot="1" x14ac:dyDescent="0.3">
      <c r="A20" s="71" t="s">
        <v>203</v>
      </c>
      <c r="B20" s="80"/>
    </row>
    <row r="21" spans="1:4" ht="18.75" customHeight="1" thickBot="1" x14ac:dyDescent="0.3">
      <c r="A21" s="71" t="s">
        <v>204</v>
      </c>
      <c r="B21" s="80"/>
    </row>
    <row r="22" spans="1:4" ht="18.75" customHeight="1" thickBot="1" x14ac:dyDescent="0.3">
      <c r="A22" s="71" t="s">
        <v>205</v>
      </c>
      <c r="B22" s="80"/>
    </row>
    <row r="23" spans="1:4" ht="18.75" customHeight="1" thickBot="1" x14ac:dyDescent="0.3">
      <c r="A23" s="71" t="s">
        <v>206</v>
      </c>
      <c r="B23" s="80"/>
    </row>
    <row r="24" spans="1:4" ht="18.75" customHeight="1" thickBot="1" x14ac:dyDescent="0.3">
      <c r="A24" s="71" t="s">
        <v>207</v>
      </c>
      <c r="B24" s="80"/>
    </row>
    <row r="25" spans="1:4" ht="18.75" customHeight="1" thickBot="1" x14ac:dyDescent="0.3">
      <c r="A25" s="71" t="s">
        <v>200</v>
      </c>
      <c r="B25" s="80"/>
    </row>
    <row r="26" spans="1:4" ht="18.75" customHeight="1" thickBot="1" x14ac:dyDescent="0.3">
      <c r="A26" s="72" t="s">
        <v>208</v>
      </c>
      <c r="B26" s="78">
        <f>SUM(B20:B25)</f>
        <v>0</v>
      </c>
      <c r="D26" s="400">
        <f>SUM(B20:B25)-B26</f>
        <v>0</v>
      </c>
    </row>
    <row r="27" spans="1:4" ht="17.25" thickTop="1" x14ac:dyDescent="0.3">
      <c r="A27" s="1"/>
    </row>
  </sheetData>
  <conditionalFormatting sqref="D14:D26">
    <cfRule type="cellIs" dxfId="63" priority="2" operator="lessThan">
      <formula>0</formula>
    </cfRule>
    <cfRule type="cellIs" dxfId="62" priority="3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M45"/>
  <sheetViews>
    <sheetView showGridLines="0" workbookViewId="0">
      <selection activeCell="F12" sqref="F12"/>
    </sheetView>
  </sheetViews>
  <sheetFormatPr defaultRowHeight="11.25" x14ac:dyDescent="0.25"/>
  <cols>
    <col min="1" max="1" width="28.42578125" style="20" customWidth="1"/>
    <col min="2" max="6" width="11.5703125" style="20" customWidth="1"/>
    <col min="7" max="8" width="9.140625" style="20"/>
    <col min="9" max="9" width="20.140625" style="409" customWidth="1"/>
    <col min="10" max="10" width="9.140625" style="20" customWidth="1"/>
    <col min="11" max="11" width="26.85546875" style="409" customWidth="1"/>
    <col min="12" max="12" width="9.140625" style="20"/>
    <col min="13" max="13" width="31.28515625" style="409" customWidth="1"/>
    <col min="14" max="16384" width="9.140625" style="20"/>
  </cols>
  <sheetData>
    <row r="1" spans="1:13" ht="15" x14ac:dyDescent="0.25">
      <c r="I1" s="399" t="s">
        <v>1138</v>
      </c>
      <c r="K1" s="399" t="s">
        <v>1142</v>
      </c>
      <c r="M1" s="401" t="s">
        <v>1140</v>
      </c>
    </row>
    <row r="2" spans="1:13" ht="12" thickBot="1" x14ac:dyDescent="0.3"/>
    <row r="3" spans="1:13" ht="13.5" customHeight="1" thickTop="1" thickBot="1" x14ac:dyDescent="0.3">
      <c r="A3" s="1448" t="s">
        <v>465</v>
      </c>
      <c r="B3" s="1445" t="s">
        <v>2</v>
      </c>
      <c r="C3" s="1446"/>
      <c r="D3" s="1446"/>
      <c r="E3" s="1446"/>
      <c r="F3" s="1447"/>
    </row>
    <row r="4" spans="1:13" ht="46.5" thickTop="1" thickBot="1" x14ac:dyDescent="0.3">
      <c r="A4" s="1449"/>
      <c r="B4" s="92" t="s">
        <v>472</v>
      </c>
      <c r="C4" s="92" t="s">
        <v>27</v>
      </c>
      <c r="D4" s="92" t="s">
        <v>28</v>
      </c>
      <c r="E4" s="92" t="s">
        <v>29</v>
      </c>
      <c r="F4" s="21" t="s">
        <v>392</v>
      </c>
      <c r="I4" s="59" t="s">
        <v>392</v>
      </c>
      <c r="K4" s="59" t="s">
        <v>472</v>
      </c>
      <c r="M4" s="59" t="s">
        <v>392</v>
      </c>
    </row>
    <row r="5" spans="1:13" ht="22.5" customHeight="1" thickTop="1" thickBot="1" x14ac:dyDescent="0.3">
      <c r="A5" s="90" t="s">
        <v>393</v>
      </c>
      <c r="B5" s="93"/>
      <c r="C5" s="93"/>
      <c r="D5" s="93"/>
      <c r="E5" s="93"/>
      <c r="F5" s="94">
        <f>SUM(B5:E5)</f>
        <v>0</v>
      </c>
      <c r="I5" s="409">
        <f>SUM(B5:E5)-F5</f>
        <v>0</v>
      </c>
      <c r="K5" s="409">
        <f>B5-F27</f>
        <v>0</v>
      </c>
      <c r="M5" s="410">
        <f>F5-BS!$D$84</f>
        <v>-132776</v>
      </c>
    </row>
    <row r="6" spans="1:13" ht="22.5" customHeight="1" thickBot="1" x14ac:dyDescent="0.3">
      <c r="A6" s="90" t="s">
        <v>394</v>
      </c>
      <c r="B6" s="93"/>
      <c r="C6" s="93"/>
      <c r="D6" s="93"/>
      <c r="E6" s="93"/>
      <c r="F6" s="94">
        <f t="shared" ref="F6:F21" si="0">SUM(B6:E6)</f>
        <v>0</v>
      </c>
      <c r="I6" s="409">
        <f>SUM(B6:E6)-F6</f>
        <v>0</v>
      </c>
      <c r="K6" s="409">
        <f>B6-F28</f>
        <v>0</v>
      </c>
      <c r="M6" s="410">
        <f>F6-BS!$D$85</f>
        <v>0</v>
      </c>
    </row>
    <row r="7" spans="1:13" ht="22.5" customHeight="1" thickBot="1" x14ac:dyDescent="0.3">
      <c r="A7" s="90" t="s">
        <v>466</v>
      </c>
      <c r="B7" s="93"/>
      <c r="C7" s="93"/>
      <c r="D7" s="93"/>
      <c r="E7" s="93"/>
      <c r="F7" s="94">
        <f t="shared" si="0"/>
        <v>0</v>
      </c>
      <c r="I7" s="409">
        <f t="shared" ref="I7:I22" si="1">SUM(B7:E7)-F7</f>
        <v>0</v>
      </c>
      <c r="K7" s="409">
        <f t="shared" ref="K7:K22" si="2">B7-F29</f>
        <v>0</v>
      </c>
      <c r="M7" s="410">
        <f>F7-BS!$D$86</f>
        <v>0</v>
      </c>
    </row>
    <row r="8" spans="1:13" ht="22.5" customHeight="1" thickBot="1" x14ac:dyDescent="0.3">
      <c r="A8" s="90" t="s">
        <v>467</v>
      </c>
      <c r="B8" s="93"/>
      <c r="C8" s="93"/>
      <c r="D8" s="93"/>
      <c r="E8" s="93"/>
      <c r="F8" s="94">
        <f t="shared" si="0"/>
        <v>0</v>
      </c>
      <c r="I8" s="409">
        <f t="shared" si="1"/>
        <v>0</v>
      </c>
      <c r="K8" s="409">
        <f t="shared" si="2"/>
        <v>0</v>
      </c>
      <c r="M8" s="409">
        <f>F8-BS!$D$87</f>
        <v>0</v>
      </c>
    </row>
    <row r="9" spans="1:13" ht="22.5" customHeight="1" thickBot="1" x14ac:dyDescent="0.3">
      <c r="A9" s="90" t="s">
        <v>395</v>
      </c>
      <c r="B9" s="93"/>
      <c r="C9" s="93"/>
      <c r="D9" s="93"/>
      <c r="E9" s="93"/>
      <c r="F9" s="94">
        <f t="shared" si="0"/>
        <v>0</v>
      </c>
      <c r="I9" s="409">
        <f t="shared" si="1"/>
        <v>0</v>
      </c>
      <c r="K9" s="409">
        <f t="shared" si="2"/>
        <v>0</v>
      </c>
      <c r="M9" s="410">
        <f>F9-BS!$D$89</f>
        <v>0</v>
      </c>
    </row>
    <row r="10" spans="1:13" ht="22.5" customHeight="1" thickBot="1" x14ac:dyDescent="0.3">
      <c r="A10" s="90" t="s">
        <v>396</v>
      </c>
      <c r="B10" s="93"/>
      <c r="C10" s="93"/>
      <c r="D10" s="93"/>
      <c r="E10" s="93"/>
      <c r="F10" s="94">
        <f t="shared" si="0"/>
        <v>0</v>
      </c>
      <c r="I10" s="409">
        <f t="shared" si="1"/>
        <v>0</v>
      </c>
      <c r="K10" s="409">
        <f t="shared" si="2"/>
        <v>0</v>
      </c>
      <c r="M10" s="410">
        <f>F10-BS!$D$90</f>
        <v>-1427</v>
      </c>
    </row>
    <row r="11" spans="1:13" ht="22.5" customHeight="1" thickBot="1" x14ac:dyDescent="0.3">
      <c r="A11" s="90" t="s">
        <v>397</v>
      </c>
      <c r="B11" s="93"/>
      <c r="C11" s="93"/>
      <c r="D11" s="93"/>
      <c r="E11" s="93"/>
      <c r="F11" s="94">
        <f>SUM(B11:E11)</f>
        <v>0</v>
      </c>
      <c r="I11" s="409">
        <f t="shared" si="1"/>
        <v>0</v>
      </c>
      <c r="K11" s="409">
        <f t="shared" si="2"/>
        <v>0</v>
      </c>
      <c r="M11" s="410">
        <f>F11-BS!$D$91</f>
        <v>0</v>
      </c>
    </row>
    <row r="12" spans="1:13" ht="22.5" customHeight="1" thickBot="1" x14ac:dyDescent="0.3">
      <c r="A12" s="90" t="s">
        <v>398</v>
      </c>
      <c r="B12" s="93"/>
      <c r="C12" s="93"/>
      <c r="D12" s="93"/>
      <c r="E12" s="93"/>
      <c r="F12" s="94">
        <f t="shared" si="0"/>
        <v>0</v>
      </c>
      <c r="I12" s="409">
        <f t="shared" si="1"/>
        <v>0</v>
      </c>
      <c r="K12" s="409">
        <f t="shared" si="2"/>
        <v>0</v>
      </c>
      <c r="M12" s="410">
        <f>F12-BS!$D$92-BS!$D$93</f>
        <v>0</v>
      </c>
    </row>
    <row r="13" spans="1:13" ht="22.5" customHeight="1" thickBot="1" x14ac:dyDescent="0.3">
      <c r="A13" s="90" t="s">
        <v>468</v>
      </c>
      <c r="B13" s="93"/>
      <c r="C13" s="93"/>
      <c r="D13" s="93"/>
      <c r="E13" s="93"/>
      <c r="F13" s="94">
        <f t="shared" si="0"/>
        <v>0</v>
      </c>
      <c r="I13" s="409">
        <f t="shared" si="1"/>
        <v>0</v>
      </c>
      <c r="K13" s="409">
        <f t="shared" si="2"/>
        <v>0</v>
      </c>
      <c r="M13" s="410">
        <f>F13-BS!$D$94</f>
        <v>0</v>
      </c>
    </row>
    <row r="14" spans="1:13" ht="22.5" customHeight="1" thickBot="1" x14ac:dyDescent="0.3">
      <c r="A14" s="90" t="s">
        <v>399</v>
      </c>
      <c r="B14" s="93"/>
      <c r="C14" s="93"/>
      <c r="D14" s="93"/>
      <c r="E14" s="93"/>
      <c r="F14" s="94">
        <f t="shared" si="0"/>
        <v>0</v>
      </c>
      <c r="I14" s="409">
        <f t="shared" si="1"/>
        <v>0</v>
      </c>
      <c r="K14" s="409">
        <f t="shared" si="2"/>
        <v>0</v>
      </c>
      <c r="M14" s="410">
        <f>F14-BS!$D$96</f>
        <v>-13278</v>
      </c>
    </row>
    <row r="15" spans="1:13" ht="22.5" customHeight="1" thickBot="1" x14ac:dyDescent="0.3">
      <c r="A15" s="90" t="s">
        <v>400</v>
      </c>
      <c r="B15" s="93"/>
      <c r="C15" s="93"/>
      <c r="D15" s="93"/>
      <c r="E15" s="93"/>
      <c r="F15" s="94">
        <f t="shared" si="0"/>
        <v>0</v>
      </c>
      <c r="I15" s="409">
        <f t="shared" si="1"/>
        <v>0</v>
      </c>
      <c r="K15" s="409">
        <f t="shared" si="2"/>
        <v>0</v>
      </c>
      <c r="M15" s="410">
        <f>F15-BS!$D$97</f>
        <v>0</v>
      </c>
    </row>
    <row r="16" spans="1:13" ht="22.5" customHeight="1" thickBot="1" x14ac:dyDescent="0.3">
      <c r="A16" s="90" t="s">
        <v>401</v>
      </c>
      <c r="B16" s="93"/>
      <c r="C16" s="93"/>
      <c r="D16" s="93"/>
      <c r="E16" s="93"/>
      <c r="F16" s="94">
        <f t="shared" si="0"/>
        <v>0</v>
      </c>
      <c r="I16" s="409">
        <f t="shared" si="1"/>
        <v>0</v>
      </c>
      <c r="K16" s="409">
        <f t="shared" si="2"/>
        <v>0</v>
      </c>
      <c r="M16" s="410">
        <f>F16-BS!$D$98</f>
        <v>0</v>
      </c>
    </row>
    <row r="17" spans="1:13" ht="22.5" customHeight="1" thickBot="1" x14ac:dyDescent="0.3">
      <c r="A17" s="90" t="s">
        <v>402</v>
      </c>
      <c r="B17" s="93"/>
      <c r="C17" s="93"/>
      <c r="D17" s="93"/>
      <c r="E17" s="93"/>
      <c r="F17" s="94">
        <f t="shared" si="0"/>
        <v>0</v>
      </c>
      <c r="I17" s="409">
        <f t="shared" si="1"/>
        <v>0</v>
      </c>
      <c r="K17" s="409">
        <f t="shared" si="2"/>
        <v>0</v>
      </c>
      <c r="M17" s="410">
        <f>F17-BS!$D$100</f>
        <v>0</v>
      </c>
    </row>
    <row r="18" spans="1:13" ht="22.5" customHeight="1" thickBot="1" x14ac:dyDescent="0.3">
      <c r="A18" s="90" t="s">
        <v>469</v>
      </c>
      <c r="B18" s="93"/>
      <c r="C18" s="93"/>
      <c r="D18" s="93"/>
      <c r="E18" s="93"/>
      <c r="F18" s="94">
        <f t="shared" si="0"/>
        <v>0</v>
      </c>
      <c r="I18" s="409">
        <f t="shared" si="1"/>
        <v>0</v>
      </c>
      <c r="K18" s="409">
        <f t="shared" si="2"/>
        <v>0</v>
      </c>
      <c r="M18" s="410">
        <f>F18-BS!$D$101</f>
        <v>0</v>
      </c>
    </row>
    <row r="19" spans="1:13" ht="22.5" customHeight="1" thickBot="1" x14ac:dyDescent="0.3">
      <c r="A19" s="90" t="s">
        <v>470</v>
      </c>
      <c r="B19" s="93"/>
      <c r="C19" s="93"/>
      <c r="D19" s="93"/>
      <c r="E19" s="93"/>
      <c r="F19" s="94">
        <f t="shared" si="0"/>
        <v>0</v>
      </c>
      <c r="I19" s="409">
        <f t="shared" si="1"/>
        <v>0</v>
      </c>
      <c r="K19" s="409">
        <f t="shared" si="2"/>
        <v>0</v>
      </c>
      <c r="M19" s="410">
        <f>F19-BS!$D$102</f>
        <v>-184304</v>
      </c>
    </row>
    <row r="20" spans="1:13" ht="22.5" customHeight="1" thickBot="1" x14ac:dyDescent="0.3">
      <c r="A20" s="90" t="s">
        <v>403</v>
      </c>
      <c r="B20" s="93"/>
      <c r="C20" s="93"/>
      <c r="D20" s="93"/>
      <c r="E20" s="93"/>
      <c r="F20" s="94">
        <f t="shared" si="0"/>
        <v>0</v>
      </c>
      <c r="I20" s="409">
        <f t="shared" si="1"/>
        <v>0</v>
      </c>
      <c r="K20" s="409">
        <f t="shared" si="2"/>
        <v>0</v>
      </c>
      <c r="M20" s="411"/>
    </row>
    <row r="21" spans="1:13" ht="22.5" customHeight="1" thickBot="1" x14ac:dyDescent="0.3">
      <c r="A21" s="90" t="s">
        <v>404</v>
      </c>
      <c r="B21" s="93"/>
      <c r="C21" s="93"/>
      <c r="D21" s="93"/>
      <c r="E21" s="93"/>
      <c r="F21" s="94">
        <f t="shared" si="0"/>
        <v>0</v>
      </c>
      <c r="I21" s="409">
        <f t="shared" si="1"/>
        <v>0</v>
      </c>
      <c r="K21" s="409">
        <f t="shared" si="2"/>
        <v>0</v>
      </c>
      <c r="M21" s="411"/>
    </row>
    <row r="22" spans="1:13" ht="22.5" customHeight="1" thickBot="1" x14ac:dyDescent="0.3">
      <c r="A22" s="91" t="s">
        <v>471</v>
      </c>
      <c r="B22" s="95"/>
      <c r="C22" s="95"/>
      <c r="D22" s="95"/>
      <c r="E22" s="95"/>
      <c r="F22" s="98">
        <f>SUM(B22:E22)</f>
        <v>0</v>
      </c>
      <c r="I22" s="409">
        <f t="shared" si="1"/>
        <v>0</v>
      </c>
      <c r="K22" s="409">
        <f t="shared" si="2"/>
        <v>0</v>
      </c>
      <c r="M22" s="411"/>
    </row>
    <row r="23" spans="1:13" ht="22.5" customHeight="1" thickTop="1" x14ac:dyDescent="0.25">
      <c r="A23" s="96"/>
      <c r="B23" s="97"/>
      <c r="C23" s="97"/>
      <c r="D23" s="97"/>
      <c r="E23" s="97"/>
      <c r="F23" s="97"/>
    </row>
    <row r="24" spans="1:13" ht="12" thickBot="1" x14ac:dyDescent="0.3"/>
    <row r="25" spans="1:13" ht="13.5" customHeight="1" thickTop="1" thickBot="1" x14ac:dyDescent="0.3">
      <c r="A25" s="1448" t="s">
        <v>465</v>
      </c>
      <c r="B25" s="1445" t="s">
        <v>3</v>
      </c>
      <c r="C25" s="1446"/>
      <c r="D25" s="1446"/>
      <c r="E25" s="1446"/>
      <c r="F25" s="1447"/>
    </row>
    <row r="26" spans="1:13" ht="46.5" thickTop="1" thickBot="1" x14ac:dyDescent="0.3">
      <c r="A26" s="1449"/>
      <c r="B26" s="92" t="s">
        <v>472</v>
      </c>
      <c r="C26" s="92" t="s">
        <v>27</v>
      </c>
      <c r="D26" s="92" t="s">
        <v>28</v>
      </c>
      <c r="E26" s="92" t="s">
        <v>29</v>
      </c>
      <c r="F26" s="21" t="s">
        <v>392</v>
      </c>
      <c r="I26" s="59" t="s">
        <v>392</v>
      </c>
      <c r="M26" s="59" t="s">
        <v>392</v>
      </c>
    </row>
    <row r="27" spans="1:13" ht="22.5" customHeight="1" thickTop="1" thickBot="1" x14ac:dyDescent="0.3">
      <c r="A27" s="90" t="s">
        <v>393</v>
      </c>
      <c r="B27" s="93"/>
      <c r="C27" s="93"/>
      <c r="D27" s="93"/>
      <c r="E27" s="93"/>
      <c r="F27" s="94">
        <f>SUM(B27:E27)</f>
        <v>0</v>
      </c>
      <c r="I27" s="409">
        <f>SUM(B27:E27)-F27</f>
        <v>0</v>
      </c>
      <c r="M27" s="410">
        <f>F27-BS!E84</f>
        <v>-132776</v>
      </c>
    </row>
    <row r="28" spans="1:13" ht="22.5" customHeight="1" thickBot="1" x14ac:dyDescent="0.3">
      <c r="A28" s="90" t="s">
        <v>394</v>
      </c>
      <c r="B28" s="93"/>
      <c r="C28" s="93"/>
      <c r="D28" s="93"/>
      <c r="E28" s="93"/>
      <c r="F28" s="94">
        <f t="shared" ref="F28:F42" si="3">SUM(B28:E28)</f>
        <v>0</v>
      </c>
      <c r="I28" s="409">
        <f>SUM(B28:E28)-F28</f>
        <v>0</v>
      </c>
      <c r="M28" s="410">
        <f>F28-BS!E85</f>
        <v>0</v>
      </c>
    </row>
    <row r="29" spans="1:13" ht="22.5" customHeight="1" thickBot="1" x14ac:dyDescent="0.3">
      <c r="A29" s="90" t="s">
        <v>466</v>
      </c>
      <c r="B29" s="93"/>
      <c r="C29" s="93"/>
      <c r="D29" s="93"/>
      <c r="E29" s="93"/>
      <c r="F29" s="94">
        <f t="shared" si="3"/>
        <v>0</v>
      </c>
      <c r="I29" s="409">
        <f t="shared" ref="I29:I44" si="4">SUM(B29:E29)-F29</f>
        <v>0</v>
      </c>
      <c r="M29" s="410">
        <f>F29-BS!E86</f>
        <v>0</v>
      </c>
    </row>
    <row r="30" spans="1:13" ht="22.5" customHeight="1" thickBot="1" x14ac:dyDescent="0.3">
      <c r="A30" s="90" t="s">
        <v>467</v>
      </c>
      <c r="B30" s="93"/>
      <c r="C30" s="93"/>
      <c r="D30" s="93"/>
      <c r="E30" s="93"/>
      <c r="F30" s="94">
        <f t="shared" si="3"/>
        <v>0</v>
      </c>
      <c r="I30" s="409">
        <f t="shared" si="4"/>
        <v>0</v>
      </c>
      <c r="M30" s="410">
        <f>F30-BS!E87</f>
        <v>0</v>
      </c>
    </row>
    <row r="31" spans="1:13" ht="22.5" customHeight="1" thickBot="1" x14ac:dyDescent="0.3">
      <c r="A31" s="90" t="s">
        <v>395</v>
      </c>
      <c r="B31" s="93"/>
      <c r="C31" s="93"/>
      <c r="D31" s="93"/>
      <c r="E31" s="93"/>
      <c r="F31" s="94">
        <f t="shared" si="3"/>
        <v>0</v>
      </c>
      <c r="I31" s="409">
        <f t="shared" si="4"/>
        <v>0</v>
      </c>
      <c r="M31" s="410">
        <f>F31-BS!E89</f>
        <v>0</v>
      </c>
    </row>
    <row r="32" spans="1:13" ht="22.5" customHeight="1" thickBot="1" x14ac:dyDescent="0.3">
      <c r="A32" s="90" t="s">
        <v>396</v>
      </c>
      <c r="B32" s="93"/>
      <c r="C32" s="93"/>
      <c r="D32" s="93"/>
      <c r="E32" s="93"/>
      <c r="F32" s="94">
        <f t="shared" si="3"/>
        <v>0</v>
      </c>
      <c r="I32" s="409">
        <f t="shared" si="4"/>
        <v>0</v>
      </c>
      <c r="M32" s="410">
        <f>F32-BS!E90</f>
        <v>-1427</v>
      </c>
    </row>
    <row r="33" spans="1:13" ht="22.5" customHeight="1" thickBot="1" x14ac:dyDescent="0.3">
      <c r="A33" s="90" t="s">
        <v>397</v>
      </c>
      <c r="B33" s="93"/>
      <c r="C33" s="93"/>
      <c r="D33" s="93"/>
      <c r="E33" s="93"/>
      <c r="F33" s="94">
        <f t="shared" si="3"/>
        <v>0</v>
      </c>
      <c r="I33" s="409">
        <f t="shared" si="4"/>
        <v>0</v>
      </c>
      <c r="M33" s="410">
        <f>F33-BS!E91</f>
        <v>0</v>
      </c>
    </row>
    <row r="34" spans="1:13" ht="22.5" customHeight="1" thickBot="1" x14ac:dyDescent="0.3">
      <c r="A34" s="90" t="s">
        <v>398</v>
      </c>
      <c r="B34" s="93"/>
      <c r="C34" s="93"/>
      <c r="D34" s="93"/>
      <c r="E34" s="93"/>
      <c r="F34" s="94">
        <f t="shared" si="3"/>
        <v>0</v>
      </c>
      <c r="I34" s="409">
        <f t="shared" si="4"/>
        <v>0</v>
      </c>
      <c r="M34" s="410">
        <f>F34-BS!E92-BS!E93</f>
        <v>0</v>
      </c>
    </row>
    <row r="35" spans="1:13" ht="22.5" customHeight="1" thickBot="1" x14ac:dyDescent="0.3">
      <c r="A35" s="90" t="s">
        <v>468</v>
      </c>
      <c r="B35" s="93"/>
      <c r="C35" s="93"/>
      <c r="D35" s="93"/>
      <c r="E35" s="93"/>
      <c r="F35" s="94">
        <f t="shared" si="3"/>
        <v>0</v>
      </c>
      <c r="I35" s="409">
        <f t="shared" si="4"/>
        <v>0</v>
      </c>
      <c r="M35" s="410">
        <f>F35-BS!E94</f>
        <v>0</v>
      </c>
    </row>
    <row r="36" spans="1:13" ht="22.5" customHeight="1" thickBot="1" x14ac:dyDescent="0.3">
      <c r="A36" s="90" t="s">
        <v>399</v>
      </c>
      <c r="B36" s="93"/>
      <c r="C36" s="93"/>
      <c r="D36" s="93"/>
      <c r="E36" s="93"/>
      <c r="F36" s="94">
        <f t="shared" si="3"/>
        <v>0</v>
      </c>
      <c r="I36" s="409">
        <f t="shared" si="4"/>
        <v>0</v>
      </c>
      <c r="M36" s="410">
        <f>F36-BS!E96</f>
        <v>-13278</v>
      </c>
    </row>
    <row r="37" spans="1:13" ht="22.5" customHeight="1" thickBot="1" x14ac:dyDescent="0.3">
      <c r="A37" s="90" t="s">
        <v>400</v>
      </c>
      <c r="B37" s="93"/>
      <c r="C37" s="93"/>
      <c r="D37" s="93"/>
      <c r="E37" s="93"/>
      <c r="F37" s="94">
        <f t="shared" si="3"/>
        <v>0</v>
      </c>
      <c r="I37" s="409">
        <f t="shared" si="4"/>
        <v>0</v>
      </c>
      <c r="M37" s="410">
        <f>F37-BS!E97</f>
        <v>0</v>
      </c>
    </row>
    <row r="38" spans="1:13" ht="22.5" customHeight="1" thickBot="1" x14ac:dyDescent="0.3">
      <c r="A38" s="90" t="s">
        <v>401</v>
      </c>
      <c r="B38" s="93"/>
      <c r="C38" s="93"/>
      <c r="D38" s="93"/>
      <c r="E38" s="93"/>
      <c r="F38" s="94">
        <f t="shared" si="3"/>
        <v>0</v>
      </c>
      <c r="I38" s="409">
        <f t="shared" si="4"/>
        <v>0</v>
      </c>
      <c r="M38" s="410">
        <f>F38-BS!E98</f>
        <v>0</v>
      </c>
    </row>
    <row r="39" spans="1:13" ht="22.5" customHeight="1" thickBot="1" x14ac:dyDescent="0.3">
      <c r="A39" s="90" t="s">
        <v>402</v>
      </c>
      <c r="B39" s="93"/>
      <c r="C39" s="93"/>
      <c r="D39" s="93"/>
      <c r="E39" s="93"/>
      <c r="F39" s="94">
        <f t="shared" si="3"/>
        <v>0</v>
      </c>
      <c r="I39" s="409">
        <f t="shared" si="4"/>
        <v>0</v>
      </c>
      <c r="M39" s="410">
        <f>F39-BS!E100</f>
        <v>-45857</v>
      </c>
    </row>
    <row r="40" spans="1:13" ht="22.5" customHeight="1" thickBot="1" x14ac:dyDescent="0.3">
      <c r="A40" s="90" t="s">
        <v>469</v>
      </c>
      <c r="B40" s="93"/>
      <c r="C40" s="93"/>
      <c r="D40" s="93"/>
      <c r="E40" s="93"/>
      <c r="F40" s="94">
        <f t="shared" si="3"/>
        <v>0</v>
      </c>
      <c r="I40" s="409">
        <f t="shared" si="4"/>
        <v>0</v>
      </c>
      <c r="M40" s="410">
        <f>F40-BS!E101</f>
        <v>0</v>
      </c>
    </row>
    <row r="41" spans="1:13" ht="22.5" customHeight="1" thickBot="1" x14ac:dyDescent="0.3">
      <c r="A41" s="90" t="s">
        <v>470</v>
      </c>
      <c r="B41" s="93"/>
      <c r="C41" s="93"/>
      <c r="D41" s="93"/>
      <c r="E41" s="93"/>
      <c r="F41" s="94">
        <f t="shared" si="3"/>
        <v>0</v>
      </c>
      <c r="I41" s="409">
        <f t="shared" si="4"/>
        <v>0</v>
      </c>
      <c r="M41" s="410">
        <f>F41-BS!E102</f>
        <v>-2924</v>
      </c>
    </row>
    <row r="42" spans="1:13" ht="22.5" customHeight="1" thickBot="1" x14ac:dyDescent="0.3">
      <c r="A42" s="90" t="s">
        <v>403</v>
      </c>
      <c r="B42" s="93"/>
      <c r="C42" s="93"/>
      <c r="D42" s="93"/>
      <c r="E42" s="93"/>
      <c r="F42" s="94">
        <f t="shared" si="3"/>
        <v>0</v>
      </c>
      <c r="I42" s="409">
        <f t="shared" si="4"/>
        <v>0</v>
      </c>
      <c r="M42" s="411"/>
    </row>
    <row r="43" spans="1:13" ht="22.5" customHeight="1" thickBot="1" x14ac:dyDescent="0.3">
      <c r="A43" s="90" t="s">
        <v>404</v>
      </c>
      <c r="B43" s="93"/>
      <c r="C43" s="93"/>
      <c r="D43" s="93"/>
      <c r="E43" s="93"/>
      <c r="F43" s="94">
        <f>SUM(B43:E43)</f>
        <v>0</v>
      </c>
      <c r="I43" s="409">
        <f t="shared" si="4"/>
        <v>0</v>
      </c>
      <c r="M43" s="411"/>
    </row>
    <row r="44" spans="1:13" ht="22.5" customHeight="1" thickBot="1" x14ac:dyDescent="0.3">
      <c r="A44" s="91" t="s">
        <v>471</v>
      </c>
      <c r="B44" s="95"/>
      <c r="C44" s="95"/>
      <c r="D44" s="95"/>
      <c r="E44" s="95"/>
      <c r="F44" s="98">
        <f>SUM(B44:E44)</f>
        <v>0</v>
      </c>
      <c r="I44" s="409">
        <f t="shared" si="4"/>
        <v>0</v>
      </c>
      <c r="M44" s="411"/>
    </row>
    <row r="45" spans="1:13" ht="12" thickTop="1" x14ac:dyDescent="0.25"/>
  </sheetData>
  <mergeCells count="4">
    <mergeCell ref="B3:F3"/>
    <mergeCell ref="A25:A26"/>
    <mergeCell ref="B25:F25"/>
    <mergeCell ref="A3:A4"/>
  </mergeCells>
  <conditionalFormatting sqref="I5:I22 I27:I44 M5:M19 M27:M41 K5:K22">
    <cfRule type="cellIs" dxfId="61" priority="12" operator="lessThan">
      <formula>0</formula>
    </cfRule>
    <cfRule type="cellIs" dxfId="60" priority="13" operator="greaterThan">
      <formula>0</formula>
    </cfRule>
  </conditionalFormatting>
  <conditionalFormatting sqref="M1">
    <cfRule type="cellIs" priority="9" stopIfTrue="1" operator="greaterThan">
      <formula>0</formula>
    </cfRule>
  </conditionalFormatting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P36"/>
  <sheetViews>
    <sheetView showGridLines="0" topLeftCell="A25" zoomScaleNormal="100" workbookViewId="0">
      <selection activeCell="P29" sqref="P29"/>
    </sheetView>
  </sheetViews>
  <sheetFormatPr defaultRowHeight="15" outlineLevelCol="1" x14ac:dyDescent="0.25"/>
  <cols>
    <col min="1" max="1" width="20.7109375" customWidth="1"/>
    <col min="2" max="6" width="13.140625" customWidth="1"/>
    <col min="7" max="7" width="23.28515625" customWidth="1"/>
    <col min="8" max="8" width="14.28515625" style="386" hidden="1" customWidth="1" outlineLevel="1"/>
    <col min="9" max="11" width="12.7109375" style="387" hidden="1" customWidth="1" outlineLevel="1"/>
    <col min="12" max="12" width="18" style="391" customWidth="1" collapsed="1"/>
    <col min="14" max="14" width="27.42578125" style="393" customWidth="1"/>
    <col min="16" max="16" width="24.7109375" style="393" customWidth="1"/>
    <col min="17" max="17" width="27.7109375" customWidth="1"/>
  </cols>
  <sheetData>
    <row r="1" spans="1:16" x14ac:dyDescent="0.25">
      <c r="A1" s="99" t="s">
        <v>209</v>
      </c>
      <c r="B1" s="20"/>
      <c r="C1" s="20"/>
      <c r="D1" s="20"/>
      <c r="E1" s="20"/>
      <c r="F1" s="20"/>
      <c r="H1" s="1431" t="s">
        <v>1138</v>
      </c>
      <c r="I1" s="1432"/>
      <c r="J1" s="1432"/>
      <c r="K1" s="1432"/>
      <c r="L1" s="1433"/>
      <c r="N1" s="399" t="s">
        <v>1142</v>
      </c>
      <c r="P1" s="401" t="s">
        <v>1140</v>
      </c>
    </row>
    <row r="2" spans="1:16" ht="15.75" thickBot="1" x14ac:dyDescent="0.3">
      <c r="A2" s="20" t="s">
        <v>8</v>
      </c>
      <c r="B2" s="20"/>
      <c r="C2" s="20"/>
      <c r="D2" s="20"/>
      <c r="E2" s="20"/>
      <c r="F2" s="20"/>
      <c r="N2" s="409"/>
    </row>
    <row r="3" spans="1:16" ht="16.5" thickTop="1" thickBot="1" x14ac:dyDescent="0.3">
      <c r="A3" s="1442" t="s">
        <v>131</v>
      </c>
      <c r="B3" s="1363" t="s">
        <v>2</v>
      </c>
      <c r="C3" s="1364"/>
      <c r="D3" s="1364"/>
      <c r="E3" s="1364"/>
      <c r="F3" s="1365"/>
      <c r="N3" s="409"/>
    </row>
    <row r="4" spans="1:16" s="4" customFormat="1" ht="33" customHeight="1" thickTop="1" thickBot="1" x14ac:dyDescent="0.3">
      <c r="A4" s="1444"/>
      <c r="B4" s="21" t="s">
        <v>32</v>
      </c>
      <c r="C4" s="21" t="s">
        <v>124</v>
      </c>
      <c r="D4" s="102" t="s">
        <v>210</v>
      </c>
      <c r="E4" s="639" t="s">
        <v>211</v>
      </c>
      <c r="F4" s="21" t="s">
        <v>30</v>
      </c>
      <c r="H4" s="59" t="s">
        <v>32</v>
      </c>
      <c r="I4" s="59" t="s">
        <v>124</v>
      </c>
      <c r="J4" s="59" t="s">
        <v>210</v>
      </c>
      <c r="K4" s="59" t="s">
        <v>211</v>
      </c>
      <c r="L4" s="59" t="s">
        <v>30</v>
      </c>
      <c r="N4" s="59" t="s">
        <v>472</v>
      </c>
      <c r="P4" s="59" t="s">
        <v>30</v>
      </c>
    </row>
    <row r="5" spans="1:16" ht="21" customHeight="1" thickTop="1" thickBot="1" x14ac:dyDescent="0.3">
      <c r="A5" s="86" t="s">
        <v>212</v>
      </c>
      <c r="B5" s="85">
        <f>SUM(B6:B10)</f>
        <v>0</v>
      </c>
      <c r="C5" s="85">
        <f>SUM(C6:C10)</f>
        <v>0</v>
      </c>
      <c r="D5" s="85">
        <f t="shared" ref="D5:E5" si="0">SUM(D6:D10)</f>
        <v>0</v>
      </c>
      <c r="E5" s="85">
        <f t="shared" si="0"/>
        <v>0</v>
      </c>
      <c r="F5" s="143">
        <f>SUM(B5:E5)</f>
        <v>0</v>
      </c>
      <c r="H5" s="389">
        <f>SUM(B6:B10)-B5</f>
        <v>0</v>
      </c>
      <c r="I5" s="388">
        <f t="shared" ref="I5:K5" si="1">SUM(C6:C10)-C5</f>
        <v>0</v>
      </c>
      <c r="J5" s="388">
        <f t="shared" si="1"/>
        <v>0</v>
      </c>
      <c r="K5" s="388">
        <f t="shared" si="1"/>
        <v>0</v>
      </c>
      <c r="L5" s="392">
        <f>SUM(B5:E5)-F5</f>
        <v>0</v>
      </c>
      <c r="N5" s="400">
        <f>B5-F23</f>
        <v>0</v>
      </c>
      <c r="P5" s="400">
        <f>F5-BS!$D$105-BS!$D$107</f>
        <v>0</v>
      </c>
    </row>
    <row r="6" spans="1:16" ht="21" customHeight="1" thickTop="1" thickBot="1" x14ac:dyDescent="0.3">
      <c r="A6" s="108"/>
      <c r="B6" s="79"/>
      <c r="C6" s="79"/>
      <c r="D6" s="144"/>
      <c r="E6" s="144"/>
      <c r="F6" s="145">
        <f t="shared" ref="F6:F17" si="2">SUM(B6:E6)</f>
        <v>0</v>
      </c>
      <c r="L6" s="392">
        <f>SUM(B6:E6)-F6</f>
        <v>0</v>
      </c>
      <c r="N6" s="400">
        <f>B6-F24</f>
        <v>0</v>
      </c>
    </row>
    <row r="7" spans="1:16" ht="21" customHeight="1" thickBot="1" x14ac:dyDescent="0.3">
      <c r="A7" s="108"/>
      <c r="B7" s="79"/>
      <c r="C7" s="79"/>
      <c r="D7" s="120"/>
      <c r="E7" s="120"/>
      <c r="F7" s="145">
        <f t="shared" si="2"/>
        <v>0</v>
      </c>
      <c r="L7" s="392">
        <f t="shared" ref="L7:L10" si="3">SUM(B7:E7)-F7</f>
        <v>0</v>
      </c>
      <c r="N7" s="400">
        <f t="shared" ref="N7:N17" si="4">B7-F25</f>
        <v>0</v>
      </c>
    </row>
    <row r="8" spans="1:16" ht="21" customHeight="1" thickBot="1" x14ac:dyDescent="0.3">
      <c r="A8" s="108"/>
      <c r="B8" s="79"/>
      <c r="C8" s="79"/>
      <c r="D8" s="120"/>
      <c r="E8" s="120"/>
      <c r="F8" s="145">
        <f t="shared" si="2"/>
        <v>0</v>
      </c>
      <c r="L8" s="392">
        <f t="shared" si="3"/>
        <v>0</v>
      </c>
      <c r="N8" s="400">
        <f t="shared" si="4"/>
        <v>0</v>
      </c>
    </row>
    <row r="9" spans="1:16" ht="21" customHeight="1" thickBot="1" x14ac:dyDescent="0.3">
      <c r="A9" s="108"/>
      <c r="B9" s="79"/>
      <c r="C9" s="79"/>
      <c r="D9" s="120"/>
      <c r="E9" s="120"/>
      <c r="F9" s="145">
        <f t="shared" si="2"/>
        <v>0</v>
      </c>
      <c r="L9" s="392">
        <f t="shared" si="3"/>
        <v>0</v>
      </c>
      <c r="N9" s="400">
        <f t="shared" si="4"/>
        <v>0</v>
      </c>
    </row>
    <row r="10" spans="1:16" ht="21" customHeight="1" thickBot="1" x14ac:dyDescent="0.3">
      <c r="A10" s="150"/>
      <c r="B10" s="85"/>
      <c r="C10" s="85"/>
      <c r="D10" s="146"/>
      <c r="E10" s="146"/>
      <c r="F10" s="147">
        <f t="shared" si="2"/>
        <v>0</v>
      </c>
      <c r="L10" s="392">
        <f t="shared" si="3"/>
        <v>0</v>
      </c>
      <c r="N10" s="400">
        <f t="shared" si="4"/>
        <v>0</v>
      </c>
    </row>
    <row r="11" spans="1:16" ht="21" customHeight="1" thickTop="1" thickBot="1" x14ac:dyDescent="0.3">
      <c r="A11" s="86" t="s">
        <v>213</v>
      </c>
      <c r="B11" s="85">
        <f>SUM(B12:B17)</f>
        <v>0</v>
      </c>
      <c r="C11" s="85">
        <f>SUM(C12:C17)</f>
        <v>0</v>
      </c>
      <c r="D11" s="85">
        <f t="shared" ref="D11:E11" si="5">SUM(D12:D17)</f>
        <v>0</v>
      </c>
      <c r="E11" s="85">
        <f t="shared" si="5"/>
        <v>0</v>
      </c>
      <c r="F11" s="143">
        <f>SUM(B11:E11)</f>
        <v>0</v>
      </c>
      <c r="H11" s="389">
        <f>SUM(B12:B17)-B11</f>
        <v>0</v>
      </c>
      <c r="I11" s="388">
        <f t="shared" ref="I11:K11" si="6">SUM(C12:C17)-C11</f>
        <v>0</v>
      </c>
      <c r="J11" s="388">
        <f t="shared" si="6"/>
        <v>0</v>
      </c>
      <c r="K11" s="388">
        <f t="shared" si="6"/>
        <v>0</v>
      </c>
      <c r="L11" s="392">
        <f>SUM(B11:E11)-F11</f>
        <v>0</v>
      </c>
      <c r="N11" s="400">
        <f t="shared" si="4"/>
        <v>0</v>
      </c>
      <c r="P11" s="400">
        <f>F11-BS!$D$106-BS!$D$108</f>
        <v>-125226</v>
      </c>
    </row>
    <row r="12" spans="1:16" ht="21" customHeight="1" thickTop="1" thickBot="1" x14ac:dyDescent="0.3">
      <c r="A12" s="108"/>
      <c r="B12" s="79"/>
      <c r="C12" s="79"/>
      <c r="D12" s="144"/>
      <c r="E12" s="144"/>
      <c r="F12" s="145">
        <f t="shared" si="2"/>
        <v>0</v>
      </c>
      <c r="L12" s="392">
        <f>SUM(B12:E12)-F12</f>
        <v>0</v>
      </c>
      <c r="N12" s="400">
        <f t="shared" si="4"/>
        <v>0</v>
      </c>
    </row>
    <row r="13" spans="1:16" ht="21" customHeight="1" thickBot="1" x14ac:dyDescent="0.3">
      <c r="A13" s="108"/>
      <c r="B13" s="79"/>
      <c r="C13" s="79"/>
      <c r="D13" s="120"/>
      <c r="E13" s="120"/>
      <c r="F13" s="145">
        <f t="shared" si="2"/>
        <v>0</v>
      </c>
      <c r="L13" s="392">
        <f>SUM(B13:E13)-F13</f>
        <v>0</v>
      </c>
      <c r="N13" s="400">
        <f>B13-F31</f>
        <v>0</v>
      </c>
    </row>
    <row r="14" spans="1:16" ht="21" customHeight="1" thickBot="1" x14ac:dyDescent="0.3">
      <c r="A14" s="108"/>
      <c r="B14" s="79"/>
      <c r="C14" s="79"/>
      <c r="D14" s="120"/>
      <c r="E14" s="120"/>
      <c r="F14" s="145">
        <f t="shared" si="2"/>
        <v>0</v>
      </c>
      <c r="L14" s="392">
        <f t="shared" ref="L14:L17" si="7">SUM(B14:E14)-F14</f>
        <v>0</v>
      </c>
      <c r="N14" s="400">
        <f t="shared" si="4"/>
        <v>0</v>
      </c>
    </row>
    <row r="15" spans="1:16" ht="21" customHeight="1" thickBot="1" x14ac:dyDescent="0.3">
      <c r="A15" s="108"/>
      <c r="B15" s="79"/>
      <c r="C15" s="79"/>
      <c r="D15" s="120"/>
      <c r="E15" s="120"/>
      <c r="F15" s="145">
        <f t="shared" si="2"/>
        <v>0</v>
      </c>
      <c r="L15" s="392">
        <f t="shared" si="7"/>
        <v>0</v>
      </c>
      <c r="N15" s="400">
        <f t="shared" si="4"/>
        <v>0</v>
      </c>
    </row>
    <row r="16" spans="1:16" ht="21" customHeight="1" thickBot="1" x14ac:dyDescent="0.3">
      <c r="A16" s="108"/>
      <c r="B16" s="79"/>
      <c r="C16" s="79"/>
      <c r="D16" s="120"/>
      <c r="E16" s="120"/>
      <c r="F16" s="145">
        <f t="shared" si="2"/>
        <v>0</v>
      </c>
      <c r="L16" s="392">
        <f t="shared" si="7"/>
        <v>0</v>
      </c>
      <c r="N16" s="400">
        <f t="shared" si="4"/>
        <v>0</v>
      </c>
    </row>
    <row r="17" spans="1:16" ht="21" customHeight="1" thickBot="1" x14ac:dyDescent="0.3">
      <c r="A17" s="150"/>
      <c r="B17" s="81"/>
      <c r="C17" s="81"/>
      <c r="D17" s="148"/>
      <c r="E17" s="148"/>
      <c r="F17" s="149">
        <f t="shared" si="2"/>
        <v>0</v>
      </c>
      <c r="L17" s="392">
        <f t="shared" si="7"/>
        <v>0</v>
      </c>
      <c r="N17" s="400">
        <f t="shared" si="4"/>
        <v>0</v>
      </c>
    </row>
    <row r="18" spans="1:16" ht="15.75" thickTop="1" x14ac:dyDescent="0.25">
      <c r="A18" s="4"/>
      <c r="B18" s="4"/>
      <c r="C18" s="4"/>
      <c r="D18" s="4"/>
      <c r="E18" s="4"/>
      <c r="F18" s="4"/>
      <c r="N18" s="400"/>
    </row>
    <row r="19" spans="1:16" ht="16.5" x14ac:dyDescent="0.3">
      <c r="A19" s="2"/>
      <c r="N19" s="400"/>
    </row>
    <row r="20" spans="1:16" ht="15.75" thickBot="1" x14ac:dyDescent="0.3">
      <c r="A20" s="20" t="s">
        <v>15</v>
      </c>
      <c r="B20" s="20"/>
      <c r="C20" s="20"/>
      <c r="D20" s="20"/>
      <c r="E20" s="20"/>
      <c r="F20" s="20"/>
      <c r="N20" s="400"/>
    </row>
    <row r="21" spans="1:16" ht="16.5" thickTop="1" thickBot="1" x14ac:dyDescent="0.3">
      <c r="A21" s="1442" t="s">
        <v>131</v>
      </c>
      <c r="B21" s="1363" t="s">
        <v>3</v>
      </c>
      <c r="C21" s="1364"/>
      <c r="D21" s="1364"/>
      <c r="E21" s="1364"/>
      <c r="F21" s="1365"/>
      <c r="N21" s="400"/>
    </row>
    <row r="22" spans="1:16" s="4" customFormat="1" ht="35.25" thickTop="1" thickBot="1" x14ac:dyDescent="0.3">
      <c r="A22" s="1444"/>
      <c r="B22" s="21" t="s">
        <v>32</v>
      </c>
      <c r="C22" s="21" t="s">
        <v>124</v>
      </c>
      <c r="D22" s="102" t="s">
        <v>210</v>
      </c>
      <c r="E22" s="30" t="s">
        <v>211</v>
      </c>
      <c r="F22" s="21" t="s">
        <v>30</v>
      </c>
      <c r="H22" s="413"/>
      <c r="I22" s="412"/>
      <c r="J22" s="412"/>
      <c r="K22" s="412"/>
      <c r="L22" s="395"/>
      <c r="N22" s="400"/>
      <c r="P22" s="414"/>
    </row>
    <row r="23" spans="1:16" ht="21" customHeight="1" thickTop="1" thickBot="1" x14ac:dyDescent="0.3">
      <c r="A23" s="150" t="s">
        <v>212</v>
      </c>
      <c r="B23" s="85">
        <f>SUM(B24:B28)</f>
        <v>0</v>
      </c>
      <c r="C23" s="85">
        <f>SUM(C24:C28)</f>
        <v>0</v>
      </c>
      <c r="D23" s="85">
        <f t="shared" ref="D23" si="8">SUM(D24:D28)</f>
        <v>0</v>
      </c>
      <c r="E23" s="85">
        <f t="shared" ref="E23" si="9">SUM(E24:E28)</f>
        <v>0</v>
      </c>
      <c r="F23" s="143">
        <f>SUM(B23:E23)</f>
        <v>0</v>
      </c>
      <c r="H23" s="389">
        <f>SUM(B24:B28)-B23</f>
        <v>0</v>
      </c>
      <c r="I23" s="388">
        <f t="shared" ref="I23" si="10">SUM(C24:C28)-C23</f>
        <v>0</v>
      </c>
      <c r="J23" s="388">
        <f t="shared" ref="J23" si="11">SUM(D24:D28)-D23</f>
        <v>0</v>
      </c>
      <c r="K23" s="388">
        <f t="shared" ref="K23" si="12">SUM(E24:E28)-E23</f>
        <v>0</v>
      </c>
      <c r="L23" s="392">
        <f>SUM(B23:E23)-F23</f>
        <v>0</v>
      </c>
      <c r="N23" s="400"/>
      <c r="P23" s="400">
        <f>F23-BS!E105-BS!E107</f>
        <v>0</v>
      </c>
    </row>
    <row r="24" spans="1:16" ht="21" customHeight="1" thickTop="1" thickBot="1" x14ac:dyDescent="0.3">
      <c r="A24" s="108"/>
      <c r="B24" s="79"/>
      <c r="C24" s="79"/>
      <c r="D24" s="144"/>
      <c r="E24" s="144"/>
      <c r="F24" s="145">
        <f t="shared" ref="F24:F35" si="13">SUM(B24:E24)</f>
        <v>0</v>
      </c>
      <c r="L24" s="392">
        <f>SUM(B24:E24)-F24</f>
        <v>0</v>
      </c>
      <c r="N24" s="400"/>
    </row>
    <row r="25" spans="1:16" ht="21" customHeight="1" thickBot="1" x14ac:dyDescent="0.3">
      <c r="A25" s="108"/>
      <c r="B25" s="79"/>
      <c r="C25" s="79"/>
      <c r="D25" s="120"/>
      <c r="E25" s="120"/>
      <c r="F25" s="145">
        <f t="shared" si="13"/>
        <v>0</v>
      </c>
      <c r="L25" s="392">
        <f t="shared" ref="L25:L28" si="14">SUM(B25:E25)-F25</f>
        <v>0</v>
      </c>
      <c r="N25" s="400"/>
    </row>
    <row r="26" spans="1:16" ht="21" customHeight="1" thickBot="1" x14ac:dyDescent="0.3">
      <c r="A26" s="108"/>
      <c r="B26" s="79"/>
      <c r="C26" s="79"/>
      <c r="D26" s="120"/>
      <c r="E26" s="120"/>
      <c r="F26" s="145">
        <f t="shared" si="13"/>
        <v>0</v>
      </c>
      <c r="L26" s="392">
        <f t="shared" si="14"/>
        <v>0</v>
      </c>
      <c r="N26" s="400"/>
    </row>
    <row r="27" spans="1:16" ht="21" customHeight="1" thickBot="1" x14ac:dyDescent="0.3">
      <c r="A27" s="108"/>
      <c r="B27" s="79"/>
      <c r="C27" s="79"/>
      <c r="D27" s="120"/>
      <c r="E27" s="120"/>
      <c r="F27" s="145">
        <f t="shared" si="13"/>
        <v>0</v>
      </c>
      <c r="L27" s="392">
        <f t="shared" si="14"/>
        <v>0</v>
      </c>
      <c r="N27" s="400"/>
    </row>
    <row r="28" spans="1:16" ht="21" customHeight="1" thickBot="1" x14ac:dyDescent="0.3">
      <c r="A28" s="150"/>
      <c r="B28" s="85"/>
      <c r="C28" s="85"/>
      <c r="D28" s="146"/>
      <c r="E28" s="146"/>
      <c r="F28" s="147">
        <f t="shared" si="13"/>
        <v>0</v>
      </c>
      <c r="L28" s="392">
        <f t="shared" si="14"/>
        <v>0</v>
      </c>
      <c r="N28" s="400"/>
    </row>
    <row r="29" spans="1:16" ht="21" customHeight="1" thickTop="1" thickBot="1" x14ac:dyDescent="0.3">
      <c r="A29" s="150" t="s">
        <v>213</v>
      </c>
      <c r="B29" s="85">
        <f>SUM(B30:B34)</f>
        <v>0</v>
      </c>
      <c r="C29" s="85">
        <f>SUM(C30:C34)</f>
        <v>0</v>
      </c>
      <c r="D29" s="85">
        <f t="shared" ref="D29" si="15">SUM(D30:D34)</f>
        <v>0</v>
      </c>
      <c r="E29" s="85">
        <f t="shared" ref="E29" si="16">SUM(E30:E34)</f>
        <v>0</v>
      </c>
      <c r="F29" s="143">
        <f>SUM(B29:E29)</f>
        <v>0</v>
      </c>
      <c r="H29" s="389">
        <f>SUM(B30:B35)-B29</f>
        <v>0</v>
      </c>
      <c r="I29" s="388">
        <f t="shared" ref="I29" si="17">SUM(C30:C35)-C29</f>
        <v>0</v>
      </c>
      <c r="J29" s="388">
        <f t="shared" ref="J29" si="18">SUM(D30:D35)-D29</f>
        <v>0</v>
      </c>
      <c r="K29" s="388">
        <f t="shared" ref="K29" si="19">SUM(E30:E35)-E29</f>
        <v>0</v>
      </c>
      <c r="L29" s="392">
        <f>SUM(B29:E29)-F29</f>
        <v>0</v>
      </c>
      <c r="N29" s="400"/>
      <c r="P29" s="400">
        <f>F29-BS!E106-BS!E108</f>
        <v>-93989</v>
      </c>
    </row>
    <row r="30" spans="1:16" ht="21" customHeight="1" thickTop="1" thickBot="1" x14ac:dyDescent="0.3">
      <c r="A30" s="108"/>
      <c r="B30" s="79"/>
      <c r="C30" s="79"/>
      <c r="D30" s="144"/>
      <c r="E30" s="144"/>
      <c r="F30" s="145">
        <f t="shared" si="13"/>
        <v>0</v>
      </c>
      <c r="L30" s="392">
        <f>SUM(B30:E30)-F30</f>
        <v>0</v>
      </c>
      <c r="N30" s="400"/>
    </row>
    <row r="31" spans="1:16" ht="21" customHeight="1" thickBot="1" x14ac:dyDescent="0.3">
      <c r="A31" s="108"/>
      <c r="B31" s="79"/>
      <c r="C31" s="79"/>
      <c r="D31" s="120"/>
      <c r="E31" s="120"/>
      <c r="F31" s="145">
        <f t="shared" si="13"/>
        <v>0</v>
      </c>
      <c r="L31" s="392">
        <f t="shared" ref="L31:L35" si="20">SUM(B31:E31)-F31</f>
        <v>0</v>
      </c>
      <c r="N31" s="400"/>
    </row>
    <row r="32" spans="1:16" ht="21" customHeight="1" thickBot="1" x14ac:dyDescent="0.3">
      <c r="A32" s="108"/>
      <c r="B32" s="79"/>
      <c r="C32" s="79"/>
      <c r="D32" s="120"/>
      <c r="E32" s="120"/>
      <c r="F32" s="145">
        <f t="shared" si="13"/>
        <v>0</v>
      </c>
      <c r="L32" s="392">
        <f t="shared" si="20"/>
        <v>0</v>
      </c>
      <c r="N32" s="400"/>
    </row>
    <row r="33" spans="1:14" ht="21" customHeight="1" thickBot="1" x14ac:dyDescent="0.3">
      <c r="A33" s="108"/>
      <c r="B33" s="79"/>
      <c r="C33" s="79"/>
      <c r="D33" s="120"/>
      <c r="E33" s="120"/>
      <c r="F33" s="145">
        <f t="shared" si="13"/>
        <v>0</v>
      </c>
      <c r="L33" s="392">
        <f t="shared" si="20"/>
        <v>0</v>
      </c>
      <c r="N33" s="400"/>
    </row>
    <row r="34" spans="1:14" ht="21" customHeight="1" thickBot="1" x14ac:dyDescent="0.3">
      <c r="A34" s="108"/>
      <c r="B34" s="79"/>
      <c r="C34" s="79"/>
      <c r="D34" s="120"/>
      <c r="E34" s="120"/>
      <c r="F34" s="145">
        <f t="shared" si="13"/>
        <v>0</v>
      </c>
      <c r="L34" s="392">
        <f t="shared" si="20"/>
        <v>0</v>
      </c>
      <c r="N34" s="400"/>
    </row>
    <row r="35" spans="1:14" ht="21" customHeight="1" thickBot="1" x14ac:dyDescent="0.3">
      <c r="A35" s="150"/>
      <c r="B35" s="81"/>
      <c r="C35" s="81"/>
      <c r="D35" s="148"/>
      <c r="E35" s="148"/>
      <c r="F35" s="149">
        <f t="shared" si="13"/>
        <v>0</v>
      </c>
      <c r="L35" s="392">
        <f t="shared" si="20"/>
        <v>0</v>
      </c>
      <c r="N35" s="400"/>
    </row>
    <row r="36" spans="1:14" ht="15.75" thickTop="1" x14ac:dyDescent="0.25"/>
  </sheetData>
  <mergeCells count="5">
    <mergeCell ref="B21:F21"/>
    <mergeCell ref="A21:A22"/>
    <mergeCell ref="A3:A4"/>
    <mergeCell ref="B3:F3"/>
    <mergeCell ref="H1:L1"/>
  </mergeCells>
  <conditionalFormatting sqref="H5:K35">
    <cfRule type="cellIs" dxfId="59" priority="31" operator="lessThan">
      <formula>0</formula>
    </cfRule>
    <cfRule type="cellIs" dxfId="58" priority="32" operator="greaterThan">
      <formula>0</formula>
    </cfRule>
  </conditionalFormatting>
  <conditionalFormatting sqref="H5:L36">
    <cfRule type="cellIs" dxfId="57" priority="26" operator="lessThan">
      <formula>0</formula>
    </cfRule>
    <cfRule type="cellIs" dxfId="56" priority="27" operator="greaterThan">
      <formula>0</formula>
    </cfRule>
    <cfRule type="cellIs" priority="28" stopIfTrue="1" operator="greaterThan">
      <formula>0</formula>
    </cfRule>
    <cfRule type="cellIs" priority="29" stopIfTrue="1" operator="greaterThan">
      <formula>0</formula>
    </cfRule>
    <cfRule type="cellIs" priority="30" stopIfTrue="1" operator="greaterThan">
      <formula>0</formula>
    </cfRule>
  </conditionalFormatting>
  <conditionalFormatting sqref="P1">
    <cfRule type="cellIs" priority="25" stopIfTrue="1" operator="greaterThan">
      <formula>0</formula>
    </cfRule>
  </conditionalFormatting>
  <conditionalFormatting sqref="N5:N17">
    <cfRule type="cellIs" dxfId="55" priority="23" operator="lessThan">
      <formula>0</formula>
    </cfRule>
    <cfRule type="cellIs" dxfId="54" priority="24" operator="greaterThan">
      <formula>0</formula>
    </cfRule>
  </conditionalFormatting>
  <conditionalFormatting sqref="P5:P29">
    <cfRule type="cellIs" dxfId="53" priority="21" operator="lessThan">
      <formula>0</formula>
    </cfRule>
    <cfRule type="cellIs" dxfId="52" priority="22" operator="greaterThan">
      <formula>0</formula>
    </cfRule>
  </conditionalFormatting>
  <conditionalFormatting sqref="L5">
    <cfRule type="cellIs" dxfId="51" priority="16" operator="lessThan">
      <formula>0</formula>
    </cfRule>
    <cfRule type="cellIs" dxfId="50" priority="17" operator="greaterThan">
      <formula>0</formula>
    </cfRule>
    <cfRule type="cellIs" priority="18" stopIfTrue="1" operator="greaterThan">
      <formula>0</formula>
    </cfRule>
    <cfRule type="cellIs" priority="19" stopIfTrue="1" operator="greaterThan">
      <formula>0</formula>
    </cfRule>
    <cfRule type="cellIs" priority="20" stopIfTrue="1" operator="greaterThan">
      <formula>0</formula>
    </cfRule>
  </conditionalFormatting>
  <conditionalFormatting sqref="L11">
    <cfRule type="cellIs" dxfId="49" priority="11" operator="lessThan">
      <formula>0</formula>
    </cfRule>
    <cfRule type="cellIs" dxfId="48" priority="12" operator="greaterThan">
      <formula>0</formula>
    </cfRule>
    <cfRule type="cellIs" priority="13" stopIfTrue="1" operator="greaterThan">
      <formula>0</formula>
    </cfRule>
    <cfRule type="cellIs" priority="14" stopIfTrue="1" operator="greaterThan">
      <formula>0</formula>
    </cfRule>
    <cfRule type="cellIs" priority="15" stopIfTrue="1" operator="greaterThan">
      <formula>0</formula>
    </cfRule>
  </conditionalFormatting>
  <conditionalFormatting sqref="L23">
    <cfRule type="cellIs" dxfId="47" priority="6" operator="lessThan">
      <formula>0</formula>
    </cfRule>
    <cfRule type="cellIs" dxfId="46" priority="7" operator="greaterThan">
      <formula>0</formula>
    </cfRule>
    <cfRule type="cellIs" priority="8" stopIfTrue="1" operator="greaterThan">
      <formula>0</formula>
    </cfRule>
    <cfRule type="cellIs" priority="9" stopIfTrue="1" operator="greaterThan">
      <formula>0</formula>
    </cfRule>
    <cfRule type="cellIs" priority="10" stopIfTrue="1" operator="greaterThan">
      <formula>0</formula>
    </cfRule>
  </conditionalFormatting>
  <conditionalFormatting sqref="L29">
    <cfRule type="cellIs" dxfId="45" priority="1" operator="lessThan">
      <formula>0</formula>
    </cfRule>
    <cfRule type="cellIs" dxfId="44" priority="2" operator="greaterThan">
      <formula>0</formula>
    </cfRule>
    <cfRule type="cellIs" priority="3" stopIfTrue="1" operator="greaterThan">
      <formula>0</formula>
    </cfRule>
    <cfRule type="cellIs" priority="4" stopIfTrue="1" operator="greaterThan">
      <formula>0</formula>
    </cfRule>
    <cfRule type="cellIs" priority="5" stopIfTrue="1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I9"/>
  <sheetViews>
    <sheetView showGridLines="0" zoomScaleNormal="100" workbookViewId="0">
      <selection activeCell="A3" sqref="A3:A8"/>
    </sheetView>
  </sheetViews>
  <sheetFormatPr defaultRowHeight="15" x14ac:dyDescent="0.25"/>
  <cols>
    <col min="1" max="1" width="32" customWidth="1"/>
    <col min="2" max="3" width="27.28515625" customWidth="1"/>
    <col min="4" max="4" width="14.140625" customWidth="1"/>
    <col min="5" max="5" width="25.28515625" style="386" customWidth="1"/>
    <col min="6" max="6" width="25.28515625" style="391" customWidth="1"/>
    <col min="7" max="7" width="5.85546875" customWidth="1"/>
    <col min="8" max="8" width="29.42578125" style="386" customWidth="1"/>
    <col min="9" max="9" width="30.85546875" style="391" customWidth="1"/>
  </cols>
  <sheetData>
    <row r="1" spans="1:9" ht="17.25" thickBot="1" x14ac:dyDescent="0.35">
      <c r="A1" s="1" t="s">
        <v>214</v>
      </c>
      <c r="E1" s="1437" t="s">
        <v>1138</v>
      </c>
      <c r="F1" s="1439"/>
      <c r="H1" s="1437" t="s">
        <v>1140</v>
      </c>
      <c r="I1" s="1439"/>
    </row>
    <row r="2" spans="1:9" ht="26.25" customHeight="1" thickTop="1" thickBot="1" x14ac:dyDescent="0.3">
      <c r="A2" s="84" t="s">
        <v>131</v>
      </c>
      <c r="B2" s="38" t="s">
        <v>2</v>
      </c>
      <c r="C2" s="38" t="s">
        <v>3</v>
      </c>
      <c r="E2" s="59" t="s">
        <v>2</v>
      </c>
      <c r="F2" s="177" t="s">
        <v>3</v>
      </c>
      <c r="H2" s="59" t="s">
        <v>2</v>
      </c>
      <c r="I2" s="177" t="s">
        <v>3</v>
      </c>
    </row>
    <row r="3" spans="1:9" ht="20.25" customHeight="1" thickTop="1" thickBot="1" x14ac:dyDescent="0.3">
      <c r="A3" s="14" t="s">
        <v>215</v>
      </c>
      <c r="B3" s="151"/>
      <c r="C3" s="152"/>
    </row>
    <row r="4" spans="1:9" ht="20.25" customHeight="1" thickBot="1" x14ac:dyDescent="0.3">
      <c r="A4" s="14" t="s">
        <v>473</v>
      </c>
      <c r="B4" s="151"/>
      <c r="C4" s="152"/>
    </row>
    <row r="5" spans="1:9" ht="20.25" customHeight="1" thickBot="1" x14ac:dyDescent="0.3">
      <c r="A5" s="44" t="s">
        <v>216</v>
      </c>
      <c r="B5" s="79">
        <f>B3+B4</f>
        <v>0</v>
      </c>
      <c r="C5" s="80">
        <f>C3+C4</f>
        <v>0</v>
      </c>
      <c r="E5" s="389">
        <f>SUM(B3:B4)-B5</f>
        <v>0</v>
      </c>
      <c r="F5" s="392">
        <f>SUM(C3:C4)-C5</f>
        <v>0</v>
      </c>
      <c r="H5" s="389">
        <f>B5-BS!$D$121</f>
        <v>-2405616</v>
      </c>
      <c r="I5" s="392">
        <f>C5-BS!$E$121</f>
        <v>-1916828</v>
      </c>
    </row>
    <row r="6" spans="1:9" ht="20.25" customHeight="1" thickBot="1" x14ac:dyDescent="0.3">
      <c r="A6" s="14" t="s">
        <v>217</v>
      </c>
      <c r="B6" s="79"/>
      <c r="C6" s="80"/>
    </row>
    <row r="7" spans="1:9" ht="20.25" customHeight="1" thickBot="1" x14ac:dyDescent="0.3">
      <c r="A7" s="14" t="s">
        <v>218</v>
      </c>
      <c r="B7" s="153"/>
      <c r="C7" s="126"/>
    </row>
    <row r="8" spans="1:9" ht="20.25" customHeight="1" thickBot="1" x14ac:dyDescent="0.3">
      <c r="A8" s="25" t="s">
        <v>219</v>
      </c>
      <c r="B8" s="146">
        <f>B6+B7</f>
        <v>0</v>
      </c>
      <c r="C8" s="127">
        <f>C6+C7</f>
        <v>0</v>
      </c>
      <c r="E8" s="389">
        <f>SUM(B6:B7)-B8</f>
        <v>0</v>
      </c>
      <c r="F8" s="392">
        <f>SUM(C6:C7)-C8</f>
        <v>0</v>
      </c>
      <c r="H8" s="389">
        <f>B8-BS!$D$109</f>
        <v>-3501</v>
      </c>
      <c r="I8" s="392">
        <f>C8-BS!$E$109</f>
        <v>-9736</v>
      </c>
    </row>
    <row r="9" spans="1:9" ht="15.75" thickTop="1" x14ac:dyDescent="0.25"/>
  </sheetData>
  <mergeCells count="2">
    <mergeCell ref="E1:F1"/>
    <mergeCell ref="H1:I1"/>
  </mergeCells>
  <conditionalFormatting sqref="H1">
    <cfRule type="cellIs" priority="3" stopIfTrue="1" operator="greaterThan">
      <formula>0</formula>
    </cfRule>
  </conditionalFormatting>
  <conditionalFormatting sqref="E3:I12">
    <cfRule type="cellIs" dxfId="43" priority="1" operator="lessThan">
      <formula>0</formula>
    </cfRule>
    <cfRule type="cellIs" dxfId="4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K708"/>
  <sheetViews>
    <sheetView showGridLines="0" tabSelected="1" view="pageBreakPreview" zoomScaleNormal="115" zoomScaleSheetLayoutView="100" workbookViewId="0">
      <pane ySplit="1" topLeftCell="A594" activePane="bottomLeft" state="frozen"/>
      <selection pane="bottomLeft" activeCell="C609" sqref="C609"/>
    </sheetView>
  </sheetViews>
  <sheetFormatPr defaultRowHeight="14.25" customHeight="1" x14ac:dyDescent="0.2"/>
  <cols>
    <col min="1" max="1" width="3.42578125" style="933" customWidth="1"/>
    <col min="2" max="2" width="1.5703125" style="934" customWidth="1"/>
    <col min="3" max="34" width="3.42578125" style="934" customWidth="1"/>
    <col min="35" max="16384" width="9.140625" style="934"/>
  </cols>
  <sheetData>
    <row r="1" spans="1:43" s="643" customFormat="1" ht="15.75" customHeight="1" thickBot="1" x14ac:dyDescent="0.25">
      <c r="A1" s="930" t="s">
        <v>1489</v>
      </c>
      <c r="B1" s="1374" t="s">
        <v>1486</v>
      </c>
      <c r="C1" s="1374"/>
      <c r="D1" s="1374"/>
      <c r="E1" s="1374"/>
      <c r="F1" s="1374"/>
      <c r="G1" s="1374"/>
      <c r="H1" s="1374"/>
      <c r="I1" s="1374"/>
      <c r="J1" s="1374"/>
      <c r="K1" s="1374"/>
      <c r="L1" s="1374"/>
      <c r="M1" s="1374"/>
      <c r="N1" s="1374"/>
      <c r="O1" s="1374"/>
      <c r="P1" s="1374"/>
      <c r="Q1" s="1374"/>
      <c r="R1" s="1374"/>
      <c r="S1" s="1374"/>
      <c r="T1" s="1374"/>
      <c r="U1" s="1374"/>
      <c r="V1" s="1374"/>
      <c r="W1" s="1374"/>
      <c r="X1" s="1374"/>
      <c r="Y1" s="1374"/>
      <c r="Z1" s="1374"/>
      <c r="AA1" s="1374"/>
      <c r="AB1" s="1374"/>
      <c r="AC1" s="1374"/>
      <c r="AD1" s="1374"/>
      <c r="AE1" s="1374"/>
      <c r="AF1" s="1374"/>
      <c r="AG1" s="1374"/>
      <c r="AH1" s="1375"/>
      <c r="AI1" s="1189" t="s">
        <v>1490</v>
      </c>
      <c r="AJ1" s="1180"/>
      <c r="AK1" s="1180"/>
      <c r="AL1" s="1180"/>
      <c r="AM1" s="1190"/>
      <c r="AN1" s="931"/>
      <c r="AO1" s="770" t="s">
        <v>1140</v>
      </c>
      <c r="AP1" s="932"/>
      <c r="AQ1" s="931"/>
    </row>
    <row r="2" spans="1:43" s="635" customFormat="1" ht="16.5" customHeight="1" x14ac:dyDescent="0.2">
      <c r="A2" s="933"/>
      <c r="AI2" s="934"/>
      <c r="AJ2" s="934"/>
      <c r="AK2" s="934"/>
      <c r="AL2" s="934"/>
      <c r="AM2" s="934"/>
      <c r="AN2" s="934"/>
      <c r="AO2" s="934"/>
      <c r="AP2" s="934"/>
      <c r="AQ2" s="934"/>
    </row>
    <row r="3" spans="1:43" s="635" customFormat="1" x14ac:dyDescent="0.2">
      <c r="A3" s="933"/>
      <c r="D3" s="634" t="s">
        <v>1429</v>
      </c>
      <c r="AI3" s="934"/>
      <c r="AJ3" s="934"/>
      <c r="AK3" s="934"/>
      <c r="AL3" s="934"/>
      <c r="AM3" s="934"/>
      <c r="AN3" s="934"/>
      <c r="AO3" s="934"/>
      <c r="AP3" s="934"/>
      <c r="AQ3" s="934"/>
    </row>
    <row r="4" spans="1:43" s="635" customFormat="1" x14ac:dyDescent="0.2">
      <c r="A4" s="933"/>
      <c r="D4" s="634"/>
      <c r="AI4" s="934"/>
      <c r="AJ4" s="934"/>
      <c r="AK4" s="934"/>
      <c r="AL4" s="934"/>
      <c r="AM4" s="934"/>
      <c r="AN4" s="934"/>
      <c r="AO4" s="934"/>
      <c r="AP4" s="934"/>
      <c r="AQ4" s="934"/>
    </row>
    <row r="5" spans="1:43" s="635" customFormat="1" ht="15" customHeight="1" x14ac:dyDescent="0.2">
      <c r="A5" s="933"/>
      <c r="D5" s="1168" t="s">
        <v>1968</v>
      </c>
      <c r="E5" s="1168"/>
      <c r="F5" s="1168"/>
      <c r="G5" s="1168"/>
      <c r="H5" s="1168"/>
      <c r="I5" s="1168"/>
      <c r="J5" s="1168"/>
      <c r="K5" s="1168"/>
      <c r="L5" s="1168"/>
      <c r="M5" s="1168"/>
      <c r="N5" s="1168"/>
      <c r="O5" s="1168"/>
      <c r="P5" s="1168"/>
      <c r="Q5" s="1168"/>
      <c r="R5" s="1168"/>
      <c r="S5" s="1168"/>
      <c r="T5" s="1168"/>
      <c r="U5" s="1168"/>
      <c r="V5" s="1168"/>
      <c r="W5" s="1168"/>
      <c r="X5" s="1168"/>
      <c r="Y5" s="1168"/>
      <c r="Z5" s="1168"/>
      <c r="AA5" s="1168"/>
      <c r="AB5" s="1168"/>
      <c r="AC5" s="1168"/>
      <c r="AD5" s="1168"/>
      <c r="AE5" s="1168"/>
      <c r="AF5" s="1168"/>
      <c r="AG5" s="1168"/>
      <c r="AI5" s="934"/>
      <c r="AJ5" s="934"/>
      <c r="AK5" s="934"/>
      <c r="AL5" s="934"/>
      <c r="AM5" s="934"/>
      <c r="AN5" s="934"/>
      <c r="AO5" s="934"/>
      <c r="AP5" s="934"/>
      <c r="AQ5" s="934"/>
    </row>
    <row r="6" spans="1:43" s="635" customFormat="1" x14ac:dyDescent="0.2">
      <c r="A6" s="933"/>
      <c r="D6" s="1168"/>
      <c r="E6" s="1168"/>
      <c r="F6" s="1168"/>
      <c r="G6" s="1168"/>
      <c r="H6" s="1168"/>
      <c r="I6" s="1168"/>
      <c r="J6" s="1168"/>
      <c r="K6" s="1168"/>
      <c r="L6" s="1168"/>
      <c r="M6" s="1168"/>
      <c r="N6" s="1168"/>
      <c r="O6" s="1168"/>
      <c r="P6" s="1168"/>
      <c r="Q6" s="1168"/>
      <c r="R6" s="1168"/>
      <c r="S6" s="1168"/>
      <c r="T6" s="1168"/>
      <c r="U6" s="1168"/>
      <c r="V6" s="1168"/>
      <c r="W6" s="1168"/>
      <c r="X6" s="1168"/>
      <c r="Y6" s="1168"/>
      <c r="Z6" s="1168"/>
      <c r="AA6" s="1168"/>
      <c r="AB6" s="1168"/>
      <c r="AC6" s="1168"/>
      <c r="AD6" s="1168"/>
      <c r="AE6" s="1168"/>
      <c r="AF6" s="1168"/>
      <c r="AG6" s="1168"/>
      <c r="AI6" s="934"/>
      <c r="AJ6" s="934"/>
      <c r="AK6" s="934"/>
      <c r="AL6" s="934"/>
      <c r="AM6" s="934"/>
      <c r="AN6" s="934"/>
      <c r="AO6" s="934"/>
      <c r="AP6" s="934"/>
      <c r="AQ6" s="934"/>
    </row>
    <row r="7" spans="1:43" s="635" customFormat="1" x14ac:dyDescent="0.2">
      <c r="A7" s="933"/>
      <c r="D7" s="1168"/>
      <c r="E7" s="1168"/>
      <c r="F7" s="1168"/>
      <c r="G7" s="1168"/>
      <c r="H7" s="1168"/>
      <c r="I7" s="1168"/>
      <c r="J7" s="1168"/>
      <c r="K7" s="1168"/>
      <c r="L7" s="1168"/>
      <c r="M7" s="1168"/>
      <c r="N7" s="1168"/>
      <c r="O7" s="1168"/>
      <c r="P7" s="1168"/>
      <c r="Q7" s="1168"/>
      <c r="R7" s="1168"/>
      <c r="S7" s="1168"/>
      <c r="T7" s="1168"/>
      <c r="U7" s="1168"/>
      <c r="V7" s="1168"/>
      <c r="W7" s="1168"/>
      <c r="X7" s="1168"/>
      <c r="Y7" s="1168"/>
      <c r="Z7" s="1168"/>
      <c r="AA7" s="1168"/>
      <c r="AB7" s="1168"/>
      <c r="AC7" s="1168"/>
      <c r="AD7" s="1168"/>
      <c r="AE7" s="1168"/>
      <c r="AF7" s="1168"/>
      <c r="AG7" s="1168"/>
      <c r="AI7" s="934"/>
      <c r="AJ7" s="934"/>
      <c r="AK7" s="934"/>
      <c r="AL7" s="934"/>
      <c r="AM7" s="934"/>
      <c r="AN7" s="934"/>
      <c r="AO7" s="934"/>
      <c r="AP7" s="934"/>
      <c r="AQ7" s="934"/>
    </row>
    <row r="8" spans="1:43" s="635" customFormat="1" x14ac:dyDescent="0.2">
      <c r="A8" s="933"/>
      <c r="D8" s="1168"/>
      <c r="E8" s="1168"/>
      <c r="F8" s="1168"/>
      <c r="G8" s="1168"/>
      <c r="H8" s="1168"/>
      <c r="I8" s="1168"/>
      <c r="J8" s="1168"/>
      <c r="K8" s="1168"/>
      <c r="L8" s="1168"/>
      <c r="M8" s="1168"/>
      <c r="N8" s="1168"/>
      <c r="O8" s="1168"/>
      <c r="P8" s="1168"/>
      <c r="Q8" s="1168"/>
      <c r="R8" s="1168"/>
      <c r="S8" s="1168"/>
      <c r="T8" s="1168"/>
      <c r="U8" s="1168"/>
      <c r="V8" s="1168"/>
      <c r="W8" s="1168"/>
      <c r="X8" s="1168"/>
      <c r="Y8" s="1168"/>
      <c r="Z8" s="1168"/>
      <c r="AA8" s="1168"/>
      <c r="AB8" s="1168"/>
      <c r="AC8" s="1168"/>
      <c r="AD8" s="1168"/>
      <c r="AE8" s="1168"/>
      <c r="AF8" s="1168"/>
      <c r="AG8" s="1168"/>
      <c r="AI8" s="934"/>
      <c r="AJ8" s="934"/>
      <c r="AK8" s="934"/>
      <c r="AL8" s="934"/>
      <c r="AM8" s="934"/>
      <c r="AN8" s="934"/>
      <c r="AO8" s="934"/>
      <c r="AP8" s="934"/>
      <c r="AQ8" s="934"/>
    </row>
    <row r="9" spans="1:43" s="635" customFormat="1" x14ac:dyDescent="0.2">
      <c r="A9" s="933"/>
      <c r="AI9" s="934"/>
      <c r="AJ9" s="934"/>
      <c r="AK9" s="934"/>
      <c r="AL9" s="934"/>
      <c r="AM9" s="934"/>
      <c r="AN9" s="934"/>
      <c r="AO9" s="934"/>
      <c r="AP9" s="934"/>
      <c r="AQ9" s="934"/>
    </row>
    <row r="10" spans="1:43" s="635" customFormat="1" ht="15" customHeight="1" x14ac:dyDescent="0.2">
      <c r="A10" s="933"/>
      <c r="D10" s="1168" t="s">
        <v>1887</v>
      </c>
      <c r="E10" s="1168"/>
      <c r="F10" s="1168"/>
      <c r="G10" s="1168"/>
      <c r="H10" s="1168"/>
      <c r="I10" s="1168"/>
      <c r="J10" s="1168"/>
      <c r="K10" s="1168"/>
      <c r="L10" s="1168"/>
      <c r="M10" s="1168"/>
      <c r="N10" s="1168"/>
      <c r="O10" s="1168"/>
      <c r="P10" s="1168"/>
      <c r="Q10" s="1168"/>
      <c r="R10" s="1168"/>
      <c r="S10" s="1168"/>
      <c r="T10" s="1168"/>
      <c r="U10" s="1168"/>
      <c r="V10" s="1168"/>
      <c r="W10" s="1168"/>
      <c r="X10" s="1168"/>
      <c r="Y10" s="1168"/>
      <c r="Z10" s="1168"/>
      <c r="AA10" s="1168"/>
      <c r="AB10" s="1168"/>
      <c r="AC10" s="1168"/>
      <c r="AD10" s="1168"/>
      <c r="AE10" s="1168"/>
      <c r="AF10" s="1168"/>
      <c r="AG10" s="1168"/>
      <c r="AI10" s="934"/>
      <c r="AJ10" s="934"/>
      <c r="AK10" s="934"/>
      <c r="AL10" s="934"/>
      <c r="AM10" s="934"/>
      <c r="AN10" s="934"/>
      <c r="AO10" s="934"/>
      <c r="AP10" s="934"/>
      <c r="AQ10" s="934"/>
    </row>
    <row r="11" spans="1:43" s="635" customFormat="1" x14ac:dyDescent="0.2">
      <c r="A11" s="933"/>
      <c r="D11" s="1168"/>
      <c r="E11" s="1168"/>
      <c r="F11" s="1168"/>
      <c r="G11" s="1168"/>
      <c r="H11" s="1168"/>
      <c r="I11" s="1168"/>
      <c r="J11" s="1168"/>
      <c r="K11" s="1168"/>
      <c r="L11" s="1168"/>
      <c r="M11" s="1168"/>
      <c r="N11" s="1168"/>
      <c r="O11" s="1168"/>
      <c r="P11" s="1168"/>
      <c r="Q11" s="1168"/>
      <c r="R11" s="1168"/>
      <c r="S11" s="1168"/>
      <c r="T11" s="1168"/>
      <c r="U11" s="1168"/>
      <c r="V11" s="1168"/>
      <c r="W11" s="1168"/>
      <c r="X11" s="1168"/>
      <c r="Y11" s="1168"/>
      <c r="Z11" s="1168"/>
      <c r="AA11" s="1168"/>
      <c r="AB11" s="1168"/>
      <c r="AC11" s="1168"/>
      <c r="AD11" s="1168"/>
      <c r="AE11" s="1168"/>
      <c r="AF11" s="1168"/>
      <c r="AG11" s="1168"/>
      <c r="AI11" s="934"/>
      <c r="AJ11" s="934"/>
      <c r="AK11" s="934"/>
      <c r="AL11" s="934"/>
      <c r="AM11" s="934"/>
      <c r="AN11" s="934"/>
      <c r="AO11" s="934"/>
      <c r="AP11" s="934"/>
      <c r="AQ11" s="934"/>
    </row>
    <row r="12" spans="1:43" s="635" customFormat="1" x14ac:dyDescent="0.2">
      <c r="A12" s="933"/>
      <c r="AI12" s="934"/>
      <c r="AJ12" s="934"/>
      <c r="AK12" s="934"/>
      <c r="AL12" s="934"/>
      <c r="AM12" s="934"/>
      <c r="AN12" s="934"/>
      <c r="AO12" s="934"/>
      <c r="AP12" s="934"/>
      <c r="AQ12" s="934"/>
    </row>
    <row r="13" spans="1:43" s="635" customFormat="1" x14ac:dyDescent="0.2">
      <c r="A13" s="933"/>
      <c r="D13" s="920" t="s">
        <v>1422</v>
      </c>
      <c r="AI13" s="934"/>
      <c r="AJ13" s="934"/>
      <c r="AK13" s="934"/>
      <c r="AL13" s="934"/>
      <c r="AM13" s="934"/>
      <c r="AN13" s="934"/>
      <c r="AO13" s="934"/>
      <c r="AP13" s="934"/>
      <c r="AQ13" s="934"/>
    </row>
    <row r="14" spans="1:43" s="635" customFormat="1" x14ac:dyDescent="0.2">
      <c r="A14" s="933"/>
      <c r="D14" s="920" t="s">
        <v>1423</v>
      </c>
      <c r="E14" s="922" t="s">
        <v>1888</v>
      </c>
      <c r="AI14" s="934"/>
      <c r="AJ14" s="934"/>
      <c r="AK14" s="934"/>
      <c r="AL14" s="934"/>
      <c r="AM14" s="934"/>
      <c r="AN14" s="934"/>
      <c r="AO14" s="934"/>
      <c r="AP14" s="934"/>
      <c r="AQ14" s="934"/>
    </row>
    <row r="15" spans="1:43" s="635" customFormat="1" x14ac:dyDescent="0.2">
      <c r="A15" s="933"/>
      <c r="D15" s="920" t="s">
        <v>532</v>
      </c>
      <c r="E15" s="922" t="s">
        <v>1889</v>
      </c>
      <c r="AI15" s="934"/>
      <c r="AJ15" s="934"/>
      <c r="AK15" s="934"/>
      <c r="AL15" s="934"/>
      <c r="AM15" s="934"/>
      <c r="AN15" s="934"/>
      <c r="AO15" s="934"/>
      <c r="AP15" s="934"/>
      <c r="AQ15" s="934"/>
    </row>
    <row r="16" spans="1:43" s="635" customFormat="1" x14ac:dyDescent="0.2">
      <c r="A16" s="933"/>
      <c r="AI16" s="934"/>
      <c r="AJ16" s="934"/>
      <c r="AK16" s="934"/>
      <c r="AL16" s="934"/>
      <c r="AM16" s="934"/>
      <c r="AN16" s="934"/>
      <c r="AO16" s="934"/>
      <c r="AP16" s="934"/>
      <c r="AQ16" s="934"/>
    </row>
    <row r="17" spans="1:43" s="635" customFormat="1" x14ac:dyDescent="0.2">
      <c r="A17" s="933"/>
      <c r="D17" s="920" t="s">
        <v>1424</v>
      </c>
      <c r="AI17" s="934"/>
      <c r="AJ17" s="934"/>
      <c r="AK17" s="934"/>
      <c r="AL17" s="934"/>
      <c r="AM17" s="934"/>
      <c r="AN17" s="934"/>
      <c r="AO17" s="934"/>
      <c r="AP17" s="934"/>
      <c r="AQ17" s="934"/>
    </row>
    <row r="18" spans="1:43" s="635" customFormat="1" ht="15" thickBot="1" x14ac:dyDescent="0.25">
      <c r="A18" s="933"/>
      <c r="AI18" s="934"/>
      <c r="AJ18" s="934"/>
      <c r="AK18" s="934"/>
      <c r="AL18" s="934"/>
      <c r="AM18" s="934"/>
      <c r="AN18" s="934"/>
      <c r="AO18" s="934"/>
      <c r="AP18" s="934"/>
      <c r="AQ18" s="934"/>
    </row>
    <row r="19" spans="1:43" s="635" customFormat="1" ht="34.5" customHeight="1" thickBot="1" x14ac:dyDescent="0.25">
      <c r="A19" s="933">
        <v>1</v>
      </c>
      <c r="D19" s="1196" t="s">
        <v>1</v>
      </c>
      <c r="E19" s="1196"/>
      <c r="F19" s="1196"/>
      <c r="G19" s="1196"/>
      <c r="H19" s="1196"/>
      <c r="I19" s="1196"/>
      <c r="J19" s="1196"/>
      <c r="K19" s="1196"/>
      <c r="L19" s="1196"/>
      <c r="M19" s="1196"/>
      <c r="N19" s="1196"/>
      <c r="O19" s="1196"/>
      <c r="P19" s="1196" t="s">
        <v>2</v>
      </c>
      <c r="Q19" s="1196"/>
      <c r="R19" s="1196"/>
      <c r="S19" s="1196"/>
      <c r="T19" s="1196"/>
      <c r="U19" s="1196"/>
      <c r="V19" s="1196"/>
      <c r="W19" s="1196"/>
      <c r="X19" s="1196"/>
      <c r="Y19" s="1196" t="s">
        <v>3</v>
      </c>
      <c r="Z19" s="1196"/>
      <c r="AA19" s="1196"/>
      <c r="AB19" s="1196"/>
      <c r="AC19" s="1196"/>
      <c r="AD19" s="1196"/>
      <c r="AE19" s="1196"/>
      <c r="AF19" s="1196"/>
      <c r="AG19" s="1196"/>
      <c r="AI19" s="934"/>
      <c r="AJ19" s="934"/>
      <c r="AK19" s="934"/>
      <c r="AL19" s="934"/>
      <c r="AM19" s="934"/>
      <c r="AN19" s="934"/>
      <c r="AO19" s="934"/>
      <c r="AP19" s="934"/>
      <c r="AQ19" s="934"/>
    </row>
    <row r="20" spans="1:43" s="635" customFormat="1" ht="30" customHeight="1" x14ac:dyDescent="0.2">
      <c r="A20" s="933"/>
      <c r="D20" s="1199" t="s">
        <v>4</v>
      </c>
      <c r="E20" s="1199"/>
      <c r="F20" s="1199"/>
      <c r="G20" s="1199"/>
      <c r="H20" s="1199"/>
      <c r="I20" s="1199"/>
      <c r="J20" s="1199"/>
      <c r="K20" s="1199"/>
      <c r="L20" s="1199"/>
      <c r="M20" s="1199"/>
      <c r="N20" s="1199"/>
      <c r="O20" s="1199"/>
      <c r="P20" s="1195">
        <v>4</v>
      </c>
      <c r="Q20" s="1195"/>
      <c r="R20" s="1195"/>
      <c r="S20" s="1195"/>
      <c r="T20" s="1195"/>
      <c r="U20" s="1195"/>
      <c r="V20" s="1195"/>
      <c r="W20" s="1195"/>
      <c r="X20" s="1195"/>
      <c r="Y20" s="1195">
        <v>3</v>
      </c>
      <c r="Z20" s="1195"/>
      <c r="AA20" s="1195"/>
      <c r="AB20" s="1195"/>
      <c r="AC20" s="1195"/>
      <c r="AD20" s="1195"/>
      <c r="AE20" s="1195"/>
      <c r="AF20" s="1195"/>
      <c r="AG20" s="1195"/>
      <c r="AI20" s="934"/>
      <c r="AJ20" s="934"/>
      <c r="AK20" s="934"/>
      <c r="AL20" s="934"/>
      <c r="AM20" s="934"/>
      <c r="AN20" s="934"/>
      <c r="AO20" s="934"/>
      <c r="AP20" s="934"/>
      <c r="AQ20" s="934"/>
    </row>
    <row r="21" spans="1:43" s="635" customFormat="1" ht="30" customHeight="1" x14ac:dyDescent="0.2">
      <c r="A21" s="933"/>
      <c r="D21" s="1198" t="s">
        <v>5</v>
      </c>
      <c r="E21" s="1198"/>
      <c r="F21" s="1198"/>
      <c r="G21" s="1198"/>
      <c r="H21" s="1198"/>
      <c r="I21" s="1198"/>
      <c r="J21" s="1198"/>
      <c r="K21" s="1198"/>
      <c r="L21" s="1198"/>
      <c r="M21" s="1198"/>
      <c r="N21" s="1198"/>
      <c r="O21" s="1198"/>
      <c r="P21" s="1163">
        <v>5</v>
      </c>
      <c r="Q21" s="1163"/>
      <c r="R21" s="1163"/>
      <c r="S21" s="1163"/>
      <c r="T21" s="1163"/>
      <c r="U21" s="1163"/>
      <c r="V21" s="1163"/>
      <c r="W21" s="1163"/>
      <c r="X21" s="1163"/>
      <c r="Y21" s="1163">
        <v>4</v>
      </c>
      <c r="Z21" s="1163"/>
      <c r="AA21" s="1163"/>
      <c r="AB21" s="1163"/>
      <c r="AC21" s="1163"/>
      <c r="AD21" s="1163"/>
      <c r="AE21" s="1163"/>
      <c r="AF21" s="1163"/>
      <c r="AG21" s="1163"/>
      <c r="AI21" s="934"/>
      <c r="AJ21" s="934"/>
      <c r="AK21" s="934"/>
      <c r="AL21" s="934"/>
      <c r="AM21" s="934"/>
      <c r="AN21" s="934"/>
      <c r="AO21" s="934"/>
      <c r="AP21" s="934"/>
      <c r="AQ21" s="934"/>
    </row>
    <row r="22" spans="1:43" s="635" customFormat="1" ht="30" customHeight="1" thickBot="1" x14ac:dyDescent="0.25">
      <c r="A22" s="933"/>
      <c r="D22" s="1197" t="s">
        <v>6</v>
      </c>
      <c r="E22" s="1197"/>
      <c r="F22" s="1197"/>
      <c r="G22" s="1197"/>
      <c r="H22" s="1197"/>
      <c r="I22" s="1197"/>
      <c r="J22" s="1197"/>
      <c r="K22" s="1197"/>
      <c r="L22" s="1197"/>
      <c r="M22" s="1197"/>
      <c r="N22" s="1197"/>
      <c r="O22" s="1197"/>
      <c r="P22" s="1194">
        <v>0</v>
      </c>
      <c r="Q22" s="1194"/>
      <c r="R22" s="1194"/>
      <c r="S22" s="1194"/>
      <c r="T22" s="1194"/>
      <c r="U22" s="1194"/>
      <c r="V22" s="1194"/>
      <c r="W22" s="1194"/>
      <c r="X22" s="1194"/>
      <c r="Y22" s="1194">
        <v>0</v>
      </c>
      <c r="Z22" s="1194"/>
      <c r="AA22" s="1194"/>
      <c r="AB22" s="1194"/>
      <c r="AC22" s="1194"/>
      <c r="AD22" s="1194"/>
      <c r="AE22" s="1194"/>
      <c r="AF22" s="1194"/>
      <c r="AG22" s="1194"/>
      <c r="AI22" s="934"/>
      <c r="AJ22" s="934"/>
      <c r="AK22" s="934"/>
      <c r="AL22" s="934"/>
      <c r="AM22" s="934"/>
      <c r="AN22" s="934"/>
      <c r="AO22" s="934"/>
      <c r="AP22" s="934"/>
      <c r="AQ22" s="934"/>
    </row>
    <row r="23" spans="1:43" s="635" customFormat="1" x14ac:dyDescent="0.2">
      <c r="A23" s="933"/>
      <c r="AI23" s="934"/>
      <c r="AJ23" s="934"/>
      <c r="AK23" s="934"/>
      <c r="AL23" s="934"/>
      <c r="AM23" s="934"/>
      <c r="AN23" s="934"/>
      <c r="AO23" s="934"/>
      <c r="AP23" s="934"/>
      <c r="AQ23" s="934"/>
    </row>
    <row r="24" spans="1:43" s="635" customFormat="1" x14ac:dyDescent="0.2">
      <c r="A24" s="933"/>
      <c r="AI24" s="934"/>
      <c r="AJ24" s="934"/>
      <c r="AK24" s="934"/>
      <c r="AL24" s="934"/>
      <c r="AM24" s="934"/>
      <c r="AN24" s="934"/>
      <c r="AO24" s="934"/>
      <c r="AP24" s="934"/>
      <c r="AQ24" s="934"/>
    </row>
    <row r="25" spans="1:43" s="635" customFormat="1" ht="15" customHeight="1" x14ac:dyDescent="0.2">
      <c r="A25" s="933"/>
      <c r="D25" s="1191" t="s">
        <v>1890</v>
      </c>
      <c r="E25" s="1191"/>
      <c r="F25" s="1191"/>
      <c r="G25" s="1191"/>
      <c r="H25" s="1191"/>
      <c r="I25" s="1191"/>
      <c r="J25" s="1191"/>
      <c r="K25" s="1191"/>
      <c r="L25" s="1191"/>
      <c r="M25" s="1191"/>
      <c r="N25" s="1191"/>
      <c r="O25" s="1191"/>
      <c r="P25" s="1191"/>
      <c r="Q25" s="1191"/>
      <c r="R25" s="1191"/>
      <c r="S25" s="1191"/>
      <c r="T25" s="1191"/>
      <c r="U25" s="1191"/>
      <c r="V25" s="1191"/>
      <c r="W25" s="1191"/>
      <c r="X25" s="1191"/>
      <c r="Y25" s="1191"/>
      <c r="Z25" s="1191"/>
      <c r="AA25" s="1191"/>
      <c r="AB25" s="1191"/>
      <c r="AC25" s="1191"/>
      <c r="AD25" s="1191"/>
      <c r="AE25" s="1191"/>
      <c r="AF25" s="1191"/>
      <c r="AG25" s="1191"/>
      <c r="AI25" s="934"/>
      <c r="AJ25" s="934"/>
      <c r="AK25" s="934"/>
      <c r="AL25" s="934"/>
      <c r="AM25" s="934"/>
      <c r="AN25" s="934"/>
      <c r="AO25" s="934"/>
      <c r="AP25" s="934"/>
      <c r="AQ25" s="934"/>
    </row>
    <row r="26" spans="1:43" s="635" customFormat="1" x14ac:dyDescent="0.2">
      <c r="A26" s="933"/>
      <c r="D26" s="1191"/>
      <c r="E26" s="1191"/>
      <c r="F26" s="1191"/>
      <c r="G26" s="1191"/>
      <c r="H26" s="1191"/>
      <c r="I26" s="1191"/>
      <c r="J26" s="1191"/>
      <c r="K26" s="1191"/>
      <c r="L26" s="1191"/>
      <c r="M26" s="1191"/>
      <c r="N26" s="1191"/>
      <c r="O26" s="1191"/>
      <c r="P26" s="1191"/>
      <c r="Q26" s="1191"/>
      <c r="R26" s="1191"/>
      <c r="S26" s="1191"/>
      <c r="T26" s="1191"/>
      <c r="U26" s="1191"/>
      <c r="V26" s="1191"/>
      <c r="W26" s="1191"/>
      <c r="X26" s="1191"/>
      <c r="Y26" s="1191"/>
      <c r="Z26" s="1191"/>
      <c r="AA26" s="1191"/>
      <c r="AB26" s="1191"/>
      <c r="AC26" s="1191"/>
      <c r="AD26" s="1191"/>
      <c r="AE26" s="1191"/>
      <c r="AF26" s="1191"/>
      <c r="AG26" s="1191"/>
      <c r="AI26" s="934"/>
      <c r="AJ26" s="934"/>
      <c r="AK26" s="934"/>
      <c r="AL26" s="934"/>
      <c r="AM26" s="934"/>
      <c r="AN26" s="934"/>
      <c r="AO26" s="934"/>
      <c r="AP26" s="934"/>
      <c r="AQ26" s="934"/>
    </row>
    <row r="27" spans="1:43" s="635" customFormat="1" ht="15" thickBot="1" x14ac:dyDescent="0.25">
      <c r="A27" s="933"/>
      <c r="D27" s="919"/>
      <c r="E27" s="919"/>
      <c r="F27" s="919"/>
      <c r="G27" s="919"/>
      <c r="H27" s="919"/>
      <c r="I27" s="919"/>
      <c r="J27" s="919"/>
      <c r="K27" s="919"/>
      <c r="L27" s="919"/>
      <c r="M27" s="919"/>
      <c r="N27" s="919"/>
      <c r="O27" s="919"/>
      <c r="P27" s="919"/>
      <c r="Q27" s="919"/>
      <c r="R27" s="919"/>
      <c r="S27" s="919"/>
      <c r="T27" s="919"/>
      <c r="U27" s="919"/>
      <c r="V27" s="919"/>
      <c r="W27" s="919"/>
      <c r="X27" s="919"/>
      <c r="Y27" s="919"/>
      <c r="Z27" s="919"/>
      <c r="AA27" s="919"/>
      <c r="AB27" s="919"/>
      <c r="AC27" s="919"/>
      <c r="AD27" s="919"/>
      <c r="AE27" s="919"/>
      <c r="AF27" s="919"/>
      <c r="AG27" s="919"/>
      <c r="AI27" s="934"/>
      <c r="AJ27" s="934"/>
      <c r="AK27" s="934"/>
      <c r="AL27" s="934"/>
      <c r="AM27" s="934"/>
      <c r="AN27" s="934"/>
      <c r="AO27" s="934"/>
      <c r="AP27" s="934"/>
      <c r="AQ27" s="934"/>
    </row>
    <row r="28" spans="1:43" s="635" customFormat="1" ht="24.75" customHeight="1" thickBot="1" x14ac:dyDescent="0.25">
      <c r="A28" s="933" t="s">
        <v>1426</v>
      </c>
      <c r="D28" s="1193" t="s">
        <v>1930</v>
      </c>
      <c r="E28" s="1193"/>
      <c r="F28" s="1193"/>
      <c r="G28" s="1193"/>
      <c r="H28" s="1193"/>
      <c r="I28" s="1193"/>
      <c r="J28" s="1193"/>
      <c r="K28" s="1193"/>
      <c r="L28" s="1193"/>
      <c r="M28" s="1193"/>
      <c r="N28" s="1193" t="s">
        <v>10</v>
      </c>
      <c r="O28" s="1193"/>
      <c r="P28" s="1193"/>
      <c r="Q28" s="1193"/>
      <c r="R28" s="1193"/>
      <c r="S28" s="1193"/>
      <c r="T28" s="1193"/>
      <c r="U28" s="1193"/>
      <c r="V28" s="1193"/>
      <c r="W28" s="1193"/>
      <c r="X28" s="1193" t="s">
        <v>11</v>
      </c>
      <c r="Y28" s="1193"/>
      <c r="Z28" s="1193"/>
      <c r="AA28" s="1193"/>
      <c r="AB28" s="1193"/>
      <c r="AC28" s="1193" t="s">
        <v>454</v>
      </c>
      <c r="AD28" s="1193"/>
      <c r="AE28" s="1193"/>
      <c r="AF28" s="1193"/>
      <c r="AG28" s="1193"/>
      <c r="AI28" s="934"/>
      <c r="AJ28" s="934"/>
      <c r="AK28" s="934"/>
      <c r="AL28" s="934"/>
      <c r="AM28" s="934"/>
      <c r="AN28" s="934"/>
      <c r="AO28" s="934"/>
      <c r="AP28" s="934"/>
      <c r="AQ28" s="934"/>
    </row>
    <row r="29" spans="1:43" s="635" customFormat="1" ht="24.75" customHeight="1" thickBot="1" x14ac:dyDescent="0.25">
      <c r="A29" s="933"/>
      <c r="D29" s="1193"/>
      <c r="E29" s="1193"/>
      <c r="F29" s="1193"/>
      <c r="G29" s="1193"/>
      <c r="H29" s="1193"/>
      <c r="I29" s="1193"/>
      <c r="J29" s="1193"/>
      <c r="K29" s="1193"/>
      <c r="L29" s="1193"/>
      <c r="M29" s="1193"/>
      <c r="N29" s="1193" t="s">
        <v>13</v>
      </c>
      <c r="O29" s="1193"/>
      <c r="P29" s="1193"/>
      <c r="Q29" s="1193"/>
      <c r="R29" s="1193"/>
      <c r="S29" s="1193" t="s">
        <v>12</v>
      </c>
      <c r="T29" s="1193"/>
      <c r="U29" s="1193"/>
      <c r="V29" s="1193"/>
      <c r="W29" s="1193"/>
      <c r="X29" s="1193"/>
      <c r="Y29" s="1193"/>
      <c r="Z29" s="1193"/>
      <c r="AA29" s="1193"/>
      <c r="AB29" s="1193"/>
      <c r="AC29" s="1193"/>
      <c r="AD29" s="1193"/>
      <c r="AE29" s="1193"/>
      <c r="AF29" s="1193"/>
      <c r="AG29" s="1193"/>
      <c r="AI29" s="934"/>
      <c r="AJ29" s="934"/>
      <c r="AK29" s="934"/>
      <c r="AL29" s="934"/>
      <c r="AM29" s="934"/>
      <c r="AN29" s="934"/>
      <c r="AO29" s="934"/>
      <c r="AP29" s="934"/>
      <c r="AQ29" s="934"/>
    </row>
    <row r="30" spans="1:43" s="635" customFormat="1" ht="15.75" customHeight="1" x14ac:dyDescent="0.2">
      <c r="A30" s="933"/>
      <c r="D30" s="1192" t="s">
        <v>1891</v>
      </c>
      <c r="E30" s="1192"/>
      <c r="F30" s="1192"/>
      <c r="G30" s="1192"/>
      <c r="H30" s="1192"/>
      <c r="I30" s="1192"/>
      <c r="J30" s="1192"/>
      <c r="K30" s="1192"/>
      <c r="L30" s="1192"/>
      <c r="M30" s="1192"/>
      <c r="N30" s="1200">
        <v>132776</v>
      </c>
      <c r="O30" s="1200"/>
      <c r="P30" s="1200"/>
      <c r="Q30" s="1200"/>
      <c r="R30" s="1200"/>
      <c r="S30" s="1181">
        <v>1</v>
      </c>
      <c r="T30" s="1181"/>
      <c r="U30" s="1181"/>
      <c r="V30" s="1181"/>
      <c r="W30" s="1181"/>
      <c r="X30" s="1181">
        <v>1</v>
      </c>
      <c r="Y30" s="1181"/>
      <c r="Z30" s="1181"/>
      <c r="AA30" s="1181"/>
      <c r="AB30" s="1181"/>
      <c r="AC30" s="1181"/>
      <c r="AD30" s="1181"/>
      <c r="AE30" s="1181"/>
      <c r="AF30" s="1181"/>
      <c r="AG30" s="1181"/>
      <c r="AI30" s="934"/>
      <c r="AJ30" s="934"/>
      <c r="AK30" s="934"/>
      <c r="AL30" s="934"/>
      <c r="AM30" s="934"/>
      <c r="AN30" s="934"/>
      <c r="AO30" s="934"/>
      <c r="AP30" s="934"/>
      <c r="AQ30" s="934"/>
    </row>
    <row r="31" spans="1:43" s="635" customFormat="1" ht="15.75" customHeight="1" x14ac:dyDescent="0.2">
      <c r="A31" s="933"/>
      <c r="D31" s="1186"/>
      <c r="E31" s="1186"/>
      <c r="F31" s="1186"/>
      <c r="G31" s="1186"/>
      <c r="H31" s="1186"/>
      <c r="I31" s="1186"/>
      <c r="J31" s="1186"/>
      <c r="K31" s="1186"/>
      <c r="L31" s="1186"/>
      <c r="M31" s="1186"/>
      <c r="N31" s="1188"/>
      <c r="O31" s="1188"/>
      <c r="P31" s="1188"/>
      <c r="Q31" s="1188"/>
      <c r="R31" s="1188"/>
      <c r="S31" s="1185"/>
      <c r="T31" s="1185"/>
      <c r="U31" s="1185"/>
      <c r="V31" s="1185"/>
      <c r="W31" s="1185"/>
      <c r="X31" s="1185"/>
      <c r="Y31" s="1185"/>
      <c r="Z31" s="1185"/>
      <c r="AA31" s="1185"/>
      <c r="AB31" s="1185"/>
      <c r="AC31" s="1185"/>
      <c r="AD31" s="1185"/>
      <c r="AE31" s="1185"/>
      <c r="AF31" s="1185"/>
      <c r="AG31" s="1185"/>
      <c r="AI31" s="934"/>
      <c r="AJ31" s="934"/>
      <c r="AK31" s="934"/>
      <c r="AL31" s="934"/>
      <c r="AM31" s="934"/>
      <c r="AN31" s="934"/>
      <c r="AO31" s="934"/>
      <c r="AP31" s="934"/>
      <c r="AQ31" s="934"/>
    </row>
    <row r="32" spans="1:43" s="635" customFormat="1" ht="15.75" customHeight="1" x14ac:dyDescent="0.2">
      <c r="A32" s="933"/>
      <c r="D32" s="1186"/>
      <c r="E32" s="1186"/>
      <c r="F32" s="1186"/>
      <c r="G32" s="1186"/>
      <c r="H32" s="1186"/>
      <c r="I32" s="1186"/>
      <c r="J32" s="1186"/>
      <c r="K32" s="1186"/>
      <c r="L32" s="1186"/>
      <c r="M32" s="1186"/>
      <c r="N32" s="1188"/>
      <c r="O32" s="1188"/>
      <c r="P32" s="1188"/>
      <c r="Q32" s="1188"/>
      <c r="R32" s="1188"/>
      <c r="S32" s="1185"/>
      <c r="T32" s="1185"/>
      <c r="U32" s="1185"/>
      <c r="V32" s="1185"/>
      <c r="W32" s="1185"/>
      <c r="X32" s="1185"/>
      <c r="Y32" s="1185"/>
      <c r="Z32" s="1185"/>
      <c r="AA32" s="1185"/>
      <c r="AB32" s="1185"/>
      <c r="AC32" s="1185"/>
      <c r="AD32" s="1185"/>
      <c r="AE32" s="1185"/>
      <c r="AF32" s="1185"/>
      <c r="AG32" s="1185"/>
      <c r="AI32" s="934"/>
      <c r="AJ32" s="934"/>
      <c r="AK32" s="934"/>
      <c r="AL32" s="934"/>
      <c r="AM32" s="934"/>
      <c r="AN32" s="934"/>
      <c r="AO32" s="934"/>
      <c r="AP32" s="934"/>
      <c r="AQ32" s="934"/>
    </row>
    <row r="33" spans="1:43" s="635" customFormat="1" ht="15.75" customHeight="1" x14ac:dyDescent="0.2">
      <c r="A33" s="933"/>
      <c r="D33" s="1186"/>
      <c r="E33" s="1186"/>
      <c r="F33" s="1186"/>
      <c r="G33" s="1186"/>
      <c r="H33" s="1186"/>
      <c r="I33" s="1186"/>
      <c r="J33" s="1186"/>
      <c r="K33" s="1186"/>
      <c r="L33" s="1186"/>
      <c r="M33" s="1186"/>
      <c r="N33" s="1188"/>
      <c r="O33" s="1188"/>
      <c r="P33" s="1188"/>
      <c r="Q33" s="1188"/>
      <c r="R33" s="1188"/>
      <c r="S33" s="1185"/>
      <c r="T33" s="1185"/>
      <c r="U33" s="1185"/>
      <c r="V33" s="1185"/>
      <c r="W33" s="1185"/>
      <c r="X33" s="1185"/>
      <c r="Y33" s="1185"/>
      <c r="Z33" s="1185"/>
      <c r="AA33" s="1185"/>
      <c r="AB33" s="1185"/>
      <c r="AC33" s="1185"/>
      <c r="AD33" s="1185"/>
      <c r="AE33" s="1185"/>
      <c r="AF33" s="1185"/>
      <c r="AG33" s="1185"/>
      <c r="AI33" s="934"/>
      <c r="AJ33" s="934"/>
      <c r="AK33" s="934"/>
      <c r="AL33" s="934"/>
      <c r="AM33" s="934"/>
      <c r="AN33" s="934"/>
      <c r="AO33" s="934"/>
      <c r="AP33" s="934"/>
      <c r="AQ33" s="934"/>
    </row>
    <row r="34" spans="1:43" s="635" customFormat="1" ht="15.75" customHeight="1" x14ac:dyDescent="0.2">
      <c r="A34" s="933"/>
      <c r="D34" s="1186"/>
      <c r="E34" s="1186"/>
      <c r="F34" s="1186"/>
      <c r="G34" s="1186"/>
      <c r="H34" s="1186"/>
      <c r="I34" s="1186"/>
      <c r="J34" s="1186"/>
      <c r="K34" s="1186"/>
      <c r="L34" s="1186"/>
      <c r="M34" s="1186"/>
      <c r="N34" s="1188"/>
      <c r="O34" s="1188"/>
      <c r="P34" s="1188"/>
      <c r="Q34" s="1188"/>
      <c r="R34" s="1188"/>
      <c r="S34" s="1185"/>
      <c r="T34" s="1185"/>
      <c r="U34" s="1185"/>
      <c r="V34" s="1185"/>
      <c r="W34" s="1185"/>
      <c r="X34" s="1185"/>
      <c r="Y34" s="1185"/>
      <c r="Z34" s="1185"/>
      <c r="AA34" s="1185"/>
      <c r="AB34" s="1185"/>
      <c r="AC34" s="1185"/>
      <c r="AD34" s="1185"/>
      <c r="AE34" s="1185"/>
      <c r="AF34" s="1185"/>
      <c r="AG34" s="1185"/>
      <c r="AI34" s="934"/>
      <c r="AJ34" s="934"/>
      <c r="AK34" s="934"/>
      <c r="AL34" s="934"/>
      <c r="AM34" s="934"/>
      <c r="AN34" s="934"/>
      <c r="AO34" s="934"/>
      <c r="AP34" s="934"/>
      <c r="AQ34" s="934"/>
    </row>
    <row r="35" spans="1:43" s="635" customFormat="1" ht="15.75" customHeight="1" thickBot="1" x14ac:dyDescent="0.25">
      <c r="A35" s="933"/>
      <c r="D35" s="1147" t="s">
        <v>14</v>
      </c>
      <c r="E35" s="1148"/>
      <c r="F35" s="1148"/>
      <c r="G35" s="1148"/>
      <c r="H35" s="1148"/>
      <c r="I35" s="1148"/>
      <c r="J35" s="1148"/>
      <c r="K35" s="1148"/>
      <c r="L35" s="1148"/>
      <c r="M35" s="1149"/>
      <c r="N35" s="1187">
        <f>SUM(N30:R34)</f>
        <v>132776</v>
      </c>
      <c r="O35" s="1187"/>
      <c r="P35" s="1187"/>
      <c r="Q35" s="1187"/>
      <c r="R35" s="1187"/>
      <c r="S35" s="1182">
        <f t="shared" ref="S35" si="0">SUM(S30:W34)</f>
        <v>1</v>
      </c>
      <c r="T35" s="1183"/>
      <c r="U35" s="1183"/>
      <c r="V35" s="1183"/>
      <c r="W35" s="1184"/>
      <c r="X35" s="1182">
        <f t="shared" ref="X35" si="1">SUM(X30:AB34)</f>
        <v>1</v>
      </c>
      <c r="Y35" s="1183"/>
      <c r="Z35" s="1183"/>
      <c r="AA35" s="1183"/>
      <c r="AB35" s="1184"/>
      <c r="AC35" s="1182">
        <f t="shared" ref="AC35" si="2">SUM(AC30:AG34)</f>
        <v>0</v>
      </c>
      <c r="AD35" s="1183"/>
      <c r="AE35" s="1183"/>
      <c r="AF35" s="1183"/>
      <c r="AG35" s="1184"/>
      <c r="AI35" s="934"/>
      <c r="AJ35" s="934"/>
      <c r="AK35" s="934"/>
      <c r="AL35" s="934"/>
      <c r="AM35" s="934"/>
      <c r="AN35" s="934"/>
      <c r="AO35" s="934"/>
      <c r="AP35" s="934"/>
      <c r="AQ35" s="934"/>
    </row>
    <row r="36" spans="1:43" s="635" customFormat="1" x14ac:dyDescent="0.2">
      <c r="A36" s="933"/>
      <c r="D36" s="919"/>
      <c r="E36" s="919"/>
      <c r="F36" s="919"/>
      <c r="G36" s="919"/>
      <c r="H36" s="919"/>
      <c r="I36" s="919"/>
      <c r="J36" s="919"/>
      <c r="K36" s="919"/>
      <c r="L36" s="919"/>
      <c r="M36" s="919"/>
      <c r="N36" s="919"/>
      <c r="O36" s="919"/>
      <c r="P36" s="919"/>
      <c r="Q36" s="919"/>
      <c r="R36" s="919"/>
      <c r="S36" s="919"/>
      <c r="T36" s="919"/>
      <c r="U36" s="919"/>
      <c r="V36" s="919"/>
      <c r="W36" s="919"/>
      <c r="X36" s="919"/>
      <c r="Y36" s="919"/>
      <c r="Z36" s="919"/>
      <c r="AA36" s="919"/>
      <c r="AB36" s="919"/>
      <c r="AC36" s="919"/>
      <c r="AD36" s="919"/>
      <c r="AE36" s="919"/>
      <c r="AF36" s="919"/>
      <c r="AG36" s="919"/>
      <c r="AI36" s="934"/>
      <c r="AJ36" s="934"/>
      <c r="AK36" s="934"/>
      <c r="AL36" s="934"/>
      <c r="AM36" s="934"/>
      <c r="AN36" s="934"/>
      <c r="AO36" s="934"/>
      <c r="AP36" s="934"/>
      <c r="AQ36" s="934"/>
    </row>
    <row r="37" spans="1:43" s="635" customFormat="1" ht="14.25" customHeight="1" x14ac:dyDescent="0.2">
      <c r="A37" s="933"/>
      <c r="D37" s="1168" t="s">
        <v>1974</v>
      </c>
      <c r="E37" s="1168"/>
      <c r="F37" s="1168"/>
      <c r="G37" s="1168"/>
      <c r="H37" s="1168"/>
      <c r="I37" s="1168"/>
      <c r="J37" s="1168"/>
      <c r="K37" s="1168"/>
      <c r="L37" s="1168"/>
      <c r="M37" s="1168"/>
      <c r="N37" s="1168"/>
      <c r="O37" s="1168"/>
      <c r="P37" s="1168"/>
      <c r="Q37" s="1168"/>
      <c r="R37" s="1168"/>
      <c r="S37" s="1168"/>
      <c r="T37" s="1168"/>
      <c r="U37" s="1168"/>
      <c r="V37" s="1168"/>
      <c r="W37" s="1168"/>
      <c r="X37" s="1168"/>
      <c r="Y37" s="1168"/>
      <c r="Z37" s="1168"/>
      <c r="AA37" s="1168"/>
      <c r="AB37" s="1168"/>
      <c r="AC37" s="1168"/>
      <c r="AD37" s="1168"/>
      <c r="AE37" s="1168"/>
      <c r="AF37" s="1168"/>
      <c r="AG37" s="1168"/>
      <c r="AI37" s="934"/>
      <c r="AJ37" s="934"/>
      <c r="AK37" s="934"/>
      <c r="AL37" s="934"/>
      <c r="AM37" s="934"/>
      <c r="AN37" s="934"/>
      <c r="AO37" s="934"/>
      <c r="AP37" s="934"/>
      <c r="AQ37" s="934"/>
    </row>
    <row r="38" spans="1:43" s="635" customFormat="1" x14ac:dyDescent="0.2">
      <c r="A38" s="933"/>
      <c r="D38" s="1168"/>
      <c r="E38" s="1168"/>
      <c r="F38" s="1168"/>
      <c r="G38" s="1168"/>
      <c r="H38" s="1168"/>
      <c r="I38" s="1168"/>
      <c r="J38" s="1168"/>
      <c r="K38" s="1168"/>
      <c r="L38" s="1168"/>
      <c r="M38" s="1168"/>
      <c r="N38" s="1168"/>
      <c r="O38" s="1168"/>
      <c r="P38" s="1168"/>
      <c r="Q38" s="1168"/>
      <c r="R38" s="1168"/>
      <c r="S38" s="1168"/>
      <c r="T38" s="1168"/>
      <c r="U38" s="1168"/>
      <c r="V38" s="1168"/>
      <c r="W38" s="1168"/>
      <c r="X38" s="1168"/>
      <c r="Y38" s="1168"/>
      <c r="Z38" s="1168"/>
      <c r="AA38" s="1168"/>
      <c r="AB38" s="1168"/>
      <c r="AC38" s="1168"/>
      <c r="AD38" s="1168"/>
      <c r="AE38" s="1168"/>
      <c r="AF38" s="1168"/>
      <c r="AG38" s="1168"/>
      <c r="AI38" s="934"/>
      <c r="AJ38" s="934"/>
      <c r="AK38" s="934"/>
      <c r="AL38" s="934"/>
      <c r="AM38" s="934"/>
      <c r="AN38" s="934"/>
      <c r="AO38" s="934"/>
      <c r="AP38" s="934"/>
      <c r="AQ38" s="934"/>
    </row>
    <row r="39" spans="1:43" s="635" customFormat="1" x14ac:dyDescent="0.2">
      <c r="A39" s="933"/>
      <c r="D39" s="1168"/>
      <c r="E39" s="1168"/>
      <c r="F39" s="1168"/>
      <c r="G39" s="1168"/>
      <c r="H39" s="1168"/>
      <c r="I39" s="1168"/>
      <c r="J39" s="1168"/>
      <c r="K39" s="1168"/>
      <c r="L39" s="1168"/>
      <c r="M39" s="1168"/>
      <c r="N39" s="1168"/>
      <c r="O39" s="1168"/>
      <c r="P39" s="1168"/>
      <c r="Q39" s="1168"/>
      <c r="R39" s="1168"/>
      <c r="S39" s="1168"/>
      <c r="T39" s="1168"/>
      <c r="U39" s="1168"/>
      <c r="V39" s="1168"/>
      <c r="W39" s="1168"/>
      <c r="X39" s="1168"/>
      <c r="Y39" s="1168"/>
      <c r="Z39" s="1168"/>
      <c r="AA39" s="1168"/>
      <c r="AB39" s="1168"/>
      <c r="AC39" s="1168"/>
      <c r="AD39" s="1168"/>
      <c r="AE39" s="1168"/>
      <c r="AF39" s="1168"/>
      <c r="AG39" s="1168"/>
      <c r="AI39" s="934"/>
      <c r="AJ39" s="934"/>
      <c r="AK39" s="934"/>
      <c r="AL39" s="934"/>
      <c r="AM39" s="934"/>
      <c r="AN39" s="934"/>
      <c r="AO39" s="934"/>
      <c r="AP39" s="934"/>
      <c r="AQ39" s="934"/>
    </row>
    <row r="40" spans="1:43" s="635" customFormat="1" x14ac:dyDescent="0.2">
      <c r="A40" s="933"/>
      <c r="D40" s="1168"/>
      <c r="E40" s="1168"/>
      <c r="F40" s="1168"/>
      <c r="G40" s="1168"/>
      <c r="H40" s="1168"/>
      <c r="I40" s="1168"/>
      <c r="J40" s="1168"/>
      <c r="K40" s="1168"/>
      <c r="L40" s="1168"/>
      <c r="M40" s="1168"/>
      <c r="N40" s="1168"/>
      <c r="O40" s="1168"/>
      <c r="P40" s="1168"/>
      <c r="Q40" s="1168"/>
      <c r="R40" s="1168"/>
      <c r="S40" s="1168"/>
      <c r="T40" s="1168"/>
      <c r="U40" s="1168"/>
      <c r="V40" s="1168"/>
      <c r="W40" s="1168"/>
      <c r="X40" s="1168"/>
      <c r="Y40" s="1168"/>
      <c r="Z40" s="1168"/>
      <c r="AA40" s="1168"/>
      <c r="AB40" s="1168"/>
      <c r="AC40" s="1168"/>
      <c r="AD40" s="1168"/>
      <c r="AE40" s="1168"/>
      <c r="AF40" s="1168"/>
      <c r="AG40" s="1168"/>
      <c r="AI40" s="934"/>
      <c r="AJ40" s="934"/>
      <c r="AK40" s="934"/>
      <c r="AL40" s="934"/>
      <c r="AM40" s="934"/>
      <c r="AN40" s="934"/>
      <c r="AO40" s="934"/>
      <c r="AP40" s="934"/>
      <c r="AQ40" s="934"/>
    </row>
    <row r="41" spans="1:43" s="635" customFormat="1" x14ac:dyDescent="0.2">
      <c r="A41" s="933"/>
      <c r="D41" s="1168"/>
      <c r="E41" s="1168"/>
      <c r="F41" s="1168"/>
      <c r="G41" s="1168"/>
      <c r="H41" s="1168"/>
      <c r="I41" s="1168"/>
      <c r="J41" s="1168"/>
      <c r="K41" s="1168"/>
      <c r="L41" s="1168"/>
      <c r="M41" s="1168"/>
      <c r="N41" s="1168"/>
      <c r="O41" s="1168"/>
      <c r="P41" s="1168"/>
      <c r="Q41" s="1168"/>
      <c r="R41" s="1168"/>
      <c r="S41" s="1168"/>
      <c r="T41" s="1168"/>
      <c r="U41" s="1168"/>
      <c r="V41" s="1168"/>
      <c r="W41" s="1168"/>
      <c r="X41" s="1168"/>
      <c r="Y41" s="1168"/>
      <c r="Z41" s="1168"/>
      <c r="AA41" s="1168"/>
      <c r="AB41" s="1168"/>
      <c r="AC41" s="1168"/>
      <c r="AD41" s="1168"/>
      <c r="AE41" s="1168"/>
      <c r="AF41" s="1168"/>
      <c r="AG41" s="1168"/>
      <c r="AI41" s="934"/>
      <c r="AJ41" s="934"/>
      <c r="AK41" s="934"/>
      <c r="AL41" s="934"/>
      <c r="AM41" s="934"/>
      <c r="AN41" s="934"/>
      <c r="AO41" s="934"/>
      <c r="AP41" s="934"/>
      <c r="AQ41" s="934"/>
    </row>
    <row r="42" spans="1:43" s="635" customFormat="1" x14ac:dyDescent="0.2">
      <c r="A42" s="933"/>
      <c r="AI42" s="934"/>
      <c r="AJ42" s="934"/>
      <c r="AK42" s="934"/>
      <c r="AL42" s="934"/>
      <c r="AM42" s="934"/>
      <c r="AN42" s="934"/>
      <c r="AO42" s="934"/>
      <c r="AP42" s="934"/>
      <c r="AQ42" s="934"/>
    </row>
    <row r="43" spans="1:43" s="635" customFormat="1" ht="14.25" customHeight="1" x14ac:dyDescent="0.2">
      <c r="A43" s="933"/>
      <c r="D43" s="1168" t="s">
        <v>1892</v>
      </c>
      <c r="E43" s="1168"/>
      <c r="F43" s="1168"/>
      <c r="G43" s="1168"/>
      <c r="H43" s="1168"/>
      <c r="I43" s="1168"/>
      <c r="J43" s="1168"/>
      <c r="K43" s="1168"/>
      <c r="L43" s="1168"/>
      <c r="M43" s="1168"/>
      <c r="N43" s="1168"/>
      <c r="O43" s="1168"/>
      <c r="P43" s="1168"/>
      <c r="Q43" s="1168"/>
      <c r="R43" s="1168"/>
      <c r="S43" s="1168"/>
      <c r="T43" s="1168"/>
      <c r="U43" s="1168"/>
      <c r="V43" s="1168"/>
      <c r="W43" s="1168"/>
      <c r="X43" s="1168"/>
      <c r="Y43" s="1168"/>
      <c r="Z43" s="1168"/>
      <c r="AA43" s="1168"/>
      <c r="AB43" s="1168"/>
      <c r="AC43" s="1168"/>
      <c r="AD43" s="1168"/>
      <c r="AE43" s="1168"/>
      <c r="AF43" s="1168"/>
      <c r="AG43" s="1168"/>
      <c r="AI43" s="934"/>
      <c r="AJ43" s="934"/>
      <c r="AK43" s="934"/>
      <c r="AL43" s="934"/>
      <c r="AM43" s="934"/>
      <c r="AN43" s="934"/>
      <c r="AO43" s="934"/>
      <c r="AP43" s="934"/>
      <c r="AQ43" s="934"/>
    </row>
    <row r="44" spans="1:43" s="635" customFormat="1" x14ac:dyDescent="0.2">
      <c r="A44" s="933"/>
      <c r="D44" s="1168"/>
      <c r="E44" s="1168"/>
      <c r="F44" s="1168"/>
      <c r="G44" s="1168"/>
      <c r="H44" s="1168"/>
      <c r="I44" s="1168"/>
      <c r="J44" s="1168"/>
      <c r="K44" s="1168"/>
      <c r="L44" s="1168"/>
      <c r="M44" s="1168"/>
      <c r="N44" s="1168"/>
      <c r="O44" s="1168"/>
      <c r="P44" s="1168"/>
      <c r="Q44" s="1168"/>
      <c r="R44" s="1168"/>
      <c r="S44" s="1168"/>
      <c r="T44" s="1168"/>
      <c r="U44" s="1168"/>
      <c r="V44" s="1168"/>
      <c r="W44" s="1168"/>
      <c r="X44" s="1168"/>
      <c r="Y44" s="1168"/>
      <c r="Z44" s="1168"/>
      <c r="AA44" s="1168"/>
      <c r="AB44" s="1168"/>
      <c r="AC44" s="1168"/>
      <c r="AD44" s="1168"/>
      <c r="AE44" s="1168"/>
      <c r="AF44" s="1168"/>
      <c r="AG44" s="1168"/>
      <c r="AI44" s="934"/>
      <c r="AJ44" s="934"/>
      <c r="AK44" s="934"/>
      <c r="AL44" s="934"/>
      <c r="AM44" s="934"/>
      <c r="AN44" s="934"/>
      <c r="AO44" s="934"/>
      <c r="AP44" s="934"/>
      <c r="AQ44" s="934"/>
    </row>
    <row r="45" spans="1:43" s="635" customFormat="1" x14ac:dyDescent="0.2">
      <c r="A45" s="933"/>
      <c r="AI45" s="934"/>
      <c r="AJ45" s="934"/>
      <c r="AK45" s="934"/>
      <c r="AL45" s="934"/>
      <c r="AM45" s="934"/>
      <c r="AN45" s="934"/>
      <c r="AO45" s="934"/>
      <c r="AP45" s="934"/>
      <c r="AQ45" s="934"/>
    </row>
    <row r="46" spans="1:43" s="635" customFormat="1" x14ac:dyDescent="0.2">
      <c r="A46" s="933"/>
      <c r="D46" s="920" t="s">
        <v>1893</v>
      </c>
      <c r="E46" s="920"/>
      <c r="F46" s="920"/>
      <c r="G46" s="920"/>
      <c r="H46" s="920"/>
      <c r="I46" s="920"/>
      <c r="J46" s="920"/>
      <c r="K46" s="920"/>
      <c r="L46" s="920"/>
      <c r="M46" s="920"/>
      <c r="N46" s="920"/>
      <c r="O46" s="920"/>
      <c r="P46" s="920"/>
      <c r="Q46" s="920"/>
      <c r="R46" s="920"/>
      <c r="S46" s="920"/>
      <c r="T46" s="920"/>
      <c r="U46" s="920"/>
      <c r="V46" s="920"/>
      <c r="W46" s="920"/>
      <c r="X46" s="920"/>
      <c r="Y46" s="920"/>
      <c r="Z46" s="920"/>
      <c r="AA46" s="920"/>
      <c r="AB46" s="920"/>
      <c r="AC46" s="920"/>
      <c r="AD46" s="920"/>
      <c r="AE46" s="920"/>
      <c r="AF46" s="920"/>
      <c r="AG46" s="920"/>
      <c r="AI46" s="934"/>
      <c r="AJ46" s="934"/>
      <c r="AK46" s="934"/>
      <c r="AL46" s="934"/>
      <c r="AM46" s="934"/>
      <c r="AN46" s="934"/>
      <c r="AO46" s="934"/>
      <c r="AP46" s="934"/>
      <c r="AQ46" s="934"/>
    </row>
    <row r="47" spans="1:43" s="635" customFormat="1" x14ac:dyDescent="0.2">
      <c r="A47" s="933"/>
      <c r="AI47" s="934"/>
      <c r="AJ47" s="934"/>
      <c r="AK47" s="934"/>
      <c r="AL47" s="934"/>
      <c r="AM47" s="934"/>
      <c r="AN47" s="934"/>
      <c r="AO47" s="934"/>
      <c r="AP47" s="934"/>
      <c r="AQ47" s="934"/>
    </row>
    <row r="48" spans="1:43" s="635" customFormat="1" ht="15" thickBot="1" x14ac:dyDescent="0.25">
      <c r="A48" s="933"/>
      <c r="D48" s="1180" t="s">
        <v>1934</v>
      </c>
      <c r="E48" s="1180"/>
      <c r="F48" s="1180"/>
      <c r="G48" s="1180"/>
      <c r="H48" s="1180"/>
      <c r="I48" s="1180"/>
      <c r="J48" s="1180"/>
      <c r="K48" s="1180"/>
      <c r="L48" s="1180"/>
      <c r="M48" s="1180"/>
      <c r="N48" s="1180"/>
      <c r="O48" s="1180"/>
      <c r="AI48" s="934"/>
      <c r="AJ48" s="934"/>
      <c r="AK48" s="934"/>
      <c r="AL48" s="934"/>
      <c r="AM48" s="934"/>
      <c r="AN48" s="934"/>
      <c r="AO48" s="934"/>
      <c r="AP48" s="934"/>
      <c r="AQ48" s="934"/>
    </row>
    <row r="49" spans="1:43" s="635" customFormat="1" x14ac:dyDescent="0.2">
      <c r="A49" s="933"/>
      <c r="D49" s="935" t="s">
        <v>1932</v>
      </c>
      <c r="G49" s="934" t="s">
        <v>1894</v>
      </c>
      <c r="H49" s="934"/>
      <c r="I49" s="934"/>
      <c r="J49" s="934"/>
      <c r="K49" s="934"/>
      <c r="L49" s="934"/>
      <c r="AI49" s="934"/>
      <c r="AJ49" s="934"/>
      <c r="AK49" s="934"/>
      <c r="AL49" s="934"/>
      <c r="AM49" s="934"/>
      <c r="AN49" s="934"/>
      <c r="AO49" s="934"/>
      <c r="AP49" s="934"/>
      <c r="AQ49" s="934"/>
    </row>
    <row r="50" spans="1:43" s="635" customFormat="1" x14ac:dyDescent="0.2">
      <c r="A50" s="933"/>
      <c r="D50" s="935" t="s">
        <v>1933</v>
      </c>
      <c r="G50" s="934" t="s">
        <v>1895</v>
      </c>
      <c r="H50" s="934"/>
      <c r="I50" s="934"/>
      <c r="J50" s="934"/>
      <c r="K50" s="934"/>
      <c r="L50" s="934"/>
      <c r="AI50" s="934"/>
      <c r="AJ50" s="934"/>
      <c r="AK50" s="934"/>
      <c r="AL50" s="934"/>
      <c r="AM50" s="934"/>
      <c r="AN50" s="934"/>
      <c r="AO50" s="934"/>
      <c r="AP50" s="934"/>
      <c r="AQ50" s="934"/>
    </row>
    <row r="51" spans="1:43" s="635" customFormat="1" x14ac:dyDescent="0.2">
      <c r="A51" s="933"/>
      <c r="AI51" s="934"/>
      <c r="AJ51" s="934"/>
      <c r="AK51" s="934"/>
      <c r="AL51" s="934"/>
      <c r="AM51" s="934"/>
      <c r="AN51" s="934"/>
      <c r="AO51" s="934"/>
      <c r="AP51" s="934"/>
      <c r="AQ51" s="934"/>
    </row>
    <row r="52" spans="1:43" s="635" customFormat="1" ht="15" thickBot="1" x14ac:dyDescent="0.25">
      <c r="A52" s="933"/>
      <c r="D52" s="1180" t="s">
        <v>1425</v>
      </c>
      <c r="E52" s="1180"/>
      <c r="F52" s="1180"/>
      <c r="G52" s="1180"/>
      <c r="H52" s="1180"/>
      <c r="I52" s="1180"/>
      <c r="J52" s="1180"/>
      <c r="K52" s="1180"/>
      <c r="L52" s="1180"/>
      <c r="M52" s="1180"/>
      <c r="N52" s="1180"/>
      <c r="O52" s="1180"/>
      <c r="AI52" s="934"/>
      <c r="AJ52" s="934"/>
      <c r="AK52" s="934"/>
      <c r="AL52" s="934"/>
      <c r="AM52" s="934"/>
      <c r="AN52" s="934"/>
      <c r="AO52" s="934"/>
      <c r="AP52" s="934"/>
      <c r="AQ52" s="934"/>
    </row>
    <row r="53" spans="1:43" s="635" customFormat="1" x14ac:dyDescent="0.2">
      <c r="A53" s="933"/>
      <c r="D53" s="936"/>
      <c r="E53" s="936"/>
      <c r="F53" s="936"/>
      <c r="G53" s="936"/>
      <c r="H53" s="936" t="s">
        <v>1931</v>
      </c>
      <c r="I53" s="936"/>
      <c r="J53" s="936"/>
      <c r="K53" s="936"/>
      <c r="L53" s="936"/>
      <c r="M53" s="936"/>
      <c r="N53" s="936"/>
      <c r="O53" s="936"/>
      <c r="AI53" s="934"/>
      <c r="AJ53" s="934"/>
      <c r="AK53" s="934"/>
      <c r="AL53" s="934"/>
      <c r="AM53" s="934"/>
      <c r="AN53" s="934"/>
      <c r="AO53" s="934"/>
      <c r="AP53" s="934"/>
      <c r="AQ53" s="934"/>
    </row>
    <row r="54" spans="1:43" s="635" customFormat="1" x14ac:dyDescent="0.2">
      <c r="A54" s="933"/>
      <c r="AI54" s="934"/>
      <c r="AJ54" s="934"/>
      <c r="AK54" s="934"/>
      <c r="AL54" s="934"/>
      <c r="AM54" s="934"/>
      <c r="AN54" s="934"/>
      <c r="AO54" s="934"/>
      <c r="AP54" s="934"/>
      <c r="AQ54" s="934"/>
    </row>
    <row r="55" spans="1:43" s="635" customFormat="1" ht="14.25" customHeight="1" x14ac:dyDescent="0.2">
      <c r="A55" s="933"/>
      <c r="D55" s="1168" t="s">
        <v>1999</v>
      </c>
      <c r="E55" s="1168"/>
      <c r="F55" s="1168"/>
      <c r="G55" s="1168"/>
      <c r="H55" s="1168"/>
      <c r="I55" s="1168"/>
      <c r="J55" s="1168"/>
      <c r="K55" s="1168"/>
      <c r="L55" s="1168"/>
      <c r="M55" s="1168"/>
      <c r="N55" s="1168"/>
      <c r="O55" s="1168"/>
      <c r="P55" s="1168"/>
      <c r="Q55" s="1168"/>
      <c r="R55" s="1168"/>
      <c r="S55" s="1168"/>
      <c r="T55" s="1168"/>
      <c r="U55" s="1168"/>
      <c r="V55" s="1168"/>
      <c r="W55" s="1168"/>
      <c r="X55" s="1168"/>
      <c r="Y55" s="1168"/>
      <c r="Z55" s="1168"/>
      <c r="AA55" s="1168"/>
      <c r="AB55" s="1168"/>
      <c r="AC55" s="1168"/>
      <c r="AD55" s="1168"/>
      <c r="AE55" s="1168"/>
      <c r="AF55" s="1168"/>
      <c r="AG55" s="1168"/>
      <c r="AI55" s="934"/>
      <c r="AJ55" s="934"/>
      <c r="AK55" s="934"/>
      <c r="AL55" s="934"/>
      <c r="AM55" s="934"/>
      <c r="AN55" s="934"/>
      <c r="AO55" s="934"/>
      <c r="AP55" s="934"/>
      <c r="AQ55" s="934"/>
    </row>
    <row r="56" spans="1:43" s="635" customFormat="1" ht="14.25" customHeight="1" x14ac:dyDescent="0.2">
      <c r="A56" s="933"/>
      <c r="D56" s="923"/>
      <c r="E56" s="923"/>
      <c r="F56" s="923"/>
      <c r="G56" s="923"/>
      <c r="H56" s="923"/>
      <c r="I56" s="923"/>
      <c r="J56" s="923"/>
      <c r="K56" s="923"/>
      <c r="L56" s="923"/>
      <c r="M56" s="923"/>
      <c r="N56" s="923"/>
      <c r="O56" s="923"/>
      <c r="P56" s="923"/>
      <c r="Q56" s="923"/>
      <c r="R56" s="923"/>
      <c r="S56" s="923"/>
      <c r="T56" s="923"/>
      <c r="U56" s="923"/>
      <c r="V56" s="923"/>
      <c r="W56" s="923"/>
      <c r="X56" s="923"/>
      <c r="Y56" s="923"/>
      <c r="Z56" s="923"/>
      <c r="AA56" s="923"/>
      <c r="AB56" s="923"/>
      <c r="AC56" s="923"/>
      <c r="AD56" s="923"/>
      <c r="AE56" s="923"/>
      <c r="AF56" s="923"/>
      <c r="AG56" s="923"/>
      <c r="AI56" s="934"/>
      <c r="AJ56" s="934"/>
      <c r="AK56" s="934"/>
      <c r="AL56" s="934"/>
      <c r="AM56" s="934"/>
      <c r="AN56" s="934"/>
      <c r="AO56" s="934"/>
      <c r="AP56" s="934"/>
      <c r="AQ56" s="934"/>
    </row>
    <row r="57" spans="1:43" s="635" customFormat="1" x14ac:dyDescent="0.2">
      <c r="A57" s="933"/>
      <c r="D57" s="634" t="s">
        <v>1428</v>
      </c>
      <c r="AI57" s="934"/>
      <c r="AJ57" s="934"/>
      <c r="AK57" s="934"/>
      <c r="AL57" s="934"/>
      <c r="AM57" s="934"/>
      <c r="AN57" s="934"/>
      <c r="AO57" s="934"/>
      <c r="AP57" s="934"/>
      <c r="AQ57" s="934"/>
    </row>
    <row r="58" spans="1:43" s="635" customFormat="1" x14ac:dyDescent="0.2">
      <c r="A58" s="933"/>
      <c r="AI58" s="934"/>
      <c r="AJ58" s="934"/>
      <c r="AK58" s="934"/>
      <c r="AL58" s="934"/>
      <c r="AM58" s="934"/>
      <c r="AN58" s="934"/>
      <c r="AO58" s="934"/>
      <c r="AP58" s="934"/>
      <c r="AQ58" s="934"/>
    </row>
    <row r="59" spans="1:43" s="635" customFormat="1" x14ac:dyDescent="0.2">
      <c r="A59" s="933"/>
      <c r="D59" s="1168" t="s">
        <v>1975</v>
      </c>
      <c r="E59" s="1168"/>
      <c r="F59" s="1168"/>
      <c r="G59" s="1168"/>
      <c r="H59" s="1168"/>
      <c r="I59" s="1168"/>
      <c r="J59" s="1168"/>
      <c r="K59" s="1168"/>
      <c r="L59" s="1168"/>
      <c r="M59" s="1168"/>
      <c r="N59" s="1168"/>
      <c r="O59" s="1168"/>
      <c r="P59" s="1168"/>
      <c r="Q59" s="1168"/>
      <c r="R59" s="1168"/>
      <c r="S59" s="1168"/>
      <c r="T59" s="1168"/>
      <c r="U59" s="1168"/>
      <c r="V59" s="1168"/>
      <c r="W59" s="1168"/>
      <c r="X59" s="1168"/>
      <c r="Y59" s="1168"/>
      <c r="Z59" s="1168"/>
      <c r="AA59" s="1168"/>
      <c r="AB59" s="1168"/>
      <c r="AC59" s="1168"/>
      <c r="AD59" s="1168"/>
      <c r="AE59" s="1168"/>
      <c r="AF59" s="1168"/>
      <c r="AG59" s="1168"/>
      <c r="AI59" s="934"/>
      <c r="AJ59" s="934"/>
      <c r="AK59" s="934"/>
      <c r="AL59" s="934"/>
      <c r="AM59" s="934"/>
      <c r="AN59" s="934"/>
      <c r="AO59" s="934"/>
      <c r="AP59" s="934"/>
      <c r="AQ59" s="934"/>
    </row>
    <row r="60" spans="1:43" s="635" customFormat="1" x14ac:dyDescent="0.2">
      <c r="A60" s="933"/>
      <c r="D60" s="1168"/>
      <c r="E60" s="1168"/>
      <c r="F60" s="1168"/>
      <c r="G60" s="1168"/>
      <c r="H60" s="1168"/>
      <c r="I60" s="1168"/>
      <c r="J60" s="1168"/>
      <c r="K60" s="1168"/>
      <c r="L60" s="1168"/>
      <c r="M60" s="1168"/>
      <c r="N60" s="1168"/>
      <c r="O60" s="1168"/>
      <c r="P60" s="1168"/>
      <c r="Q60" s="1168"/>
      <c r="R60" s="1168"/>
      <c r="S60" s="1168"/>
      <c r="T60" s="1168"/>
      <c r="U60" s="1168"/>
      <c r="V60" s="1168"/>
      <c r="W60" s="1168"/>
      <c r="X60" s="1168"/>
      <c r="Y60" s="1168"/>
      <c r="Z60" s="1168"/>
      <c r="AA60" s="1168"/>
      <c r="AB60" s="1168"/>
      <c r="AC60" s="1168"/>
      <c r="AD60" s="1168"/>
      <c r="AE60" s="1168"/>
      <c r="AF60" s="1168"/>
      <c r="AG60" s="1168"/>
      <c r="AI60" s="934"/>
      <c r="AJ60" s="934"/>
      <c r="AK60" s="934"/>
      <c r="AL60" s="934"/>
      <c r="AM60" s="934"/>
      <c r="AN60" s="934"/>
      <c r="AO60" s="934"/>
      <c r="AP60" s="934"/>
      <c r="AQ60" s="934"/>
    </row>
    <row r="61" spans="1:43" s="635" customFormat="1" x14ac:dyDescent="0.2">
      <c r="A61" s="933"/>
      <c r="AI61" s="934"/>
      <c r="AJ61" s="934"/>
      <c r="AK61" s="934"/>
      <c r="AL61" s="934"/>
      <c r="AM61" s="934"/>
      <c r="AN61" s="934"/>
      <c r="AO61" s="934"/>
      <c r="AP61" s="934"/>
      <c r="AQ61" s="934"/>
    </row>
    <row r="62" spans="1:43" s="635" customFormat="1" x14ac:dyDescent="0.2">
      <c r="A62" s="933"/>
      <c r="D62" s="1168" t="s">
        <v>1976</v>
      </c>
      <c r="E62" s="1168"/>
      <c r="F62" s="1168"/>
      <c r="G62" s="1168"/>
      <c r="H62" s="1168"/>
      <c r="I62" s="1168"/>
      <c r="J62" s="1168"/>
      <c r="K62" s="1168"/>
      <c r="L62" s="1168"/>
      <c r="M62" s="1168"/>
      <c r="N62" s="1168"/>
      <c r="O62" s="1168"/>
      <c r="P62" s="1168"/>
      <c r="Q62" s="1168"/>
      <c r="R62" s="1168"/>
      <c r="S62" s="1168"/>
      <c r="T62" s="1168"/>
      <c r="U62" s="1168"/>
      <c r="V62" s="1168"/>
      <c r="W62" s="1168"/>
      <c r="X62" s="1168"/>
      <c r="Y62" s="1168"/>
      <c r="Z62" s="1168"/>
      <c r="AA62" s="1168"/>
      <c r="AB62" s="1168"/>
      <c r="AC62" s="1168"/>
      <c r="AD62" s="1168"/>
      <c r="AE62" s="1168"/>
      <c r="AF62" s="1168"/>
      <c r="AG62" s="1168"/>
      <c r="AI62" s="934"/>
      <c r="AJ62" s="934"/>
      <c r="AK62" s="934"/>
      <c r="AL62" s="934"/>
      <c r="AM62" s="934"/>
      <c r="AN62" s="934"/>
      <c r="AO62" s="934"/>
      <c r="AP62" s="934"/>
      <c r="AQ62" s="934"/>
    </row>
    <row r="63" spans="1:43" s="635" customFormat="1" x14ac:dyDescent="0.2">
      <c r="A63" s="933"/>
      <c r="D63" s="1168"/>
      <c r="E63" s="1168"/>
      <c r="F63" s="1168"/>
      <c r="G63" s="1168"/>
      <c r="H63" s="1168"/>
      <c r="I63" s="1168"/>
      <c r="J63" s="1168"/>
      <c r="K63" s="1168"/>
      <c r="L63" s="1168"/>
      <c r="M63" s="1168"/>
      <c r="N63" s="1168"/>
      <c r="O63" s="1168"/>
      <c r="P63" s="1168"/>
      <c r="Q63" s="1168"/>
      <c r="R63" s="1168"/>
      <c r="S63" s="1168"/>
      <c r="T63" s="1168"/>
      <c r="U63" s="1168"/>
      <c r="V63" s="1168"/>
      <c r="W63" s="1168"/>
      <c r="X63" s="1168"/>
      <c r="Y63" s="1168"/>
      <c r="Z63" s="1168"/>
      <c r="AA63" s="1168"/>
      <c r="AB63" s="1168"/>
      <c r="AC63" s="1168"/>
      <c r="AD63" s="1168"/>
      <c r="AE63" s="1168"/>
      <c r="AF63" s="1168"/>
      <c r="AG63" s="1168"/>
      <c r="AI63" s="934"/>
      <c r="AJ63" s="934"/>
      <c r="AK63" s="934"/>
      <c r="AL63" s="934"/>
      <c r="AM63" s="934"/>
      <c r="AN63" s="934"/>
      <c r="AO63" s="934"/>
      <c r="AP63" s="934"/>
      <c r="AQ63" s="934"/>
    </row>
    <row r="64" spans="1:43" s="635" customFormat="1" x14ac:dyDescent="0.2">
      <c r="A64" s="933"/>
      <c r="AI64" s="934"/>
      <c r="AJ64" s="934"/>
      <c r="AK64" s="934"/>
      <c r="AL64" s="934"/>
      <c r="AM64" s="934"/>
      <c r="AN64" s="934"/>
      <c r="AO64" s="934"/>
      <c r="AP64" s="934"/>
      <c r="AQ64" s="934"/>
    </row>
    <row r="65" spans="1:43" s="635" customFormat="1" x14ac:dyDescent="0.2">
      <c r="A65" s="933"/>
      <c r="D65" s="634" t="s">
        <v>1427</v>
      </c>
      <c r="AI65" s="934"/>
      <c r="AJ65" s="934"/>
      <c r="AK65" s="934"/>
      <c r="AL65" s="934"/>
      <c r="AM65" s="934"/>
      <c r="AN65" s="934"/>
      <c r="AO65" s="934"/>
      <c r="AP65" s="934"/>
      <c r="AQ65" s="934"/>
    </row>
    <row r="66" spans="1:43" s="635" customFormat="1" x14ac:dyDescent="0.2">
      <c r="A66" s="933"/>
      <c r="AI66" s="934"/>
      <c r="AJ66" s="934"/>
      <c r="AK66" s="934"/>
      <c r="AL66" s="934"/>
      <c r="AM66" s="934"/>
      <c r="AN66" s="934"/>
      <c r="AO66" s="934"/>
      <c r="AP66" s="934"/>
      <c r="AQ66" s="934"/>
    </row>
    <row r="67" spans="1:43" s="635" customFormat="1" x14ac:dyDescent="0.2">
      <c r="A67" s="933"/>
      <c r="D67" s="1168" t="s">
        <v>1896</v>
      </c>
      <c r="E67" s="1168"/>
      <c r="F67" s="1168"/>
      <c r="G67" s="1168"/>
      <c r="H67" s="1168"/>
      <c r="I67" s="1168"/>
      <c r="J67" s="1168"/>
      <c r="K67" s="1168"/>
      <c r="L67" s="1168"/>
      <c r="M67" s="1168"/>
      <c r="N67" s="1168"/>
      <c r="O67" s="1168"/>
      <c r="P67" s="1168"/>
      <c r="Q67" s="1168"/>
      <c r="R67" s="1168"/>
      <c r="S67" s="1168"/>
      <c r="T67" s="1168"/>
      <c r="U67" s="1168"/>
      <c r="V67" s="1168"/>
      <c r="W67" s="1168"/>
      <c r="X67" s="1168"/>
      <c r="Y67" s="1168"/>
      <c r="Z67" s="1168"/>
      <c r="AA67" s="1168"/>
      <c r="AB67" s="1168"/>
      <c r="AC67" s="1168"/>
      <c r="AD67" s="1168"/>
      <c r="AE67" s="1168"/>
      <c r="AF67" s="1168"/>
      <c r="AG67" s="1168"/>
      <c r="AI67" s="934"/>
      <c r="AJ67" s="934"/>
      <c r="AK67" s="934"/>
      <c r="AL67" s="934"/>
      <c r="AM67" s="934"/>
      <c r="AN67" s="934"/>
      <c r="AO67" s="934"/>
      <c r="AP67" s="934"/>
      <c r="AQ67" s="934"/>
    </row>
    <row r="68" spans="1:43" s="635" customFormat="1" x14ac:dyDescent="0.2">
      <c r="A68" s="933"/>
      <c r="D68" s="1168"/>
      <c r="E68" s="1168"/>
      <c r="F68" s="1168"/>
      <c r="G68" s="1168"/>
      <c r="H68" s="1168"/>
      <c r="I68" s="1168"/>
      <c r="J68" s="1168"/>
      <c r="K68" s="1168"/>
      <c r="L68" s="1168"/>
      <c r="M68" s="1168"/>
      <c r="N68" s="1168"/>
      <c r="O68" s="1168"/>
      <c r="P68" s="1168"/>
      <c r="Q68" s="1168"/>
      <c r="R68" s="1168"/>
      <c r="S68" s="1168"/>
      <c r="T68" s="1168"/>
      <c r="U68" s="1168"/>
      <c r="V68" s="1168"/>
      <c r="W68" s="1168"/>
      <c r="X68" s="1168"/>
      <c r="Y68" s="1168"/>
      <c r="Z68" s="1168"/>
      <c r="AA68" s="1168"/>
      <c r="AB68" s="1168"/>
      <c r="AC68" s="1168"/>
      <c r="AD68" s="1168"/>
      <c r="AE68" s="1168"/>
      <c r="AF68" s="1168"/>
      <c r="AG68" s="1168"/>
      <c r="AI68" s="934"/>
      <c r="AJ68" s="934"/>
      <c r="AK68" s="934"/>
      <c r="AL68" s="934"/>
      <c r="AM68" s="934"/>
      <c r="AN68" s="934"/>
      <c r="AO68" s="934"/>
      <c r="AP68" s="934"/>
      <c r="AQ68" s="934"/>
    </row>
    <row r="69" spans="1:43" s="635" customFormat="1" x14ac:dyDescent="0.2">
      <c r="A69" s="933"/>
      <c r="D69" s="634" t="s">
        <v>1935</v>
      </c>
      <c r="AI69" s="934"/>
      <c r="AJ69" s="934"/>
      <c r="AK69" s="934"/>
      <c r="AL69" s="934"/>
      <c r="AM69" s="934"/>
      <c r="AN69" s="934"/>
      <c r="AO69" s="934"/>
      <c r="AP69" s="934"/>
      <c r="AQ69" s="934"/>
    </row>
    <row r="70" spans="1:43" s="635" customFormat="1" x14ac:dyDescent="0.2">
      <c r="A70" s="933"/>
      <c r="AI70" s="934"/>
      <c r="AJ70" s="934"/>
      <c r="AK70" s="934"/>
      <c r="AL70" s="934"/>
      <c r="AM70" s="934"/>
      <c r="AN70" s="934"/>
      <c r="AO70" s="934"/>
      <c r="AP70" s="934"/>
      <c r="AQ70" s="934"/>
    </row>
    <row r="71" spans="1:43" s="635" customFormat="1" x14ac:dyDescent="0.2">
      <c r="A71" s="933"/>
      <c r="D71" s="1168" t="s">
        <v>1435</v>
      </c>
      <c r="E71" s="1168"/>
      <c r="F71" s="1168"/>
      <c r="G71" s="1168"/>
      <c r="H71" s="1168"/>
      <c r="I71" s="1168"/>
      <c r="J71" s="1168"/>
      <c r="K71" s="1168"/>
      <c r="L71" s="1168"/>
      <c r="M71" s="1168"/>
      <c r="N71" s="1168"/>
      <c r="O71" s="1168"/>
      <c r="P71" s="1168"/>
      <c r="Q71" s="1168"/>
      <c r="R71" s="1168"/>
      <c r="S71" s="1168"/>
      <c r="T71" s="1168"/>
      <c r="U71" s="1168"/>
      <c r="V71" s="1168"/>
      <c r="W71" s="1168"/>
      <c r="X71" s="1168"/>
      <c r="Y71" s="1168"/>
      <c r="Z71" s="1168"/>
      <c r="AA71" s="1168"/>
      <c r="AB71" s="1168"/>
      <c r="AC71" s="1168"/>
      <c r="AD71" s="1168"/>
      <c r="AE71" s="1168"/>
      <c r="AF71" s="1168"/>
      <c r="AG71" s="1168"/>
      <c r="AI71" s="934"/>
      <c r="AJ71" s="934"/>
      <c r="AK71" s="934"/>
      <c r="AL71" s="934"/>
      <c r="AM71" s="934"/>
      <c r="AN71" s="934"/>
      <c r="AO71" s="934"/>
      <c r="AP71" s="934"/>
      <c r="AQ71" s="934"/>
    </row>
    <row r="72" spans="1:43" s="635" customFormat="1" x14ac:dyDescent="0.2">
      <c r="A72" s="933"/>
      <c r="D72" s="1168"/>
      <c r="E72" s="1168"/>
      <c r="F72" s="1168"/>
      <c r="G72" s="1168"/>
      <c r="H72" s="1168"/>
      <c r="I72" s="1168"/>
      <c r="J72" s="1168"/>
      <c r="K72" s="1168"/>
      <c r="L72" s="1168"/>
      <c r="M72" s="1168"/>
      <c r="N72" s="1168"/>
      <c r="O72" s="1168"/>
      <c r="P72" s="1168"/>
      <c r="Q72" s="1168"/>
      <c r="R72" s="1168"/>
      <c r="S72" s="1168"/>
      <c r="T72" s="1168"/>
      <c r="U72" s="1168"/>
      <c r="V72" s="1168"/>
      <c r="W72" s="1168"/>
      <c r="X72" s="1168"/>
      <c r="Y72" s="1168"/>
      <c r="Z72" s="1168"/>
      <c r="AA72" s="1168"/>
      <c r="AB72" s="1168"/>
      <c r="AC72" s="1168"/>
      <c r="AD72" s="1168"/>
      <c r="AE72" s="1168"/>
      <c r="AF72" s="1168"/>
      <c r="AG72" s="1168"/>
      <c r="AI72" s="934"/>
      <c r="AJ72" s="934"/>
      <c r="AK72" s="934"/>
      <c r="AL72" s="934"/>
      <c r="AM72" s="934"/>
      <c r="AN72" s="934"/>
      <c r="AO72" s="934"/>
      <c r="AP72" s="934"/>
      <c r="AQ72" s="934"/>
    </row>
    <row r="73" spans="1:43" s="635" customFormat="1" x14ac:dyDescent="0.2">
      <c r="A73" s="933"/>
      <c r="AI73" s="934"/>
      <c r="AJ73" s="934"/>
      <c r="AK73" s="934"/>
      <c r="AL73" s="934"/>
      <c r="AM73" s="934"/>
      <c r="AN73" s="934"/>
      <c r="AO73" s="934"/>
      <c r="AP73" s="934"/>
      <c r="AQ73" s="934"/>
    </row>
    <row r="74" spans="1:43" s="635" customFormat="1" x14ac:dyDescent="0.2">
      <c r="A74" s="933"/>
      <c r="D74" s="1168" t="s">
        <v>1436</v>
      </c>
      <c r="E74" s="1168"/>
      <c r="F74" s="1168"/>
      <c r="G74" s="1168"/>
      <c r="H74" s="1168"/>
      <c r="I74" s="1168"/>
      <c r="J74" s="1168"/>
      <c r="K74" s="1168"/>
      <c r="L74" s="1168"/>
      <c r="M74" s="1168"/>
      <c r="N74" s="1168"/>
      <c r="O74" s="1168"/>
      <c r="P74" s="1168"/>
      <c r="Q74" s="1168"/>
      <c r="R74" s="1168"/>
      <c r="S74" s="1168"/>
      <c r="T74" s="1168"/>
      <c r="U74" s="1168"/>
      <c r="V74" s="1168"/>
      <c r="W74" s="1168"/>
      <c r="X74" s="1168"/>
      <c r="Y74" s="1168"/>
      <c r="Z74" s="1168"/>
      <c r="AA74" s="1168"/>
      <c r="AB74" s="1168"/>
      <c r="AC74" s="1168"/>
      <c r="AD74" s="1168"/>
      <c r="AE74" s="1168"/>
      <c r="AF74" s="1168"/>
      <c r="AG74" s="1168"/>
      <c r="AI74" s="934"/>
      <c r="AJ74" s="934"/>
      <c r="AK74" s="934"/>
      <c r="AL74" s="934"/>
      <c r="AM74" s="934"/>
      <c r="AN74" s="934"/>
      <c r="AO74" s="934"/>
      <c r="AP74" s="934"/>
      <c r="AQ74" s="934"/>
    </row>
    <row r="75" spans="1:43" s="635" customFormat="1" x14ac:dyDescent="0.2">
      <c r="A75" s="933"/>
      <c r="D75" s="1168"/>
      <c r="E75" s="1168"/>
      <c r="F75" s="1168"/>
      <c r="G75" s="1168"/>
      <c r="H75" s="1168"/>
      <c r="I75" s="1168"/>
      <c r="J75" s="1168"/>
      <c r="K75" s="1168"/>
      <c r="L75" s="1168"/>
      <c r="M75" s="1168"/>
      <c r="N75" s="1168"/>
      <c r="O75" s="1168"/>
      <c r="P75" s="1168"/>
      <c r="Q75" s="1168"/>
      <c r="R75" s="1168"/>
      <c r="S75" s="1168"/>
      <c r="T75" s="1168"/>
      <c r="U75" s="1168"/>
      <c r="V75" s="1168"/>
      <c r="W75" s="1168"/>
      <c r="X75" s="1168"/>
      <c r="Y75" s="1168"/>
      <c r="Z75" s="1168"/>
      <c r="AA75" s="1168"/>
      <c r="AB75" s="1168"/>
      <c r="AC75" s="1168"/>
      <c r="AD75" s="1168"/>
      <c r="AE75" s="1168"/>
      <c r="AF75" s="1168"/>
      <c r="AG75" s="1168"/>
      <c r="AI75" s="934"/>
      <c r="AJ75" s="934"/>
      <c r="AK75" s="934"/>
      <c r="AL75" s="934"/>
      <c r="AM75" s="934"/>
      <c r="AN75" s="934"/>
      <c r="AO75" s="934"/>
      <c r="AP75" s="934"/>
      <c r="AQ75" s="934"/>
    </row>
    <row r="76" spans="1:43" s="635" customFormat="1" x14ac:dyDescent="0.2">
      <c r="A76" s="933"/>
      <c r="AI76" s="934"/>
      <c r="AJ76" s="934"/>
      <c r="AK76" s="934"/>
      <c r="AL76" s="934"/>
      <c r="AM76" s="934"/>
      <c r="AN76" s="934"/>
      <c r="AO76" s="934"/>
      <c r="AP76" s="934"/>
      <c r="AQ76" s="934"/>
    </row>
    <row r="77" spans="1:43" s="635" customFormat="1" x14ac:dyDescent="0.2">
      <c r="A77" s="933"/>
      <c r="D77" s="634" t="s">
        <v>1430</v>
      </c>
      <c r="AI77" s="934"/>
      <c r="AJ77" s="934"/>
      <c r="AK77" s="934"/>
      <c r="AL77" s="934"/>
      <c r="AM77" s="934"/>
      <c r="AN77" s="934"/>
      <c r="AO77" s="934"/>
      <c r="AP77" s="934"/>
      <c r="AQ77" s="934"/>
    </row>
    <row r="78" spans="1:43" s="635" customFormat="1" x14ac:dyDescent="0.2">
      <c r="A78" s="933"/>
      <c r="AI78" s="934"/>
      <c r="AJ78" s="934"/>
      <c r="AK78" s="934"/>
      <c r="AL78" s="934"/>
      <c r="AM78" s="934"/>
      <c r="AN78" s="934"/>
      <c r="AO78" s="934"/>
      <c r="AP78" s="934"/>
      <c r="AQ78" s="934"/>
    </row>
    <row r="79" spans="1:43" s="635" customFormat="1" x14ac:dyDescent="0.2">
      <c r="A79" s="933"/>
      <c r="D79" s="1168" t="s">
        <v>1441</v>
      </c>
      <c r="E79" s="1168"/>
      <c r="F79" s="1168"/>
      <c r="G79" s="1168"/>
      <c r="H79" s="1168"/>
      <c r="I79" s="1168"/>
      <c r="J79" s="1168"/>
      <c r="K79" s="1168"/>
      <c r="L79" s="1168"/>
      <c r="M79" s="1168"/>
      <c r="N79" s="1168"/>
      <c r="O79" s="1168"/>
      <c r="P79" s="1168"/>
      <c r="Q79" s="1168"/>
      <c r="R79" s="1168"/>
      <c r="S79" s="1168"/>
      <c r="T79" s="1168"/>
      <c r="U79" s="1168"/>
      <c r="V79" s="1168"/>
      <c r="W79" s="1168"/>
      <c r="X79" s="1168"/>
      <c r="Y79" s="1168"/>
      <c r="Z79" s="1168"/>
      <c r="AA79" s="1168"/>
      <c r="AB79" s="1168"/>
      <c r="AC79" s="1168"/>
      <c r="AD79" s="1168"/>
      <c r="AE79" s="1168"/>
      <c r="AF79" s="1168"/>
      <c r="AG79" s="1168"/>
      <c r="AI79" s="934"/>
      <c r="AJ79" s="934"/>
      <c r="AK79" s="934"/>
      <c r="AL79" s="934"/>
      <c r="AM79" s="934"/>
      <c r="AN79" s="934"/>
      <c r="AO79" s="934"/>
      <c r="AP79" s="934"/>
      <c r="AQ79" s="934"/>
    </row>
    <row r="80" spans="1:43" s="635" customFormat="1" x14ac:dyDescent="0.2">
      <c r="A80" s="933"/>
      <c r="D80" s="1168"/>
      <c r="E80" s="1168"/>
      <c r="F80" s="1168"/>
      <c r="G80" s="1168"/>
      <c r="H80" s="1168"/>
      <c r="I80" s="1168"/>
      <c r="J80" s="1168"/>
      <c r="K80" s="1168"/>
      <c r="L80" s="1168"/>
      <c r="M80" s="1168"/>
      <c r="N80" s="1168"/>
      <c r="O80" s="1168"/>
      <c r="P80" s="1168"/>
      <c r="Q80" s="1168"/>
      <c r="R80" s="1168"/>
      <c r="S80" s="1168"/>
      <c r="T80" s="1168"/>
      <c r="U80" s="1168"/>
      <c r="V80" s="1168"/>
      <c r="W80" s="1168"/>
      <c r="X80" s="1168"/>
      <c r="Y80" s="1168"/>
      <c r="Z80" s="1168"/>
      <c r="AA80" s="1168"/>
      <c r="AB80" s="1168"/>
      <c r="AC80" s="1168"/>
      <c r="AD80" s="1168"/>
      <c r="AE80" s="1168"/>
      <c r="AF80" s="1168"/>
      <c r="AG80" s="1168"/>
      <c r="AI80" s="934"/>
      <c r="AJ80" s="934"/>
      <c r="AK80" s="934"/>
      <c r="AL80" s="934"/>
      <c r="AM80" s="934"/>
      <c r="AN80" s="934"/>
      <c r="AO80" s="934"/>
      <c r="AP80" s="934"/>
      <c r="AQ80" s="934"/>
    </row>
    <row r="81" spans="1:43" s="635" customFormat="1" x14ac:dyDescent="0.2">
      <c r="A81" s="933"/>
      <c r="D81" s="1168"/>
      <c r="E81" s="1168"/>
      <c r="F81" s="1168"/>
      <c r="G81" s="1168"/>
      <c r="H81" s="1168"/>
      <c r="I81" s="1168"/>
      <c r="J81" s="1168"/>
      <c r="K81" s="1168"/>
      <c r="L81" s="1168"/>
      <c r="M81" s="1168"/>
      <c r="N81" s="1168"/>
      <c r="O81" s="1168"/>
      <c r="P81" s="1168"/>
      <c r="Q81" s="1168"/>
      <c r="R81" s="1168"/>
      <c r="S81" s="1168"/>
      <c r="T81" s="1168"/>
      <c r="U81" s="1168"/>
      <c r="V81" s="1168"/>
      <c r="W81" s="1168"/>
      <c r="X81" s="1168"/>
      <c r="Y81" s="1168"/>
      <c r="Z81" s="1168"/>
      <c r="AA81" s="1168"/>
      <c r="AB81" s="1168"/>
      <c r="AC81" s="1168"/>
      <c r="AD81" s="1168"/>
      <c r="AE81" s="1168"/>
      <c r="AF81" s="1168"/>
      <c r="AG81" s="1168"/>
      <c r="AI81" s="934"/>
      <c r="AJ81" s="934"/>
      <c r="AK81" s="934"/>
      <c r="AL81" s="934"/>
      <c r="AM81" s="934"/>
      <c r="AN81" s="934"/>
      <c r="AO81" s="934"/>
      <c r="AP81" s="934"/>
      <c r="AQ81" s="934"/>
    </row>
    <row r="82" spans="1:43" s="635" customFormat="1" x14ac:dyDescent="0.2">
      <c r="A82" s="933"/>
      <c r="D82" s="937"/>
      <c r="E82" s="937"/>
      <c r="F82" s="937"/>
      <c r="G82" s="937"/>
      <c r="H82" s="937"/>
      <c r="I82" s="937"/>
      <c r="J82" s="937"/>
      <c r="K82" s="937"/>
      <c r="L82" s="937"/>
      <c r="M82" s="937"/>
      <c r="N82" s="937"/>
      <c r="O82" s="937"/>
      <c r="P82" s="937"/>
      <c r="Q82" s="937"/>
      <c r="R82" s="937"/>
      <c r="S82" s="937"/>
      <c r="T82" s="937"/>
      <c r="U82" s="937"/>
      <c r="V82" s="937"/>
      <c r="W82" s="937"/>
      <c r="X82" s="937"/>
      <c r="Y82" s="937"/>
      <c r="Z82" s="937"/>
      <c r="AA82" s="937"/>
      <c r="AB82" s="937"/>
      <c r="AC82" s="937"/>
      <c r="AD82" s="937"/>
      <c r="AE82" s="937"/>
      <c r="AF82" s="937"/>
      <c r="AG82" s="937"/>
      <c r="AI82" s="934"/>
      <c r="AJ82" s="934"/>
      <c r="AK82" s="934"/>
      <c r="AL82" s="934"/>
      <c r="AM82" s="934"/>
      <c r="AN82" s="934"/>
      <c r="AO82" s="934"/>
      <c r="AP82" s="934"/>
      <c r="AQ82" s="934"/>
    </row>
    <row r="83" spans="1:43" s="635" customFormat="1" ht="29.25" customHeight="1" thickBot="1" x14ac:dyDescent="0.25">
      <c r="A83" s="933"/>
      <c r="D83" s="643"/>
      <c r="E83" s="643"/>
      <c r="F83" s="643"/>
      <c r="G83" s="643"/>
      <c r="H83" s="643"/>
      <c r="I83" s="643"/>
      <c r="J83" s="643"/>
      <c r="K83" s="643"/>
      <c r="L83" s="643"/>
      <c r="M83" s="643"/>
      <c r="N83" s="643"/>
      <c r="O83" s="1177" t="s">
        <v>1431</v>
      </c>
      <c r="P83" s="1177"/>
      <c r="Q83" s="1177"/>
      <c r="R83" s="1177"/>
      <c r="S83" s="1177"/>
      <c r="T83" s="1177" t="s">
        <v>1432</v>
      </c>
      <c r="U83" s="1177"/>
      <c r="V83" s="1177"/>
      <c r="W83" s="1177"/>
      <c r="X83" s="1177"/>
      <c r="Y83" s="1177" t="s">
        <v>1434</v>
      </c>
      <c r="Z83" s="1177"/>
      <c r="AA83" s="1177"/>
      <c r="AB83" s="1177"/>
      <c r="AC83" s="1177"/>
      <c r="AI83" s="934"/>
      <c r="AJ83" s="934"/>
      <c r="AK83" s="934"/>
      <c r="AL83" s="934"/>
      <c r="AM83" s="934"/>
      <c r="AN83" s="934"/>
      <c r="AO83" s="934"/>
      <c r="AP83" s="934"/>
      <c r="AQ83" s="934"/>
    </row>
    <row r="84" spans="1:43" s="635" customFormat="1" x14ac:dyDescent="0.2">
      <c r="A84" s="933"/>
      <c r="D84" s="1175" t="s">
        <v>42</v>
      </c>
      <c r="E84" s="1175"/>
      <c r="F84" s="1175"/>
      <c r="G84" s="1175"/>
      <c r="H84" s="1175"/>
      <c r="I84" s="1175"/>
      <c r="J84" s="1175"/>
      <c r="K84" s="1175"/>
      <c r="L84" s="1175"/>
      <c r="M84" s="1175"/>
      <c r="N84" s="1175"/>
      <c r="O84" s="1176" t="s">
        <v>1433</v>
      </c>
      <c r="P84" s="1176"/>
      <c r="Q84" s="1176"/>
      <c r="R84" s="1176"/>
      <c r="S84" s="1176"/>
      <c r="T84" s="1176" t="s">
        <v>1433</v>
      </c>
      <c r="U84" s="1176"/>
      <c r="V84" s="1176"/>
      <c r="W84" s="1176"/>
      <c r="X84" s="1176"/>
      <c r="Y84" s="1176" t="s">
        <v>1433</v>
      </c>
      <c r="Z84" s="1176"/>
      <c r="AA84" s="1176"/>
      <c r="AB84" s="1176"/>
      <c r="AC84" s="1176"/>
      <c r="AI84" s="934"/>
      <c r="AJ84" s="934"/>
      <c r="AK84" s="934"/>
      <c r="AL84" s="934"/>
      <c r="AM84" s="934"/>
      <c r="AN84" s="934"/>
      <c r="AO84" s="934"/>
      <c r="AP84" s="934"/>
      <c r="AQ84" s="934"/>
    </row>
    <row r="85" spans="1:43" s="635" customFormat="1" x14ac:dyDescent="0.2">
      <c r="A85" s="933"/>
      <c r="D85" s="1175" t="s">
        <v>1437</v>
      </c>
      <c r="E85" s="1175"/>
      <c r="F85" s="1175"/>
      <c r="G85" s="1175"/>
      <c r="H85" s="1175"/>
      <c r="I85" s="1175"/>
      <c r="J85" s="1175"/>
      <c r="K85" s="1175"/>
      <c r="L85" s="1175"/>
      <c r="M85" s="1175"/>
      <c r="N85" s="1175"/>
      <c r="O85" s="1176" t="s">
        <v>1433</v>
      </c>
      <c r="P85" s="1176"/>
      <c r="Q85" s="1176"/>
      <c r="R85" s="1176"/>
      <c r="S85" s="1176"/>
      <c r="T85" s="1176" t="s">
        <v>1433</v>
      </c>
      <c r="U85" s="1176"/>
      <c r="V85" s="1176"/>
      <c r="W85" s="1176"/>
      <c r="X85" s="1176"/>
      <c r="Y85" s="1176" t="s">
        <v>1433</v>
      </c>
      <c r="Z85" s="1176"/>
      <c r="AA85" s="1176"/>
      <c r="AB85" s="1176"/>
      <c r="AC85" s="1176"/>
      <c r="AI85" s="934"/>
      <c r="AJ85" s="934"/>
      <c r="AK85" s="934"/>
      <c r="AL85" s="934"/>
      <c r="AM85" s="934"/>
      <c r="AN85" s="934"/>
      <c r="AO85" s="934"/>
      <c r="AP85" s="934"/>
      <c r="AQ85" s="934"/>
    </row>
    <row r="86" spans="1:43" s="635" customFormat="1" x14ac:dyDescent="0.2">
      <c r="A86" s="933"/>
      <c r="D86" s="1175" t="s">
        <v>1438</v>
      </c>
      <c r="E86" s="1175"/>
      <c r="F86" s="1175"/>
      <c r="G86" s="1175"/>
      <c r="H86" s="1175"/>
      <c r="I86" s="1175"/>
      <c r="J86" s="1175"/>
      <c r="K86" s="1175"/>
      <c r="L86" s="1175"/>
      <c r="M86" s="1175"/>
      <c r="N86" s="1175"/>
      <c r="O86" s="1176">
        <v>4</v>
      </c>
      <c r="P86" s="1176"/>
      <c r="Q86" s="1176"/>
      <c r="R86" s="1176"/>
      <c r="S86" s="1176"/>
      <c r="T86" s="1176">
        <v>25</v>
      </c>
      <c r="U86" s="1176"/>
      <c r="V86" s="1176"/>
      <c r="W86" s="1176"/>
      <c r="X86" s="1176"/>
      <c r="Y86" s="1176" t="s">
        <v>1897</v>
      </c>
      <c r="Z86" s="1176"/>
      <c r="AA86" s="1176"/>
      <c r="AB86" s="1176"/>
      <c r="AC86" s="1176"/>
      <c r="AI86" s="934"/>
      <c r="AJ86" s="934"/>
      <c r="AK86" s="934"/>
      <c r="AL86" s="934"/>
      <c r="AM86" s="934"/>
      <c r="AN86" s="934"/>
      <c r="AO86" s="934"/>
      <c r="AP86" s="934"/>
      <c r="AQ86" s="934"/>
    </row>
    <row r="87" spans="1:43" s="635" customFormat="1" x14ac:dyDescent="0.2">
      <c r="A87" s="933"/>
      <c r="D87" s="1175" t="s">
        <v>1439</v>
      </c>
      <c r="E87" s="1175"/>
      <c r="F87" s="1175"/>
      <c r="G87" s="1175"/>
      <c r="H87" s="1175"/>
      <c r="I87" s="1175"/>
      <c r="J87" s="1175"/>
      <c r="K87" s="1175"/>
      <c r="L87" s="1175"/>
      <c r="M87" s="1175"/>
      <c r="N87" s="1175"/>
      <c r="O87" s="1176" t="s">
        <v>1433</v>
      </c>
      <c r="P87" s="1176"/>
      <c r="Q87" s="1176"/>
      <c r="R87" s="1176"/>
      <c r="S87" s="1176"/>
      <c r="T87" s="1176" t="s">
        <v>1433</v>
      </c>
      <c r="U87" s="1176"/>
      <c r="V87" s="1176"/>
      <c r="W87" s="1176"/>
      <c r="X87" s="1176"/>
      <c r="Y87" s="1176" t="s">
        <v>1433</v>
      </c>
      <c r="Z87" s="1176"/>
      <c r="AA87" s="1176"/>
      <c r="AB87" s="1176"/>
      <c r="AC87" s="1176"/>
      <c r="AI87" s="934"/>
      <c r="AJ87" s="934"/>
      <c r="AK87" s="934"/>
      <c r="AL87" s="934"/>
      <c r="AM87" s="934"/>
      <c r="AN87" s="934"/>
      <c r="AO87" s="934"/>
      <c r="AP87" s="934"/>
      <c r="AQ87" s="934"/>
    </row>
    <row r="88" spans="1:43" s="635" customFormat="1" x14ac:dyDescent="0.2">
      <c r="A88" s="933"/>
      <c r="D88" s="1178" t="s">
        <v>1440</v>
      </c>
      <c r="E88" s="1178"/>
      <c r="F88" s="1178"/>
      <c r="G88" s="1178"/>
      <c r="H88" s="1178"/>
      <c r="I88" s="1178"/>
      <c r="J88" s="1178"/>
      <c r="K88" s="1178"/>
      <c r="L88" s="1178"/>
      <c r="M88" s="1178"/>
      <c r="N88" s="1178"/>
      <c r="O88" s="1179" t="s">
        <v>1433</v>
      </c>
      <c r="P88" s="1179"/>
      <c r="Q88" s="1179"/>
      <c r="R88" s="1179"/>
      <c r="S88" s="1179"/>
      <c r="T88" s="1179" t="s">
        <v>1433</v>
      </c>
      <c r="U88" s="1179"/>
      <c r="V88" s="1179"/>
      <c r="W88" s="1179"/>
      <c r="X88" s="1179"/>
      <c r="Y88" s="1179" t="s">
        <v>1433</v>
      </c>
      <c r="Z88" s="1179"/>
      <c r="AA88" s="1179"/>
      <c r="AB88" s="1179"/>
      <c r="AC88" s="1179"/>
      <c r="AI88" s="934"/>
      <c r="AJ88" s="934"/>
      <c r="AK88" s="934"/>
      <c r="AL88" s="934"/>
      <c r="AM88" s="934"/>
      <c r="AN88" s="934"/>
      <c r="AO88" s="934"/>
      <c r="AP88" s="934"/>
      <c r="AQ88" s="934"/>
    </row>
    <row r="89" spans="1:43" s="635" customFormat="1" x14ac:dyDescent="0.2">
      <c r="A89" s="933"/>
      <c r="AI89" s="934"/>
      <c r="AJ89" s="934"/>
      <c r="AK89" s="934"/>
      <c r="AL89" s="934"/>
      <c r="AM89" s="934"/>
      <c r="AN89" s="934"/>
      <c r="AO89" s="934"/>
      <c r="AP89" s="934"/>
      <c r="AQ89" s="934"/>
    </row>
    <row r="90" spans="1:43" s="635" customFormat="1" x14ac:dyDescent="0.2">
      <c r="A90" s="933"/>
      <c r="D90" s="1168" t="s">
        <v>1442</v>
      </c>
      <c r="E90" s="1168"/>
      <c r="F90" s="1168"/>
      <c r="G90" s="1168"/>
      <c r="H90" s="1168"/>
      <c r="I90" s="1168"/>
      <c r="J90" s="1168"/>
      <c r="K90" s="1168"/>
      <c r="L90" s="1168"/>
      <c r="M90" s="1168"/>
      <c r="N90" s="1168"/>
      <c r="O90" s="1168"/>
      <c r="P90" s="1168"/>
      <c r="Q90" s="1168"/>
      <c r="R90" s="1168"/>
      <c r="S90" s="1168"/>
      <c r="T90" s="1168"/>
      <c r="U90" s="1168"/>
      <c r="V90" s="1168"/>
      <c r="W90" s="1168"/>
      <c r="X90" s="1168"/>
      <c r="Y90" s="1168"/>
      <c r="Z90" s="1168"/>
      <c r="AA90" s="1168"/>
      <c r="AB90" s="1168"/>
      <c r="AC90" s="1168"/>
      <c r="AD90" s="1168"/>
      <c r="AE90" s="1168"/>
      <c r="AF90" s="1168"/>
      <c r="AG90" s="1168"/>
      <c r="AI90" s="934"/>
      <c r="AJ90" s="934"/>
      <c r="AK90" s="934"/>
      <c r="AL90" s="934"/>
      <c r="AM90" s="934"/>
      <c r="AN90" s="934"/>
      <c r="AO90" s="934"/>
      <c r="AP90" s="934"/>
      <c r="AQ90" s="934"/>
    </row>
    <row r="91" spans="1:43" s="635" customFormat="1" x14ac:dyDescent="0.2">
      <c r="A91" s="933"/>
      <c r="D91" s="1168"/>
      <c r="E91" s="1168"/>
      <c r="F91" s="1168"/>
      <c r="G91" s="1168"/>
      <c r="H91" s="1168"/>
      <c r="I91" s="1168"/>
      <c r="J91" s="1168"/>
      <c r="K91" s="1168"/>
      <c r="L91" s="1168"/>
      <c r="M91" s="1168"/>
      <c r="N91" s="1168"/>
      <c r="O91" s="1168"/>
      <c r="P91" s="1168"/>
      <c r="Q91" s="1168"/>
      <c r="R91" s="1168"/>
      <c r="S91" s="1168"/>
      <c r="T91" s="1168"/>
      <c r="U91" s="1168"/>
      <c r="V91" s="1168"/>
      <c r="W91" s="1168"/>
      <c r="X91" s="1168"/>
      <c r="Y91" s="1168"/>
      <c r="Z91" s="1168"/>
      <c r="AA91" s="1168"/>
      <c r="AB91" s="1168"/>
      <c r="AC91" s="1168"/>
      <c r="AD91" s="1168"/>
      <c r="AE91" s="1168"/>
      <c r="AF91" s="1168"/>
      <c r="AG91" s="1168"/>
      <c r="AI91" s="934"/>
      <c r="AJ91" s="934"/>
      <c r="AK91" s="934"/>
      <c r="AL91" s="934"/>
      <c r="AM91" s="934"/>
      <c r="AN91" s="934"/>
      <c r="AO91" s="934"/>
      <c r="AP91" s="934"/>
      <c r="AQ91" s="934"/>
    </row>
    <row r="92" spans="1:43" s="635" customFormat="1" hidden="1" x14ac:dyDescent="0.2">
      <c r="A92" s="933"/>
      <c r="AI92" s="934"/>
      <c r="AJ92" s="934"/>
      <c r="AK92" s="934"/>
      <c r="AL92" s="934"/>
      <c r="AM92" s="934"/>
      <c r="AN92" s="934"/>
      <c r="AO92" s="934"/>
      <c r="AP92" s="934"/>
      <c r="AQ92" s="934"/>
    </row>
    <row r="93" spans="1:43" s="635" customFormat="1" x14ac:dyDescent="0.2">
      <c r="A93" s="933"/>
      <c r="AI93" s="934"/>
      <c r="AJ93" s="934"/>
      <c r="AK93" s="934"/>
      <c r="AL93" s="934"/>
      <c r="AM93" s="934"/>
      <c r="AN93" s="934"/>
      <c r="AO93" s="934"/>
      <c r="AP93" s="934"/>
      <c r="AQ93" s="934"/>
    </row>
    <row r="94" spans="1:43" s="635" customFormat="1" x14ac:dyDescent="0.2">
      <c r="A94" s="933"/>
      <c r="D94" s="634" t="s">
        <v>1938</v>
      </c>
      <c r="AI94" s="934"/>
      <c r="AJ94" s="934"/>
      <c r="AK94" s="934"/>
      <c r="AL94" s="934"/>
      <c r="AM94" s="934"/>
      <c r="AN94" s="934"/>
      <c r="AO94" s="934"/>
      <c r="AP94" s="934"/>
      <c r="AQ94" s="934"/>
    </row>
    <row r="95" spans="1:43" s="635" customFormat="1" x14ac:dyDescent="0.2">
      <c r="A95" s="933"/>
      <c r="AI95" s="934"/>
      <c r="AJ95" s="934"/>
      <c r="AK95" s="934"/>
      <c r="AL95" s="934"/>
      <c r="AM95" s="934"/>
      <c r="AN95" s="934"/>
      <c r="AO95" s="934"/>
      <c r="AP95" s="934"/>
      <c r="AQ95" s="934"/>
    </row>
    <row r="96" spans="1:43" s="635" customFormat="1" x14ac:dyDescent="0.2">
      <c r="A96" s="933"/>
      <c r="D96" s="1168" t="s">
        <v>1936</v>
      </c>
      <c r="E96" s="1168"/>
      <c r="F96" s="1168"/>
      <c r="G96" s="1168"/>
      <c r="H96" s="1168"/>
      <c r="I96" s="1168"/>
      <c r="J96" s="1168"/>
      <c r="K96" s="1168"/>
      <c r="L96" s="1168"/>
      <c r="M96" s="1168"/>
      <c r="N96" s="1168"/>
      <c r="O96" s="1168"/>
      <c r="P96" s="1168"/>
      <c r="Q96" s="1168"/>
      <c r="R96" s="1168"/>
      <c r="S96" s="1168"/>
      <c r="T96" s="1168"/>
      <c r="U96" s="1168"/>
      <c r="V96" s="1168"/>
      <c r="W96" s="1168"/>
      <c r="X96" s="1168"/>
      <c r="Y96" s="1168"/>
      <c r="Z96" s="1168"/>
      <c r="AA96" s="1168"/>
      <c r="AB96" s="1168"/>
      <c r="AC96" s="1168"/>
      <c r="AD96" s="1168"/>
      <c r="AE96" s="1168"/>
      <c r="AF96" s="1168"/>
      <c r="AG96" s="1168"/>
      <c r="AI96" s="934"/>
      <c r="AJ96" s="934"/>
      <c r="AK96" s="934"/>
      <c r="AL96" s="934"/>
      <c r="AM96" s="934"/>
      <c r="AN96" s="934"/>
      <c r="AO96" s="934"/>
      <c r="AP96" s="934"/>
      <c r="AQ96" s="934"/>
    </row>
    <row r="97" spans="1:43" s="635" customFormat="1" x14ac:dyDescent="0.2">
      <c r="A97" s="933"/>
      <c r="AI97" s="934"/>
      <c r="AJ97" s="934"/>
      <c r="AK97" s="934"/>
      <c r="AL97" s="934"/>
      <c r="AM97" s="934"/>
      <c r="AN97" s="934"/>
      <c r="AO97" s="934"/>
      <c r="AP97" s="934"/>
      <c r="AQ97" s="934"/>
    </row>
    <row r="98" spans="1:43" s="635" customFormat="1" x14ac:dyDescent="0.2">
      <c r="A98" s="933"/>
      <c r="D98" s="634" t="s">
        <v>1937</v>
      </c>
      <c r="AI98" s="934"/>
      <c r="AJ98" s="934"/>
      <c r="AK98" s="934"/>
      <c r="AL98" s="934"/>
      <c r="AM98" s="934"/>
      <c r="AN98" s="934"/>
      <c r="AO98" s="934"/>
      <c r="AP98" s="934"/>
      <c r="AQ98" s="934"/>
    </row>
    <row r="99" spans="1:43" s="635" customFormat="1" x14ac:dyDescent="0.2">
      <c r="A99" s="933"/>
      <c r="AI99" s="934"/>
      <c r="AJ99" s="934"/>
      <c r="AK99" s="934"/>
      <c r="AL99" s="934"/>
      <c r="AM99" s="934"/>
      <c r="AN99" s="934"/>
      <c r="AO99" s="934"/>
      <c r="AP99" s="934"/>
      <c r="AQ99" s="934"/>
    </row>
    <row r="100" spans="1:43" s="635" customFormat="1" x14ac:dyDescent="0.2">
      <c r="A100" s="933"/>
      <c r="D100" s="1168" t="s">
        <v>1939</v>
      </c>
      <c r="E100" s="1168"/>
      <c r="F100" s="1168"/>
      <c r="G100" s="1168"/>
      <c r="H100" s="1168"/>
      <c r="I100" s="1168"/>
      <c r="J100" s="1168"/>
      <c r="K100" s="1168"/>
      <c r="L100" s="1168"/>
      <c r="M100" s="1168"/>
      <c r="N100" s="1168"/>
      <c r="O100" s="1168"/>
      <c r="P100" s="1168"/>
      <c r="Q100" s="1168"/>
      <c r="R100" s="1168"/>
      <c r="S100" s="1168"/>
      <c r="T100" s="1168"/>
      <c r="U100" s="1168"/>
      <c r="V100" s="1168"/>
      <c r="W100" s="1168"/>
      <c r="X100" s="1168"/>
      <c r="Y100" s="1168"/>
      <c r="Z100" s="1168"/>
      <c r="AA100" s="1168"/>
      <c r="AB100" s="1168"/>
      <c r="AC100" s="1168"/>
      <c r="AD100" s="1168"/>
      <c r="AE100" s="1168"/>
      <c r="AF100" s="1168"/>
      <c r="AG100" s="1168"/>
      <c r="AI100" s="934"/>
      <c r="AJ100" s="934"/>
      <c r="AK100" s="934"/>
      <c r="AL100" s="934"/>
      <c r="AM100" s="934"/>
      <c r="AN100" s="934"/>
      <c r="AO100" s="934"/>
      <c r="AP100" s="934"/>
      <c r="AQ100" s="934"/>
    </row>
    <row r="101" spans="1:43" s="635" customFormat="1" x14ac:dyDescent="0.2">
      <c r="A101" s="933"/>
      <c r="D101" s="1168"/>
      <c r="E101" s="1168"/>
      <c r="F101" s="1168"/>
      <c r="G101" s="1168"/>
      <c r="H101" s="1168"/>
      <c r="I101" s="1168"/>
      <c r="J101" s="1168"/>
      <c r="K101" s="1168"/>
      <c r="L101" s="1168"/>
      <c r="M101" s="1168"/>
      <c r="N101" s="1168"/>
      <c r="O101" s="1168"/>
      <c r="P101" s="1168"/>
      <c r="Q101" s="1168"/>
      <c r="R101" s="1168"/>
      <c r="S101" s="1168"/>
      <c r="T101" s="1168"/>
      <c r="U101" s="1168"/>
      <c r="V101" s="1168"/>
      <c r="W101" s="1168"/>
      <c r="X101" s="1168"/>
      <c r="Y101" s="1168"/>
      <c r="Z101" s="1168"/>
      <c r="AA101" s="1168"/>
      <c r="AB101" s="1168"/>
      <c r="AC101" s="1168"/>
      <c r="AD101" s="1168"/>
      <c r="AE101" s="1168"/>
      <c r="AF101" s="1168"/>
      <c r="AG101" s="1168"/>
      <c r="AI101" s="934"/>
      <c r="AJ101" s="934"/>
      <c r="AK101" s="934"/>
      <c r="AL101" s="934"/>
      <c r="AM101" s="934"/>
      <c r="AN101" s="934"/>
      <c r="AO101" s="934"/>
      <c r="AP101" s="934"/>
      <c r="AQ101" s="934"/>
    </row>
    <row r="102" spans="1:43" s="635" customFormat="1" x14ac:dyDescent="0.2">
      <c r="A102" s="933"/>
      <c r="D102" s="1168"/>
      <c r="E102" s="1168"/>
      <c r="F102" s="1168"/>
      <c r="G102" s="1168"/>
      <c r="H102" s="1168"/>
      <c r="I102" s="1168"/>
      <c r="J102" s="1168"/>
      <c r="K102" s="1168"/>
      <c r="L102" s="1168"/>
      <c r="M102" s="1168"/>
      <c r="N102" s="1168"/>
      <c r="O102" s="1168"/>
      <c r="P102" s="1168"/>
      <c r="Q102" s="1168"/>
      <c r="R102" s="1168"/>
      <c r="S102" s="1168"/>
      <c r="T102" s="1168"/>
      <c r="U102" s="1168"/>
      <c r="V102" s="1168"/>
      <c r="W102" s="1168"/>
      <c r="X102" s="1168"/>
      <c r="Y102" s="1168"/>
      <c r="Z102" s="1168"/>
      <c r="AA102" s="1168"/>
      <c r="AB102" s="1168"/>
      <c r="AC102" s="1168"/>
      <c r="AD102" s="1168"/>
      <c r="AE102" s="1168"/>
      <c r="AF102" s="1168"/>
      <c r="AG102" s="1168"/>
      <c r="AI102" s="934"/>
      <c r="AJ102" s="934"/>
      <c r="AK102" s="934"/>
      <c r="AL102" s="934"/>
      <c r="AM102" s="934"/>
      <c r="AN102" s="934"/>
      <c r="AO102" s="934"/>
      <c r="AP102" s="934"/>
      <c r="AQ102" s="934"/>
    </row>
    <row r="103" spans="1:43" s="635" customFormat="1" x14ac:dyDescent="0.2">
      <c r="A103" s="933"/>
      <c r="AI103" s="934"/>
      <c r="AJ103" s="934"/>
      <c r="AK103" s="934"/>
      <c r="AL103" s="934"/>
      <c r="AM103" s="934"/>
      <c r="AN103" s="934"/>
      <c r="AO103" s="934"/>
      <c r="AP103" s="934"/>
      <c r="AQ103" s="934"/>
    </row>
    <row r="104" spans="1:43" s="635" customFormat="1" x14ac:dyDescent="0.2">
      <c r="A104" s="933"/>
      <c r="D104" s="634" t="s">
        <v>1940</v>
      </c>
      <c r="AI104" s="934"/>
      <c r="AJ104" s="934"/>
      <c r="AK104" s="934"/>
      <c r="AL104" s="934"/>
      <c r="AM104" s="934"/>
      <c r="AN104" s="934"/>
      <c r="AO104" s="934"/>
      <c r="AP104" s="934"/>
      <c r="AQ104" s="934"/>
    </row>
    <row r="105" spans="1:43" s="635" customFormat="1" x14ac:dyDescent="0.2">
      <c r="A105" s="933"/>
      <c r="AI105" s="934"/>
      <c r="AJ105" s="934"/>
      <c r="AK105" s="934"/>
      <c r="AL105" s="934"/>
      <c r="AM105" s="934"/>
      <c r="AN105" s="934"/>
      <c r="AO105" s="934"/>
      <c r="AP105" s="934"/>
      <c r="AQ105" s="934"/>
    </row>
    <row r="106" spans="1:43" s="635" customFormat="1" x14ac:dyDescent="0.2">
      <c r="A106" s="933"/>
      <c r="D106" s="1168" t="s">
        <v>1443</v>
      </c>
      <c r="E106" s="1168"/>
      <c r="F106" s="1168"/>
      <c r="G106" s="1168"/>
      <c r="H106" s="1168"/>
      <c r="I106" s="1168"/>
      <c r="J106" s="1168"/>
      <c r="K106" s="1168"/>
      <c r="L106" s="1168"/>
      <c r="M106" s="1168"/>
      <c r="N106" s="1168"/>
      <c r="O106" s="1168"/>
      <c r="P106" s="1168"/>
      <c r="Q106" s="1168"/>
      <c r="R106" s="1168"/>
      <c r="S106" s="1168"/>
      <c r="T106" s="1168"/>
      <c r="U106" s="1168"/>
      <c r="V106" s="1168"/>
      <c r="W106" s="1168"/>
      <c r="X106" s="1168"/>
      <c r="Y106" s="1168"/>
      <c r="Z106" s="1168"/>
      <c r="AA106" s="1168"/>
      <c r="AB106" s="1168"/>
      <c r="AC106" s="1168"/>
      <c r="AD106" s="1168"/>
      <c r="AE106" s="1168"/>
      <c r="AF106" s="1168"/>
      <c r="AG106" s="1168"/>
      <c r="AI106" s="934"/>
      <c r="AJ106" s="934"/>
      <c r="AK106" s="934"/>
      <c r="AL106" s="934"/>
      <c r="AM106" s="934"/>
      <c r="AN106" s="934"/>
      <c r="AO106" s="934"/>
      <c r="AP106" s="934"/>
      <c r="AQ106" s="934"/>
    </row>
    <row r="107" spans="1:43" s="635" customFormat="1" x14ac:dyDescent="0.2">
      <c r="A107" s="933"/>
      <c r="D107" s="1168"/>
      <c r="E107" s="1168"/>
      <c r="F107" s="1168"/>
      <c r="G107" s="1168"/>
      <c r="H107" s="1168"/>
      <c r="I107" s="1168"/>
      <c r="J107" s="1168"/>
      <c r="K107" s="1168"/>
      <c r="L107" s="1168"/>
      <c r="M107" s="1168"/>
      <c r="N107" s="1168"/>
      <c r="O107" s="1168"/>
      <c r="P107" s="1168"/>
      <c r="Q107" s="1168"/>
      <c r="R107" s="1168"/>
      <c r="S107" s="1168"/>
      <c r="T107" s="1168"/>
      <c r="U107" s="1168"/>
      <c r="V107" s="1168"/>
      <c r="W107" s="1168"/>
      <c r="X107" s="1168"/>
      <c r="Y107" s="1168"/>
      <c r="Z107" s="1168"/>
      <c r="AA107" s="1168"/>
      <c r="AB107" s="1168"/>
      <c r="AC107" s="1168"/>
      <c r="AD107" s="1168"/>
      <c r="AE107" s="1168"/>
      <c r="AF107" s="1168"/>
      <c r="AG107" s="1168"/>
      <c r="AI107" s="934"/>
      <c r="AJ107" s="934"/>
      <c r="AK107" s="934"/>
      <c r="AL107" s="934"/>
      <c r="AM107" s="934"/>
      <c r="AN107" s="934"/>
      <c r="AO107" s="934"/>
      <c r="AP107" s="934"/>
      <c r="AQ107" s="934"/>
    </row>
    <row r="108" spans="1:43" s="635" customFormat="1" x14ac:dyDescent="0.2">
      <c r="A108" s="933"/>
      <c r="AI108" s="934"/>
      <c r="AJ108" s="934"/>
      <c r="AK108" s="934"/>
      <c r="AL108" s="934"/>
      <c r="AM108" s="934"/>
      <c r="AN108" s="934"/>
      <c r="AO108" s="934"/>
      <c r="AP108" s="934"/>
      <c r="AQ108" s="934"/>
    </row>
    <row r="109" spans="1:43" s="635" customFormat="1" x14ac:dyDescent="0.2">
      <c r="A109" s="933"/>
      <c r="D109" s="634" t="s">
        <v>1941</v>
      </c>
      <c r="AI109" s="934"/>
      <c r="AJ109" s="934"/>
      <c r="AK109" s="934"/>
      <c r="AL109" s="934"/>
      <c r="AM109" s="934"/>
      <c r="AN109" s="934"/>
      <c r="AO109" s="934"/>
      <c r="AP109" s="934"/>
      <c r="AQ109" s="934"/>
    </row>
    <row r="110" spans="1:43" s="635" customFormat="1" x14ac:dyDescent="0.2">
      <c r="A110" s="933"/>
      <c r="AI110" s="934"/>
      <c r="AJ110" s="934"/>
      <c r="AK110" s="934"/>
      <c r="AL110" s="934"/>
      <c r="AM110" s="934"/>
      <c r="AN110" s="934"/>
      <c r="AO110" s="934"/>
      <c r="AP110" s="934"/>
      <c r="AQ110" s="934"/>
    </row>
    <row r="111" spans="1:43" s="635" customFormat="1" x14ac:dyDescent="0.2">
      <c r="A111" s="933"/>
      <c r="D111" s="1168" t="s">
        <v>2000</v>
      </c>
      <c r="E111" s="1168"/>
      <c r="F111" s="1168"/>
      <c r="G111" s="1168"/>
      <c r="H111" s="1168"/>
      <c r="I111" s="1168"/>
      <c r="J111" s="1168"/>
      <c r="K111" s="1168"/>
      <c r="L111" s="1168"/>
      <c r="M111" s="1168"/>
      <c r="N111" s="1168"/>
      <c r="O111" s="1168"/>
      <c r="P111" s="1168"/>
      <c r="Q111" s="1168"/>
      <c r="R111" s="1168"/>
      <c r="S111" s="1168"/>
      <c r="T111" s="1168"/>
      <c r="U111" s="1168"/>
      <c r="V111" s="1168"/>
      <c r="W111" s="1168"/>
      <c r="X111" s="1168"/>
      <c r="Y111" s="1168"/>
      <c r="Z111" s="1168"/>
      <c r="AA111" s="1168"/>
      <c r="AB111" s="1168"/>
      <c r="AC111" s="1168"/>
      <c r="AD111" s="1168"/>
      <c r="AE111" s="1168"/>
      <c r="AF111" s="1168"/>
      <c r="AG111" s="1168"/>
      <c r="AI111" s="934"/>
      <c r="AJ111" s="934"/>
      <c r="AK111" s="934"/>
      <c r="AL111" s="934"/>
      <c r="AM111" s="934"/>
      <c r="AN111" s="934"/>
      <c r="AO111" s="934"/>
      <c r="AP111" s="934"/>
      <c r="AQ111" s="934"/>
    </row>
    <row r="112" spans="1:43" s="635" customFormat="1" x14ac:dyDescent="0.2">
      <c r="A112" s="933"/>
      <c r="D112" s="1168"/>
      <c r="E112" s="1168"/>
      <c r="F112" s="1168"/>
      <c r="G112" s="1168"/>
      <c r="H112" s="1168"/>
      <c r="I112" s="1168"/>
      <c r="J112" s="1168"/>
      <c r="K112" s="1168"/>
      <c r="L112" s="1168"/>
      <c r="M112" s="1168"/>
      <c r="N112" s="1168"/>
      <c r="O112" s="1168"/>
      <c r="P112" s="1168"/>
      <c r="Q112" s="1168"/>
      <c r="R112" s="1168"/>
      <c r="S112" s="1168"/>
      <c r="T112" s="1168"/>
      <c r="U112" s="1168"/>
      <c r="V112" s="1168"/>
      <c r="W112" s="1168"/>
      <c r="X112" s="1168"/>
      <c r="Y112" s="1168"/>
      <c r="Z112" s="1168"/>
      <c r="AA112" s="1168"/>
      <c r="AB112" s="1168"/>
      <c r="AC112" s="1168"/>
      <c r="AD112" s="1168"/>
      <c r="AE112" s="1168"/>
      <c r="AF112" s="1168"/>
      <c r="AG112" s="1168"/>
      <c r="AI112" s="934"/>
      <c r="AJ112" s="934"/>
      <c r="AK112" s="934"/>
      <c r="AL112" s="934"/>
      <c r="AM112" s="934"/>
      <c r="AN112" s="934"/>
      <c r="AO112" s="934"/>
      <c r="AP112" s="934"/>
      <c r="AQ112" s="934"/>
    </row>
    <row r="113" spans="1:43" s="635" customFormat="1" x14ac:dyDescent="0.2">
      <c r="A113" s="933"/>
      <c r="D113" s="634" t="s">
        <v>1942</v>
      </c>
      <c r="AI113" s="934"/>
      <c r="AJ113" s="934"/>
      <c r="AK113" s="934"/>
      <c r="AL113" s="934"/>
      <c r="AM113" s="934"/>
      <c r="AN113" s="934"/>
      <c r="AO113" s="934"/>
      <c r="AP113" s="934"/>
      <c r="AQ113" s="934"/>
    </row>
    <row r="114" spans="1:43" s="635" customFormat="1" x14ac:dyDescent="0.2">
      <c r="A114" s="933"/>
      <c r="AI114" s="934"/>
      <c r="AJ114" s="934"/>
      <c r="AK114" s="934"/>
      <c r="AL114" s="934"/>
      <c r="AM114" s="934"/>
      <c r="AN114" s="934"/>
      <c r="AO114" s="934"/>
      <c r="AP114" s="934"/>
      <c r="AQ114" s="934"/>
    </row>
    <row r="115" spans="1:43" s="635" customFormat="1" x14ac:dyDescent="0.2">
      <c r="A115" s="933"/>
      <c r="D115" s="1168" t="s">
        <v>1444</v>
      </c>
      <c r="E115" s="1168"/>
      <c r="F115" s="1168"/>
      <c r="G115" s="1168"/>
      <c r="H115" s="1168"/>
      <c r="I115" s="1168"/>
      <c r="J115" s="1168"/>
      <c r="K115" s="1168"/>
      <c r="L115" s="1168"/>
      <c r="M115" s="1168"/>
      <c r="N115" s="1168"/>
      <c r="O115" s="1168"/>
      <c r="P115" s="1168"/>
      <c r="Q115" s="1168"/>
      <c r="R115" s="1168"/>
      <c r="S115" s="1168"/>
      <c r="T115" s="1168"/>
      <c r="U115" s="1168"/>
      <c r="V115" s="1168"/>
      <c r="W115" s="1168"/>
      <c r="X115" s="1168"/>
      <c r="Y115" s="1168"/>
      <c r="Z115" s="1168"/>
      <c r="AA115" s="1168"/>
      <c r="AB115" s="1168"/>
      <c r="AC115" s="1168"/>
      <c r="AD115" s="1168"/>
      <c r="AE115" s="1168"/>
      <c r="AF115" s="1168"/>
      <c r="AG115" s="1168"/>
      <c r="AI115" s="934"/>
      <c r="AJ115" s="934"/>
      <c r="AK115" s="934"/>
      <c r="AL115" s="934"/>
      <c r="AM115" s="934"/>
      <c r="AN115" s="934"/>
      <c r="AO115" s="934"/>
      <c r="AP115" s="934"/>
      <c r="AQ115" s="934"/>
    </row>
    <row r="116" spans="1:43" s="635" customFormat="1" x14ac:dyDescent="0.2">
      <c r="A116" s="933"/>
      <c r="D116" s="1168"/>
      <c r="E116" s="1168"/>
      <c r="F116" s="1168"/>
      <c r="G116" s="1168"/>
      <c r="H116" s="1168"/>
      <c r="I116" s="1168"/>
      <c r="J116" s="1168"/>
      <c r="K116" s="1168"/>
      <c r="L116" s="1168"/>
      <c r="M116" s="1168"/>
      <c r="N116" s="1168"/>
      <c r="O116" s="1168"/>
      <c r="P116" s="1168"/>
      <c r="Q116" s="1168"/>
      <c r="R116" s="1168"/>
      <c r="S116" s="1168"/>
      <c r="T116" s="1168"/>
      <c r="U116" s="1168"/>
      <c r="V116" s="1168"/>
      <c r="W116" s="1168"/>
      <c r="X116" s="1168"/>
      <c r="Y116" s="1168"/>
      <c r="Z116" s="1168"/>
      <c r="AA116" s="1168"/>
      <c r="AB116" s="1168"/>
      <c r="AC116" s="1168"/>
      <c r="AD116" s="1168"/>
      <c r="AE116" s="1168"/>
      <c r="AF116" s="1168"/>
      <c r="AG116" s="1168"/>
      <c r="AI116" s="934"/>
      <c r="AJ116" s="934"/>
      <c r="AK116" s="934"/>
      <c r="AL116" s="934"/>
      <c r="AM116" s="934"/>
      <c r="AN116" s="934"/>
      <c r="AO116" s="934"/>
      <c r="AP116" s="934"/>
      <c r="AQ116" s="934"/>
    </row>
    <row r="117" spans="1:43" s="635" customFormat="1" x14ac:dyDescent="0.2">
      <c r="A117" s="933"/>
      <c r="AI117" s="934"/>
      <c r="AJ117" s="934"/>
      <c r="AK117" s="934"/>
      <c r="AL117" s="934"/>
      <c r="AM117" s="934"/>
      <c r="AN117" s="934"/>
      <c r="AO117" s="934"/>
      <c r="AP117" s="934"/>
      <c r="AQ117" s="934"/>
    </row>
    <row r="118" spans="1:43" s="635" customFormat="1" hidden="1" x14ac:dyDescent="0.2">
      <c r="A118" s="933"/>
      <c r="AI118" s="934"/>
      <c r="AJ118" s="934"/>
      <c r="AK118" s="934"/>
      <c r="AL118" s="934"/>
      <c r="AM118" s="934"/>
      <c r="AN118" s="934"/>
      <c r="AO118" s="934"/>
      <c r="AP118" s="934"/>
      <c r="AQ118" s="934"/>
    </row>
    <row r="119" spans="1:43" s="635" customFormat="1" hidden="1" x14ac:dyDescent="0.2">
      <c r="A119" s="933"/>
      <c r="AI119" s="934"/>
      <c r="AJ119" s="934"/>
      <c r="AK119" s="934"/>
      <c r="AL119" s="934"/>
      <c r="AM119" s="934"/>
      <c r="AN119" s="934"/>
      <c r="AO119" s="934"/>
      <c r="AP119" s="934"/>
      <c r="AQ119" s="934"/>
    </row>
    <row r="120" spans="1:43" s="635" customFormat="1" hidden="1" x14ac:dyDescent="0.2">
      <c r="A120" s="933"/>
      <c r="AI120" s="934"/>
      <c r="AJ120" s="934"/>
      <c r="AK120" s="934"/>
      <c r="AL120" s="934"/>
      <c r="AM120" s="934"/>
      <c r="AN120" s="934"/>
      <c r="AO120" s="934"/>
      <c r="AP120" s="934"/>
      <c r="AQ120" s="934"/>
    </row>
    <row r="121" spans="1:43" s="635" customFormat="1" hidden="1" x14ac:dyDescent="0.2">
      <c r="A121" s="933"/>
      <c r="AI121" s="934"/>
      <c r="AJ121" s="934"/>
      <c r="AK121" s="934"/>
      <c r="AL121" s="934"/>
      <c r="AM121" s="934"/>
      <c r="AN121" s="934"/>
      <c r="AO121" s="934"/>
      <c r="AP121" s="934"/>
      <c r="AQ121" s="934"/>
    </row>
    <row r="122" spans="1:43" s="635" customFormat="1" hidden="1" x14ac:dyDescent="0.2">
      <c r="A122" s="933"/>
      <c r="AI122" s="934"/>
      <c r="AJ122" s="934"/>
      <c r="AK122" s="934"/>
      <c r="AL122" s="934"/>
      <c r="AM122" s="934"/>
      <c r="AN122" s="934"/>
      <c r="AO122" s="934"/>
      <c r="AP122" s="934"/>
      <c r="AQ122" s="934"/>
    </row>
    <row r="123" spans="1:43" s="635" customFormat="1" x14ac:dyDescent="0.2">
      <c r="A123" s="933"/>
      <c r="D123" s="634" t="s">
        <v>1943</v>
      </c>
      <c r="AI123" s="934"/>
      <c r="AJ123" s="934"/>
      <c r="AK123" s="934"/>
      <c r="AL123" s="934"/>
      <c r="AM123" s="934"/>
      <c r="AN123" s="934"/>
      <c r="AO123" s="934"/>
      <c r="AP123" s="934"/>
      <c r="AQ123" s="934"/>
    </row>
    <row r="124" spans="1:43" s="635" customFormat="1" x14ac:dyDescent="0.2">
      <c r="A124" s="933"/>
      <c r="AI124" s="934"/>
      <c r="AJ124" s="934"/>
      <c r="AK124" s="934"/>
      <c r="AL124" s="934"/>
      <c r="AM124" s="934"/>
      <c r="AN124" s="934"/>
      <c r="AO124" s="934"/>
      <c r="AP124" s="934"/>
      <c r="AQ124" s="934"/>
    </row>
    <row r="125" spans="1:43" s="635" customFormat="1" x14ac:dyDescent="0.2">
      <c r="A125" s="933"/>
      <c r="D125" s="1168" t="s">
        <v>1445</v>
      </c>
      <c r="E125" s="1168"/>
      <c r="F125" s="1168"/>
      <c r="G125" s="1168"/>
      <c r="H125" s="1168"/>
      <c r="I125" s="1168"/>
      <c r="J125" s="1168"/>
      <c r="K125" s="1168"/>
      <c r="L125" s="1168"/>
      <c r="M125" s="1168"/>
      <c r="N125" s="1168"/>
      <c r="O125" s="1168"/>
      <c r="P125" s="1168"/>
      <c r="Q125" s="1168"/>
      <c r="R125" s="1168"/>
      <c r="S125" s="1168"/>
      <c r="T125" s="1168"/>
      <c r="U125" s="1168"/>
      <c r="V125" s="1168"/>
      <c r="W125" s="1168"/>
      <c r="X125" s="1168"/>
      <c r="Y125" s="1168"/>
      <c r="Z125" s="1168"/>
      <c r="AA125" s="1168"/>
      <c r="AB125" s="1168"/>
      <c r="AC125" s="1168"/>
      <c r="AD125" s="1168"/>
      <c r="AE125" s="1168"/>
      <c r="AF125" s="1168"/>
      <c r="AG125" s="1168"/>
      <c r="AI125" s="934"/>
      <c r="AJ125" s="934"/>
      <c r="AK125" s="934"/>
      <c r="AL125" s="934"/>
      <c r="AM125" s="934"/>
      <c r="AN125" s="934"/>
      <c r="AO125" s="934"/>
      <c r="AP125" s="934"/>
      <c r="AQ125" s="934"/>
    </row>
    <row r="126" spans="1:43" s="635" customFormat="1" x14ac:dyDescent="0.2">
      <c r="A126" s="933"/>
      <c r="D126" s="1168"/>
      <c r="E126" s="1168"/>
      <c r="F126" s="1168"/>
      <c r="G126" s="1168"/>
      <c r="H126" s="1168"/>
      <c r="I126" s="1168"/>
      <c r="J126" s="1168"/>
      <c r="K126" s="1168"/>
      <c r="L126" s="1168"/>
      <c r="M126" s="1168"/>
      <c r="N126" s="1168"/>
      <c r="O126" s="1168"/>
      <c r="P126" s="1168"/>
      <c r="Q126" s="1168"/>
      <c r="R126" s="1168"/>
      <c r="S126" s="1168"/>
      <c r="T126" s="1168"/>
      <c r="U126" s="1168"/>
      <c r="V126" s="1168"/>
      <c r="W126" s="1168"/>
      <c r="X126" s="1168"/>
      <c r="Y126" s="1168"/>
      <c r="Z126" s="1168"/>
      <c r="AA126" s="1168"/>
      <c r="AB126" s="1168"/>
      <c r="AC126" s="1168"/>
      <c r="AD126" s="1168"/>
      <c r="AE126" s="1168"/>
      <c r="AF126" s="1168"/>
      <c r="AG126" s="1168"/>
      <c r="AI126" s="934"/>
      <c r="AJ126" s="934"/>
      <c r="AK126" s="934"/>
      <c r="AL126" s="934"/>
      <c r="AM126" s="934"/>
      <c r="AN126" s="934"/>
      <c r="AO126" s="934"/>
      <c r="AP126" s="934"/>
      <c r="AQ126" s="934"/>
    </row>
    <row r="127" spans="1:43" s="635" customFormat="1" x14ac:dyDescent="0.2">
      <c r="A127" s="933"/>
      <c r="AI127" s="934"/>
      <c r="AJ127" s="934"/>
      <c r="AK127" s="934"/>
      <c r="AL127" s="934"/>
      <c r="AM127" s="934"/>
      <c r="AN127" s="934"/>
      <c r="AO127" s="934"/>
      <c r="AP127" s="934"/>
      <c r="AQ127" s="934"/>
    </row>
    <row r="128" spans="1:43" s="635" customFormat="1" x14ac:dyDescent="0.2">
      <c r="A128" s="933"/>
      <c r="D128" s="634" t="s">
        <v>1944</v>
      </c>
      <c r="AI128" s="934"/>
      <c r="AJ128" s="934"/>
      <c r="AK128" s="934"/>
      <c r="AL128" s="934"/>
      <c r="AM128" s="934"/>
      <c r="AN128" s="934"/>
      <c r="AO128" s="934"/>
      <c r="AP128" s="934"/>
      <c r="AQ128" s="934"/>
    </row>
    <row r="129" spans="1:43" s="635" customFormat="1" x14ac:dyDescent="0.2">
      <c r="A129" s="933"/>
      <c r="AI129" s="934"/>
      <c r="AJ129" s="934"/>
      <c r="AK129" s="934"/>
      <c r="AL129" s="934"/>
      <c r="AM129" s="934"/>
      <c r="AN129" s="934"/>
      <c r="AO129" s="934"/>
      <c r="AP129" s="934"/>
      <c r="AQ129" s="934"/>
    </row>
    <row r="130" spans="1:43" s="635" customFormat="1" x14ac:dyDescent="0.2">
      <c r="A130" s="933"/>
      <c r="D130" s="1168" t="s">
        <v>1977</v>
      </c>
      <c r="E130" s="1168"/>
      <c r="F130" s="1168"/>
      <c r="G130" s="1168"/>
      <c r="H130" s="1168"/>
      <c r="I130" s="1168"/>
      <c r="J130" s="1168"/>
      <c r="K130" s="1168"/>
      <c r="L130" s="1168"/>
      <c r="M130" s="1168"/>
      <c r="N130" s="1168"/>
      <c r="O130" s="1168"/>
      <c r="P130" s="1168"/>
      <c r="Q130" s="1168"/>
      <c r="R130" s="1168"/>
      <c r="S130" s="1168"/>
      <c r="T130" s="1168"/>
      <c r="U130" s="1168"/>
      <c r="V130" s="1168"/>
      <c r="W130" s="1168"/>
      <c r="X130" s="1168"/>
      <c r="Y130" s="1168"/>
      <c r="Z130" s="1168"/>
      <c r="AA130" s="1168"/>
      <c r="AB130" s="1168"/>
      <c r="AC130" s="1168"/>
      <c r="AD130" s="1168"/>
      <c r="AE130" s="1168"/>
      <c r="AF130" s="1168"/>
      <c r="AG130" s="1168"/>
      <c r="AI130" s="934"/>
      <c r="AJ130" s="934"/>
      <c r="AK130" s="934"/>
      <c r="AL130" s="934"/>
      <c r="AM130" s="934"/>
      <c r="AN130" s="934"/>
      <c r="AO130" s="934"/>
      <c r="AP130" s="934"/>
      <c r="AQ130" s="934"/>
    </row>
    <row r="131" spans="1:43" s="635" customFormat="1" x14ac:dyDescent="0.2">
      <c r="A131" s="933"/>
      <c r="D131" s="1168"/>
      <c r="E131" s="1168"/>
      <c r="F131" s="1168"/>
      <c r="G131" s="1168"/>
      <c r="H131" s="1168"/>
      <c r="I131" s="1168"/>
      <c r="J131" s="1168"/>
      <c r="K131" s="1168"/>
      <c r="L131" s="1168"/>
      <c r="M131" s="1168"/>
      <c r="N131" s="1168"/>
      <c r="O131" s="1168"/>
      <c r="P131" s="1168"/>
      <c r="Q131" s="1168"/>
      <c r="R131" s="1168"/>
      <c r="S131" s="1168"/>
      <c r="T131" s="1168"/>
      <c r="U131" s="1168"/>
      <c r="V131" s="1168"/>
      <c r="W131" s="1168"/>
      <c r="X131" s="1168"/>
      <c r="Y131" s="1168"/>
      <c r="Z131" s="1168"/>
      <c r="AA131" s="1168"/>
      <c r="AB131" s="1168"/>
      <c r="AC131" s="1168"/>
      <c r="AD131" s="1168"/>
      <c r="AE131" s="1168"/>
      <c r="AF131" s="1168"/>
      <c r="AG131" s="1168"/>
      <c r="AI131" s="934"/>
      <c r="AJ131" s="934"/>
      <c r="AK131" s="934"/>
      <c r="AL131" s="934"/>
      <c r="AM131" s="934"/>
      <c r="AN131" s="934"/>
      <c r="AO131" s="934"/>
      <c r="AP131" s="934"/>
      <c r="AQ131" s="934"/>
    </row>
    <row r="132" spans="1:43" s="635" customFormat="1" x14ac:dyDescent="0.2">
      <c r="A132" s="933"/>
      <c r="AI132" s="934"/>
      <c r="AJ132" s="934"/>
      <c r="AK132" s="934"/>
      <c r="AL132" s="934"/>
      <c r="AM132" s="934"/>
      <c r="AN132" s="934"/>
      <c r="AO132" s="934"/>
      <c r="AP132" s="934"/>
      <c r="AQ132" s="934"/>
    </row>
    <row r="133" spans="1:43" s="635" customFormat="1" x14ac:dyDescent="0.2">
      <c r="A133" s="933"/>
      <c r="D133" s="1168" t="s">
        <v>1978</v>
      </c>
      <c r="E133" s="1168"/>
      <c r="F133" s="1168"/>
      <c r="G133" s="1168"/>
      <c r="H133" s="1168"/>
      <c r="I133" s="1168"/>
      <c r="J133" s="1168"/>
      <c r="K133" s="1168"/>
      <c r="L133" s="1168"/>
      <c r="M133" s="1168"/>
      <c r="N133" s="1168"/>
      <c r="O133" s="1168"/>
      <c r="P133" s="1168"/>
      <c r="Q133" s="1168"/>
      <c r="R133" s="1168"/>
      <c r="S133" s="1168"/>
      <c r="T133" s="1168"/>
      <c r="U133" s="1168"/>
      <c r="V133" s="1168"/>
      <c r="W133" s="1168"/>
      <c r="X133" s="1168"/>
      <c r="Y133" s="1168"/>
      <c r="Z133" s="1168"/>
      <c r="AA133" s="1168"/>
      <c r="AB133" s="1168"/>
      <c r="AC133" s="1168"/>
      <c r="AD133" s="1168"/>
      <c r="AE133" s="1168"/>
      <c r="AF133" s="1168"/>
      <c r="AG133" s="1168"/>
      <c r="AI133" s="934"/>
      <c r="AJ133" s="934"/>
      <c r="AK133" s="934"/>
      <c r="AL133" s="934"/>
      <c r="AM133" s="934"/>
      <c r="AN133" s="934"/>
      <c r="AO133" s="934"/>
      <c r="AP133" s="934"/>
      <c r="AQ133" s="934"/>
    </row>
    <row r="134" spans="1:43" s="635" customFormat="1" x14ac:dyDescent="0.2">
      <c r="A134" s="933"/>
      <c r="D134" s="1168"/>
      <c r="E134" s="1168"/>
      <c r="F134" s="1168"/>
      <c r="G134" s="1168"/>
      <c r="H134" s="1168"/>
      <c r="I134" s="1168"/>
      <c r="J134" s="1168"/>
      <c r="K134" s="1168"/>
      <c r="L134" s="1168"/>
      <c r="M134" s="1168"/>
      <c r="N134" s="1168"/>
      <c r="O134" s="1168"/>
      <c r="P134" s="1168"/>
      <c r="Q134" s="1168"/>
      <c r="R134" s="1168"/>
      <c r="S134" s="1168"/>
      <c r="T134" s="1168"/>
      <c r="U134" s="1168"/>
      <c r="V134" s="1168"/>
      <c r="W134" s="1168"/>
      <c r="X134" s="1168"/>
      <c r="Y134" s="1168"/>
      <c r="Z134" s="1168"/>
      <c r="AA134" s="1168"/>
      <c r="AB134" s="1168"/>
      <c r="AC134" s="1168"/>
      <c r="AD134" s="1168"/>
      <c r="AE134" s="1168"/>
      <c r="AF134" s="1168"/>
      <c r="AG134" s="1168"/>
      <c r="AI134" s="934"/>
      <c r="AJ134" s="934"/>
      <c r="AK134" s="934"/>
      <c r="AL134" s="934"/>
      <c r="AM134" s="934"/>
      <c r="AN134" s="934"/>
      <c r="AO134" s="934"/>
      <c r="AP134" s="934"/>
      <c r="AQ134" s="934"/>
    </row>
    <row r="135" spans="1:43" s="635" customFormat="1" x14ac:dyDescent="0.2">
      <c r="A135" s="933"/>
      <c r="D135" s="1168"/>
      <c r="E135" s="1168"/>
      <c r="F135" s="1168"/>
      <c r="G135" s="1168"/>
      <c r="H135" s="1168"/>
      <c r="I135" s="1168"/>
      <c r="J135" s="1168"/>
      <c r="K135" s="1168"/>
      <c r="L135" s="1168"/>
      <c r="M135" s="1168"/>
      <c r="N135" s="1168"/>
      <c r="O135" s="1168"/>
      <c r="P135" s="1168"/>
      <c r="Q135" s="1168"/>
      <c r="R135" s="1168"/>
      <c r="S135" s="1168"/>
      <c r="T135" s="1168"/>
      <c r="U135" s="1168"/>
      <c r="V135" s="1168"/>
      <c r="W135" s="1168"/>
      <c r="X135" s="1168"/>
      <c r="Y135" s="1168"/>
      <c r="Z135" s="1168"/>
      <c r="AA135" s="1168"/>
      <c r="AB135" s="1168"/>
      <c r="AC135" s="1168"/>
      <c r="AD135" s="1168"/>
      <c r="AE135" s="1168"/>
      <c r="AF135" s="1168"/>
      <c r="AG135" s="1168"/>
      <c r="AI135" s="934"/>
      <c r="AJ135" s="934"/>
      <c r="AK135" s="934"/>
      <c r="AL135" s="934"/>
      <c r="AM135" s="934"/>
      <c r="AN135" s="934"/>
      <c r="AO135" s="934"/>
      <c r="AP135" s="934"/>
      <c r="AQ135" s="934"/>
    </row>
    <row r="136" spans="1:43" s="635" customFormat="1" x14ac:dyDescent="0.2">
      <c r="A136" s="933"/>
      <c r="AI136" s="934"/>
      <c r="AJ136" s="934"/>
      <c r="AK136" s="934"/>
      <c r="AL136" s="934"/>
      <c r="AM136" s="934"/>
      <c r="AN136" s="934"/>
      <c r="AO136" s="934"/>
      <c r="AP136" s="934"/>
      <c r="AQ136" s="934"/>
    </row>
    <row r="137" spans="1:43" s="635" customFormat="1" x14ac:dyDescent="0.2">
      <c r="A137" s="933"/>
      <c r="D137" s="1174" t="s">
        <v>1979</v>
      </c>
      <c r="E137" s="1174"/>
      <c r="F137" s="1174"/>
      <c r="G137" s="1174"/>
      <c r="H137" s="1174"/>
      <c r="I137" s="1174"/>
      <c r="J137" s="1174"/>
      <c r="K137" s="1174"/>
      <c r="L137" s="1174"/>
      <c r="M137" s="1174"/>
      <c r="N137" s="1174"/>
      <c r="O137" s="1174"/>
      <c r="P137" s="1174"/>
      <c r="Q137" s="1174"/>
      <c r="R137" s="1174"/>
      <c r="S137" s="1174"/>
      <c r="T137" s="1174"/>
      <c r="U137" s="1174"/>
      <c r="V137" s="1174"/>
      <c r="W137" s="1174"/>
      <c r="X137" s="1174"/>
      <c r="Y137" s="1174"/>
      <c r="Z137" s="1174"/>
      <c r="AA137" s="1174"/>
      <c r="AB137" s="1174"/>
      <c r="AC137" s="1174"/>
      <c r="AD137" s="1174"/>
      <c r="AE137" s="1174"/>
      <c r="AF137" s="1174"/>
      <c r="AG137" s="1174"/>
      <c r="AI137" s="934"/>
      <c r="AJ137" s="934"/>
      <c r="AK137" s="934"/>
      <c r="AL137" s="934"/>
      <c r="AM137" s="934"/>
      <c r="AN137" s="934"/>
      <c r="AO137" s="934"/>
      <c r="AP137" s="934"/>
      <c r="AQ137" s="934"/>
    </row>
    <row r="138" spans="1:43" s="635" customFormat="1" x14ac:dyDescent="0.2">
      <c r="A138" s="933"/>
      <c r="K138" s="769"/>
      <c r="AI138" s="934"/>
      <c r="AJ138" s="934"/>
      <c r="AK138" s="934"/>
      <c r="AL138" s="934"/>
      <c r="AM138" s="934"/>
      <c r="AN138" s="934"/>
      <c r="AO138" s="934"/>
      <c r="AP138" s="934"/>
      <c r="AQ138" s="934"/>
    </row>
    <row r="139" spans="1:43" s="635" customFormat="1" x14ac:dyDescent="0.2">
      <c r="A139" s="933"/>
      <c r="D139" s="634" t="s">
        <v>1945</v>
      </c>
      <c r="AI139" s="934"/>
      <c r="AJ139" s="934"/>
      <c r="AK139" s="934"/>
      <c r="AL139" s="934"/>
      <c r="AM139" s="934"/>
      <c r="AN139" s="934"/>
      <c r="AO139" s="934"/>
      <c r="AP139" s="934"/>
      <c r="AQ139" s="934"/>
    </row>
    <row r="140" spans="1:43" s="635" customFormat="1" x14ac:dyDescent="0.2">
      <c r="A140" s="933"/>
      <c r="AI140" s="934"/>
      <c r="AJ140" s="934"/>
      <c r="AK140" s="934"/>
      <c r="AL140" s="934"/>
      <c r="AM140" s="934"/>
      <c r="AN140" s="934"/>
      <c r="AO140" s="934"/>
      <c r="AP140" s="934"/>
      <c r="AQ140" s="934"/>
    </row>
    <row r="141" spans="1:43" s="635" customFormat="1" x14ac:dyDescent="0.2">
      <c r="A141" s="933"/>
      <c r="D141" s="1168" t="s">
        <v>1446</v>
      </c>
      <c r="E141" s="1168"/>
      <c r="F141" s="1168"/>
      <c r="G141" s="1168"/>
      <c r="H141" s="1168"/>
      <c r="I141" s="1168"/>
      <c r="J141" s="1168"/>
      <c r="K141" s="1168"/>
      <c r="L141" s="1168"/>
      <c r="M141" s="1168"/>
      <c r="N141" s="1168"/>
      <c r="O141" s="1168"/>
      <c r="P141" s="1168"/>
      <c r="Q141" s="1168"/>
      <c r="R141" s="1168"/>
      <c r="S141" s="1168"/>
      <c r="T141" s="1168"/>
      <c r="U141" s="1168"/>
      <c r="V141" s="1168"/>
      <c r="W141" s="1168"/>
      <c r="X141" s="1168"/>
      <c r="Y141" s="1168"/>
      <c r="Z141" s="1168"/>
      <c r="AA141" s="1168"/>
      <c r="AB141" s="1168"/>
      <c r="AC141" s="1168"/>
      <c r="AD141" s="1168"/>
      <c r="AE141" s="1168"/>
      <c r="AF141" s="1168"/>
      <c r="AG141" s="1168"/>
      <c r="AI141" s="934"/>
      <c r="AJ141" s="934"/>
      <c r="AK141" s="934"/>
      <c r="AL141" s="934"/>
      <c r="AM141" s="934"/>
      <c r="AN141" s="934"/>
      <c r="AO141" s="934"/>
      <c r="AP141" s="934"/>
      <c r="AQ141" s="934"/>
    </row>
    <row r="142" spans="1:43" s="635" customFormat="1" x14ac:dyDescent="0.2">
      <c r="A142" s="933"/>
      <c r="D142" s="1168"/>
      <c r="E142" s="1168"/>
      <c r="F142" s="1168"/>
      <c r="G142" s="1168"/>
      <c r="H142" s="1168"/>
      <c r="I142" s="1168"/>
      <c r="J142" s="1168"/>
      <c r="K142" s="1168"/>
      <c r="L142" s="1168"/>
      <c r="M142" s="1168"/>
      <c r="N142" s="1168"/>
      <c r="O142" s="1168"/>
      <c r="P142" s="1168"/>
      <c r="Q142" s="1168"/>
      <c r="R142" s="1168"/>
      <c r="S142" s="1168"/>
      <c r="T142" s="1168"/>
      <c r="U142" s="1168"/>
      <c r="V142" s="1168"/>
      <c r="W142" s="1168"/>
      <c r="X142" s="1168"/>
      <c r="Y142" s="1168"/>
      <c r="Z142" s="1168"/>
      <c r="AA142" s="1168"/>
      <c r="AB142" s="1168"/>
      <c r="AC142" s="1168"/>
      <c r="AD142" s="1168"/>
      <c r="AE142" s="1168"/>
      <c r="AF142" s="1168"/>
      <c r="AG142" s="1168"/>
      <c r="AI142" s="934"/>
      <c r="AJ142" s="934"/>
      <c r="AK142" s="934"/>
      <c r="AL142" s="934"/>
      <c r="AM142" s="934"/>
      <c r="AN142" s="934"/>
      <c r="AO142" s="934"/>
      <c r="AP142" s="934"/>
      <c r="AQ142" s="934"/>
    </row>
    <row r="143" spans="1:43" s="635" customFormat="1" x14ac:dyDescent="0.2">
      <c r="A143" s="933"/>
      <c r="AI143" s="934"/>
      <c r="AJ143" s="934"/>
      <c r="AK143" s="934"/>
      <c r="AL143" s="934"/>
      <c r="AM143" s="934"/>
      <c r="AN143" s="934"/>
      <c r="AO143" s="934"/>
      <c r="AP143" s="934"/>
      <c r="AQ143" s="934"/>
    </row>
    <row r="144" spans="1:43" s="635" customFormat="1" x14ac:dyDescent="0.2">
      <c r="A144" s="933"/>
      <c r="D144" s="1168" t="s">
        <v>1447</v>
      </c>
      <c r="E144" s="1168"/>
      <c r="F144" s="1168"/>
      <c r="G144" s="1168"/>
      <c r="H144" s="1168"/>
      <c r="I144" s="1168"/>
      <c r="J144" s="1168"/>
      <c r="K144" s="1168"/>
      <c r="L144" s="1168"/>
      <c r="M144" s="1168"/>
      <c r="N144" s="1168"/>
      <c r="O144" s="1168"/>
      <c r="P144" s="1168"/>
      <c r="Q144" s="1168"/>
      <c r="R144" s="1168"/>
      <c r="S144" s="1168"/>
      <c r="T144" s="1168"/>
      <c r="U144" s="1168"/>
      <c r="V144" s="1168"/>
      <c r="W144" s="1168"/>
      <c r="X144" s="1168"/>
      <c r="Y144" s="1168"/>
      <c r="Z144" s="1168"/>
      <c r="AA144" s="1168"/>
      <c r="AB144" s="1168"/>
      <c r="AC144" s="1168"/>
      <c r="AD144" s="1168"/>
      <c r="AE144" s="1168"/>
      <c r="AF144" s="1168"/>
      <c r="AG144" s="1168"/>
      <c r="AI144" s="934"/>
      <c r="AJ144" s="934"/>
      <c r="AK144" s="934"/>
      <c r="AL144" s="934"/>
      <c r="AM144" s="934"/>
      <c r="AN144" s="934"/>
      <c r="AO144" s="934"/>
      <c r="AP144" s="934"/>
      <c r="AQ144" s="934"/>
    </row>
    <row r="145" spans="1:43" s="635" customFormat="1" x14ac:dyDescent="0.2">
      <c r="A145" s="933"/>
      <c r="D145" s="1168"/>
      <c r="E145" s="1168"/>
      <c r="F145" s="1168"/>
      <c r="G145" s="1168"/>
      <c r="H145" s="1168"/>
      <c r="I145" s="1168"/>
      <c r="J145" s="1168"/>
      <c r="K145" s="1168"/>
      <c r="L145" s="1168"/>
      <c r="M145" s="1168"/>
      <c r="N145" s="1168"/>
      <c r="O145" s="1168"/>
      <c r="P145" s="1168"/>
      <c r="Q145" s="1168"/>
      <c r="R145" s="1168"/>
      <c r="S145" s="1168"/>
      <c r="T145" s="1168"/>
      <c r="U145" s="1168"/>
      <c r="V145" s="1168"/>
      <c r="W145" s="1168"/>
      <c r="X145" s="1168"/>
      <c r="Y145" s="1168"/>
      <c r="Z145" s="1168"/>
      <c r="AA145" s="1168"/>
      <c r="AB145" s="1168"/>
      <c r="AC145" s="1168"/>
      <c r="AD145" s="1168"/>
      <c r="AE145" s="1168"/>
      <c r="AF145" s="1168"/>
      <c r="AG145" s="1168"/>
      <c r="AI145" s="934"/>
      <c r="AJ145" s="934"/>
      <c r="AK145" s="934"/>
      <c r="AL145" s="934"/>
      <c r="AM145" s="934"/>
      <c r="AN145" s="934"/>
      <c r="AO145" s="934"/>
      <c r="AP145" s="934"/>
      <c r="AQ145" s="934"/>
    </row>
    <row r="146" spans="1:43" s="635" customFormat="1" x14ac:dyDescent="0.2">
      <c r="A146" s="933"/>
      <c r="AI146" s="934"/>
      <c r="AJ146" s="934"/>
      <c r="AK146" s="934"/>
      <c r="AL146" s="934"/>
      <c r="AM146" s="934"/>
      <c r="AN146" s="934"/>
      <c r="AO146" s="934"/>
      <c r="AP146" s="934"/>
      <c r="AQ146" s="934"/>
    </row>
    <row r="147" spans="1:43" s="635" customFormat="1" x14ac:dyDescent="0.2">
      <c r="A147" s="933"/>
      <c r="D147" s="1168" t="s">
        <v>1448</v>
      </c>
      <c r="E147" s="1168"/>
      <c r="F147" s="1168"/>
      <c r="G147" s="1168"/>
      <c r="H147" s="1168"/>
      <c r="I147" s="1168"/>
      <c r="J147" s="1168"/>
      <c r="K147" s="1168"/>
      <c r="L147" s="1168"/>
      <c r="M147" s="1168"/>
      <c r="N147" s="1168"/>
      <c r="O147" s="1168"/>
      <c r="P147" s="1168"/>
      <c r="Q147" s="1168"/>
      <c r="R147" s="1168"/>
      <c r="S147" s="1168"/>
      <c r="T147" s="1168"/>
      <c r="U147" s="1168"/>
      <c r="V147" s="1168"/>
      <c r="W147" s="1168"/>
      <c r="X147" s="1168"/>
      <c r="Y147" s="1168"/>
      <c r="Z147" s="1168"/>
      <c r="AA147" s="1168"/>
      <c r="AB147" s="1168"/>
      <c r="AC147" s="1168"/>
      <c r="AD147" s="1168"/>
      <c r="AE147" s="1168"/>
      <c r="AF147" s="1168"/>
      <c r="AG147" s="1168"/>
      <c r="AI147" s="934"/>
      <c r="AJ147" s="934"/>
      <c r="AK147" s="934"/>
      <c r="AL147" s="934"/>
      <c r="AM147" s="934"/>
      <c r="AN147" s="934"/>
      <c r="AO147" s="934"/>
      <c r="AP147" s="934"/>
      <c r="AQ147" s="934"/>
    </row>
    <row r="148" spans="1:43" s="635" customFormat="1" x14ac:dyDescent="0.2">
      <c r="A148" s="933"/>
      <c r="AI148" s="934"/>
      <c r="AJ148" s="934"/>
      <c r="AK148" s="934"/>
      <c r="AL148" s="934"/>
      <c r="AM148" s="934"/>
      <c r="AN148" s="934"/>
      <c r="AO148" s="934"/>
      <c r="AP148" s="934"/>
      <c r="AQ148" s="934"/>
    </row>
    <row r="149" spans="1:43" s="635" customFormat="1" x14ac:dyDescent="0.2">
      <c r="A149" s="933"/>
      <c r="D149" s="634" t="s">
        <v>1946</v>
      </c>
      <c r="AI149" s="934"/>
      <c r="AJ149" s="934"/>
      <c r="AK149" s="934"/>
      <c r="AL149" s="934"/>
      <c r="AM149" s="934"/>
      <c r="AN149" s="934"/>
      <c r="AO149" s="934"/>
      <c r="AP149" s="934"/>
      <c r="AQ149" s="934"/>
    </row>
    <row r="150" spans="1:43" s="635" customFormat="1" x14ac:dyDescent="0.2">
      <c r="A150" s="933"/>
      <c r="AI150" s="934"/>
      <c r="AJ150" s="934"/>
      <c r="AK150" s="934"/>
      <c r="AL150" s="934"/>
      <c r="AM150" s="934"/>
      <c r="AN150" s="934"/>
      <c r="AO150" s="934"/>
      <c r="AP150" s="934"/>
      <c r="AQ150" s="934"/>
    </row>
    <row r="151" spans="1:43" s="635" customFormat="1" x14ac:dyDescent="0.2">
      <c r="A151" s="933"/>
      <c r="D151" s="1168" t="s">
        <v>1449</v>
      </c>
      <c r="E151" s="1168"/>
      <c r="F151" s="1168"/>
      <c r="G151" s="1168"/>
      <c r="H151" s="1168"/>
      <c r="I151" s="1168"/>
      <c r="J151" s="1168"/>
      <c r="K151" s="1168"/>
      <c r="L151" s="1168"/>
      <c r="M151" s="1168"/>
      <c r="N151" s="1168"/>
      <c r="O151" s="1168"/>
      <c r="P151" s="1168"/>
      <c r="Q151" s="1168"/>
      <c r="R151" s="1168"/>
      <c r="S151" s="1168"/>
      <c r="T151" s="1168"/>
      <c r="U151" s="1168"/>
      <c r="V151" s="1168"/>
      <c r="W151" s="1168"/>
      <c r="X151" s="1168"/>
      <c r="Y151" s="1168"/>
      <c r="Z151" s="1168"/>
      <c r="AA151" s="1168"/>
      <c r="AB151" s="1168"/>
      <c r="AC151" s="1168"/>
      <c r="AD151" s="1168"/>
      <c r="AE151" s="1168"/>
      <c r="AF151" s="1168"/>
      <c r="AG151" s="1168"/>
      <c r="AI151" s="934"/>
      <c r="AJ151" s="934"/>
      <c r="AK151" s="934"/>
      <c r="AL151" s="934"/>
      <c r="AM151" s="934"/>
      <c r="AN151" s="934"/>
      <c r="AO151" s="934"/>
      <c r="AP151" s="934"/>
      <c r="AQ151" s="934"/>
    </row>
    <row r="152" spans="1:43" s="635" customFormat="1" x14ac:dyDescent="0.2">
      <c r="A152" s="933"/>
      <c r="D152" s="1168"/>
      <c r="E152" s="1168"/>
      <c r="F152" s="1168"/>
      <c r="G152" s="1168"/>
      <c r="H152" s="1168"/>
      <c r="I152" s="1168"/>
      <c r="J152" s="1168"/>
      <c r="K152" s="1168"/>
      <c r="L152" s="1168"/>
      <c r="M152" s="1168"/>
      <c r="N152" s="1168"/>
      <c r="O152" s="1168"/>
      <c r="P152" s="1168"/>
      <c r="Q152" s="1168"/>
      <c r="R152" s="1168"/>
      <c r="S152" s="1168"/>
      <c r="T152" s="1168"/>
      <c r="U152" s="1168"/>
      <c r="V152" s="1168"/>
      <c r="W152" s="1168"/>
      <c r="X152" s="1168"/>
      <c r="Y152" s="1168"/>
      <c r="Z152" s="1168"/>
      <c r="AA152" s="1168"/>
      <c r="AB152" s="1168"/>
      <c r="AC152" s="1168"/>
      <c r="AD152" s="1168"/>
      <c r="AE152" s="1168"/>
      <c r="AF152" s="1168"/>
      <c r="AG152" s="1168"/>
      <c r="AI152" s="934"/>
      <c r="AJ152" s="934"/>
      <c r="AK152" s="934"/>
      <c r="AL152" s="934"/>
      <c r="AM152" s="934"/>
      <c r="AN152" s="934"/>
      <c r="AO152" s="934"/>
      <c r="AP152" s="934"/>
      <c r="AQ152" s="934"/>
    </row>
    <row r="153" spans="1:43" s="635" customFormat="1" x14ac:dyDescent="0.2">
      <c r="A153" s="933"/>
      <c r="AI153" s="934"/>
      <c r="AJ153" s="934"/>
      <c r="AK153" s="934"/>
      <c r="AL153" s="934"/>
      <c r="AM153" s="934"/>
      <c r="AN153" s="934"/>
      <c r="AO153" s="934"/>
      <c r="AP153" s="934"/>
      <c r="AQ153" s="934"/>
    </row>
    <row r="154" spans="1:43" s="635" customFormat="1" x14ac:dyDescent="0.2">
      <c r="A154" s="933"/>
      <c r="D154" s="634" t="s">
        <v>1948</v>
      </c>
      <c r="AI154" s="934"/>
      <c r="AJ154" s="934"/>
      <c r="AK154" s="934"/>
      <c r="AL154" s="934"/>
      <c r="AM154" s="934"/>
      <c r="AN154" s="934"/>
      <c r="AO154" s="934"/>
      <c r="AP154" s="934"/>
      <c r="AQ154" s="934"/>
    </row>
    <row r="155" spans="1:43" s="635" customFormat="1" x14ac:dyDescent="0.2">
      <c r="A155" s="933"/>
      <c r="AI155" s="934"/>
      <c r="AJ155" s="934"/>
      <c r="AK155" s="934"/>
      <c r="AL155" s="934"/>
      <c r="AM155" s="934"/>
      <c r="AN155" s="934"/>
      <c r="AO155" s="934"/>
      <c r="AP155" s="934"/>
      <c r="AQ155" s="934"/>
    </row>
    <row r="156" spans="1:43" s="635" customFormat="1" ht="39" customHeight="1" x14ac:dyDescent="0.2">
      <c r="A156" s="933"/>
      <c r="D156" s="1168" t="s">
        <v>1947</v>
      </c>
      <c r="E156" s="1168"/>
      <c r="F156" s="1168"/>
      <c r="G156" s="1168"/>
      <c r="H156" s="1168"/>
      <c r="I156" s="1168"/>
      <c r="J156" s="1168"/>
      <c r="K156" s="1168"/>
      <c r="L156" s="1168"/>
      <c r="M156" s="1168"/>
      <c r="N156" s="1168"/>
      <c r="O156" s="1168"/>
      <c r="P156" s="1168"/>
      <c r="Q156" s="1168"/>
      <c r="R156" s="1168"/>
      <c r="S156" s="1168"/>
      <c r="T156" s="1168"/>
      <c r="U156" s="1168"/>
      <c r="V156" s="1168"/>
      <c r="W156" s="1168"/>
      <c r="X156" s="1168"/>
      <c r="Y156" s="1168"/>
      <c r="Z156" s="1168"/>
      <c r="AA156" s="1168"/>
      <c r="AB156" s="1168"/>
      <c r="AC156" s="1168"/>
      <c r="AD156" s="1168"/>
      <c r="AE156" s="1168"/>
      <c r="AF156" s="1168"/>
      <c r="AG156" s="1168"/>
      <c r="AI156" s="934"/>
      <c r="AJ156" s="934"/>
      <c r="AK156" s="934"/>
      <c r="AL156" s="934"/>
      <c r="AM156" s="934"/>
      <c r="AN156" s="934"/>
      <c r="AO156" s="934"/>
      <c r="AP156" s="934"/>
      <c r="AQ156" s="934"/>
    </row>
    <row r="157" spans="1:43" s="635" customFormat="1" x14ac:dyDescent="0.2">
      <c r="A157" s="933"/>
      <c r="D157" s="937"/>
      <c r="E157" s="937"/>
      <c r="F157" s="937"/>
      <c r="G157" s="937"/>
      <c r="H157" s="937"/>
      <c r="I157" s="937"/>
      <c r="J157" s="937"/>
      <c r="K157" s="937"/>
      <c r="L157" s="937"/>
      <c r="M157" s="937"/>
      <c r="N157" s="937"/>
      <c r="O157" s="937"/>
      <c r="P157" s="937"/>
      <c r="Q157" s="937"/>
      <c r="R157" s="937"/>
      <c r="S157" s="937"/>
      <c r="T157" s="937"/>
      <c r="U157" s="937"/>
      <c r="V157" s="937"/>
      <c r="W157" s="937"/>
      <c r="X157" s="937"/>
      <c r="Y157" s="937"/>
      <c r="Z157" s="937"/>
      <c r="AA157" s="937"/>
      <c r="AB157" s="937"/>
      <c r="AC157" s="937"/>
      <c r="AD157" s="937"/>
      <c r="AE157" s="937"/>
      <c r="AF157" s="937"/>
      <c r="AG157" s="937"/>
      <c r="AI157" s="934"/>
      <c r="AJ157" s="934"/>
      <c r="AK157" s="934"/>
      <c r="AL157" s="934"/>
      <c r="AM157" s="934"/>
      <c r="AN157" s="934"/>
      <c r="AO157" s="934"/>
      <c r="AP157" s="934"/>
      <c r="AQ157" s="934"/>
    </row>
    <row r="158" spans="1:43" s="635" customFormat="1" x14ac:dyDescent="0.2">
      <c r="A158" s="933"/>
      <c r="D158" s="1168" t="s">
        <v>1450</v>
      </c>
      <c r="E158" s="1168"/>
      <c r="F158" s="1168"/>
      <c r="G158" s="1168"/>
      <c r="H158" s="1168"/>
      <c r="I158" s="1168"/>
      <c r="J158" s="1168"/>
      <c r="K158" s="1168"/>
      <c r="L158" s="1168"/>
      <c r="M158" s="1168"/>
      <c r="N158" s="1168"/>
      <c r="O158" s="1168"/>
      <c r="P158" s="1168"/>
      <c r="Q158" s="1168"/>
      <c r="R158" s="1168"/>
      <c r="S158" s="1168"/>
      <c r="T158" s="1168"/>
      <c r="U158" s="1168"/>
      <c r="V158" s="1168"/>
      <c r="W158" s="1168"/>
      <c r="X158" s="1168"/>
      <c r="Y158" s="1168"/>
      <c r="Z158" s="1168"/>
      <c r="AA158" s="1168"/>
      <c r="AB158" s="1168"/>
      <c r="AC158" s="1168"/>
      <c r="AD158" s="1168"/>
      <c r="AE158" s="1168"/>
      <c r="AF158" s="1168"/>
      <c r="AG158" s="1168"/>
      <c r="AI158" s="934"/>
      <c r="AJ158" s="934"/>
      <c r="AK158" s="934"/>
      <c r="AL158" s="934"/>
      <c r="AM158" s="934"/>
      <c r="AN158" s="934"/>
      <c r="AO158" s="934"/>
      <c r="AP158" s="934"/>
      <c r="AQ158" s="934"/>
    </row>
    <row r="159" spans="1:43" s="635" customFormat="1" x14ac:dyDescent="0.2">
      <c r="A159" s="933"/>
      <c r="D159" s="1168"/>
      <c r="E159" s="1168"/>
      <c r="F159" s="1168"/>
      <c r="G159" s="1168"/>
      <c r="H159" s="1168"/>
      <c r="I159" s="1168"/>
      <c r="J159" s="1168"/>
      <c r="K159" s="1168"/>
      <c r="L159" s="1168"/>
      <c r="M159" s="1168"/>
      <c r="N159" s="1168"/>
      <c r="O159" s="1168"/>
      <c r="P159" s="1168"/>
      <c r="Q159" s="1168"/>
      <c r="R159" s="1168"/>
      <c r="S159" s="1168"/>
      <c r="T159" s="1168"/>
      <c r="U159" s="1168"/>
      <c r="V159" s="1168"/>
      <c r="W159" s="1168"/>
      <c r="X159" s="1168"/>
      <c r="Y159" s="1168"/>
      <c r="Z159" s="1168"/>
      <c r="AA159" s="1168"/>
      <c r="AB159" s="1168"/>
      <c r="AC159" s="1168"/>
      <c r="AD159" s="1168"/>
      <c r="AE159" s="1168"/>
      <c r="AF159" s="1168"/>
      <c r="AG159" s="1168"/>
      <c r="AI159" s="934"/>
      <c r="AJ159" s="934"/>
      <c r="AK159" s="934"/>
      <c r="AL159" s="934"/>
      <c r="AM159" s="934"/>
      <c r="AN159" s="934"/>
      <c r="AO159" s="934"/>
      <c r="AP159" s="934"/>
      <c r="AQ159" s="934"/>
    </row>
    <row r="160" spans="1:43" s="635" customFormat="1" hidden="1" x14ac:dyDescent="0.2">
      <c r="A160" s="933"/>
      <c r="D160" s="1168"/>
      <c r="E160" s="1168"/>
      <c r="F160" s="1168"/>
      <c r="G160" s="1168"/>
      <c r="H160" s="1168"/>
      <c r="I160" s="1168"/>
      <c r="J160" s="1168"/>
      <c r="K160" s="1168"/>
      <c r="L160" s="1168"/>
      <c r="M160" s="1168"/>
      <c r="N160" s="1168"/>
      <c r="O160" s="1168"/>
      <c r="P160" s="1168"/>
      <c r="Q160" s="1168"/>
      <c r="R160" s="1168"/>
      <c r="S160" s="1168"/>
      <c r="T160" s="1168"/>
      <c r="U160" s="1168"/>
      <c r="V160" s="1168"/>
      <c r="W160" s="1168"/>
      <c r="X160" s="1168"/>
      <c r="Y160" s="1168"/>
      <c r="Z160" s="1168"/>
      <c r="AA160" s="1168"/>
      <c r="AB160" s="1168"/>
      <c r="AC160" s="1168"/>
      <c r="AD160" s="1168"/>
      <c r="AE160" s="1168"/>
      <c r="AF160" s="1168"/>
      <c r="AG160" s="1168"/>
      <c r="AI160" s="934"/>
      <c r="AJ160" s="934"/>
      <c r="AK160" s="934"/>
      <c r="AL160" s="934"/>
      <c r="AM160" s="934"/>
      <c r="AN160" s="934"/>
      <c r="AO160" s="934"/>
      <c r="AP160" s="934"/>
      <c r="AQ160" s="934"/>
    </row>
    <row r="161" spans="1:43" s="635" customFormat="1" x14ac:dyDescent="0.2">
      <c r="A161" s="933"/>
      <c r="AI161" s="934"/>
      <c r="AJ161" s="934"/>
      <c r="AK161" s="934"/>
      <c r="AL161" s="934"/>
      <c r="AM161" s="934"/>
      <c r="AN161" s="934"/>
      <c r="AO161" s="934"/>
      <c r="AP161" s="934"/>
      <c r="AQ161" s="934"/>
    </row>
    <row r="162" spans="1:43" s="635" customFormat="1" x14ac:dyDescent="0.2">
      <c r="A162" s="933"/>
      <c r="D162" s="634" t="s">
        <v>1949</v>
      </c>
      <c r="AI162" s="934"/>
      <c r="AJ162" s="934"/>
      <c r="AK162" s="934"/>
      <c r="AL162" s="934"/>
      <c r="AM162" s="934"/>
      <c r="AN162" s="934"/>
      <c r="AO162" s="934"/>
      <c r="AP162" s="934"/>
      <c r="AQ162" s="934"/>
    </row>
    <row r="163" spans="1:43" s="635" customFormat="1" x14ac:dyDescent="0.2">
      <c r="A163" s="933"/>
      <c r="AI163" s="934"/>
      <c r="AJ163" s="934"/>
      <c r="AK163" s="934"/>
      <c r="AL163" s="934"/>
      <c r="AM163" s="934"/>
      <c r="AN163" s="934"/>
      <c r="AO163" s="934"/>
      <c r="AP163" s="934"/>
      <c r="AQ163" s="934"/>
    </row>
    <row r="164" spans="1:43" s="635" customFormat="1" x14ac:dyDescent="0.2">
      <c r="A164" s="933"/>
      <c r="D164" s="1168" t="s">
        <v>1451</v>
      </c>
      <c r="E164" s="1168"/>
      <c r="F164" s="1168"/>
      <c r="G164" s="1168"/>
      <c r="H164" s="1168"/>
      <c r="I164" s="1168"/>
      <c r="J164" s="1168"/>
      <c r="K164" s="1168"/>
      <c r="L164" s="1168"/>
      <c r="M164" s="1168"/>
      <c r="N164" s="1168"/>
      <c r="O164" s="1168"/>
      <c r="P164" s="1168"/>
      <c r="Q164" s="1168"/>
      <c r="R164" s="1168"/>
      <c r="S164" s="1168"/>
      <c r="T164" s="1168"/>
      <c r="U164" s="1168"/>
      <c r="V164" s="1168"/>
      <c r="W164" s="1168"/>
      <c r="X164" s="1168"/>
      <c r="Y164" s="1168"/>
      <c r="Z164" s="1168"/>
      <c r="AA164" s="1168"/>
      <c r="AB164" s="1168"/>
      <c r="AC164" s="1168"/>
      <c r="AD164" s="1168"/>
      <c r="AE164" s="1168"/>
      <c r="AF164" s="1168"/>
      <c r="AG164" s="1168"/>
      <c r="AI164" s="934"/>
      <c r="AJ164" s="934"/>
      <c r="AK164" s="934"/>
      <c r="AL164" s="934"/>
      <c r="AM164" s="934"/>
      <c r="AN164" s="934"/>
      <c r="AO164" s="934"/>
      <c r="AP164" s="934"/>
      <c r="AQ164" s="934"/>
    </row>
    <row r="165" spans="1:43" s="635" customFormat="1" x14ac:dyDescent="0.2">
      <c r="A165" s="933"/>
      <c r="D165" s="1168"/>
      <c r="E165" s="1168"/>
      <c r="F165" s="1168"/>
      <c r="G165" s="1168"/>
      <c r="H165" s="1168"/>
      <c r="I165" s="1168"/>
      <c r="J165" s="1168"/>
      <c r="K165" s="1168"/>
      <c r="L165" s="1168"/>
      <c r="M165" s="1168"/>
      <c r="N165" s="1168"/>
      <c r="O165" s="1168"/>
      <c r="P165" s="1168"/>
      <c r="Q165" s="1168"/>
      <c r="R165" s="1168"/>
      <c r="S165" s="1168"/>
      <c r="T165" s="1168"/>
      <c r="U165" s="1168"/>
      <c r="V165" s="1168"/>
      <c r="W165" s="1168"/>
      <c r="X165" s="1168"/>
      <c r="Y165" s="1168"/>
      <c r="Z165" s="1168"/>
      <c r="AA165" s="1168"/>
      <c r="AB165" s="1168"/>
      <c r="AC165" s="1168"/>
      <c r="AD165" s="1168"/>
      <c r="AE165" s="1168"/>
      <c r="AF165" s="1168"/>
      <c r="AG165" s="1168"/>
      <c r="AI165" s="934"/>
      <c r="AJ165" s="934"/>
      <c r="AK165" s="934"/>
      <c r="AL165" s="934"/>
      <c r="AM165" s="934"/>
      <c r="AN165" s="934"/>
      <c r="AO165" s="934"/>
      <c r="AP165" s="934"/>
      <c r="AQ165" s="934"/>
    </row>
    <row r="166" spans="1:43" s="635" customFormat="1" x14ac:dyDescent="0.2">
      <c r="A166" s="933"/>
      <c r="D166" s="1168"/>
      <c r="E166" s="1168"/>
      <c r="F166" s="1168"/>
      <c r="G166" s="1168"/>
      <c r="H166" s="1168"/>
      <c r="I166" s="1168"/>
      <c r="J166" s="1168"/>
      <c r="K166" s="1168"/>
      <c r="L166" s="1168"/>
      <c r="M166" s="1168"/>
      <c r="N166" s="1168"/>
      <c r="O166" s="1168"/>
      <c r="P166" s="1168"/>
      <c r="Q166" s="1168"/>
      <c r="R166" s="1168"/>
      <c r="S166" s="1168"/>
      <c r="T166" s="1168"/>
      <c r="U166" s="1168"/>
      <c r="V166" s="1168"/>
      <c r="W166" s="1168"/>
      <c r="X166" s="1168"/>
      <c r="Y166" s="1168"/>
      <c r="Z166" s="1168"/>
      <c r="AA166" s="1168"/>
      <c r="AB166" s="1168"/>
      <c r="AC166" s="1168"/>
      <c r="AD166" s="1168"/>
      <c r="AE166" s="1168"/>
      <c r="AF166" s="1168"/>
      <c r="AG166" s="1168"/>
      <c r="AI166" s="934"/>
      <c r="AJ166" s="934"/>
      <c r="AK166" s="934"/>
      <c r="AL166" s="934"/>
      <c r="AM166" s="934"/>
      <c r="AN166" s="934"/>
      <c r="AO166" s="934"/>
      <c r="AP166" s="934"/>
      <c r="AQ166" s="934"/>
    </row>
    <row r="167" spans="1:43" s="635" customFormat="1" x14ac:dyDescent="0.2">
      <c r="A167" s="933"/>
      <c r="AI167" s="934"/>
      <c r="AJ167" s="934"/>
      <c r="AK167" s="934"/>
      <c r="AL167" s="934"/>
      <c r="AM167" s="934"/>
      <c r="AN167" s="934"/>
      <c r="AO167" s="934"/>
      <c r="AP167" s="934"/>
      <c r="AQ167" s="934"/>
    </row>
    <row r="168" spans="1:43" s="635" customFormat="1" x14ac:dyDescent="0.2">
      <c r="A168" s="933"/>
      <c r="D168" s="635" t="s">
        <v>1433</v>
      </c>
      <c r="E168" s="1168" t="s">
        <v>1453</v>
      </c>
      <c r="F168" s="1168"/>
      <c r="G168" s="1168"/>
      <c r="H168" s="1168"/>
      <c r="I168" s="1168"/>
      <c r="J168" s="1168"/>
      <c r="K168" s="1168"/>
      <c r="L168" s="1168"/>
      <c r="M168" s="1168"/>
      <c r="N168" s="1168"/>
      <c r="O168" s="1168"/>
      <c r="P168" s="1168"/>
      <c r="Q168" s="1168"/>
      <c r="R168" s="1168"/>
      <c r="S168" s="1168"/>
      <c r="T168" s="1168"/>
      <c r="U168" s="1168"/>
      <c r="V168" s="1168"/>
      <c r="W168" s="1168"/>
      <c r="X168" s="1168"/>
      <c r="Y168" s="1168"/>
      <c r="Z168" s="1168"/>
      <c r="AA168" s="1168"/>
      <c r="AB168" s="1168"/>
      <c r="AC168" s="1168"/>
      <c r="AD168" s="1168"/>
      <c r="AE168" s="1168"/>
      <c r="AF168" s="1168"/>
      <c r="AG168" s="1168"/>
      <c r="AI168" s="934"/>
      <c r="AJ168" s="934"/>
      <c r="AK168" s="934"/>
      <c r="AL168" s="934"/>
      <c r="AM168" s="934"/>
      <c r="AN168" s="934"/>
      <c r="AO168" s="934"/>
      <c r="AP168" s="934"/>
      <c r="AQ168" s="934"/>
    </row>
    <row r="169" spans="1:43" s="635" customFormat="1" x14ac:dyDescent="0.2">
      <c r="A169" s="933"/>
      <c r="E169" s="1168"/>
      <c r="F169" s="1168"/>
      <c r="G169" s="1168"/>
      <c r="H169" s="1168"/>
      <c r="I169" s="1168"/>
      <c r="J169" s="1168"/>
      <c r="K169" s="1168"/>
      <c r="L169" s="1168"/>
      <c r="M169" s="1168"/>
      <c r="N169" s="1168"/>
      <c r="O169" s="1168"/>
      <c r="P169" s="1168"/>
      <c r="Q169" s="1168"/>
      <c r="R169" s="1168"/>
      <c r="S169" s="1168"/>
      <c r="T169" s="1168"/>
      <c r="U169" s="1168"/>
      <c r="V169" s="1168"/>
      <c r="W169" s="1168"/>
      <c r="X169" s="1168"/>
      <c r="Y169" s="1168"/>
      <c r="Z169" s="1168"/>
      <c r="AA169" s="1168"/>
      <c r="AB169" s="1168"/>
      <c r="AC169" s="1168"/>
      <c r="AD169" s="1168"/>
      <c r="AE169" s="1168"/>
      <c r="AF169" s="1168"/>
      <c r="AG169" s="1168"/>
      <c r="AI169" s="934"/>
      <c r="AJ169" s="934"/>
      <c r="AK169" s="934"/>
      <c r="AL169" s="934"/>
      <c r="AM169" s="934"/>
      <c r="AN169" s="934"/>
      <c r="AO169" s="934"/>
      <c r="AP169" s="934"/>
      <c r="AQ169" s="934"/>
    </row>
    <row r="170" spans="1:43" s="635" customFormat="1" x14ac:dyDescent="0.2">
      <c r="A170" s="933"/>
      <c r="E170" s="939"/>
      <c r="F170" s="939"/>
      <c r="G170" s="939"/>
      <c r="H170" s="939"/>
      <c r="I170" s="939"/>
      <c r="J170" s="939"/>
      <c r="K170" s="939"/>
      <c r="L170" s="939"/>
      <c r="M170" s="939"/>
      <c r="N170" s="939"/>
      <c r="O170" s="939"/>
      <c r="P170" s="939"/>
      <c r="Q170" s="939"/>
      <c r="R170" s="939"/>
      <c r="S170" s="939"/>
      <c r="T170" s="939"/>
      <c r="U170" s="939"/>
      <c r="V170" s="939"/>
      <c r="W170" s="939"/>
      <c r="X170" s="939"/>
      <c r="Y170" s="939"/>
      <c r="Z170" s="939"/>
      <c r="AA170" s="939"/>
      <c r="AB170" s="939"/>
      <c r="AC170" s="939"/>
      <c r="AD170" s="939"/>
      <c r="AE170" s="939"/>
      <c r="AF170" s="939"/>
      <c r="AG170" s="939"/>
      <c r="AI170" s="934"/>
      <c r="AJ170" s="934"/>
      <c r="AK170" s="934"/>
      <c r="AL170" s="934"/>
      <c r="AM170" s="934"/>
      <c r="AN170" s="934"/>
      <c r="AO170" s="934"/>
      <c r="AP170" s="934"/>
      <c r="AQ170" s="934"/>
    </row>
    <row r="171" spans="1:43" s="635" customFormat="1" x14ac:dyDescent="0.2">
      <c r="A171" s="933"/>
      <c r="D171" s="635" t="s">
        <v>1433</v>
      </c>
      <c r="E171" s="1168" t="s">
        <v>1452</v>
      </c>
      <c r="F171" s="1168"/>
      <c r="G171" s="1168"/>
      <c r="H171" s="1168"/>
      <c r="I171" s="1168"/>
      <c r="J171" s="1168"/>
      <c r="K171" s="1168"/>
      <c r="L171" s="1168"/>
      <c r="M171" s="1168"/>
      <c r="N171" s="1168"/>
      <c r="O171" s="1168"/>
      <c r="P171" s="1168"/>
      <c r="Q171" s="1168"/>
      <c r="R171" s="1168"/>
      <c r="S171" s="1168"/>
      <c r="T171" s="1168"/>
      <c r="U171" s="1168"/>
      <c r="V171" s="1168"/>
      <c r="W171" s="1168"/>
      <c r="X171" s="1168"/>
      <c r="Y171" s="1168"/>
      <c r="Z171" s="1168"/>
      <c r="AA171" s="1168"/>
      <c r="AB171" s="1168"/>
      <c r="AC171" s="1168"/>
      <c r="AD171" s="1168"/>
      <c r="AE171" s="1168"/>
      <c r="AF171" s="1168"/>
      <c r="AG171" s="1168"/>
      <c r="AI171" s="934"/>
      <c r="AJ171" s="934"/>
      <c r="AK171" s="934"/>
      <c r="AL171" s="934"/>
      <c r="AM171" s="934"/>
      <c r="AN171" s="934"/>
      <c r="AO171" s="934"/>
      <c r="AP171" s="934"/>
      <c r="AQ171" s="934"/>
    </row>
    <row r="172" spans="1:43" s="635" customFormat="1" x14ac:dyDescent="0.2">
      <c r="A172" s="933"/>
      <c r="E172" s="1168"/>
      <c r="F172" s="1168"/>
      <c r="G172" s="1168"/>
      <c r="H172" s="1168"/>
      <c r="I172" s="1168"/>
      <c r="J172" s="1168"/>
      <c r="K172" s="1168"/>
      <c r="L172" s="1168"/>
      <c r="M172" s="1168"/>
      <c r="N172" s="1168"/>
      <c r="O172" s="1168"/>
      <c r="P172" s="1168"/>
      <c r="Q172" s="1168"/>
      <c r="R172" s="1168"/>
      <c r="S172" s="1168"/>
      <c r="T172" s="1168"/>
      <c r="U172" s="1168"/>
      <c r="V172" s="1168"/>
      <c r="W172" s="1168"/>
      <c r="X172" s="1168"/>
      <c r="Y172" s="1168"/>
      <c r="Z172" s="1168"/>
      <c r="AA172" s="1168"/>
      <c r="AB172" s="1168"/>
      <c r="AC172" s="1168"/>
      <c r="AD172" s="1168"/>
      <c r="AE172" s="1168"/>
      <c r="AF172" s="1168"/>
      <c r="AG172" s="1168"/>
      <c r="AI172" s="934"/>
      <c r="AJ172" s="934"/>
      <c r="AK172" s="934"/>
      <c r="AL172" s="934"/>
      <c r="AM172" s="934"/>
      <c r="AN172" s="934"/>
      <c r="AO172" s="934"/>
      <c r="AP172" s="934"/>
      <c r="AQ172" s="934"/>
    </row>
    <row r="173" spans="1:43" s="635" customFormat="1" x14ac:dyDescent="0.2">
      <c r="A173" s="933"/>
      <c r="AI173" s="934"/>
      <c r="AJ173" s="934"/>
      <c r="AK173" s="934"/>
      <c r="AL173" s="934"/>
      <c r="AM173" s="934"/>
      <c r="AN173" s="934"/>
      <c r="AO173" s="934"/>
      <c r="AP173" s="934"/>
      <c r="AQ173" s="934"/>
    </row>
    <row r="174" spans="1:43" s="635" customFormat="1" x14ac:dyDescent="0.2">
      <c r="A174" s="933"/>
      <c r="D174" s="635" t="s">
        <v>1433</v>
      </c>
      <c r="E174" s="1168" t="s">
        <v>1454</v>
      </c>
      <c r="F174" s="1168"/>
      <c r="G174" s="1168"/>
      <c r="H174" s="1168"/>
      <c r="I174" s="1168"/>
      <c r="J174" s="1168"/>
      <c r="K174" s="1168"/>
      <c r="L174" s="1168"/>
      <c r="M174" s="1168"/>
      <c r="N174" s="1168"/>
      <c r="O174" s="1168"/>
      <c r="P174" s="1168"/>
      <c r="Q174" s="1168"/>
      <c r="R174" s="1168"/>
      <c r="S174" s="1168"/>
      <c r="T174" s="1168"/>
      <c r="U174" s="1168"/>
      <c r="V174" s="1168"/>
      <c r="W174" s="1168"/>
      <c r="X174" s="1168"/>
      <c r="Y174" s="1168"/>
      <c r="Z174" s="1168"/>
      <c r="AA174" s="1168"/>
      <c r="AB174" s="1168"/>
      <c r="AC174" s="1168"/>
      <c r="AD174" s="1168"/>
      <c r="AE174" s="1168"/>
      <c r="AF174" s="1168"/>
      <c r="AG174" s="1168"/>
      <c r="AI174" s="934"/>
      <c r="AJ174" s="934"/>
      <c r="AK174" s="934"/>
      <c r="AL174" s="934"/>
      <c r="AM174" s="934"/>
      <c r="AN174" s="934"/>
      <c r="AO174" s="934"/>
      <c r="AP174" s="934"/>
      <c r="AQ174" s="934"/>
    </row>
    <row r="175" spans="1:43" s="635" customFormat="1" x14ac:dyDescent="0.2">
      <c r="A175" s="933"/>
      <c r="AI175" s="934"/>
      <c r="AJ175" s="934"/>
      <c r="AK175" s="934"/>
      <c r="AL175" s="934"/>
      <c r="AM175" s="934"/>
      <c r="AN175" s="934"/>
      <c r="AO175" s="934"/>
      <c r="AP175" s="934"/>
      <c r="AQ175" s="934"/>
    </row>
    <row r="176" spans="1:43" s="635" customFormat="1" x14ac:dyDescent="0.2">
      <c r="A176" s="933"/>
      <c r="D176" s="1168" t="s">
        <v>1455</v>
      </c>
      <c r="E176" s="1168"/>
      <c r="F176" s="1168"/>
      <c r="G176" s="1168"/>
      <c r="H176" s="1168"/>
      <c r="I176" s="1168"/>
      <c r="J176" s="1168"/>
      <c r="K176" s="1168"/>
      <c r="L176" s="1168"/>
      <c r="M176" s="1168"/>
      <c r="N176" s="1168"/>
      <c r="O176" s="1168"/>
      <c r="P176" s="1168"/>
      <c r="Q176" s="1168"/>
      <c r="R176" s="1168"/>
      <c r="S176" s="1168"/>
      <c r="T176" s="1168"/>
      <c r="U176" s="1168"/>
      <c r="V176" s="1168"/>
      <c r="W176" s="1168"/>
      <c r="X176" s="1168"/>
      <c r="Y176" s="1168"/>
      <c r="Z176" s="1168"/>
      <c r="AA176" s="1168"/>
      <c r="AB176" s="1168"/>
      <c r="AC176" s="1168"/>
      <c r="AD176" s="1168"/>
      <c r="AE176" s="1168"/>
      <c r="AF176" s="1168"/>
      <c r="AG176" s="1168"/>
      <c r="AI176" s="934"/>
      <c r="AJ176" s="934"/>
      <c r="AK176" s="934"/>
      <c r="AL176" s="934"/>
      <c r="AM176" s="934"/>
      <c r="AN176" s="934"/>
      <c r="AO176" s="934"/>
      <c r="AP176" s="934"/>
      <c r="AQ176" s="934"/>
    </row>
    <row r="177" spans="1:43" s="635" customFormat="1" x14ac:dyDescent="0.2">
      <c r="A177" s="933"/>
      <c r="AI177" s="934"/>
      <c r="AJ177" s="934"/>
      <c r="AK177" s="934"/>
      <c r="AL177" s="934"/>
      <c r="AM177" s="934"/>
      <c r="AN177" s="934"/>
      <c r="AO177" s="934"/>
      <c r="AP177" s="934"/>
      <c r="AQ177" s="934"/>
    </row>
    <row r="178" spans="1:43" s="635" customFormat="1" x14ac:dyDescent="0.2">
      <c r="A178" s="933"/>
      <c r="D178" s="921" t="s">
        <v>1950</v>
      </c>
      <c r="E178" s="919"/>
      <c r="F178" s="919"/>
      <c r="G178" s="919"/>
      <c r="H178" s="919"/>
      <c r="I178" s="919"/>
      <c r="J178" s="919"/>
      <c r="K178" s="919"/>
      <c r="L178" s="919"/>
      <c r="M178" s="919"/>
      <c r="N178" s="919"/>
      <c r="O178" s="919"/>
      <c r="P178" s="919"/>
      <c r="Q178" s="919"/>
      <c r="R178" s="919"/>
      <c r="S178" s="919"/>
      <c r="T178" s="919"/>
      <c r="U178" s="919"/>
      <c r="V178" s="919"/>
      <c r="W178" s="919"/>
      <c r="X178" s="919"/>
      <c r="Y178" s="919"/>
      <c r="Z178" s="919"/>
      <c r="AA178" s="919"/>
      <c r="AB178" s="919"/>
      <c r="AC178" s="919"/>
      <c r="AD178" s="919"/>
      <c r="AE178" s="919"/>
      <c r="AF178" s="919"/>
      <c r="AG178" s="919"/>
      <c r="AH178" s="919"/>
      <c r="AI178" s="934"/>
      <c r="AJ178" s="934"/>
      <c r="AK178" s="934"/>
      <c r="AL178" s="934"/>
      <c r="AM178" s="934"/>
      <c r="AN178" s="934"/>
      <c r="AO178" s="934"/>
      <c r="AP178" s="934"/>
      <c r="AQ178" s="934"/>
    </row>
    <row r="179" spans="1:43" s="635" customFormat="1" x14ac:dyDescent="0.2">
      <c r="A179" s="933"/>
      <c r="D179" s="924"/>
      <c r="E179" s="919"/>
      <c r="F179" s="919"/>
      <c r="G179" s="919"/>
      <c r="H179" s="919"/>
      <c r="I179" s="919"/>
      <c r="J179" s="919"/>
      <c r="K179" s="919"/>
      <c r="L179" s="919"/>
      <c r="M179" s="919"/>
      <c r="N179" s="919"/>
      <c r="O179" s="919"/>
      <c r="P179" s="919"/>
      <c r="Q179" s="919"/>
      <c r="R179" s="919"/>
      <c r="S179" s="919"/>
      <c r="T179" s="919"/>
      <c r="U179" s="919"/>
      <c r="V179" s="919"/>
      <c r="W179" s="919"/>
      <c r="X179" s="919"/>
      <c r="Y179" s="919"/>
      <c r="Z179" s="919"/>
      <c r="AA179" s="919"/>
      <c r="AB179" s="919"/>
      <c r="AC179" s="919"/>
      <c r="AD179" s="919"/>
      <c r="AE179" s="919"/>
      <c r="AF179" s="919"/>
      <c r="AG179" s="919"/>
      <c r="AH179" s="919"/>
      <c r="AI179" s="934"/>
      <c r="AJ179" s="934"/>
      <c r="AK179" s="934"/>
      <c r="AL179" s="934"/>
      <c r="AM179" s="934"/>
      <c r="AN179" s="934"/>
      <c r="AO179" s="934"/>
      <c r="AP179" s="934"/>
      <c r="AQ179" s="934"/>
    </row>
    <row r="180" spans="1:43" s="635" customFormat="1" x14ac:dyDescent="0.2">
      <c r="A180" s="933"/>
      <c r="D180" s="929" t="s">
        <v>1980</v>
      </c>
      <c r="E180" s="919"/>
      <c r="F180" s="919"/>
      <c r="G180" s="919"/>
      <c r="H180" s="919"/>
      <c r="I180" s="919"/>
      <c r="J180" s="919"/>
      <c r="K180" s="919"/>
      <c r="L180" s="919"/>
      <c r="M180" s="919"/>
      <c r="N180" s="919"/>
      <c r="O180" s="919"/>
      <c r="P180" s="919"/>
      <c r="Q180" s="919"/>
      <c r="R180" s="919"/>
      <c r="S180" s="919"/>
      <c r="T180" s="919"/>
      <c r="U180" s="919"/>
      <c r="V180" s="919"/>
      <c r="W180" s="919"/>
      <c r="X180" s="919"/>
      <c r="Y180" s="919"/>
      <c r="Z180" s="919"/>
      <c r="AA180" s="919"/>
      <c r="AB180" s="919"/>
      <c r="AC180" s="919"/>
      <c r="AD180" s="919"/>
      <c r="AE180" s="919"/>
      <c r="AF180" s="919"/>
      <c r="AG180" s="919"/>
      <c r="AH180" s="919"/>
      <c r="AI180" s="934"/>
      <c r="AJ180" s="934"/>
      <c r="AK180" s="934"/>
      <c r="AL180" s="934"/>
      <c r="AM180" s="934"/>
      <c r="AN180" s="934"/>
      <c r="AO180" s="934"/>
      <c r="AP180" s="934"/>
      <c r="AQ180" s="934"/>
    </row>
    <row r="181" spans="1:43" s="635" customFormat="1" x14ac:dyDescent="0.2">
      <c r="A181" s="933"/>
      <c r="D181" s="919"/>
      <c r="E181" s="919"/>
      <c r="F181" s="919"/>
      <c r="G181" s="919"/>
      <c r="H181" s="919"/>
      <c r="I181" s="919"/>
      <c r="J181" s="919"/>
      <c r="K181" s="919"/>
      <c r="L181" s="919"/>
      <c r="M181" s="919"/>
      <c r="N181" s="919"/>
      <c r="O181" s="919"/>
      <c r="P181" s="919"/>
      <c r="Q181" s="919"/>
      <c r="R181" s="919"/>
      <c r="S181" s="919"/>
      <c r="T181" s="919"/>
      <c r="U181" s="919"/>
      <c r="V181" s="919"/>
      <c r="W181" s="919"/>
      <c r="X181" s="919"/>
      <c r="Y181" s="919"/>
      <c r="Z181" s="919"/>
      <c r="AA181" s="919"/>
      <c r="AB181" s="919"/>
      <c r="AC181" s="919"/>
      <c r="AD181" s="919"/>
      <c r="AE181" s="919"/>
      <c r="AF181" s="919"/>
      <c r="AG181" s="919"/>
      <c r="AH181" s="919"/>
      <c r="AI181" s="934"/>
      <c r="AJ181" s="934"/>
      <c r="AK181" s="934"/>
      <c r="AL181" s="934"/>
      <c r="AM181" s="934"/>
      <c r="AN181" s="934"/>
      <c r="AO181" s="934"/>
      <c r="AP181" s="934"/>
      <c r="AQ181" s="934"/>
    </row>
    <row r="182" spans="1:43" s="635" customFormat="1" x14ac:dyDescent="0.2">
      <c r="A182" s="933"/>
      <c r="D182" s="919"/>
      <c r="E182" s="919"/>
      <c r="F182" s="919"/>
      <c r="G182" s="919"/>
      <c r="H182" s="919"/>
      <c r="I182" s="919"/>
      <c r="J182" s="919"/>
      <c r="K182" s="919"/>
      <c r="L182" s="919"/>
      <c r="M182" s="919"/>
      <c r="N182" s="919"/>
      <c r="O182" s="919"/>
      <c r="P182" s="919"/>
      <c r="Q182" s="919"/>
      <c r="R182" s="919"/>
      <c r="S182" s="919"/>
      <c r="T182" s="919"/>
      <c r="U182" s="919"/>
      <c r="V182" s="919"/>
      <c r="W182" s="919"/>
      <c r="X182" s="919"/>
      <c r="Y182" s="919"/>
      <c r="Z182" s="919"/>
      <c r="AA182" s="919"/>
      <c r="AB182" s="919"/>
      <c r="AC182" s="919"/>
      <c r="AD182" s="919"/>
      <c r="AE182" s="919"/>
      <c r="AF182" s="919"/>
      <c r="AG182" s="919"/>
      <c r="AH182" s="919"/>
      <c r="AI182" s="934"/>
      <c r="AJ182" s="934"/>
      <c r="AK182" s="934"/>
      <c r="AL182" s="934"/>
      <c r="AM182" s="934"/>
      <c r="AN182" s="934"/>
      <c r="AO182" s="934"/>
      <c r="AP182" s="934"/>
      <c r="AQ182" s="934"/>
    </row>
    <row r="183" spans="1:43" s="635" customFormat="1" x14ac:dyDescent="0.2">
      <c r="A183" s="933"/>
      <c r="D183" s="919"/>
      <c r="E183" s="919"/>
      <c r="F183" s="919"/>
      <c r="G183" s="919"/>
      <c r="H183" s="919"/>
      <c r="I183" s="919"/>
      <c r="J183" s="919"/>
      <c r="K183" s="919"/>
      <c r="L183" s="919"/>
      <c r="M183" s="919"/>
      <c r="N183" s="919"/>
      <c r="O183" s="919"/>
      <c r="P183" s="919"/>
      <c r="Q183" s="919"/>
      <c r="R183" s="919"/>
      <c r="S183" s="919"/>
      <c r="T183" s="919"/>
      <c r="U183" s="919"/>
      <c r="V183" s="919"/>
      <c r="W183" s="919"/>
      <c r="X183" s="919"/>
      <c r="Y183" s="919"/>
      <c r="Z183" s="919"/>
      <c r="AA183" s="919"/>
      <c r="AB183" s="919"/>
      <c r="AC183" s="919"/>
      <c r="AD183" s="919"/>
      <c r="AE183" s="919"/>
      <c r="AF183" s="919"/>
      <c r="AG183" s="919"/>
      <c r="AH183" s="919"/>
      <c r="AI183" s="934"/>
      <c r="AJ183" s="934"/>
      <c r="AK183" s="934"/>
      <c r="AL183" s="934"/>
      <c r="AM183" s="934"/>
      <c r="AN183" s="934"/>
      <c r="AO183" s="934"/>
      <c r="AP183" s="934"/>
      <c r="AQ183" s="934"/>
    </row>
    <row r="184" spans="1:43" s="635" customFormat="1" x14ac:dyDescent="0.2">
      <c r="A184" s="933"/>
      <c r="D184" s="919"/>
      <c r="E184" s="919"/>
      <c r="F184" s="919"/>
      <c r="G184" s="919"/>
      <c r="H184" s="919"/>
      <c r="I184" s="919"/>
      <c r="J184" s="919"/>
      <c r="K184" s="919"/>
      <c r="L184" s="919"/>
      <c r="M184" s="919"/>
      <c r="N184" s="919"/>
      <c r="O184" s="919"/>
      <c r="P184" s="919"/>
      <c r="Q184" s="919"/>
      <c r="R184" s="919"/>
      <c r="S184" s="919"/>
      <c r="T184" s="919"/>
      <c r="U184" s="919"/>
      <c r="V184" s="919"/>
      <c r="W184" s="919"/>
      <c r="X184" s="919"/>
      <c r="Y184" s="919"/>
      <c r="Z184" s="919"/>
      <c r="AA184" s="919"/>
      <c r="AB184" s="919"/>
      <c r="AC184" s="919"/>
      <c r="AD184" s="919"/>
      <c r="AE184" s="919"/>
      <c r="AF184" s="919"/>
      <c r="AG184" s="919"/>
      <c r="AH184" s="919"/>
      <c r="AI184" s="934"/>
      <c r="AJ184" s="934"/>
      <c r="AK184" s="934"/>
      <c r="AL184" s="934"/>
      <c r="AM184" s="934"/>
      <c r="AN184" s="934"/>
      <c r="AO184" s="934"/>
      <c r="AP184" s="934"/>
      <c r="AQ184" s="934"/>
    </row>
    <row r="185" spans="1:43" s="635" customFormat="1" hidden="1" x14ac:dyDescent="0.2">
      <c r="A185" s="933"/>
      <c r="D185" s="919"/>
      <c r="E185" s="919"/>
      <c r="F185" s="919"/>
      <c r="G185" s="919"/>
      <c r="H185" s="919"/>
      <c r="I185" s="919"/>
      <c r="J185" s="919"/>
      <c r="K185" s="919"/>
      <c r="L185" s="919"/>
      <c r="M185" s="919"/>
      <c r="N185" s="919"/>
      <c r="O185" s="919"/>
      <c r="P185" s="919"/>
      <c r="Q185" s="919"/>
      <c r="R185" s="919"/>
      <c r="S185" s="919"/>
      <c r="T185" s="919"/>
      <c r="U185" s="919"/>
      <c r="V185" s="919"/>
      <c r="W185" s="919"/>
      <c r="X185" s="919"/>
      <c r="Y185" s="919"/>
      <c r="Z185" s="919"/>
      <c r="AA185" s="919"/>
      <c r="AB185" s="919"/>
      <c r="AC185" s="919"/>
      <c r="AD185" s="919"/>
      <c r="AE185" s="919"/>
      <c r="AF185" s="919"/>
      <c r="AG185" s="919"/>
      <c r="AH185" s="919"/>
      <c r="AI185" s="934"/>
      <c r="AJ185" s="934"/>
      <c r="AK185" s="934"/>
      <c r="AL185" s="934"/>
      <c r="AM185" s="934"/>
      <c r="AN185" s="934"/>
      <c r="AO185" s="934"/>
      <c r="AP185" s="934"/>
      <c r="AQ185" s="934"/>
    </row>
    <row r="186" spans="1:43" s="635" customFormat="1" hidden="1" x14ac:dyDescent="0.2">
      <c r="A186" s="933"/>
      <c r="D186" s="919"/>
      <c r="E186" s="919"/>
      <c r="F186" s="919"/>
      <c r="G186" s="919"/>
      <c r="H186" s="919"/>
      <c r="I186" s="919"/>
      <c r="J186" s="919"/>
      <c r="K186" s="919"/>
      <c r="L186" s="919"/>
      <c r="M186" s="919"/>
      <c r="N186" s="919"/>
      <c r="O186" s="919"/>
      <c r="P186" s="919"/>
      <c r="Q186" s="919"/>
      <c r="R186" s="919"/>
      <c r="S186" s="919"/>
      <c r="T186" s="919"/>
      <c r="U186" s="919"/>
      <c r="V186" s="919"/>
      <c r="W186" s="919"/>
      <c r="X186" s="919"/>
      <c r="Y186" s="919"/>
      <c r="Z186" s="919"/>
      <c r="AA186" s="919"/>
      <c r="AB186" s="919"/>
      <c r="AC186" s="919"/>
      <c r="AD186" s="919"/>
      <c r="AE186" s="919"/>
      <c r="AF186" s="919"/>
      <c r="AG186" s="919"/>
      <c r="AH186" s="919"/>
      <c r="AI186" s="934"/>
      <c r="AJ186" s="934"/>
      <c r="AK186" s="934"/>
      <c r="AL186" s="934"/>
      <c r="AM186" s="934"/>
      <c r="AN186" s="934"/>
      <c r="AO186" s="934"/>
      <c r="AP186" s="934"/>
      <c r="AQ186" s="934"/>
    </row>
    <row r="187" spans="1:43" s="635" customFormat="1" hidden="1" x14ac:dyDescent="0.2">
      <c r="A187" s="933"/>
      <c r="AI187" s="934"/>
      <c r="AJ187" s="934"/>
      <c r="AK187" s="934"/>
      <c r="AL187" s="934"/>
      <c r="AM187" s="934"/>
      <c r="AN187" s="934"/>
      <c r="AO187" s="934"/>
      <c r="AP187" s="934"/>
      <c r="AQ187" s="934"/>
    </row>
    <row r="188" spans="1:43" s="635" customFormat="1" x14ac:dyDescent="0.2">
      <c r="A188" s="933"/>
      <c r="AI188" s="934"/>
      <c r="AJ188" s="934"/>
      <c r="AK188" s="934"/>
      <c r="AL188" s="934"/>
      <c r="AM188" s="934"/>
      <c r="AN188" s="934"/>
      <c r="AO188" s="934"/>
      <c r="AP188" s="934"/>
      <c r="AQ188" s="934"/>
    </row>
    <row r="189" spans="1:43" s="635" customFormat="1" x14ac:dyDescent="0.2">
      <c r="A189" s="933"/>
      <c r="AI189" s="934"/>
      <c r="AJ189" s="934"/>
      <c r="AK189" s="934"/>
      <c r="AL189" s="934"/>
      <c r="AM189" s="934"/>
      <c r="AN189" s="934"/>
      <c r="AO189" s="934"/>
      <c r="AP189" s="934"/>
      <c r="AQ189" s="934"/>
    </row>
    <row r="190" spans="1:43" s="635" customFormat="1" x14ac:dyDescent="0.2">
      <c r="A190" s="933"/>
      <c r="D190" s="634" t="s">
        <v>1456</v>
      </c>
      <c r="AI190" s="934"/>
      <c r="AJ190" s="934"/>
      <c r="AK190" s="934"/>
      <c r="AL190" s="934"/>
      <c r="AM190" s="934"/>
      <c r="AN190" s="934"/>
      <c r="AO190" s="934"/>
      <c r="AP190" s="934"/>
      <c r="AQ190" s="934"/>
    </row>
    <row r="191" spans="1:43" s="635" customFormat="1" x14ac:dyDescent="0.2">
      <c r="A191" s="933"/>
      <c r="AI191" s="934"/>
      <c r="AJ191" s="934"/>
      <c r="AK191" s="934"/>
      <c r="AL191" s="934"/>
      <c r="AM191" s="934"/>
      <c r="AN191" s="934"/>
      <c r="AO191" s="934"/>
      <c r="AP191" s="934"/>
      <c r="AQ191" s="934"/>
    </row>
    <row r="192" spans="1:43" s="635" customFormat="1" x14ac:dyDescent="0.2">
      <c r="A192" s="933"/>
      <c r="D192" s="634" t="s">
        <v>1951</v>
      </c>
      <c r="E192" s="923"/>
      <c r="F192" s="923"/>
      <c r="G192" s="923"/>
      <c r="H192" s="923"/>
      <c r="I192" s="923"/>
      <c r="J192" s="923"/>
      <c r="K192" s="923"/>
      <c r="L192" s="923"/>
      <c r="M192" s="923"/>
      <c r="N192" s="923"/>
      <c r="O192" s="923"/>
      <c r="P192" s="923"/>
      <c r="Q192" s="923"/>
      <c r="R192" s="923"/>
      <c r="S192" s="923"/>
      <c r="T192" s="923"/>
      <c r="U192" s="923"/>
      <c r="V192" s="923"/>
      <c r="W192" s="923"/>
      <c r="X192" s="923"/>
      <c r="Y192" s="923"/>
      <c r="Z192" s="923"/>
      <c r="AA192" s="923"/>
      <c r="AB192" s="923"/>
      <c r="AC192" s="923"/>
      <c r="AD192" s="923"/>
      <c r="AE192" s="923"/>
      <c r="AF192" s="923"/>
      <c r="AG192" s="923"/>
      <c r="AI192" s="934"/>
      <c r="AJ192" s="934"/>
      <c r="AK192" s="934"/>
      <c r="AL192" s="934"/>
      <c r="AM192" s="934"/>
      <c r="AN192" s="934"/>
      <c r="AO192" s="934"/>
      <c r="AP192" s="934"/>
      <c r="AQ192" s="934"/>
    </row>
    <row r="193" spans="1:63" s="635" customFormat="1" x14ac:dyDescent="0.2">
      <c r="A193" s="933"/>
      <c r="E193" s="923"/>
      <c r="F193" s="923"/>
      <c r="G193" s="923"/>
      <c r="H193" s="923"/>
      <c r="I193" s="923"/>
      <c r="J193" s="923"/>
      <c r="K193" s="923"/>
      <c r="L193" s="923"/>
      <c r="M193" s="923"/>
      <c r="N193" s="923"/>
      <c r="O193" s="923"/>
      <c r="P193" s="923"/>
      <c r="Q193" s="923"/>
      <c r="R193" s="923"/>
      <c r="S193" s="923"/>
      <c r="T193" s="923"/>
      <c r="U193" s="923"/>
      <c r="V193" s="923"/>
      <c r="W193" s="923"/>
      <c r="X193" s="923"/>
      <c r="Y193" s="923"/>
      <c r="Z193" s="923"/>
      <c r="AA193" s="923"/>
      <c r="AB193" s="923"/>
      <c r="AC193" s="923"/>
      <c r="AD193" s="923"/>
      <c r="AE193" s="923"/>
      <c r="AF193" s="923"/>
      <c r="AG193" s="923"/>
      <c r="AI193" s="934"/>
      <c r="AJ193" s="934"/>
      <c r="AK193" s="934"/>
      <c r="AL193" s="934"/>
      <c r="AM193" s="934"/>
      <c r="AN193" s="934"/>
      <c r="AO193" s="934"/>
      <c r="AP193" s="934"/>
      <c r="AQ193" s="934"/>
    </row>
    <row r="194" spans="1:63" s="635" customFormat="1" x14ac:dyDescent="0.2">
      <c r="A194" s="933"/>
      <c r="D194" s="922" t="s">
        <v>1491</v>
      </c>
      <c r="E194" s="923"/>
      <c r="F194" s="923"/>
      <c r="G194" s="923"/>
      <c r="H194" s="923"/>
      <c r="I194" s="923"/>
      <c r="J194" s="923"/>
      <c r="K194" s="923"/>
      <c r="L194" s="923"/>
      <c r="M194" s="923"/>
      <c r="N194" s="923"/>
      <c r="O194" s="923"/>
      <c r="P194" s="923"/>
      <c r="Q194" s="923"/>
      <c r="R194" s="923"/>
      <c r="S194" s="923"/>
      <c r="T194" s="923"/>
      <c r="U194" s="923"/>
      <c r="V194" s="923"/>
      <c r="W194" s="923"/>
      <c r="X194" s="923"/>
      <c r="Y194" s="923"/>
      <c r="Z194" s="923"/>
      <c r="AA194" s="923"/>
      <c r="AB194" s="923"/>
      <c r="AC194" s="923"/>
      <c r="AD194" s="923"/>
      <c r="AE194" s="923"/>
      <c r="AF194" s="923"/>
      <c r="AG194" s="923"/>
      <c r="AI194" s="934"/>
      <c r="AJ194" s="934"/>
      <c r="AK194" s="934"/>
      <c r="AL194" s="934"/>
      <c r="AM194" s="934"/>
      <c r="AN194" s="934"/>
      <c r="AO194" s="934"/>
      <c r="AP194" s="934"/>
      <c r="AQ194" s="934"/>
    </row>
    <row r="195" spans="1:63" s="635" customFormat="1" ht="15" thickBot="1" x14ac:dyDescent="0.25">
      <c r="A195" s="933"/>
      <c r="D195" s="923"/>
      <c r="E195" s="923"/>
      <c r="F195" s="923"/>
      <c r="G195" s="923"/>
      <c r="H195" s="923"/>
      <c r="I195" s="923"/>
      <c r="J195" s="923"/>
      <c r="K195" s="923"/>
      <c r="L195" s="923"/>
      <c r="M195" s="923"/>
      <c r="N195" s="923"/>
      <c r="O195" s="923"/>
      <c r="P195" s="923"/>
      <c r="Q195" s="923"/>
      <c r="R195" s="923"/>
      <c r="S195" s="923"/>
      <c r="T195" s="923"/>
      <c r="U195" s="923"/>
      <c r="V195" s="923"/>
      <c r="W195" s="923"/>
      <c r="X195" s="923"/>
      <c r="Y195" s="923"/>
      <c r="Z195" s="923"/>
      <c r="AA195" s="923"/>
      <c r="AB195" s="923"/>
      <c r="AC195" s="923"/>
      <c r="AD195" s="923"/>
      <c r="AE195" s="923"/>
      <c r="AF195" s="923"/>
      <c r="AG195" s="923"/>
      <c r="AI195" s="1414" t="s">
        <v>1138</v>
      </c>
      <c r="AJ195" s="1414"/>
      <c r="AK195" s="1414"/>
      <c r="AL195" s="1414"/>
      <c r="AM195" s="1414"/>
      <c r="AN195" s="1414"/>
      <c r="AO195" s="1414"/>
      <c r="AP195" s="1414"/>
      <c r="AQ195" s="1414"/>
      <c r="AR195" s="940"/>
      <c r="AS195" s="1414" t="s">
        <v>1139</v>
      </c>
      <c r="AT195" s="1414"/>
      <c r="AU195" s="1414"/>
      <c r="AV195" s="1414"/>
      <c r="AW195" s="1414"/>
      <c r="AX195" s="1414"/>
      <c r="AY195" s="1414"/>
      <c r="AZ195" s="1414"/>
      <c r="BA195" s="1414"/>
      <c r="BB195" s="940"/>
      <c r="BC195" s="1414" t="s">
        <v>1140</v>
      </c>
      <c r="BD195" s="1414"/>
      <c r="BE195" s="1414"/>
      <c r="BF195" s="1414"/>
      <c r="BG195" s="1414"/>
      <c r="BH195" s="1414"/>
      <c r="BI195" s="1414"/>
      <c r="BJ195" s="1414"/>
      <c r="BK195" s="1414"/>
    </row>
    <row r="196" spans="1:63" s="635" customFormat="1" ht="15.75" customHeight="1" thickBot="1" x14ac:dyDescent="0.25">
      <c r="A196" s="933" t="s">
        <v>1492</v>
      </c>
      <c r="D196" s="1109" t="s">
        <v>40</v>
      </c>
      <c r="E196" s="1110"/>
      <c r="F196" s="1110"/>
      <c r="G196" s="1111"/>
      <c r="H196" s="1058" t="s">
        <v>2</v>
      </c>
      <c r="I196" s="1058"/>
      <c r="J196" s="1058"/>
      <c r="K196" s="1058"/>
      <c r="L196" s="1058"/>
      <c r="M196" s="1058"/>
      <c r="N196" s="1058"/>
      <c r="O196" s="1058"/>
      <c r="P196" s="1058"/>
      <c r="Q196" s="1058"/>
      <c r="R196" s="1058"/>
      <c r="S196" s="1058"/>
      <c r="T196" s="1058"/>
      <c r="U196" s="1058"/>
      <c r="V196" s="1058"/>
      <c r="W196" s="1058"/>
      <c r="X196" s="1058"/>
      <c r="Y196" s="1058"/>
      <c r="Z196" s="1058"/>
      <c r="AA196" s="1058"/>
      <c r="AB196" s="1058"/>
      <c r="AC196" s="1058"/>
      <c r="AD196" s="1058"/>
      <c r="AE196" s="1058"/>
      <c r="AF196" s="1058"/>
      <c r="AG196" s="1058"/>
      <c r="AH196" s="1058"/>
      <c r="AI196" s="934"/>
      <c r="AJ196" s="934"/>
      <c r="AK196" s="934"/>
      <c r="AL196" s="934"/>
      <c r="AM196" s="934"/>
      <c r="AN196" s="934"/>
      <c r="AO196" s="934"/>
      <c r="AP196" s="934"/>
      <c r="AQ196" s="934"/>
    </row>
    <row r="197" spans="1:63" s="635" customFormat="1" ht="55.5" customHeight="1" thickTop="1" thickBot="1" x14ac:dyDescent="0.25">
      <c r="A197" s="933"/>
      <c r="D197" s="1112"/>
      <c r="E197" s="1113"/>
      <c r="F197" s="1113"/>
      <c r="G197" s="1114"/>
      <c r="H197" s="1059" t="s">
        <v>41</v>
      </c>
      <c r="I197" s="1059"/>
      <c r="J197" s="1059"/>
      <c r="K197" s="1059" t="s">
        <v>42</v>
      </c>
      <c r="L197" s="1059"/>
      <c r="M197" s="1059"/>
      <c r="N197" s="1059" t="s">
        <v>43</v>
      </c>
      <c r="O197" s="1059"/>
      <c r="P197" s="1059"/>
      <c r="Q197" s="1059" t="s">
        <v>1493</v>
      </c>
      <c r="R197" s="1059"/>
      <c r="S197" s="1059"/>
      <c r="T197" s="1059" t="s">
        <v>44</v>
      </c>
      <c r="U197" s="1059"/>
      <c r="V197" s="1059"/>
      <c r="W197" s="1059" t="s">
        <v>45</v>
      </c>
      <c r="X197" s="1059"/>
      <c r="Y197" s="1059"/>
      <c r="Z197" s="1059" t="s">
        <v>445</v>
      </c>
      <c r="AA197" s="1059"/>
      <c r="AB197" s="1059"/>
      <c r="AC197" s="1059" t="s">
        <v>46</v>
      </c>
      <c r="AD197" s="1059"/>
      <c r="AE197" s="1059"/>
      <c r="AF197" s="1059" t="s">
        <v>14</v>
      </c>
      <c r="AG197" s="1059"/>
      <c r="AH197" s="1059"/>
      <c r="AI197" s="925" t="s">
        <v>41</v>
      </c>
      <c r="AJ197" s="925" t="s">
        <v>42</v>
      </c>
      <c r="AK197" s="925" t="s">
        <v>43</v>
      </c>
      <c r="AL197" s="925" t="s">
        <v>444</v>
      </c>
      <c r="AM197" s="925" t="s">
        <v>44</v>
      </c>
      <c r="AN197" s="925" t="s">
        <v>45</v>
      </c>
      <c r="AO197" s="925" t="s">
        <v>445</v>
      </c>
      <c r="AP197" s="925" t="s">
        <v>46</v>
      </c>
      <c r="AQ197" s="925" t="s">
        <v>14</v>
      </c>
      <c r="AS197" s="925" t="s">
        <v>41</v>
      </c>
      <c r="AT197" s="925" t="s">
        <v>42</v>
      </c>
      <c r="AU197" s="925" t="s">
        <v>43</v>
      </c>
      <c r="AV197" s="925" t="s">
        <v>444</v>
      </c>
      <c r="AW197" s="925" t="s">
        <v>44</v>
      </c>
      <c r="AX197" s="925" t="s">
        <v>45</v>
      </c>
      <c r="AY197" s="925" t="s">
        <v>445</v>
      </c>
      <c r="AZ197" s="925" t="s">
        <v>46</v>
      </c>
      <c r="BA197" s="925" t="s">
        <v>14</v>
      </c>
      <c r="BC197" s="925" t="s">
        <v>41</v>
      </c>
      <c r="BD197" s="925" t="s">
        <v>42</v>
      </c>
      <c r="BE197" s="925" t="s">
        <v>43</v>
      </c>
      <c r="BF197" s="925" t="s">
        <v>444</v>
      </c>
      <c r="BG197" s="925" t="s">
        <v>44</v>
      </c>
      <c r="BH197" s="925" t="s">
        <v>45</v>
      </c>
      <c r="BI197" s="925" t="s">
        <v>445</v>
      </c>
      <c r="BJ197" s="925" t="s">
        <v>46</v>
      </c>
      <c r="BK197" s="925" t="s">
        <v>14</v>
      </c>
    </row>
    <row r="198" spans="1:63" s="635" customFormat="1" ht="15.75" customHeight="1" thickBot="1" x14ac:dyDescent="0.25">
      <c r="A198" s="933"/>
      <c r="D198" s="1409" t="s">
        <v>25</v>
      </c>
      <c r="E198" s="1410"/>
      <c r="F198" s="1410"/>
      <c r="G198" s="1410"/>
      <c r="H198" s="1410"/>
      <c r="I198" s="1410"/>
      <c r="J198" s="1410"/>
      <c r="K198" s="1410"/>
      <c r="L198" s="1410"/>
      <c r="M198" s="1410"/>
      <c r="N198" s="1410"/>
      <c r="O198" s="1410"/>
      <c r="P198" s="1410"/>
      <c r="Q198" s="1410"/>
      <c r="R198" s="1410"/>
      <c r="S198" s="1410"/>
      <c r="T198" s="1410"/>
      <c r="U198" s="1410"/>
      <c r="V198" s="1410"/>
      <c r="W198" s="1410"/>
      <c r="X198" s="1410"/>
      <c r="Y198" s="1410"/>
      <c r="Z198" s="1410"/>
      <c r="AA198" s="1410"/>
      <c r="AB198" s="1410"/>
      <c r="AC198" s="1410"/>
      <c r="AD198" s="1410"/>
      <c r="AE198" s="1410"/>
      <c r="AF198" s="1410"/>
      <c r="AG198" s="1410"/>
      <c r="AH198" s="1410"/>
      <c r="AI198" s="941"/>
      <c r="AJ198" s="942"/>
      <c r="AK198" s="942"/>
      <c r="AL198" s="942"/>
      <c r="AM198" s="942"/>
      <c r="AN198" s="942"/>
      <c r="AO198" s="942"/>
      <c r="AP198" s="942"/>
      <c r="AQ198" s="943"/>
      <c r="AS198" s="941"/>
      <c r="AT198" s="942"/>
      <c r="AU198" s="942"/>
      <c r="AV198" s="942"/>
      <c r="AW198" s="942"/>
      <c r="AX198" s="942"/>
      <c r="AY198" s="942"/>
      <c r="AZ198" s="942"/>
      <c r="BA198" s="943"/>
      <c r="BC198" s="941"/>
      <c r="BD198" s="942"/>
      <c r="BE198" s="942"/>
      <c r="BF198" s="942"/>
      <c r="BG198" s="942"/>
      <c r="BH198" s="942"/>
      <c r="BI198" s="942"/>
      <c r="BJ198" s="942"/>
      <c r="BK198" s="943"/>
    </row>
    <row r="199" spans="1:63" s="635" customFormat="1" ht="21.75" customHeight="1" x14ac:dyDescent="0.2">
      <c r="A199" s="933"/>
      <c r="D199" s="1169" t="s">
        <v>26</v>
      </c>
      <c r="E199" s="1169"/>
      <c r="F199" s="1169"/>
      <c r="G199" s="1169"/>
      <c r="H199" s="1403"/>
      <c r="I199" s="1403"/>
      <c r="J199" s="1403"/>
      <c r="K199" s="1404"/>
      <c r="L199" s="1404"/>
      <c r="M199" s="1404"/>
      <c r="N199" s="1404">
        <v>38844</v>
      </c>
      <c r="O199" s="1404"/>
      <c r="P199" s="1404"/>
      <c r="Q199" s="1404"/>
      <c r="R199" s="1404"/>
      <c r="S199" s="1404"/>
      <c r="T199" s="1404"/>
      <c r="U199" s="1404"/>
      <c r="V199" s="1404"/>
      <c r="W199" s="1404"/>
      <c r="X199" s="1404"/>
      <c r="Y199" s="1404"/>
      <c r="Z199" s="1404"/>
      <c r="AA199" s="1404"/>
      <c r="AB199" s="1404"/>
      <c r="AC199" s="1404"/>
      <c r="AD199" s="1404"/>
      <c r="AE199" s="1404"/>
      <c r="AF199" s="1217">
        <f>SUM(H199:AE199)</f>
        <v>38844</v>
      </c>
      <c r="AG199" s="1217"/>
      <c r="AH199" s="1406"/>
      <c r="AI199" s="944"/>
      <c r="AJ199" s="940"/>
      <c r="AK199" s="940"/>
      <c r="AL199" s="940"/>
      <c r="AM199" s="940"/>
      <c r="AN199" s="940"/>
      <c r="AO199" s="940"/>
      <c r="AP199" s="940"/>
      <c r="AQ199" s="945">
        <f>SUM(H199:AE199)-AF199</f>
        <v>0</v>
      </c>
      <c r="AS199" s="946">
        <f>H199-H226</f>
        <v>0</v>
      </c>
      <c r="AT199" s="947">
        <f>K199-K226</f>
        <v>0</v>
      </c>
      <c r="AU199" s="947">
        <f>N199-N226</f>
        <v>0</v>
      </c>
      <c r="AV199" s="947">
        <f>Q199-Q226</f>
        <v>0</v>
      </c>
      <c r="AW199" s="947">
        <f>T199-T226</f>
        <v>0</v>
      </c>
      <c r="AX199" s="947">
        <f>W199-W226</f>
        <v>0</v>
      </c>
      <c r="AY199" s="947">
        <f>Z199-Z226</f>
        <v>0</v>
      </c>
      <c r="AZ199" s="947">
        <f>AC199-AC226</f>
        <v>0</v>
      </c>
      <c r="BA199" s="945">
        <f>AF199-AF226</f>
        <v>0</v>
      </c>
      <c r="BC199" s="944"/>
      <c r="BD199" s="940"/>
      <c r="BE199" s="940"/>
      <c r="BF199" s="940"/>
      <c r="BG199" s="940"/>
      <c r="BH199" s="940"/>
      <c r="BI199" s="940"/>
      <c r="BJ199" s="940"/>
      <c r="BK199" s="948"/>
    </row>
    <row r="200" spans="1:63" s="635" customFormat="1" x14ac:dyDescent="0.2">
      <c r="A200" s="933"/>
      <c r="D200" s="1171" t="s">
        <v>27</v>
      </c>
      <c r="E200" s="1171"/>
      <c r="F200" s="1171"/>
      <c r="G200" s="1171"/>
      <c r="H200" s="1172"/>
      <c r="I200" s="1172"/>
      <c r="J200" s="1172"/>
      <c r="K200" s="1173"/>
      <c r="L200" s="1173"/>
      <c r="M200" s="1173"/>
      <c r="N200" s="1173"/>
      <c r="O200" s="1173"/>
      <c r="P200" s="1173"/>
      <c r="Q200" s="1173"/>
      <c r="R200" s="1173"/>
      <c r="S200" s="1173"/>
      <c r="T200" s="1173"/>
      <c r="U200" s="1173"/>
      <c r="V200" s="1173"/>
      <c r="W200" s="1173"/>
      <c r="X200" s="1173"/>
      <c r="Y200" s="1173"/>
      <c r="Z200" s="1173"/>
      <c r="AA200" s="1173"/>
      <c r="AB200" s="1173"/>
      <c r="AC200" s="1173"/>
      <c r="AD200" s="1173"/>
      <c r="AE200" s="1173"/>
      <c r="AF200" s="1216">
        <f>SUM(H200:AE200)</f>
        <v>0</v>
      </c>
      <c r="AG200" s="1216"/>
      <c r="AH200" s="1400"/>
      <c r="AI200" s="944"/>
      <c r="AJ200" s="940"/>
      <c r="AK200" s="940"/>
      <c r="AL200" s="940"/>
      <c r="AM200" s="940"/>
      <c r="AN200" s="940"/>
      <c r="AO200" s="940"/>
      <c r="AP200" s="940"/>
      <c r="AQ200" s="945">
        <f t="shared" ref="AQ200:AQ201" si="3">SUM(H200:AE200)-AF200</f>
        <v>0</v>
      </c>
      <c r="AS200" s="944"/>
      <c r="AT200" s="940"/>
      <c r="AU200" s="940"/>
      <c r="AV200" s="940"/>
      <c r="AW200" s="940"/>
      <c r="AX200" s="940"/>
      <c r="AY200" s="940"/>
      <c r="AZ200" s="940"/>
      <c r="BA200" s="948"/>
      <c r="BC200" s="944"/>
      <c r="BD200" s="940"/>
      <c r="BE200" s="940"/>
      <c r="BF200" s="940"/>
      <c r="BG200" s="940"/>
      <c r="BH200" s="940"/>
      <c r="BI200" s="940"/>
      <c r="BJ200" s="940"/>
      <c r="BK200" s="948"/>
    </row>
    <row r="201" spans="1:63" s="635" customFormat="1" x14ac:dyDescent="0.2">
      <c r="A201" s="933"/>
      <c r="D201" s="1171" t="s">
        <v>28</v>
      </c>
      <c r="E201" s="1171"/>
      <c r="F201" s="1171"/>
      <c r="G201" s="1171"/>
      <c r="H201" s="1172"/>
      <c r="I201" s="1172"/>
      <c r="J201" s="1172"/>
      <c r="K201" s="1173"/>
      <c r="L201" s="1173"/>
      <c r="M201" s="1173"/>
      <c r="N201" s="1173"/>
      <c r="O201" s="1173"/>
      <c r="P201" s="1173"/>
      <c r="Q201" s="1173"/>
      <c r="R201" s="1173"/>
      <c r="S201" s="1173"/>
      <c r="T201" s="1173"/>
      <c r="U201" s="1173"/>
      <c r="V201" s="1173"/>
      <c r="W201" s="1173"/>
      <c r="X201" s="1173"/>
      <c r="Y201" s="1173"/>
      <c r="Z201" s="1173"/>
      <c r="AA201" s="1173"/>
      <c r="AB201" s="1173"/>
      <c r="AC201" s="1173"/>
      <c r="AD201" s="1173"/>
      <c r="AE201" s="1173"/>
      <c r="AF201" s="1216">
        <f>SUM(H201:AE201)</f>
        <v>0</v>
      </c>
      <c r="AG201" s="1216"/>
      <c r="AH201" s="1400"/>
      <c r="AI201" s="944"/>
      <c r="AJ201" s="940"/>
      <c r="AK201" s="940"/>
      <c r="AL201" s="940"/>
      <c r="AM201" s="940"/>
      <c r="AN201" s="940"/>
      <c r="AO201" s="940"/>
      <c r="AP201" s="940"/>
      <c r="AQ201" s="945">
        <f t="shared" si="3"/>
        <v>0</v>
      </c>
      <c r="AS201" s="944"/>
      <c r="AT201" s="940"/>
      <c r="AU201" s="940"/>
      <c r="AV201" s="940"/>
      <c r="AW201" s="940"/>
      <c r="AX201" s="940"/>
      <c r="AY201" s="940"/>
      <c r="AZ201" s="940"/>
      <c r="BA201" s="948"/>
      <c r="BC201" s="944"/>
      <c r="BD201" s="940"/>
      <c r="BE201" s="940"/>
      <c r="BF201" s="940"/>
      <c r="BG201" s="940"/>
      <c r="BH201" s="940"/>
      <c r="BI201" s="940"/>
      <c r="BJ201" s="940"/>
      <c r="BK201" s="948"/>
    </row>
    <row r="202" spans="1:63" s="635" customFormat="1" x14ac:dyDescent="0.2">
      <c r="A202" s="933"/>
      <c r="D202" s="1171" t="s">
        <v>29</v>
      </c>
      <c r="E202" s="1171"/>
      <c r="F202" s="1171"/>
      <c r="G202" s="1171"/>
      <c r="H202" s="1172"/>
      <c r="I202" s="1172"/>
      <c r="J202" s="1172"/>
      <c r="K202" s="1173"/>
      <c r="L202" s="1173"/>
      <c r="M202" s="1173"/>
      <c r="N202" s="1173"/>
      <c r="O202" s="1173"/>
      <c r="P202" s="1173"/>
      <c r="Q202" s="1173"/>
      <c r="R202" s="1173"/>
      <c r="S202" s="1173"/>
      <c r="T202" s="1173"/>
      <c r="U202" s="1173"/>
      <c r="V202" s="1173"/>
      <c r="W202" s="1173"/>
      <c r="X202" s="1173"/>
      <c r="Y202" s="1173"/>
      <c r="Z202" s="1173"/>
      <c r="AA202" s="1173"/>
      <c r="AB202" s="1173"/>
      <c r="AC202" s="1173"/>
      <c r="AD202" s="1173"/>
      <c r="AE202" s="1173"/>
      <c r="AF202" s="1216">
        <f>SUM(H202:AE202)</f>
        <v>0</v>
      </c>
      <c r="AG202" s="1216"/>
      <c r="AH202" s="1400"/>
      <c r="AI202" s="944"/>
      <c r="AJ202" s="940"/>
      <c r="AK202" s="940"/>
      <c r="AL202" s="940"/>
      <c r="AM202" s="940"/>
      <c r="AN202" s="940"/>
      <c r="AO202" s="940"/>
      <c r="AP202" s="940"/>
      <c r="AQ202" s="945">
        <f>SUM(H202:AE202)-AF202</f>
        <v>0</v>
      </c>
      <c r="AS202" s="944"/>
      <c r="AT202" s="940"/>
      <c r="AU202" s="940"/>
      <c r="AV202" s="940"/>
      <c r="AW202" s="940"/>
      <c r="AX202" s="940"/>
      <c r="AY202" s="940"/>
      <c r="AZ202" s="940"/>
      <c r="BA202" s="948"/>
      <c r="BC202" s="944"/>
      <c r="BD202" s="940"/>
      <c r="BE202" s="940"/>
      <c r="BF202" s="940"/>
      <c r="BG202" s="940"/>
      <c r="BH202" s="940"/>
      <c r="BI202" s="940"/>
      <c r="BJ202" s="940"/>
      <c r="BK202" s="948"/>
    </row>
    <row r="203" spans="1:63" s="635" customFormat="1" ht="22.5" customHeight="1" thickBot="1" x14ac:dyDescent="0.25">
      <c r="A203" s="933"/>
      <c r="D203" s="1170" t="s">
        <v>30</v>
      </c>
      <c r="E203" s="1170"/>
      <c r="F203" s="1170"/>
      <c r="G203" s="1170"/>
      <c r="H203" s="1401">
        <f>H199+H200-H201+H202</f>
        <v>0</v>
      </c>
      <c r="I203" s="1401"/>
      <c r="J203" s="1401"/>
      <c r="K203" s="1401">
        <f t="shared" ref="K203" si="4">K199+K200-K201+K202</f>
        <v>0</v>
      </c>
      <c r="L203" s="1401"/>
      <c r="M203" s="1401"/>
      <c r="N203" s="1401">
        <f t="shared" ref="N203" si="5">N199+N200-N201+N202</f>
        <v>38844</v>
      </c>
      <c r="O203" s="1401"/>
      <c r="P203" s="1401"/>
      <c r="Q203" s="1401">
        <f t="shared" ref="Q203" si="6">Q199+Q200-Q201+Q202</f>
        <v>0</v>
      </c>
      <c r="R203" s="1401"/>
      <c r="S203" s="1401"/>
      <c r="T203" s="1401">
        <f t="shared" ref="T203" si="7">T199+T200-T201+T202</f>
        <v>0</v>
      </c>
      <c r="U203" s="1401"/>
      <c r="V203" s="1401"/>
      <c r="W203" s="1401">
        <f t="shared" ref="W203" si="8">W199+W200-W201+W202</f>
        <v>0</v>
      </c>
      <c r="X203" s="1401"/>
      <c r="Y203" s="1401"/>
      <c r="Z203" s="1401">
        <f t="shared" ref="Z203" si="9">Z199+Z200-Z201+Z202</f>
        <v>0</v>
      </c>
      <c r="AA203" s="1401"/>
      <c r="AB203" s="1401"/>
      <c r="AC203" s="1401">
        <f t="shared" ref="AC203" si="10">AC199+AC200-AC201+AC202</f>
        <v>0</v>
      </c>
      <c r="AD203" s="1401"/>
      <c r="AE203" s="1401"/>
      <c r="AF203" s="1401">
        <f t="shared" ref="AF203" si="11">AF199+AF200-AF201+AF202</f>
        <v>38844</v>
      </c>
      <c r="AG203" s="1401"/>
      <c r="AH203" s="1402"/>
      <c r="AI203" s="946">
        <f>H199+H200-H201+H202-H203</f>
        <v>0</v>
      </c>
      <c r="AJ203" s="947">
        <f>K199+K200-K201+K202-K203</f>
        <v>0</v>
      </c>
      <c r="AK203" s="947">
        <f>N199+N200-N201+N202-N203</f>
        <v>0</v>
      </c>
      <c r="AL203" s="947">
        <f>Q199+Q200-Q201+Q202-Q203</f>
        <v>0</v>
      </c>
      <c r="AM203" s="947">
        <f>T199+T200-T201+T202-T202</f>
        <v>0</v>
      </c>
      <c r="AN203" s="947">
        <f>W199+W200-W201+W202-W203</f>
        <v>0</v>
      </c>
      <c r="AO203" s="947">
        <f>Z199+Z200-Z201+Z202-Z203</f>
        <v>0</v>
      </c>
      <c r="AP203" s="947">
        <f>AC199+AC200-AC201+AC202-AC203</f>
        <v>0</v>
      </c>
      <c r="AQ203" s="945">
        <f>AF199+AF200-AF201+AF202-AF203</f>
        <v>0</v>
      </c>
      <c r="AS203" s="944"/>
      <c r="AT203" s="940"/>
      <c r="AU203" s="940"/>
      <c r="AV203" s="940"/>
      <c r="AW203" s="940"/>
      <c r="AX203" s="940"/>
      <c r="AY203" s="940"/>
      <c r="AZ203" s="940"/>
      <c r="BA203" s="948"/>
      <c r="BC203" s="946">
        <f>H203-BS!$D$21</f>
        <v>0</v>
      </c>
      <c r="BD203" s="947">
        <f>K203-BS!$D$22</f>
        <v>0</v>
      </c>
      <c r="BE203" s="947">
        <f>N203-BS!$D$23</f>
        <v>0</v>
      </c>
      <c r="BF203" s="947">
        <f>Q203-BS!$D$24</f>
        <v>0</v>
      </c>
      <c r="BG203" s="947">
        <f>T203-BS!$D$25</f>
        <v>0</v>
      </c>
      <c r="BH203" s="947">
        <f>W203-BS!$D$26</f>
        <v>0</v>
      </c>
      <c r="BI203" s="947">
        <f>Z203-BS!$D$27</f>
        <v>0</v>
      </c>
      <c r="BJ203" s="947">
        <f>AC203-BS!$D$28</f>
        <v>0</v>
      </c>
      <c r="BK203" s="945">
        <f>AF203-BS!$D$20</f>
        <v>0</v>
      </c>
    </row>
    <row r="204" spans="1:63" s="635" customFormat="1" ht="15.75" customHeight="1" thickBot="1" x14ac:dyDescent="0.25">
      <c r="A204" s="933"/>
      <c r="D204" s="1409" t="s">
        <v>31</v>
      </c>
      <c r="E204" s="1410"/>
      <c r="F204" s="1410"/>
      <c r="G204" s="1410"/>
      <c r="H204" s="1410"/>
      <c r="I204" s="1410"/>
      <c r="J204" s="1410"/>
      <c r="K204" s="1410"/>
      <c r="L204" s="1410"/>
      <c r="M204" s="1410"/>
      <c r="N204" s="1410"/>
      <c r="O204" s="1410"/>
      <c r="P204" s="1410"/>
      <c r="Q204" s="1410"/>
      <c r="R204" s="1410"/>
      <c r="S204" s="1410"/>
      <c r="T204" s="1410"/>
      <c r="U204" s="1410"/>
      <c r="V204" s="1410"/>
      <c r="W204" s="1410"/>
      <c r="X204" s="1410"/>
      <c r="Y204" s="1410"/>
      <c r="Z204" s="1410"/>
      <c r="AA204" s="1410"/>
      <c r="AB204" s="1410"/>
      <c r="AC204" s="1410"/>
      <c r="AD204" s="1410"/>
      <c r="AE204" s="1410"/>
      <c r="AF204" s="1410"/>
      <c r="AG204" s="1410"/>
      <c r="AH204" s="1410"/>
      <c r="AI204" s="944"/>
      <c r="AJ204" s="940"/>
      <c r="AK204" s="940"/>
      <c r="AL204" s="940"/>
      <c r="AM204" s="940"/>
      <c r="AN204" s="940"/>
      <c r="AO204" s="940"/>
      <c r="AP204" s="940"/>
      <c r="AQ204" s="945"/>
      <c r="AS204" s="944"/>
      <c r="AT204" s="940"/>
      <c r="AU204" s="940"/>
      <c r="AV204" s="940"/>
      <c r="AW204" s="940"/>
      <c r="AX204" s="940"/>
      <c r="AY204" s="940"/>
      <c r="AZ204" s="940"/>
      <c r="BA204" s="948"/>
      <c r="BC204" s="944"/>
      <c r="BD204" s="940"/>
      <c r="BE204" s="940"/>
      <c r="BF204" s="940"/>
      <c r="BG204" s="940"/>
      <c r="BH204" s="940"/>
      <c r="BI204" s="940"/>
      <c r="BJ204" s="940"/>
      <c r="BK204" s="948"/>
    </row>
    <row r="205" spans="1:63" s="635" customFormat="1" ht="22.5" customHeight="1" x14ac:dyDescent="0.2">
      <c r="A205" s="933"/>
      <c r="D205" s="1169" t="s">
        <v>32</v>
      </c>
      <c r="E205" s="1169"/>
      <c r="F205" s="1169"/>
      <c r="G205" s="1169"/>
      <c r="H205" s="1403"/>
      <c r="I205" s="1403"/>
      <c r="J205" s="1403"/>
      <c r="K205" s="1404"/>
      <c r="L205" s="1404"/>
      <c r="M205" s="1404"/>
      <c r="N205" s="1404">
        <v>12834</v>
      </c>
      <c r="O205" s="1404"/>
      <c r="P205" s="1404"/>
      <c r="Q205" s="1404"/>
      <c r="R205" s="1404"/>
      <c r="S205" s="1404"/>
      <c r="T205" s="1404"/>
      <c r="U205" s="1404"/>
      <c r="V205" s="1404"/>
      <c r="W205" s="1404"/>
      <c r="X205" s="1404"/>
      <c r="Y205" s="1404"/>
      <c r="Z205" s="1404"/>
      <c r="AA205" s="1404"/>
      <c r="AB205" s="1404"/>
      <c r="AC205" s="1404"/>
      <c r="AD205" s="1404"/>
      <c r="AE205" s="1404"/>
      <c r="AF205" s="1217">
        <f>SUM(H205:AE205)</f>
        <v>12834</v>
      </c>
      <c r="AG205" s="1217"/>
      <c r="AH205" s="1406"/>
      <c r="AI205" s="944"/>
      <c r="AJ205" s="940"/>
      <c r="AK205" s="940"/>
      <c r="AL205" s="940"/>
      <c r="AM205" s="940"/>
      <c r="AN205" s="940"/>
      <c r="AO205" s="940"/>
      <c r="AP205" s="940"/>
      <c r="AQ205" s="945">
        <f>SUM(H205:AE205)-AF205</f>
        <v>0</v>
      </c>
      <c r="AS205" s="946">
        <f>H205-H231</f>
        <v>0</v>
      </c>
      <c r="AT205" s="947">
        <f>K205-K231</f>
        <v>0</v>
      </c>
      <c r="AU205" s="947">
        <f>N205-N231</f>
        <v>0</v>
      </c>
      <c r="AV205" s="947">
        <f>Q205-Q231</f>
        <v>0</v>
      </c>
      <c r="AW205" s="947">
        <f>T205-T231</f>
        <v>0</v>
      </c>
      <c r="AX205" s="947">
        <f>W205-W231</f>
        <v>0</v>
      </c>
      <c r="AY205" s="947">
        <f>Z205-Z231</f>
        <v>0</v>
      </c>
      <c r="AZ205" s="947">
        <f>AC205-AC231</f>
        <v>0</v>
      </c>
      <c r="BA205" s="945">
        <f>AF205-AF231</f>
        <v>0</v>
      </c>
      <c r="BC205" s="944"/>
      <c r="BD205" s="940"/>
      <c r="BE205" s="940"/>
      <c r="BF205" s="940"/>
      <c r="BG205" s="940"/>
      <c r="BH205" s="940"/>
      <c r="BI205" s="940"/>
      <c r="BJ205" s="940"/>
      <c r="BK205" s="948"/>
    </row>
    <row r="206" spans="1:63" s="635" customFormat="1" x14ac:dyDescent="0.2">
      <c r="A206" s="933"/>
      <c r="D206" s="1171" t="s">
        <v>27</v>
      </c>
      <c r="E206" s="1171"/>
      <c r="F206" s="1171"/>
      <c r="G206" s="1171"/>
      <c r="H206" s="1172"/>
      <c r="I206" s="1172"/>
      <c r="J206" s="1172"/>
      <c r="K206" s="1173"/>
      <c r="L206" s="1173"/>
      <c r="M206" s="1173"/>
      <c r="N206" s="1173">
        <v>7770</v>
      </c>
      <c r="O206" s="1173"/>
      <c r="P206" s="1173"/>
      <c r="Q206" s="1173"/>
      <c r="R206" s="1173"/>
      <c r="S206" s="1173"/>
      <c r="T206" s="1173"/>
      <c r="U206" s="1173"/>
      <c r="V206" s="1173"/>
      <c r="W206" s="1173"/>
      <c r="X206" s="1173"/>
      <c r="Y206" s="1173"/>
      <c r="Z206" s="1173"/>
      <c r="AA206" s="1173"/>
      <c r="AB206" s="1173"/>
      <c r="AC206" s="1173"/>
      <c r="AD206" s="1173"/>
      <c r="AE206" s="1173"/>
      <c r="AF206" s="1216">
        <f>SUM(H206:AE206)</f>
        <v>7770</v>
      </c>
      <c r="AG206" s="1216"/>
      <c r="AH206" s="1400"/>
      <c r="AI206" s="944"/>
      <c r="AJ206" s="940"/>
      <c r="AK206" s="940"/>
      <c r="AL206" s="940"/>
      <c r="AM206" s="940"/>
      <c r="AN206" s="940"/>
      <c r="AO206" s="940"/>
      <c r="AP206" s="940"/>
      <c r="AQ206" s="945">
        <f t="shared" ref="AQ206:AQ207" si="12">SUM(H206:AE206)-AF206</f>
        <v>0</v>
      </c>
      <c r="AS206" s="944"/>
      <c r="AT206" s="940"/>
      <c r="AU206" s="940"/>
      <c r="AV206" s="940"/>
      <c r="AW206" s="940"/>
      <c r="AX206" s="940"/>
      <c r="AY206" s="940"/>
      <c r="AZ206" s="940"/>
      <c r="BA206" s="948"/>
      <c r="BC206" s="944"/>
      <c r="BD206" s="940"/>
      <c r="BE206" s="940"/>
      <c r="BF206" s="940"/>
      <c r="BG206" s="940"/>
      <c r="BH206" s="940"/>
      <c r="BI206" s="940"/>
      <c r="BJ206" s="940"/>
      <c r="BK206" s="948"/>
    </row>
    <row r="207" spans="1:63" s="635" customFormat="1" x14ac:dyDescent="0.2">
      <c r="A207" s="933"/>
      <c r="D207" s="1171" t="s">
        <v>28</v>
      </c>
      <c r="E207" s="1171"/>
      <c r="F207" s="1171"/>
      <c r="G207" s="1171"/>
      <c r="H207" s="1172"/>
      <c r="I207" s="1172"/>
      <c r="J207" s="1172"/>
      <c r="K207" s="1173"/>
      <c r="L207" s="1173"/>
      <c r="M207" s="1173"/>
      <c r="N207" s="1173"/>
      <c r="O207" s="1173"/>
      <c r="P207" s="1173"/>
      <c r="Q207" s="1173"/>
      <c r="R207" s="1173"/>
      <c r="S207" s="1173"/>
      <c r="T207" s="1173"/>
      <c r="U207" s="1173"/>
      <c r="V207" s="1173"/>
      <c r="W207" s="1173"/>
      <c r="X207" s="1173"/>
      <c r="Y207" s="1173"/>
      <c r="Z207" s="1173"/>
      <c r="AA207" s="1173"/>
      <c r="AB207" s="1173"/>
      <c r="AC207" s="1173"/>
      <c r="AD207" s="1173"/>
      <c r="AE207" s="1173"/>
      <c r="AF207" s="1216">
        <f>SUM(H207:AE207)</f>
        <v>0</v>
      </c>
      <c r="AG207" s="1216"/>
      <c r="AH207" s="1400"/>
      <c r="AI207" s="944"/>
      <c r="AJ207" s="940"/>
      <c r="AK207" s="940"/>
      <c r="AL207" s="940"/>
      <c r="AM207" s="940"/>
      <c r="AN207" s="940"/>
      <c r="AO207" s="940"/>
      <c r="AP207" s="940"/>
      <c r="AQ207" s="945">
        <f t="shared" si="12"/>
        <v>0</v>
      </c>
      <c r="AS207" s="944"/>
      <c r="AT207" s="940"/>
      <c r="AU207" s="940"/>
      <c r="AV207" s="940"/>
      <c r="AW207" s="940"/>
      <c r="AX207" s="940"/>
      <c r="AY207" s="940"/>
      <c r="AZ207" s="940"/>
      <c r="BA207" s="948"/>
      <c r="BC207" s="670" t="s">
        <v>1141</v>
      </c>
      <c r="BD207" s="940"/>
      <c r="BE207" s="940"/>
      <c r="BF207" s="940"/>
      <c r="BG207" s="940"/>
      <c r="BH207" s="940"/>
      <c r="BI207" s="940"/>
      <c r="BJ207" s="940"/>
      <c r="BK207" s="948"/>
    </row>
    <row r="208" spans="1:63" s="635" customFormat="1" ht="22.5" customHeight="1" thickBot="1" x14ac:dyDescent="0.25">
      <c r="A208" s="933"/>
      <c r="D208" s="1170" t="s">
        <v>30</v>
      </c>
      <c r="E208" s="1170"/>
      <c r="F208" s="1170"/>
      <c r="G208" s="1170"/>
      <c r="H208" s="1401">
        <f>H205+H206-H207</f>
        <v>0</v>
      </c>
      <c r="I208" s="1401"/>
      <c r="J208" s="1401"/>
      <c r="K208" s="1401">
        <f t="shared" ref="K208" si="13">K205+K206-K207</f>
        <v>0</v>
      </c>
      <c r="L208" s="1401"/>
      <c r="M208" s="1401"/>
      <c r="N208" s="1401">
        <f t="shared" ref="N208" si="14">N205+N206-N207</f>
        <v>20604</v>
      </c>
      <c r="O208" s="1401"/>
      <c r="P208" s="1401"/>
      <c r="Q208" s="1401">
        <f t="shared" ref="Q208" si="15">Q205+Q206-Q207</f>
        <v>0</v>
      </c>
      <c r="R208" s="1401"/>
      <c r="S208" s="1401"/>
      <c r="T208" s="1401">
        <f t="shared" ref="T208" si="16">T205+T206-T207</f>
        <v>0</v>
      </c>
      <c r="U208" s="1401"/>
      <c r="V208" s="1401"/>
      <c r="W208" s="1401">
        <f t="shared" ref="W208" si="17">W205+W206-W207</f>
        <v>0</v>
      </c>
      <c r="X208" s="1401"/>
      <c r="Y208" s="1401"/>
      <c r="Z208" s="1401">
        <f t="shared" ref="Z208" si="18">Z205+Z206-Z207</f>
        <v>0</v>
      </c>
      <c r="AA208" s="1401"/>
      <c r="AB208" s="1401"/>
      <c r="AC208" s="1401">
        <f t="shared" ref="AC208" si="19">AC205+AC206-AC207</f>
        <v>0</v>
      </c>
      <c r="AD208" s="1401"/>
      <c r="AE208" s="1401"/>
      <c r="AF208" s="1401">
        <f t="shared" ref="AF208" si="20">AF205+AF206-AF207</f>
        <v>20604</v>
      </c>
      <c r="AG208" s="1401"/>
      <c r="AH208" s="1402"/>
      <c r="AI208" s="946">
        <f>H205+H206-H207-H208</f>
        <v>0</v>
      </c>
      <c r="AJ208" s="947">
        <f>K205+K206-K207-K208</f>
        <v>0</v>
      </c>
      <c r="AK208" s="947">
        <f>N205+N206-N207-N208</f>
        <v>0</v>
      </c>
      <c r="AL208" s="947">
        <f>Q205+Q206-Q207-Q208</f>
        <v>0</v>
      </c>
      <c r="AM208" s="947">
        <f>T205+T206-T207-T208</f>
        <v>0</v>
      </c>
      <c r="AN208" s="947">
        <f>W205+W206-W207-W208</f>
        <v>0</v>
      </c>
      <c r="AO208" s="947">
        <f>Z205+Z206-Z207-Z208</f>
        <v>0</v>
      </c>
      <c r="AP208" s="947">
        <f>AC205+AC206-AC207-AC208</f>
        <v>0</v>
      </c>
      <c r="AQ208" s="945">
        <f>AF205+AF206-AF207-AF208</f>
        <v>0</v>
      </c>
      <c r="AS208" s="944"/>
      <c r="AT208" s="940"/>
      <c r="AU208" s="940"/>
      <c r="AV208" s="940"/>
      <c r="AW208" s="940"/>
      <c r="AX208" s="940"/>
      <c r="AY208" s="940"/>
      <c r="AZ208" s="940"/>
      <c r="BA208" s="948"/>
      <c r="BC208" s="946">
        <f>H208+H213-BS!$E$21</f>
        <v>0</v>
      </c>
      <c r="BD208" s="947">
        <f>K208+K213-BS!$E$22</f>
        <v>0</v>
      </c>
      <c r="BE208" s="947">
        <f>N208+N213-BS!$E$23</f>
        <v>0</v>
      </c>
      <c r="BF208" s="947">
        <f>Q208+Q213-BS!$E$24</f>
        <v>0</v>
      </c>
      <c r="BG208" s="947">
        <f>T208+T213-BS!$E$25</f>
        <v>0</v>
      </c>
      <c r="BH208" s="947">
        <f>W208+W213-BS!$E$26</f>
        <v>0</v>
      </c>
      <c r="BI208" s="947">
        <f>Z208+Z213-BS!$E$27</f>
        <v>0</v>
      </c>
      <c r="BJ208" s="947">
        <f>AC208+AC213-BS!$E$28</f>
        <v>0</v>
      </c>
      <c r="BK208" s="945">
        <f>AF208+AF213-BS!$E$20</f>
        <v>0</v>
      </c>
    </row>
    <row r="209" spans="1:63" s="635" customFormat="1" ht="15.75" customHeight="1" thickBot="1" x14ac:dyDescent="0.25">
      <c r="A209" s="933"/>
      <c r="D209" s="1409" t="s">
        <v>33</v>
      </c>
      <c r="E209" s="1410"/>
      <c r="F209" s="1410"/>
      <c r="G209" s="1410"/>
      <c r="H209" s="1410"/>
      <c r="I209" s="1410"/>
      <c r="J209" s="1410"/>
      <c r="K209" s="1410"/>
      <c r="L209" s="1410"/>
      <c r="M209" s="1410"/>
      <c r="N209" s="1410"/>
      <c r="O209" s="1410"/>
      <c r="P209" s="1410"/>
      <c r="Q209" s="1410"/>
      <c r="R209" s="1410"/>
      <c r="S209" s="1410"/>
      <c r="T209" s="1410"/>
      <c r="U209" s="1410"/>
      <c r="V209" s="1410"/>
      <c r="W209" s="1410"/>
      <c r="X209" s="1410"/>
      <c r="Y209" s="1410"/>
      <c r="Z209" s="1410"/>
      <c r="AA209" s="1410"/>
      <c r="AB209" s="1410"/>
      <c r="AC209" s="1410"/>
      <c r="AD209" s="1410"/>
      <c r="AE209" s="1410"/>
      <c r="AF209" s="1410"/>
      <c r="AG209" s="1410"/>
      <c r="AH209" s="1410"/>
      <c r="AI209" s="944"/>
      <c r="AJ209" s="940"/>
      <c r="AK209" s="940"/>
      <c r="AL209" s="940"/>
      <c r="AM209" s="940"/>
      <c r="AN209" s="940"/>
      <c r="AO209" s="940"/>
      <c r="AP209" s="940"/>
      <c r="AQ209" s="945"/>
      <c r="AS209" s="944"/>
      <c r="AT209" s="940"/>
      <c r="AU209" s="940"/>
      <c r="AV209" s="940"/>
      <c r="AW209" s="940"/>
      <c r="AX209" s="940"/>
      <c r="AY209" s="940"/>
      <c r="AZ209" s="940"/>
      <c r="BA209" s="948"/>
      <c r="BC209" s="944"/>
      <c r="BD209" s="940"/>
      <c r="BE209" s="940"/>
      <c r="BF209" s="940"/>
      <c r="BG209" s="940"/>
      <c r="BH209" s="940"/>
      <c r="BI209" s="940"/>
      <c r="BJ209" s="940"/>
      <c r="BK209" s="948"/>
    </row>
    <row r="210" spans="1:63" s="635" customFormat="1" ht="22.5" customHeight="1" x14ac:dyDescent="0.2">
      <c r="A210" s="933"/>
      <c r="D210" s="1169" t="s">
        <v>32</v>
      </c>
      <c r="E210" s="1169"/>
      <c r="F210" s="1169"/>
      <c r="G210" s="1169"/>
      <c r="H210" s="1403"/>
      <c r="I210" s="1403"/>
      <c r="J210" s="1403"/>
      <c r="K210" s="1404"/>
      <c r="L210" s="1404"/>
      <c r="M210" s="1404"/>
      <c r="N210" s="1404"/>
      <c r="O210" s="1404"/>
      <c r="P210" s="1404"/>
      <c r="Q210" s="1404"/>
      <c r="R210" s="1404"/>
      <c r="S210" s="1404"/>
      <c r="T210" s="1404"/>
      <c r="U210" s="1404"/>
      <c r="V210" s="1404"/>
      <c r="W210" s="1404"/>
      <c r="X210" s="1404"/>
      <c r="Y210" s="1404"/>
      <c r="Z210" s="1404"/>
      <c r="AA210" s="1404"/>
      <c r="AB210" s="1404"/>
      <c r="AC210" s="1404"/>
      <c r="AD210" s="1404"/>
      <c r="AE210" s="1404"/>
      <c r="AF210" s="1217">
        <f>SUM(H210:AE210)</f>
        <v>0</v>
      </c>
      <c r="AG210" s="1217"/>
      <c r="AH210" s="1406"/>
      <c r="AI210" s="944"/>
      <c r="AJ210" s="940"/>
      <c r="AK210" s="940"/>
      <c r="AL210" s="940"/>
      <c r="AM210" s="940"/>
      <c r="AN210" s="940"/>
      <c r="AO210" s="940"/>
      <c r="AP210" s="940"/>
      <c r="AQ210" s="945">
        <f>SUM(H210:AE210)-AF210</f>
        <v>0</v>
      </c>
      <c r="AS210" s="946">
        <f>H210-H236</f>
        <v>0</v>
      </c>
      <c r="AT210" s="947">
        <f>K210-K236</f>
        <v>0</v>
      </c>
      <c r="AU210" s="947">
        <f>N210-N236</f>
        <v>0</v>
      </c>
      <c r="AV210" s="947">
        <f>Q210-Q236</f>
        <v>0</v>
      </c>
      <c r="AW210" s="947">
        <f>T210-T236</f>
        <v>0</v>
      </c>
      <c r="AX210" s="947">
        <f>W210-W236</f>
        <v>0</v>
      </c>
      <c r="AY210" s="947">
        <f>Z210-Z236</f>
        <v>0</v>
      </c>
      <c r="AZ210" s="947">
        <f>AC210-AC236</f>
        <v>0</v>
      </c>
      <c r="BA210" s="945">
        <f>AF210-AF236</f>
        <v>0</v>
      </c>
      <c r="BC210" s="944"/>
      <c r="BD210" s="940"/>
      <c r="BE210" s="940"/>
      <c r="BF210" s="940"/>
      <c r="BG210" s="940"/>
      <c r="BH210" s="940"/>
      <c r="BI210" s="940"/>
      <c r="BJ210" s="940"/>
      <c r="BK210" s="948"/>
    </row>
    <row r="211" spans="1:63" s="635" customFormat="1" ht="15" customHeight="1" x14ac:dyDescent="0.2">
      <c r="A211" s="933"/>
      <c r="D211" s="1171" t="s">
        <v>27</v>
      </c>
      <c r="E211" s="1171"/>
      <c r="F211" s="1171"/>
      <c r="G211" s="1171"/>
      <c r="H211" s="1172"/>
      <c r="I211" s="1172"/>
      <c r="J211" s="1172"/>
      <c r="K211" s="1173"/>
      <c r="L211" s="1173"/>
      <c r="M211" s="1173"/>
      <c r="N211" s="1173"/>
      <c r="O211" s="1173"/>
      <c r="P211" s="1173"/>
      <c r="Q211" s="1173"/>
      <c r="R211" s="1173"/>
      <c r="S211" s="1173"/>
      <c r="T211" s="1173"/>
      <c r="U211" s="1173"/>
      <c r="V211" s="1173"/>
      <c r="W211" s="1173"/>
      <c r="X211" s="1173"/>
      <c r="Y211" s="1173"/>
      <c r="Z211" s="1173"/>
      <c r="AA211" s="1173"/>
      <c r="AB211" s="1173"/>
      <c r="AC211" s="1173"/>
      <c r="AD211" s="1173"/>
      <c r="AE211" s="1173"/>
      <c r="AF211" s="1216">
        <f>SUM(H211:AE211)</f>
        <v>0</v>
      </c>
      <c r="AG211" s="1216"/>
      <c r="AH211" s="1400"/>
      <c r="AI211" s="944"/>
      <c r="AJ211" s="940"/>
      <c r="AK211" s="940"/>
      <c r="AL211" s="940"/>
      <c r="AM211" s="940"/>
      <c r="AN211" s="940"/>
      <c r="AO211" s="940"/>
      <c r="AP211" s="940"/>
      <c r="AQ211" s="945">
        <f>SUM(H211:AE211)-AF211</f>
        <v>0</v>
      </c>
      <c r="AS211" s="944"/>
      <c r="AT211" s="940"/>
      <c r="AU211" s="940"/>
      <c r="AV211" s="940"/>
      <c r="AW211" s="940"/>
      <c r="AX211" s="940"/>
      <c r="AY211" s="940"/>
      <c r="AZ211" s="940"/>
      <c r="BA211" s="948"/>
      <c r="BC211" s="944"/>
      <c r="BD211" s="940"/>
      <c r="BE211" s="940"/>
      <c r="BF211" s="940"/>
      <c r="BG211" s="940"/>
      <c r="BH211" s="940"/>
      <c r="BI211" s="940"/>
      <c r="BJ211" s="940"/>
      <c r="BK211" s="948"/>
    </row>
    <row r="212" spans="1:63" s="635" customFormat="1" ht="15" customHeight="1" x14ac:dyDescent="0.2">
      <c r="A212" s="933"/>
      <c r="D212" s="1171" t="s">
        <v>28</v>
      </c>
      <c r="E212" s="1171"/>
      <c r="F212" s="1171"/>
      <c r="G212" s="1171"/>
      <c r="H212" s="1172"/>
      <c r="I212" s="1172"/>
      <c r="J212" s="1172"/>
      <c r="K212" s="1173"/>
      <c r="L212" s="1173"/>
      <c r="M212" s="1173"/>
      <c r="N212" s="1173"/>
      <c r="O212" s="1173"/>
      <c r="P212" s="1173"/>
      <c r="Q212" s="1173"/>
      <c r="R212" s="1173"/>
      <c r="S212" s="1173"/>
      <c r="T212" s="1173"/>
      <c r="U212" s="1173"/>
      <c r="V212" s="1173"/>
      <c r="W212" s="1173"/>
      <c r="X212" s="1173"/>
      <c r="Y212" s="1173"/>
      <c r="Z212" s="1173"/>
      <c r="AA212" s="1173"/>
      <c r="AB212" s="1173"/>
      <c r="AC212" s="1173"/>
      <c r="AD212" s="1173"/>
      <c r="AE212" s="1173"/>
      <c r="AF212" s="1216">
        <f>SUM(H212:AE212)</f>
        <v>0</v>
      </c>
      <c r="AG212" s="1216"/>
      <c r="AH212" s="1400"/>
      <c r="AI212" s="944"/>
      <c r="AJ212" s="940"/>
      <c r="AK212" s="940"/>
      <c r="AL212" s="940"/>
      <c r="AM212" s="940"/>
      <c r="AN212" s="940"/>
      <c r="AO212" s="940"/>
      <c r="AP212" s="940"/>
      <c r="AQ212" s="945">
        <f t="shared" ref="AQ212" si="21">SUM(H212:AE212)-AF212</f>
        <v>0</v>
      </c>
      <c r="AS212" s="944"/>
      <c r="AT212" s="940"/>
      <c r="AU212" s="940"/>
      <c r="AV212" s="940"/>
      <c r="AW212" s="940"/>
      <c r="AX212" s="940"/>
      <c r="AY212" s="940"/>
      <c r="AZ212" s="940"/>
      <c r="BA212" s="948"/>
      <c r="BC212" s="944"/>
      <c r="BD212" s="940"/>
      <c r="BE212" s="940"/>
      <c r="BF212" s="940"/>
      <c r="BG212" s="940"/>
      <c r="BH212" s="940"/>
      <c r="BI212" s="940"/>
      <c r="BJ212" s="940"/>
      <c r="BK212" s="948"/>
    </row>
    <row r="213" spans="1:63" s="635" customFormat="1" ht="22.5" customHeight="1" thickBot="1" x14ac:dyDescent="0.25">
      <c r="A213" s="933"/>
      <c r="D213" s="1170" t="s">
        <v>30</v>
      </c>
      <c r="E213" s="1170"/>
      <c r="F213" s="1170"/>
      <c r="G213" s="1170"/>
      <c r="H213" s="1401">
        <f>H210+H211-H212</f>
        <v>0</v>
      </c>
      <c r="I213" s="1401"/>
      <c r="J213" s="1401"/>
      <c r="K213" s="1401">
        <f t="shared" ref="K213" si="22">K210+K211-K212</f>
        <v>0</v>
      </c>
      <c r="L213" s="1401"/>
      <c r="M213" s="1401"/>
      <c r="N213" s="1401">
        <f t="shared" ref="N213" si="23">N210+N211-N212</f>
        <v>0</v>
      </c>
      <c r="O213" s="1401"/>
      <c r="P213" s="1401"/>
      <c r="Q213" s="1401">
        <f t="shared" ref="Q213" si="24">Q210+Q211-Q212</f>
        <v>0</v>
      </c>
      <c r="R213" s="1401"/>
      <c r="S213" s="1401"/>
      <c r="T213" s="1401">
        <f t="shared" ref="T213" si="25">T210+T211-T212</f>
        <v>0</v>
      </c>
      <c r="U213" s="1401"/>
      <c r="V213" s="1401"/>
      <c r="W213" s="1401">
        <f t="shared" ref="W213" si="26">W210+W211-W212</f>
        <v>0</v>
      </c>
      <c r="X213" s="1401"/>
      <c r="Y213" s="1401"/>
      <c r="Z213" s="1401">
        <f t="shared" ref="Z213" si="27">Z210+Z211-Z212</f>
        <v>0</v>
      </c>
      <c r="AA213" s="1401"/>
      <c r="AB213" s="1401"/>
      <c r="AC213" s="1401">
        <f t="shared" ref="AC213" si="28">AC210+AC211-AC212</f>
        <v>0</v>
      </c>
      <c r="AD213" s="1401"/>
      <c r="AE213" s="1401"/>
      <c r="AF213" s="1401">
        <f t="shared" ref="AF213" si="29">AF210+AF211-AF212</f>
        <v>0</v>
      </c>
      <c r="AG213" s="1401"/>
      <c r="AH213" s="1402"/>
      <c r="AI213" s="946">
        <f>H210+H211-H212-H213</f>
        <v>0</v>
      </c>
      <c r="AJ213" s="947">
        <f>K210+K211-K212-K213</f>
        <v>0</v>
      </c>
      <c r="AK213" s="947">
        <f>N210+N211-N212-N213</f>
        <v>0</v>
      </c>
      <c r="AL213" s="947">
        <f>Q210+Q211-Q212-Q213</f>
        <v>0</v>
      </c>
      <c r="AM213" s="947">
        <f>T210+T211-T212-T213</f>
        <v>0</v>
      </c>
      <c r="AN213" s="947">
        <f>W210+W211-W212-W213</f>
        <v>0</v>
      </c>
      <c r="AO213" s="947">
        <f>Z210+Z211-Z212-Z213</f>
        <v>0</v>
      </c>
      <c r="AP213" s="947">
        <f>AC210+AC211-AC212-AC213</f>
        <v>0</v>
      </c>
      <c r="AQ213" s="945">
        <f>AF210+AF211-AF212-AF213</f>
        <v>0</v>
      </c>
      <c r="AS213" s="944"/>
      <c r="AT213" s="940"/>
      <c r="AU213" s="940"/>
      <c r="AV213" s="940"/>
      <c r="AW213" s="940"/>
      <c r="AX213" s="940"/>
      <c r="AY213" s="940"/>
      <c r="AZ213" s="940"/>
      <c r="BA213" s="948"/>
      <c r="BC213" s="944"/>
      <c r="BD213" s="940"/>
      <c r="BE213" s="940"/>
      <c r="BF213" s="940"/>
      <c r="BG213" s="940"/>
      <c r="BH213" s="940"/>
      <c r="BI213" s="940"/>
      <c r="BJ213" s="940"/>
      <c r="BK213" s="948"/>
    </row>
    <row r="214" spans="1:63" s="635" customFormat="1" ht="15.75" customHeight="1" thickBot="1" x14ac:dyDescent="0.25">
      <c r="A214" s="933"/>
      <c r="D214" s="1409" t="s">
        <v>34</v>
      </c>
      <c r="E214" s="1410"/>
      <c r="F214" s="1410"/>
      <c r="G214" s="1410"/>
      <c r="H214" s="1410"/>
      <c r="I214" s="1410"/>
      <c r="J214" s="1410"/>
      <c r="K214" s="1410"/>
      <c r="L214" s="1410"/>
      <c r="M214" s="1410"/>
      <c r="N214" s="1410"/>
      <c r="O214" s="1410"/>
      <c r="P214" s="1410"/>
      <c r="Q214" s="1410"/>
      <c r="R214" s="1410"/>
      <c r="S214" s="1410"/>
      <c r="T214" s="1410"/>
      <c r="U214" s="1410"/>
      <c r="V214" s="1410"/>
      <c r="W214" s="1410"/>
      <c r="X214" s="1410"/>
      <c r="Y214" s="1410"/>
      <c r="Z214" s="1410"/>
      <c r="AA214" s="1410"/>
      <c r="AB214" s="1410"/>
      <c r="AC214" s="1410"/>
      <c r="AD214" s="1410"/>
      <c r="AE214" s="1410"/>
      <c r="AF214" s="1410"/>
      <c r="AG214" s="1410"/>
      <c r="AH214" s="1410"/>
      <c r="AI214" s="944"/>
      <c r="AJ214" s="940"/>
      <c r="AK214" s="940"/>
      <c r="AL214" s="940"/>
      <c r="AM214" s="940"/>
      <c r="AN214" s="940"/>
      <c r="AO214" s="940"/>
      <c r="AP214" s="940"/>
      <c r="AQ214" s="945"/>
      <c r="AS214" s="944"/>
      <c r="AT214" s="940"/>
      <c r="AU214" s="940"/>
      <c r="AV214" s="940"/>
      <c r="AW214" s="940"/>
      <c r="AX214" s="940"/>
      <c r="AY214" s="940"/>
      <c r="AZ214" s="940"/>
      <c r="BA214" s="948"/>
      <c r="BC214" s="944"/>
      <c r="BD214" s="940"/>
      <c r="BE214" s="940"/>
      <c r="BF214" s="940"/>
      <c r="BG214" s="940"/>
      <c r="BH214" s="940"/>
      <c r="BI214" s="940"/>
      <c r="BJ214" s="940"/>
      <c r="BK214" s="948"/>
    </row>
    <row r="215" spans="1:63" s="635" customFormat="1" ht="22.5" customHeight="1" x14ac:dyDescent="0.2">
      <c r="A215" s="933"/>
      <c r="D215" s="1405" t="s">
        <v>32</v>
      </c>
      <c r="E215" s="1405"/>
      <c r="F215" s="1405"/>
      <c r="G215" s="1405"/>
      <c r="H215" s="1407">
        <f>H199-H205-H210</f>
        <v>0</v>
      </c>
      <c r="I215" s="1407"/>
      <c r="J215" s="1407"/>
      <c r="K215" s="1407">
        <f t="shared" ref="K215" si="30">K199-K205-K210</f>
        <v>0</v>
      </c>
      <c r="L215" s="1407"/>
      <c r="M215" s="1407"/>
      <c r="N215" s="1407">
        <f t="shared" ref="N215" si="31">N199-N205-N210</f>
        <v>26010</v>
      </c>
      <c r="O215" s="1407"/>
      <c r="P215" s="1407"/>
      <c r="Q215" s="1407">
        <f t="shared" ref="Q215" si="32">Q199-Q205-Q210</f>
        <v>0</v>
      </c>
      <c r="R215" s="1407"/>
      <c r="S215" s="1407"/>
      <c r="T215" s="1407">
        <f t="shared" ref="T215" si="33">T199-T205-T210</f>
        <v>0</v>
      </c>
      <c r="U215" s="1407"/>
      <c r="V215" s="1407"/>
      <c r="W215" s="1407">
        <f t="shared" ref="W215" si="34">W199-W205-W210</f>
        <v>0</v>
      </c>
      <c r="X215" s="1407"/>
      <c r="Y215" s="1407"/>
      <c r="Z215" s="1407">
        <f t="shared" ref="Z215" si="35">Z199-Z205-Z210</f>
        <v>0</v>
      </c>
      <c r="AA215" s="1407"/>
      <c r="AB215" s="1407"/>
      <c r="AC215" s="1407">
        <f t="shared" ref="AC215" si="36">AC199-AC205-AC210</f>
        <v>0</v>
      </c>
      <c r="AD215" s="1407"/>
      <c r="AE215" s="1407"/>
      <c r="AF215" s="1407">
        <f t="shared" ref="AF215" si="37">AF199-AF205-AF210</f>
        <v>26010</v>
      </c>
      <c r="AG215" s="1407"/>
      <c r="AH215" s="1408"/>
      <c r="AI215" s="946">
        <f>H199-H205-H210-H215</f>
        <v>0</v>
      </c>
      <c r="AJ215" s="947">
        <f>K199-K205-K210-K215</f>
        <v>0</v>
      </c>
      <c r="AK215" s="947">
        <f>N199-N205-N210-N215</f>
        <v>0</v>
      </c>
      <c r="AL215" s="947">
        <f>Q199-Q205-Q210-Q215</f>
        <v>0</v>
      </c>
      <c r="AM215" s="947">
        <f>T199-T205-T210-T215</f>
        <v>0</v>
      </c>
      <c r="AN215" s="947">
        <f>W199-W205-W210-W215</f>
        <v>0</v>
      </c>
      <c r="AO215" s="947">
        <f>Z199-Z205-Z210-Z215</f>
        <v>0</v>
      </c>
      <c r="AP215" s="947">
        <f>AC199-AC205-AC210-AC215</f>
        <v>0</v>
      </c>
      <c r="AQ215" s="945">
        <f>SUM(H215:AE215)-AF215</f>
        <v>0</v>
      </c>
      <c r="AS215" s="946">
        <f>H215-H239</f>
        <v>0</v>
      </c>
      <c r="AT215" s="947">
        <f>K215-K239</f>
        <v>0</v>
      </c>
      <c r="AU215" s="947">
        <f>N215-N239</f>
        <v>0</v>
      </c>
      <c r="AV215" s="947">
        <f>Q215-Q239</f>
        <v>0</v>
      </c>
      <c r="AW215" s="947">
        <f>T215-T239</f>
        <v>0</v>
      </c>
      <c r="AX215" s="947">
        <f>W215-W239</f>
        <v>0</v>
      </c>
      <c r="AY215" s="947">
        <f>Z215-Z239</f>
        <v>0</v>
      </c>
      <c r="AZ215" s="947">
        <f>AC215-AC239</f>
        <v>0</v>
      </c>
      <c r="BA215" s="945">
        <f>AF215-AF239</f>
        <v>0</v>
      </c>
      <c r="BC215" s="944"/>
      <c r="BD215" s="940"/>
      <c r="BE215" s="940"/>
      <c r="BF215" s="940"/>
      <c r="BG215" s="940"/>
      <c r="BH215" s="940"/>
      <c r="BI215" s="940"/>
      <c r="BJ215" s="940"/>
      <c r="BK215" s="948"/>
    </row>
    <row r="216" spans="1:63" s="635" customFormat="1" ht="22.5" customHeight="1" thickBot="1" x14ac:dyDescent="0.25">
      <c r="A216" s="933"/>
      <c r="D216" s="1170" t="s">
        <v>30</v>
      </c>
      <c r="E216" s="1170"/>
      <c r="F216" s="1170"/>
      <c r="G216" s="1170"/>
      <c r="H216" s="1401">
        <f>H203-H208-H213</f>
        <v>0</v>
      </c>
      <c r="I216" s="1401"/>
      <c r="J216" s="1401"/>
      <c r="K216" s="1401">
        <f t="shared" ref="K216" si="38">K203-K208-K213</f>
        <v>0</v>
      </c>
      <c r="L216" s="1401"/>
      <c r="M216" s="1401"/>
      <c r="N216" s="1401">
        <f t="shared" ref="N216" si="39">N203-N208-N213</f>
        <v>18240</v>
      </c>
      <c r="O216" s="1401"/>
      <c r="P216" s="1401"/>
      <c r="Q216" s="1401">
        <f t="shared" ref="Q216" si="40">Q203-Q208-Q213</f>
        <v>0</v>
      </c>
      <c r="R216" s="1401"/>
      <c r="S216" s="1401"/>
      <c r="T216" s="1401">
        <f t="shared" ref="T216" si="41">T203-T208-T213</f>
        <v>0</v>
      </c>
      <c r="U216" s="1401"/>
      <c r="V216" s="1401"/>
      <c r="W216" s="1401">
        <f t="shared" ref="W216" si="42">W203-W208-W213</f>
        <v>0</v>
      </c>
      <c r="X216" s="1401"/>
      <c r="Y216" s="1401"/>
      <c r="Z216" s="1401">
        <f t="shared" ref="Z216" si="43">Z203-Z208-Z213</f>
        <v>0</v>
      </c>
      <c r="AA216" s="1401"/>
      <c r="AB216" s="1401"/>
      <c r="AC216" s="1401">
        <f t="shared" ref="AC216" si="44">AC203-AC208-AC213</f>
        <v>0</v>
      </c>
      <c r="AD216" s="1401"/>
      <c r="AE216" s="1401"/>
      <c r="AF216" s="1401">
        <f t="shared" ref="AF216" si="45">AF203-AF208-AF213</f>
        <v>18240</v>
      </c>
      <c r="AG216" s="1401"/>
      <c r="AH216" s="1402"/>
      <c r="AI216" s="949">
        <f>H203-H208-H213-H216</f>
        <v>0</v>
      </c>
      <c r="AJ216" s="950">
        <f>K203-K208-K213-K216</f>
        <v>0</v>
      </c>
      <c r="AK216" s="950">
        <f>N203-N208-N213-N216</f>
        <v>0</v>
      </c>
      <c r="AL216" s="950">
        <f>Q203-Q208-Q213-Q216</f>
        <v>0</v>
      </c>
      <c r="AM216" s="950">
        <f>T203-T208-T213-T216</f>
        <v>0</v>
      </c>
      <c r="AN216" s="950">
        <f>W203-W208-W213-W216</f>
        <v>0</v>
      </c>
      <c r="AO216" s="950">
        <f>Z203-Z208-Z213-Z216</f>
        <v>0</v>
      </c>
      <c r="AP216" s="950">
        <f>AC203-AC208-AC213-AC216</f>
        <v>0</v>
      </c>
      <c r="AQ216" s="951">
        <f>SUM(H216:AE216)-AF216</f>
        <v>0</v>
      </c>
      <c r="AS216" s="952"/>
      <c r="AT216" s="953"/>
      <c r="AU216" s="953"/>
      <c r="AV216" s="953"/>
      <c r="AW216" s="953"/>
      <c r="AX216" s="953"/>
      <c r="AY216" s="953"/>
      <c r="AZ216" s="953"/>
      <c r="BA216" s="954"/>
      <c r="BC216" s="949">
        <f>H216-BS!$F$21</f>
        <v>0</v>
      </c>
      <c r="BD216" s="950">
        <f>K216-BS!$F$22</f>
        <v>0</v>
      </c>
      <c r="BE216" s="950">
        <f>N216-BS!$F$23</f>
        <v>0</v>
      </c>
      <c r="BF216" s="950">
        <f>Q216-BS!$F$24</f>
        <v>0</v>
      </c>
      <c r="BG216" s="950">
        <f>T216-BS!$F$25</f>
        <v>0</v>
      </c>
      <c r="BH216" s="950">
        <f>W216-BS!$F$26</f>
        <v>0</v>
      </c>
      <c r="BI216" s="950">
        <f>Z216-BS!$F$27</f>
        <v>0</v>
      </c>
      <c r="BJ216" s="950">
        <f>AC216-BS!$F$28</f>
        <v>0</v>
      </c>
      <c r="BK216" s="951">
        <f>AF216-BS!$F$20</f>
        <v>0</v>
      </c>
    </row>
    <row r="217" spans="1:63" s="635" customFormat="1" hidden="1" x14ac:dyDescent="0.2">
      <c r="A217" s="933"/>
      <c r="D217" s="923"/>
      <c r="E217" s="923"/>
      <c r="F217" s="923"/>
      <c r="G217" s="923"/>
      <c r="H217" s="923"/>
      <c r="I217" s="923"/>
      <c r="J217" s="923"/>
      <c r="K217" s="923"/>
      <c r="L217" s="923"/>
      <c r="M217" s="923"/>
      <c r="N217" s="923"/>
      <c r="O217" s="923"/>
      <c r="P217" s="923"/>
      <c r="Q217" s="923"/>
      <c r="R217" s="923"/>
      <c r="S217" s="923"/>
      <c r="T217" s="923"/>
      <c r="U217" s="923"/>
      <c r="V217" s="923"/>
      <c r="W217" s="923"/>
      <c r="X217" s="923"/>
      <c r="Y217" s="923"/>
      <c r="Z217" s="923"/>
      <c r="AA217" s="923"/>
      <c r="AB217" s="923"/>
      <c r="AC217" s="923"/>
      <c r="AD217" s="923"/>
      <c r="AE217" s="923"/>
      <c r="AF217" s="923"/>
      <c r="AG217" s="923"/>
      <c r="AI217" s="934"/>
      <c r="AJ217" s="934"/>
      <c r="AK217" s="934"/>
      <c r="AL217" s="934"/>
      <c r="AM217" s="934"/>
      <c r="AN217" s="934"/>
      <c r="AO217" s="934"/>
      <c r="AP217" s="934"/>
      <c r="AQ217" s="934"/>
    </row>
    <row r="218" spans="1:63" s="635" customFormat="1" ht="15" thickBot="1" x14ac:dyDescent="0.25">
      <c r="A218" s="933"/>
      <c r="D218" s="923"/>
      <c r="E218" s="923"/>
      <c r="F218" s="923"/>
      <c r="G218" s="923"/>
      <c r="H218" s="923"/>
      <c r="I218" s="923"/>
      <c r="J218" s="923"/>
      <c r="K218" s="923"/>
      <c r="L218" s="923"/>
      <c r="M218" s="923"/>
      <c r="N218" s="923"/>
      <c r="O218" s="923"/>
      <c r="P218" s="923"/>
      <c r="Q218" s="923"/>
      <c r="R218" s="923"/>
      <c r="S218" s="923"/>
      <c r="T218" s="923"/>
      <c r="U218" s="923"/>
      <c r="V218" s="923"/>
      <c r="W218" s="923"/>
      <c r="X218" s="923"/>
      <c r="Y218" s="923"/>
      <c r="Z218" s="923"/>
      <c r="AA218" s="923"/>
      <c r="AB218" s="923"/>
      <c r="AC218" s="923"/>
      <c r="AD218" s="923"/>
      <c r="AE218" s="923"/>
      <c r="AF218" s="923"/>
      <c r="AG218" s="923"/>
      <c r="AI218" s="934"/>
      <c r="AJ218" s="934"/>
      <c r="AK218" s="934"/>
      <c r="AL218" s="934"/>
      <c r="AM218" s="934"/>
      <c r="AN218" s="934"/>
      <c r="AO218" s="934"/>
      <c r="AP218" s="934"/>
      <c r="AQ218" s="934"/>
    </row>
    <row r="219" spans="1:63" s="635" customFormat="1" ht="15" thickBot="1" x14ac:dyDescent="0.25">
      <c r="A219" s="933" t="s">
        <v>1494</v>
      </c>
      <c r="D219" s="1109" t="s">
        <v>40</v>
      </c>
      <c r="E219" s="1110"/>
      <c r="F219" s="1110"/>
      <c r="G219" s="1111"/>
      <c r="H219" s="1058" t="s">
        <v>3</v>
      </c>
      <c r="I219" s="1058"/>
      <c r="J219" s="1058"/>
      <c r="K219" s="1058"/>
      <c r="L219" s="1058"/>
      <c r="M219" s="1058"/>
      <c r="N219" s="1058"/>
      <c r="O219" s="1058"/>
      <c r="P219" s="1058"/>
      <c r="Q219" s="1058"/>
      <c r="R219" s="1058"/>
      <c r="S219" s="1058"/>
      <c r="T219" s="1058"/>
      <c r="U219" s="1058"/>
      <c r="V219" s="1058"/>
      <c r="W219" s="1058"/>
      <c r="X219" s="1058"/>
      <c r="Y219" s="1058"/>
      <c r="Z219" s="1058"/>
      <c r="AA219" s="1058"/>
      <c r="AB219" s="1058"/>
      <c r="AC219" s="1058"/>
      <c r="AD219" s="1058"/>
      <c r="AE219" s="1058"/>
      <c r="AF219" s="1058"/>
      <c r="AG219" s="1058"/>
      <c r="AH219" s="1058"/>
      <c r="AI219" s="934"/>
      <c r="AJ219" s="934"/>
      <c r="AK219" s="934"/>
      <c r="AL219" s="934"/>
      <c r="AM219" s="934"/>
      <c r="AN219" s="934"/>
      <c r="AO219" s="934"/>
      <c r="AP219" s="934"/>
      <c r="AQ219" s="934"/>
      <c r="BC219" s="642"/>
      <c r="BD219" s="642"/>
      <c r="BE219" s="642"/>
      <c r="BF219" s="642"/>
      <c r="BG219" s="642"/>
      <c r="BH219" s="642"/>
      <c r="BI219" s="642"/>
      <c r="BJ219" s="642"/>
      <c r="BK219" s="642"/>
    </row>
    <row r="220" spans="1:63" s="635" customFormat="1" ht="55.5" customHeight="1" thickTop="1" thickBot="1" x14ac:dyDescent="0.25">
      <c r="A220" s="933"/>
      <c r="D220" s="1112"/>
      <c r="E220" s="1113"/>
      <c r="F220" s="1113"/>
      <c r="G220" s="1114"/>
      <c r="H220" s="1059" t="s">
        <v>41</v>
      </c>
      <c r="I220" s="1059"/>
      <c r="J220" s="1059"/>
      <c r="K220" s="1059" t="s">
        <v>42</v>
      </c>
      <c r="L220" s="1059"/>
      <c r="M220" s="1059"/>
      <c r="N220" s="1059" t="s">
        <v>43</v>
      </c>
      <c r="O220" s="1059"/>
      <c r="P220" s="1059"/>
      <c r="Q220" s="1059" t="s">
        <v>1493</v>
      </c>
      <c r="R220" s="1059"/>
      <c r="S220" s="1059"/>
      <c r="T220" s="1059" t="s">
        <v>44</v>
      </c>
      <c r="U220" s="1059"/>
      <c r="V220" s="1059"/>
      <c r="W220" s="1059" t="s">
        <v>45</v>
      </c>
      <c r="X220" s="1059"/>
      <c r="Y220" s="1059"/>
      <c r="Z220" s="1059" t="s">
        <v>445</v>
      </c>
      <c r="AA220" s="1059"/>
      <c r="AB220" s="1059"/>
      <c r="AC220" s="1059" t="s">
        <v>46</v>
      </c>
      <c r="AD220" s="1059"/>
      <c r="AE220" s="1059"/>
      <c r="AF220" s="1059" t="s">
        <v>14</v>
      </c>
      <c r="AG220" s="1059"/>
      <c r="AH220" s="1059"/>
      <c r="AI220" s="925" t="s">
        <v>41</v>
      </c>
      <c r="AJ220" s="925" t="s">
        <v>42</v>
      </c>
      <c r="AK220" s="925" t="s">
        <v>43</v>
      </c>
      <c r="AL220" s="925" t="s">
        <v>444</v>
      </c>
      <c r="AM220" s="925" t="s">
        <v>44</v>
      </c>
      <c r="AN220" s="925" t="s">
        <v>45</v>
      </c>
      <c r="AO220" s="925" t="s">
        <v>445</v>
      </c>
      <c r="AP220" s="925" t="s">
        <v>46</v>
      </c>
      <c r="AQ220" s="925" t="s">
        <v>14</v>
      </c>
      <c r="BC220" s="642"/>
      <c r="BD220" s="642"/>
      <c r="BE220" s="642"/>
      <c r="BF220" s="642"/>
      <c r="BG220" s="642"/>
      <c r="BH220" s="642"/>
      <c r="BI220" s="642"/>
      <c r="BJ220" s="642"/>
      <c r="BK220" s="642"/>
    </row>
    <row r="221" spans="1:63" s="635" customFormat="1" ht="15" thickBot="1" x14ac:dyDescent="0.25">
      <c r="A221" s="933"/>
      <c r="D221" s="1409" t="s">
        <v>25</v>
      </c>
      <c r="E221" s="1410"/>
      <c r="F221" s="1410"/>
      <c r="G221" s="1410"/>
      <c r="H221" s="1410"/>
      <c r="I221" s="1410"/>
      <c r="J221" s="1410"/>
      <c r="K221" s="1410"/>
      <c r="L221" s="1410"/>
      <c r="M221" s="1410"/>
      <c r="N221" s="1410"/>
      <c r="O221" s="1410"/>
      <c r="P221" s="1410"/>
      <c r="Q221" s="1410"/>
      <c r="R221" s="1410"/>
      <c r="S221" s="1410"/>
      <c r="T221" s="1410"/>
      <c r="U221" s="1410"/>
      <c r="V221" s="1410"/>
      <c r="W221" s="1410"/>
      <c r="X221" s="1410"/>
      <c r="Y221" s="1410"/>
      <c r="Z221" s="1410"/>
      <c r="AA221" s="1410"/>
      <c r="AB221" s="1410"/>
      <c r="AC221" s="1410"/>
      <c r="AD221" s="1410"/>
      <c r="AE221" s="1410"/>
      <c r="AF221" s="1410"/>
      <c r="AG221" s="1410"/>
      <c r="AH221" s="1411"/>
      <c r="AI221" s="941"/>
      <c r="AJ221" s="942"/>
      <c r="AK221" s="942"/>
      <c r="AL221" s="942"/>
      <c r="AM221" s="942"/>
      <c r="AN221" s="942"/>
      <c r="AO221" s="942"/>
      <c r="AP221" s="942"/>
      <c r="AQ221" s="943"/>
      <c r="BC221" s="773"/>
      <c r="BD221" s="774"/>
      <c r="BE221" s="774"/>
      <c r="BF221" s="774"/>
      <c r="BG221" s="774"/>
      <c r="BH221" s="774"/>
      <c r="BI221" s="774"/>
      <c r="BJ221" s="774"/>
      <c r="BK221" s="775"/>
    </row>
    <row r="222" spans="1:63" s="635" customFormat="1" ht="22.5" customHeight="1" x14ac:dyDescent="0.2">
      <c r="A222" s="933"/>
      <c r="D222" s="1169" t="s">
        <v>26</v>
      </c>
      <c r="E222" s="1169"/>
      <c r="F222" s="1169"/>
      <c r="G222" s="1169"/>
      <c r="H222" s="1403"/>
      <c r="I222" s="1403"/>
      <c r="J222" s="1403"/>
      <c r="K222" s="1404"/>
      <c r="L222" s="1404"/>
      <c r="M222" s="1404"/>
      <c r="N222" s="1404">
        <v>38844</v>
      </c>
      <c r="O222" s="1404"/>
      <c r="P222" s="1404"/>
      <c r="Q222" s="1404"/>
      <c r="R222" s="1404"/>
      <c r="S222" s="1404"/>
      <c r="T222" s="1404"/>
      <c r="U222" s="1404"/>
      <c r="V222" s="1404"/>
      <c r="W222" s="1404"/>
      <c r="X222" s="1404"/>
      <c r="Y222" s="1404"/>
      <c r="Z222" s="1404"/>
      <c r="AA222" s="1404"/>
      <c r="AB222" s="1404"/>
      <c r="AC222" s="1404"/>
      <c r="AD222" s="1404"/>
      <c r="AE222" s="1404"/>
      <c r="AF222" s="1217">
        <f>SUM(H222:AE222)</f>
        <v>38844</v>
      </c>
      <c r="AG222" s="1217"/>
      <c r="AH222" s="1217"/>
      <c r="AI222" s="944"/>
      <c r="AJ222" s="940"/>
      <c r="AK222" s="940"/>
      <c r="AL222" s="940"/>
      <c r="AM222" s="940"/>
      <c r="AN222" s="940"/>
      <c r="AO222" s="940"/>
      <c r="AP222" s="940"/>
      <c r="AQ222" s="945">
        <f>SUM(H222:AE222)-AF222</f>
        <v>0</v>
      </c>
      <c r="BC222" s="772"/>
      <c r="BD222" s="642"/>
      <c r="BE222" s="642"/>
      <c r="BF222" s="642"/>
      <c r="BG222" s="642"/>
      <c r="BH222" s="642"/>
      <c r="BI222" s="642"/>
      <c r="BJ222" s="642"/>
      <c r="BK222" s="771"/>
    </row>
    <row r="223" spans="1:63" s="635" customFormat="1" x14ac:dyDescent="0.2">
      <c r="A223" s="933"/>
      <c r="D223" s="1171" t="s">
        <v>27</v>
      </c>
      <c r="E223" s="1171"/>
      <c r="F223" s="1171"/>
      <c r="G223" s="1171"/>
      <c r="H223" s="1172"/>
      <c r="I223" s="1172"/>
      <c r="J223" s="1172"/>
      <c r="K223" s="1173"/>
      <c r="L223" s="1173"/>
      <c r="M223" s="1173"/>
      <c r="N223" s="1173"/>
      <c r="O223" s="1173"/>
      <c r="P223" s="1173"/>
      <c r="Q223" s="1173"/>
      <c r="R223" s="1173"/>
      <c r="S223" s="1173"/>
      <c r="T223" s="1173"/>
      <c r="U223" s="1173"/>
      <c r="V223" s="1173"/>
      <c r="W223" s="1173"/>
      <c r="X223" s="1173"/>
      <c r="Y223" s="1173"/>
      <c r="Z223" s="1173"/>
      <c r="AA223" s="1173"/>
      <c r="AB223" s="1173"/>
      <c r="AC223" s="1173"/>
      <c r="AD223" s="1173"/>
      <c r="AE223" s="1173"/>
      <c r="AF223" s="1216">
        <f>SUM(H223:AE223)</f>
        <v>0</v>
      </c>
      <c r="AG223" s="1216"/>
      <c r="AH223" s="1216"/>
      <c r="AI223" s="944"/>
      <c r="AJ223" s="940"/>
      <c r="AK223" s="940"/>
      <c r="AL223" s="940"/>
      <c r="AM223" s="940"/>
      <c r="AN223" s="940"/>
      <c r="AO223" s="940"/>
      <c r="AP223" s="940"/>
      <c r="AQ223" s="945">
        <f t="shared" ref="AQ223:AQ224" si="46">SUM(H223:AE223)-AF223</f>
        <v>0</v>
      </c>
      <c r="BC223" s="772"/>
      <c r="BD223" s="642"/>
      <c r="BE223" s="642"/>
      <c r="BF223" s="642"/>
      <c r="BG223" s="642"/>
      <c r="BH223" s="642"/>
      <c r="BI223" s="642"/>
      <c r="BJ223" s="642"/>
      <c r="BK223" s="771"/>
    </row>
    <row r="224" spans="1:63" s="635" customFormat="1" x14ac:dyDescent="0.2">
      <c r="A224" s="933"/>
      <c r="D224" s="1171" t="s">
        <v>28</v>
      </c>
      <c r="E224" s="1171"/>
      <c r="F224" s="1171"/>
      <c r="G224" s="1171"/>
      <c r="H224" s="1172"/>
      <c r="I224" s="1172"/>
      <c r="J224" s="1172"/>
      <c r="K224" s="1173"/>
      <c r="L224" s="1173"/>
      <c r="M224" s="1173"/>
      <c r="N224" s="1173"/>
      <c r="O224" s="1173"/>
      <c r="P224" s="1173"/>
      <c r="Q224" s="1173"/>
      <c r="R224" s="1173"/>
      <c r="S224" s="1173"/>
      <c r="T224" s="1173"/>
      <c r="U224" s="1173"/>
      <c r="V224" s="1173"/>
      <c r="W224" s="1173"/>
      <c r="X224" s="1173"/>
      <c r="Y224" s="1173"/>
      <c r="Z224" s="1173"/>
      <c r="AA224" s="1173"/>
      <c r="AB224" s="1173"/>
      <c r="AC224" s="1173"/>
      <c r="AD224" s="1173"/>
      <c r="AE224" s="1173"/>
      <c r="AF224" s="1216">
        <f>SUM(H224:AE224)</f>
        <v>0</v>
      </c>
      <c r="AG224" s="1216"/>
      <c r="AH224" s="1216"/>
      <c r="AI224" s="944"/>
      <c r="AJ224" s="940"/>
      <c r="AK224" s="940"/>
      <c r="AL224" s="940"/>
      <c r="AM224" s="940"/>
      <c r="AN224" s="940"/>
      <c r="AO224" s="940"/>
      <c r="AP224" s="940"/>
      <c r="AQ224" s="945">
        <f t="shared" si="46"/>
        <v>0</v>
      </c>
      <c r="BC224" s="772"/>
      <c r="BD224" s="642"/>
      <c r="BE224" s="642"/>
      <c r="BF224" s="642"/>
      <c r="BG224" s="642"/>
      <c r="BH224" s="642"/>
      <c r="BI224" s="642"/>
      <c r="BJ224" s="642"/>
      <c r="BK224" s="771"/>
    </row>
    <row r="225" spans="1:63" s="635" customFormat="1" x14ac:dyDescent="0.2">
      <c r="A225" s="933"/>
      <c r="D225" s="1171" t="s">
        <v>29</v>
      </c>
      <c r="E225" s="1171"/>
      <c r="F225" s="1171"/>
      <c r="G225" s="1171"/>
      <c r="H225" s="1172"/>
      <c r="I225" s="1172"/>
      <c r="J225" s="1172"/>
      <c r="K225" s="1173"/>
      <c r="L225" s="1173"/>
      <c r="M225" s="1173"/>
      <c r="N225" s="1173"/>
      <c r="O225" s="1173"/>
      <c r="P225" s="1173"/>
      <c r="Q225" s="1173"/>
      <c r="R225" s="1173"/>
      <c r="S225" s="1173"/>
      <c r="T225" s="1173"/>
      <c r="U225" s="1173"/>
      <c r="V225" s="1173"/>
      <c r="W225" s="1173"/>
      <c r="X225" s="1173"/>
      <c r="Y225" s="1173"/>
      <c r="Z225" s="1173"/>
      <c r="AA225" s="1173"/>
      <c r="AB225" s="1173"/>
      <c r="AC225" s="1173"/>
      <c r="AD225" s="1173"/>
      <c r="AE225" s="1173"/>
      <c r="AF225" s="1216">
        <f>SUM(H225:AE225)</f>
        <v>0</v>
      </c>
      <c r="AG225" s="1216"/>
      <c r="AH225" s="1216"/>
      <c r="AI225" s="944"/>
      <c r="AJ225" s="940"/>
      <c r="AK225" s="940"/>
      <c r="AL225" s="940"/>
      <c r="AM225" s="940"/>
      <c r="AN225" s="940"/>
      <c r="AO225" s="940"/>
      <c r="AP225" s="940"/>
      <c r="AQ225" s="945">
        <f>SUM(H225:AE225)-AF225</f>
        <v>0</v>
      </c>
      <c r="BC225" s="772"/>
      <c r="BD225" s="642"/>
      <c r="BE225" s="642"/>
      <c r="BF225" s="642"/>
      <c r="BG225" s="642"/>
      <c r="BH225" s="642"/>
      <c r="BI225" s="642"/>
      <c r="BJ225" s="642"/>
      <c r="BK225" s="771"/>
    </row>
    <row r="226" spans="1:63" s="635" customFormat="1" ht="22.5" customHeight="1" thickBot="1" x14ac:dyDescent="0.25">
      <c r="A226" s="933"/>
      <c r="D226" s="1170" t="s">
        <v>30</v>
      </c>
      <c r="E226" s="1170"/>
      <c r="F226" s="1170"/>
      <c r="G226" s="1170"/>
      <c r="H226" s="1401">
        <f>H222+H223-H224+H225</f>
        <v>0</v>
      </c>
      <c r="I226" s="1401"/>
      <c r="J226" s="1401"/>
      <c r="K226" s="1401">
        <f>K222+K223-K224+K225</f>
        <v>0</v>
      </c>
      <c r="L226" s="1401"/>
      <c r="M226" s="1401"/>
      <c r="N226" s="1401">
        <f t="shared" ref="N226" si="47">N222+N223-N224+N225</f>
        <v>38844</v>
      </c>
      <c r="O226" s="1401"/>
      <c r="P226" s="1401"/>
      <c r="Q226" s="1401">
        <f t="shared" ref="Q226" si="48">Q222+Q223-Q224+Q225</f>
        <v>0</v>
      </c>
      <c r="R226" s="1401"/>
      <c r="S226" s="1401"/>
      <c r="T226" s="1401">
        <f t="shared" ref="T226" si="49">T222+T223-T224+T225</f>
        <v>0</v>
      </c>
      <c r="U226" s="1401"/>
      <c r="V226" s="1401"/>
      <c r="W226" s="1401">
        <f t="shared" ref="W226" si="50">W222+W223-W224+W225</f>
        <v>0</v>
      </c>
      <c r="X226" s="1401"/>
      <c r="Y226" s="1401"/>
      <c r="Z226" s="1401">
        <f t="shared" ref="Z226" si="51">Z222+Z223-Z224+Z225</f>
        <v>0</v>
      </c>
      <c r="AA226" s="1401"/>
      <c r="AB226" s="1401"/>
      <c r="AC226" s="1401">
        <f t="shared" ref="AC226" si="52">AC222+AC223-AC224+AC225</f>
        <v>0</v>
      </c>
      <c r="AD226" s="1401"/>
      <c r="AE226" s="1401"/>
      <c r="AF226" s="1401">
        <f t="shared" ref="AF226" si="53">AF222+AF223-AF224+AF225</f>
        <v>38844</v>
      </c>
      <c r="AG226" s="1401"/>
      <c r="AH226" s="1401"/>
      <c r="AI226" s="946">
        <f>H222+H223-H224+H225-H226</f>
        <v>0</v>
      </c>
      <c r="AJ226" s="947">
        <f>K222+K223-K224+K225-K226</f>
        <v>0</v>
      </c>
      <c r="AK226" s="947">
        <f>N222+N223-N224+N225-N226</f>
        <v>0</v>
      </c>
      <c r="AL226" s="947">
        <f>Q222+Q223-Q224+Q225-Q226</f>
        <v>0</v>
      </c>
      <c r="AM226" s="947">
        <f>T222+T223-T224+T225-T225</f>
        <v>0</v>
      </c>
      <c r="AN226" s="947">
        <f>W222+W223-W224+W225-W226</f>
        <v>0</v>
      </c>
      <c r="AO226" s="947">
        <f>Z222+Z223-Z224+Z225-Z226</f>
        <v>0</v>
      </c>
      <c r="AP226" s="947">
        <f>AC222+AC223-AC224+AC225-AC226</f>
        <v>0</v>
      </c>
      <c r="AQ226" s="945">
        <f>AF222+AF223-AF224+AF225-AF226</f>
        <v>0</v>
      </c>
      <c r="BC226" s="772"/>
      <c r="BD226" s="642"/>
      <c r="BE226" s="642"/>
      <c r="BF226" s="642"/>
      <c r="BG226" s="642"/>
      <c r="BH226" s="642"/>
      <c r="BI226" s="642"/>
      <c r="BJ226" s="642"/>
      <c r="BK226" s="771"/>
    </row>
    <row r="227" spans="1:63" s="635" customFormat="1" ht="15" thickBot="1" x14ac:dyDescent="0.25">
      <c r="A227" s="933"/>
      <c r="D227" s="1409" t="s">
        <v>31</v>
      </c>
      <c r="E227" s="1410"/>
      <c r="F227" s="1410"/>
      <c r="G227" s="1410"/>
      <c r="H227" s="1410"/>
      <c r="I227" s="1410"/>
      <c r="J227" s="1410"/>
      <c r="K227" s="1410"/>
      <c r="L227" s="1410"/>
      <c r="M227" s="1410"/>
      <c r="N227" s="1410"/>
      <c r="O227" s="1410"/>
      <c r="P227" s="1410"/>
      <c r="Q227" s="1410"/>
      <c r="R227" s="1410"/>
      <c r="S227" s="1410"/>
      <c r="T227" s="1410"/>
      <c r="U227" s="1410"/>
      <c r="V227" s="1410"/>
      <c r="W227" s="1410"/>
      <c r="X227" s="1410"/>
      <c r="Y227" s="1410"/>
      <c r="Z227" s="1410"/>
      <c r="AA227" s="1410"/>
      <c r="AB227" s="1410"/>
      <c r="AC227" s="1410"/>
      <c r="AD227" s="1410"/>
      <c r="AE227" s="1410"/>
      <c r="AF227" s="1410"/>
      <c r="AG227" s="1410"/>
      <c r="AH227" s="1411"/>
      <c r="AI227" s="944"/>
      <c r="AJ227" s="940"/>
      <c r="AK227" s="940"/>
      <c r="AL227" s="940"/>
      <c r="AM227" s="940"/>
      <c r="AN227" s="940"/>
      <c r="AO227" s="940"/>
      <c r="AP227" s="940"/>
      <c r="AQ227" s="945"/>
      <c r="BC227" s="772"/>
      <c r="BD227" s="642"/>
      <c r="BE227" s="642"/>
      <c r="BF227" s="642"/>
      <c r="BG227" s="642"/>
      <c r="BH227" s="642"/>
      <c r="BI227" s="642"/>
      <c r="BJ227" s="642"/>
      <c r="BK227" s="771"/>
    </row>
    <row r="228" spans="1:63" s="635" customFormat="1" ht="22.5" customHeight="1" x14ac:dyDescent="0.2">
      <c r="A228" s="933"/>
      <c r="D228" s="1169" t="s">
        <v>32</v>
      </c>
      <c r="E228" s="1169"/>
      <c r="F228" s="1169"/>
      <c r="G228" s="1169"/>
      <c r="H228" s="1403"/>
      <c r="I228" s="1403"/>
      <c r="J228" s="1403"/>
      <c r="K228" s="1404"/>
      <c r="L228" s="1404"/>
      <c r="M228" s="1404"/>
      <c r="N228" s="1404">
        <v>5064</v>
      </c>
      <c r="O228" s="1404"/>
      <c r="P228" s="1404"/>
      <c r="Q228" s="1404"/>
      <c r="R228" s="1404"/>
      <c r="S228" s="1404"/>
      <c r="T228" s="1404"/>
      <c r="U228" s="1404"/>
      <c r="V228" s="1404"/>
      <c r="W228" s="1404"/>
      <c r="X228" s="1404"/>
      <c r="Y228" s="1404"/>
      <c r="Z228" s="1404"/>
      <c r="AA228" s="1404"/>
      <c r="AB228" s="1404"/>
      <c r="AC228" s="1404"/>
      <c r="AD228" s="1404"/>
      <c r="AE228" s="1404"/>
      <c r="AF228" s="1217">
        <f>SUM(H228:AE228)</f>
        <v>5064</v>
      </c>
      <c r="AG228" s="1217"/>
      <c r="AH228" s="1217"/>
      <c r="AI228" s="944"/>
      <c r="AJ228" s="940"/>
      <c r="AK228" s="940"/>
      <c r="AL228" s="940"/>
      <c r="AM228" s="940"/>
      <c r="AN228" s="940"/>
      <c r="AO228" s="940"/>
      <c r="AP228" s="940"/>
      <c r="AQ228" s="945">
        <f>SUM(H228:AE228)-AF228</f>
        <v>0</v>
      </c>
      <c r="BC228" s="772"/>
      <c r="BD228" s="642"/>
      <c r="BE228" s="642"/>
      <c r="BF228" s="642"/>
      <c r="BG228" s="642"/>
      <c r="BH228" s="642"/>
      <c r="BI228" s="642"/>
      <c r="BJ228" s="642"/>
      <c r="BK228" s="771"/>
    </row>
    <row r="229" spans="1:63" s="635" customFormat="1" x14ac:dyDescent="0.2">
      <c r="A229" s="933"/>
      <c r="D229" s="1171" t="s">
        <v>27</v>
      </c>
      <c r="E229" s="1171"/>
      <c r="F229" s="1171"/>
      <c r="G229" s="1171"/>
      <c r="H229" s="1172"/>
      <c r="I229" s="1172"/>
      <c r="J229" s="1172"/>
      <c r="K229" s="1173"/>
      <c r="L229" s="1173"/>
      <c r="M229" s="1173"/>
      <c r="N229" s="1173">
        <v>7770</v>
      </c>
      <c r="O229" s="1173"/>
      <c r="P229" s="1173"/>
      <c r="Q229" s="1173"/>
      <c r="R229" s="1173"/>
      <c r="S229" s="1173"/>
      <c r="T229" s="1173"/>
      <c r="U229" s="1173"/>
      <c r="V229" s="1173"/>
      <c r="W229" s="1173"/>
      <c r="X229" s="1173"/>
      <c r="Y229" s="1173"/>
      <c r="Z229" s="1173"/>
      <c r="AA229" s="1173"/>
      <c r="AB229" s="1173"/>
      <c r="AC229" s="1173"/>
      <c r="AD229" s="1173"/>
      <c r="AE229" s="1173"/>
      <c r="AF229" s="1216">
        <f>SUM(H229:AE229)</f>
        <v>7770</v>
      </c>
      <c r="AG229" s="1216"/>
      <c r="AH229" s="1216"/>
      <c r="AI229" s="944"/>
      <c r="AJ229" s="940"/>
      <c r="AK229" s="940"/>
      <c r="AL229" s="940"/>
      <c r="AM229" s="940"/>
      <c r="AN229" s="940"/>
      <c r="AO229" s="940"/>
      <c r="AP229" s="940"/>
      <c r="AQ229" s="945">
        <f t="shared" ref="AQ229:AQ230" si="54">SUM(H229:AE229)-AF229</f>
        <v>0</v>
      </c>
      <c r="BC229" s="772"/>
      <c r="BD229" s="642"/>
      <c r="BE229" s="642"/>
      <c r="BF229" s="642"/>
      <c r="BG229" s="642"/>
      <c r="BH229" s="642"/>
      <c r="BI229" s="642"/>
      <c r="BJ229" s="642"/>
      <c r="BK229" s="771"/>
    </row>
    <row r="230" spans="1:63" s="635" customFormat="1" x14ac:dyDescent="0.2">
      <c r="A230" s="933"/>
      <c r="D230" s="1171" t="s">
        <v>28</v>
      </c>
      <c r="E230" s="1171"/>
      <c r="F230" s="1171"/>
      <c r="G230" s="1171"/>
      <c r="H230" s="1172"/>
      <c r="I230" s="1172"/>
      <c r="J230" s="1172"/>
      <c r="K230" s="1173"/>
      <c r="L230" s="1173"/>
      <c r="M230" s="1173"/>
      <c r="N230" s="1173"/>
      <c r="O230" s="1173"/>
      <c r="P230" s="1173"/>
      <c r="Q230" s="1173"/>
      <c r="R230" s="1173"/>
      <c r="S230" s="1173"/>
      <c r="T230" s="1173"/>
      <c r="U230" s="1173"/>
      <c r="V230" s="1173"/>
      <c r="W230" s="1173"/>
      <c r="X230" s="1173"/>
      <c r="Y230" s="1173"/>
      <c r="Z230" s="1173"/>
      <c r="AA230" s="1173"/>
      <c r="AB230" s="1173"/>
      <c r="AC230" s="1173"/>
      <c r="AD230" s="1173"/>
      <c r="AE230" s="1173"/>
      <c r="AF230" s="1216">
        <f>SUM(H230:AE230)</f>
        <v>0</v>
      </c>
      <c r="AG230" s="1216"/>
      <c r="AH230" s="1216"/>
      <c r="AI230" s="944"/>
      <c r="AJ230" s="940"/>
      <c r="AK230" s="940"/>
      <c r="AL230" s="940"/>
      <c r="AM230" s="940"/>
      <c r="AN230" s="940"/>
      <c r="AO230" s="940"/>
      <c r="AP230" s="940"/>
      <c r="AQ230" s="945">
        <f t="shared" si="54"/>
        <v>0</v>
      </c>
      <c r="BC230" s="772"/>
      <c r="BD230" s="642"/>
      <c r="BE230" s="642"/>
      <c r="BF230" s="642"/>
      <c r="BG230" s="642"/>
      <c r="BH230" s="642"/>
      <c r="BI230" s="642"/>
      <c r="BJ230" s="642"/>
      <c r="BK230" s="771"/>
    </row>
    <row r="231" spans="1:63" s="635" customFormat="1" ht="22.5" customHeight="1" thickBot="1" x14ac:dyDescent="0.25">
      <c r="A231" s="933"/>
      <c r="D231" s="1170" t="s">
        <v>30</v>
      </c>
      <c r="E231" s="1170"/>
      <c r="F231" s="1170"/>
      <c r="G231" s="1170"/>
      <c r="H231" s="1401">
        <f>H228+H229-H230</f>
        <v>0</v>
      </c>
      <c r="I231" s="1401"/>
      <c r="J231" s="1401"/>
      <c r="K231" s="1401">
        <f t="shared" ref="K231" si="55">K228+K229-K230</f>
        <v>0</v>
      </c>
      <c r="L231" s="1401"/>
      <c r="M231" s="1401"/>
      <c r="N231" s="1401">
        <f t="shared" ref="N231" si="56">N228+N229-N230</f>
        <v>12834</v>
      </c>
      <c r="O231" s="1401"/>
      <c r="P231" s="1401"/>
      <c r="Q231" s="1401">
        <f t="shared" ref="Q231" si="57">Q228+Q229-Q230</f>
        <v>0</v>
      </c>
      <c r="R231" s="1401"/>
      <c r="S231" s="1401"/>
      <c r="T231" s="1401">
        <f t="shared" ref="T231" si="58">T228+T229-T230</f>
        <v>0</v>
      </c>
      <c r="U231" s="1401"/>
      <c r="V231" s="1401"/>
      <c r="W231" s="1401">
        <f t="shared" ref="W231" si="59">W228+W229-W230</f>
        <v>0</v>
      </c>
      <c r="X231" s="1401"/>
      <c r="Y231" s="1401"/>
      <c r="Z231" s="1401">
        <f t="shared" ref="Z231" si="60">Z228+Z229-Z230</f>
        <v>0</v>
      </c>
      <c r="AA231" s="1401"/>
      <c r="AB231" s="1401"/>
      <c r="AC231" s="1401">
        <f t="shared" ref="AC231" si="61">AC228+AC229-AC230</f>
        <v>0</v>
      </c>
      <c r="AD231" s="1401"/>
      <c r="AE231" s="1401"/>
      <c r="AF231" s="1401">
        <f t="shared" ref="AF231" si="62">AF228+AF229-AF230</f>
        <v>12834</v>
      </c>
      <c r="AG231" s="1401"/>
      <c r="AH231" s="1401"/>
      <c r="AI231" s="946">
        <f>H228+H229-H230-H231</f>
        <v>0</v>
      </c>
      <c r="AJ231" s="947">
        <f>K228+K229-K230-K231</f>
        <v>0</v>
      </c>
      <c r="AK231" s="947">
        <f>N228+N229-N230-N231</f>
        <v>0</v>
      </c>
      <c r="AL231" s="947">
        <f>Q228+Q229-Q230-Q231</f>
        <v>0</v>
      </c>
      <c r="AM231" s="947">
        <f>T228+T229-T230-T231</f>
        <v>0</v>
      </c>
      <c r="AN231" s="947">
        <f>W228+W229-W230-W231</f>
        <v>0</v>
      </c>
      <c r="AO231" s="947">
        <f>Z228+Z229-Z230-Z231</f>
        <v>0</v>
      </c>
      <c r="AP231" s="947">
        <f>AC228+AC229-AC230-AC231</f>
        <v>0</v>
      </c>
      <c r="AQ231" s="945">
        <f>AF228+AF229-AF230-AF231</f>
        <v>0</v>
      </c>
      <c r="BC231" s="772"/>
      <c r="BD231" s="642"/>
      <c r="BE231" s="642"/>
      <c r="BF231" s="642"/>
      <c r="BG231" s="642"/>
      <c r="BH231" s="642"/>
      <c r="BI231" s="642"/>
      <c r="BJ231" s="642"/>
      <c r="BK231" s="771"/>
    </row>
    <row r="232" spans="1:63" s="635" customFormat="1" ht="15" thickBot="1" x14ac:dyDescent="0.25">
      <c r="A232" s="933"/>
      <c r="D232" s="1409" t="s">
        <v>33</v>
      </c>
      <c r="E232" s="1410"/>
      <c r="F232" s="1410"/>
      <c r="G232" s="1410"/>
      <c r="H232" s="1410"/>
      <c r="I232" s="1410"/>
      <c r="J232" s="1410"/>
      <c r="K232" s="1410"/>
      <c r="L232" s="1410"/>
      <c r="M232" s="1410"/>
      <c r="N232" s="1410"/>
      <c r="O232" s="1410"/>
      <c r="P232" s="1410"/>
      <c r="Q232" s="1410"/>
      <c r="R232" s="1410"/>
      <c r="S232" s="1410"/>
      <c r="T232" s="1410"/>
      <c r="U232" s="1410"/>
      <c r="V232" s="1410"/>
      <c r="W232" s="1410"/>
      <c r="X232" s="1410"/>
      <c r="Y232" s="1410"/>
      <c r="Z232" s="1410"/>
      <c r="AA232" s="1410"/>
      <c r="AB232" s="1410"/>
      <c r="AC232" s="1410"/>
      <c r="AD232" s="1410"/>
      <c r="AE232" s="1410"/>
      <c r="AF232" s="1410"/>
      <c r="AG232" s="1410"/>
      <c r="AH232" s="1411"/>
      <c r="AI232" s="944"/>
      <c r="AJ232" s="940"/>
      <c r="AK232" s="940"/>
      <c r="AL232" s="940"/>
      <c r="AM232" s="940"/>
      <c r="AN232" s="940"/>
      <c r="AO232" s="940"/>
      <c r="AP232" s="940"/>
      <c r="AQ232" s="945"/>
      <c r="BC232" s="772"/>
      <c r="BD232" s="642"/>
      <c r="BE232" s="642"/>
      <c r="BF232" s="642"/>
      <c r="BG232" s="642"/>
      <c r="BH232" s="642"/>
      <c r="BI232" s="642"/>
      <c r="BJ232" s="642"/>
      <c r="BK232" s="771"/>
    </row>
    <row r="233" spans="1:63" s="635" customFormat="1" ht="22.5" customHeight="1" x14ac:dyDescent="0.2">
      <c r="A233" s="933"/>
      <c r="D233" s="1169" t="s">
        <v>32</v>
      </c>
      <c r="E233" s="1169"/>
      <c r="F233" s="1169"/>
      <c r="G233" s="1169"/>
      <c r="H233" s="1403"/>
      <c r="I233" s="1403"/>
      <c r="J233" s="1403"/>
      <c r="K233" s="1404"/>
      <c r="L233" s="1404"/>
      <c r="M233" s="1404"/>
      <c r="N233" s="1404"/>
      <c r="O233" s="1404"/>
      <c r="P233" s="1404"/>
      <c r="Q233" s="1404"/>
      <c r="R233" s="1404"/>
      <c r="S233" s="1404"/>
      <c r="T233" s="1404"/>
      <c r="U233" s="1404"/>
      <c r="V233" s="1404"/>
      <c r="W233" s="1404"/>
      <c r="X233" s="1404"/>
      <c r="Y233" s="1404"/>
      <c r="Z233" s="1404"/>
      <c r="AA233" s="1404"/>
      <c r="AB233" s="1404"/>
      <c r="AC233" s="1404"/>
      <c r="AD233" s="1404"/>
      <c r="AE233" s="1404"/>
      <c r="AF233" s="1217">
        <f>SUM(H233:AE233)</f>
        <v>0</v>
      </c>
      <c r="AG233" s="1217"/>
      <c r="AH233" s="1217"/>
      <c r="AI233" s="944"/>
      <c r="AJ233" s="940"/>
      <c r="AK233" s="940"/>
      <c r="AL233" s="940"/>
      <c r="AM233" s="940"/>
      <c r="AN233" s="940"/>
      <c r="AO233" s="940"/>
      <c r="AP233" s="940"/>
      <c r="AQ233" s="945">
        <f>SUM(H233:AE233)-AF233</f>
        <v>0</v>
      </c>
      <c r="BC233" s="772"/>
      <c r="BD233" s="642"/>
      <c r="BE233" s="642"/>
      <c r="BF233" s="642"/>
      <c r="BG233" s="642"/>
      <c r="BH233" s="642"/>
      <c r="BI233" s="642"/>
      <c r="BJ233" s="642"/>
      <c r="BK233" s="771"/>
    </row>
    <row r="234" spans="1:63" s="635" customFormat="1" x14ac:dyDescent="0.2">
      <c r="A234" s="933"/>
      <c r="D234" s="1171" t="s">
        <v>27</v>
      </c>
      <c r="E234" s="1171"/>
      <c r="F234" s="1171"/>
      <c r="G234" s="1171"/>
      <c r="H234" s="1172"/>
      <c r="I234" s="1172"/>
      <c r="J234" s="1172"/>
      <c r="K234" s="1173"/>
      <c r="L234" s="1173"/>
      <c r="M234" s="1173"/>
      <c r="N234" s="1173"/>
      <c r="O234" s="1173"/>
      <c r="P234" s="1173"/>
      <c r="Q234" s="1173"/>
      <c r="R234" s="1173"/>
      <c r="S234" s="1173"/>
      <c r="T234" s="1173"/>
      <c r="U234" s="1173"/>
      <c r="V234" s="1173"/>
      <c r="W234" s="1173"/>
      <c r="X234" s="1173"/>
      <c r="Y234" s="1173"/>
      <c r="Z234" s="1173"/>
      <c r="AA234" s="1173"/>
      <c r="AB234" s="1173"/>
      <c r="AC234" s="1173"/>
      <c r="AD234" s="1173"/>
      <c r="AE234" s="1173"/>
      <c r="AF234" s="1216">
        <f>SUM(H234:AE234)</f>
        <v>0</v>
      </c>
      <c r="AG234" s="1216"/>
      <c r="AH234" s="1216"/>
      <c r="AI234" s="944"/>
      <c r="AJ234" s="940"/>
      <c r="AK234" s="940"/>
      <c r="AL234" s="940"/>
      <c r="AM234" s="940"/>
      <c r="AN234" s="940"/>
      <c r="AO234" s="940"/>
      <c r="AP234" s="940"/>
      <c r="AQ234" s="945">
        <f>SUM(H234:AE234)-AF234</f>
        <v>0</v>
      </c>
      <c r="BC234" s="772"/>
      <c r="BD234" s="642"/>
      <c r="BE234" s="642"/>
      <c r="BF234" s="642"/>
      <c r="BG234" s="642"/>
      <c r="BH234" s="642"/>
      <c r="BI234" s="642"/>
      <c r="BJ234" s="642"/>
      <c r="BK234" s="771"/>
    </row>
    <row r="235" spans="1:63" s="635" customFormat="1" x14ac:dyDescent="0.2">
      <c r="A235" s="933"/>
      <c r="D235" s="1171" t="s">
        <v>28</v>
      </c>
      <c r="E235" s="1171"/>
      <c r="F235" s="1171"/>
      <c r="G235" s="1171"/>
      <c r="H235" s="1172"/>
      <c r="I235" s="1172"/>
      <c r="J235" s="1172"/>
      <c r="K235" s="1173"/>
      <c r="L235" s="1173"/>
      <c r="M235" s="1173"/>
      <c r="N235" s="1173"/>
      <c r="O235" s="1173"/>
      <c r="P235" s="1173"/>
      <c r="Q235" s="1173"/>
      <c r="R235" s="1173"/>
      <c r="S235" s="1173"/>
      <c r="T235" s="1173"/>
      <c r="U235" s="1173"/>
      <c r="V235" s="1173"/>
      <c r="W235" s="1173"/>
      <c r="X235" s="1173"/>
      <c r="Y235" s="1173"/>
      <c r="Z235" s="1173"/>
      <c r="AA235" s="1173"/>
      <c r="AB235" s="1173"/>
      <c r="AC235" s="1173"/>
      <c r="AD235" s="1173"/>
      <c r="AE235" s="1173"/>
      <c r="AF235" s="1216">
        <f>SUM(H235:AE235)</f>
        <v>0</v>
      </c>
      <c r="AG235" s="1216"/>
      <c r="AH235" s="1216"/>
      <c r="AI235" s="944"/>
      <c r="AJ235" s="940"/>
      <c r="AK235" s="940"/>
      <c r="AL235" s="940"/>
      <c r="AM235" s="940"/>
      <c r="AN235" s="940"/>
      <c r="AO235" s="940"/>
      <c r="AP235" s="940"/>
      <c r="AQ235" s="945">
        <f t="shared" ref="AQ235" si="63">SUM(H235:AE235)-AF235</f>
        <v>0</v>
      </c>
      <c r="BC235" s="772"/>
      <c r="BD235" s="642"/>
      <c r="BE235" s="642"/>
      <c r="BF235" s="642"/>
      <c r="BG235" s="642"/>
      <c r="BH235" s="642"/>
      <c r="BI235" s="642"/>
      <c r="BJ235" s="642"/>
      <c r="BK235" s="771"/>
    </row>
    <row r="236" spans="1:63" s="635" customFormat="1" ht="22.5" customHeight="1" thickBot="1" x14ac:dyDescent="0.25">
      <c r="A236" s="933"/>
      <c r="D236" s="1170" t="s">
        <v>30</v>
      </c>
      <c r="E236" s="1170"/>
      <c r="F236" s="1170"/>
      <c r="G236" s="1170"/>
      <c r="H236" s="1401">
        <f>H233+H234-H235</f>
        <v>0</v>
      </c>
      <c r="I236" s="1401"/>
      <c r="J236" s="1401"/>
      <c r="K236" s="1401">
        <f t="shared" ref="K236" si="64">K233+K234-K235</f>
        <v>0</v>
      </c>
      <c r="L236" s="1401"/>
      <c r="M236" s="1401"/>
      <c r="N236" s="1401">
        <f t="shared" ref="N236" si="65">N233+N234-N235</f>
        <v>0</v>
      </c>
      <c r="O236" s="1401"/>
      <c r="P236" s="1401"/>
      <c r="Q236" s="1401">
        <f t="shared" ref="Q236" si="66">Q233+Q234-Q235</f>
        <v>0</v>
      </c>
      <c r="R236" s="1401"/>
      <c r="S236" s="1401"/>
      <c r="T236" s="1401">
        <f t="shared" ref="T236" si="67">T233+T234-T235</f>
        <v>0</v>
      </c>
      <c r="U236" s="1401"/>
      <c r="V236" s="1401"/>
      <c r="W236" s="1401">
        <f t="shared" ref="W236" si="68">W233+W234-W235</f>
        <v>0</v>
      </c>
      <c r="X236" s="1401"/>
      <c r="Y236" s="1401"/>
      <c r="Z236" s="1401">
        <f t="shared" ref="Z236" si="69">Z233+Z234-Z235</f>
        <v>0</v>
      </c>
      <c r="AA236" s="1401"/>
      <c r="AB236" s="1401"/>
      <c r="AC236" s="1401">
        <f t="shared" ref="AC236" si="70">AC233+AC234-AC235</f>
        <v>0</v>
      </c>
      <c r="AD236" s="1401"/>
      <c r="AE236" s="1401"/>
      <c r="AF236" s="1401">
        <f t="shared" ref="AF236" si="71">AF233+AF234-AF235</f>
        <v>0</v>
      </c>
      <c r="AG236" s="1401"/>
      <c r="AH236" s="1401"/>
      <c r="AI236" s="946">
        <f>H233+H234-H235-H236</f>
        <v>0</v>
      </c>
      <c r="AJ236" s="947">
        <f>K233+K234-K235-K236</f>
        <v>0</v>
      </c>
      <c r="AK236" s="947">
        <f>N233+N234-N235-N236</f>
        <v>0</v>
      </c>
      <c r="AL236" s="947">
        <f>Q233+Q234-Q235-Q236</f>
        <v>0</v>
      </c>
      <c r="AM236" s="947">
        <f>T233+T234-T235-T236</f>
        <v>0</v>
      </c>
      <c r="AN236" s="947">
        <f>W233+W234-W235-W236</f>
        <v>0</v>
      </c>
      <c r="AO236" s="947">
        <f>Z233+Z234-Z235-Z236</f>
        <v>0</v>
      </c>
      <c r="AP236" s="947">
        <f>AC233+AC234-AC235-AC236</f>
        <v>0</v>
      </c>
      <c r="AQ236" s="945">
        <f>AF233+AF234-AF235-AF236</f>
        <v>0</v>
      </c>
      <c r="BC236" s="772"/>
      <c r="BD236" s="642"/>
      <c r="BE236" s="642"/>
      <c r="BF236" s="642"/>
      <c r="BG236" s="642"/>
      <c r="BH236" s="642"/>
      <c r="BI236" s="642"/>
      <c r="BJ236" s="642"/>
      <c r="BK236" s="771"/>
    </row>
    <row r="237" spans="1:63" s="635" customFormat="1" ht="15" thickBot="1" x14ac:dyDescent="0.25">
      <c r="A237" s="933"/>
      <c r="D237" s="1409" t="s">
        <v>34</v>
      </c>
      <c r="E237" s="1410"/>
      <c r="F237" s="1410"/>
      <c r="G237" s="1410"/>
      <c r="H237" s="1410"/>
      <c r="I237" s="1410"/>
      <c r="J237" s="1410"/>
      <c r="K237" s="1410"/>
      <c r="L237" s="1410"/>
      <c r="M237" s="1410"/>
      <c r="N237" s="1410"/>
      <c r="O237" s="1410"/>
      <c r="P237" s="1410"/>
      <c r="Q237" s="1410"/>
      <c r="R237" s="1410"/>
      <c r="S237" s="1410"/>
      <c r="T237" s="1410"/>
      <c r="U237" s="1410"/>
      <c r="V237" s="1410"/>
      <c r="W237" s="1410"/>
      <c r="X237" s="1410"/>
      <c r="Y237" s="1410"/>
      <c r="Z237" s="1410"/>
      <c r="AA237" s="1410"/>
      <c r="AB237" s="1410"/>
      <c r="AC237" s="1410"/>
      <c r="AD237" s="1410"/>
      <c r="AE237" s="1410"/>
      <c r="AF237" s="1410"/>
      <c r="AG237" s="1410"/>
      <c r="AH237" s="1411"/>
      <c r="AI237" s="944"/>
      <c r="AJ237" s="940"/>
      <c r="AK237" s="940"/>
      <c r="AL237" s="940"/>
      <c r="AM237" s="940"/>
      <c r="AN237" s="940"/>
      <c r="AO237" s="940"/>
      <c r="AP237" s="940"/>
      <c r="AQ237" s="945"/>
      <c r="BC237" s="772"/>
      <c r="BD237" s="642"/>
      <c r="BE237" s="642"/>
      <c r="BF237" s="642"/>
      <c r="BG237" s="642"/>
      <c r="BH237" s="642"/>
      <c r="BI237" s="642"/>
      <c r="BJ237" s="642"/>
      <c r="BK237" s="771"/>
    </row>
    <row r="238" spans="1:63" s="635" customFormat="1" ht="22.5" customHeight="1" x14ac:dyDescent="0.2">
      <c r="A238" s="933"/>
      <c r="D238" s="1405" t="s">
        <v>32</v>
      </c>
      <c r="E238" s="1405"/>
      <c r="F238" s="1405"/>
      <c r="G238" s="1405"/>
      <c r="H238" s="1407">
        <f>H222-H228-H233</f>
        <v>0</v>
      </c>
      <c r="I238" s="1407"/>
      <c r="J238" s="1407"/>
      <c r="K238" s="1407">
        <f t="shared" ref="K238" si="72">K222-K228-K233</f>
        <v>0</v>
      </c>
      <c r="L238" s="1407"/>
      <c r="M238" s="1407"/>
      <c r="N238" s="1407">
        <f t="shared" ref="N238" si="73">N222-N228-N233</f>
        <v>33780</v>
      </c>
      <c r="O238" s="1407"/>
      <c r="P238" s="1407"/>
      <c r="Q238" s="1407">
        <f t="shared" ref="Q238" si="74">Q222-Q228-Q233</f>
        <v>0</v>
      </c>
      <c r="R238" s="1407"/>
      <c r="S238" s="1407"/>
      <c r="T238" s="1407">
        <f t="shared" ref="T238" si="75">T222-T228-T233</f>
        <v>0</v>
      </c>
      <c r="U238" s="1407"/>
      <c r="V238" s="1407"/>
      <c r="W238" s="1407">
        <f t="shared" ref="W238" si="76">W222-W228-W233</f>
        <v>0</v>
      </c>
      <c r="X238" s="1407"/>
      <c r="Y238" s="1407"/>
      <c r="Z238" s="1407">
        <f t="shared" ref="Z238" si="77">Z222-Z228-Z233</f>
        <v>0</v>
      </c>
      <c r="AA238" s="1407"/>
      <c r="AB238" s="1407"/>
      <c r="AC238" s="1407">
        <f t="shared" ref="AC238" si="78">AC222-AC228-AC233</f>
        <v>0</v>
      </c>
      <c r="AD238" s="1407"/>
      <c r="AE238" s="1407"/>
      <c r="AF238" s="1407">
        <f t="shared" ref="AF238" si="79">AF222-AF228-AF233</f>
        <v>33780</v>
      </c>
      <c r="AG238" s="1407"/>
      <c r="AH238" s="1407"/>
      <c r="AI238" s="946">
        <f>H222-H228-H233-H238</f>
        <v>0</v>
      </c>
      <c r="AJ238" s="947">
        <f>K222-K228-K233-K238</f>
        <v>0</v>
      </c>
      <c r="AK238" s="947">
        <f>N222-N228-N233-N238</f>
        <v>0</v>
      </c>
      <c r="AL238" s="947">
        <f>Q222-Q228-Q233-Q238</f>
        <v>0</v>
      </c>
      <c r="AM238" s="947">
        <f>T222-T228-T233-T238</f>
        <v>0</v>
      </c>
      <c r="AN238" s="947">
        <f>W222-W228-W233-W238</f>
        <v>0</v>
      </c>
      <c r="AO238" s="947">
        <f>Z222-Z228-Z233-Z238</f>
        <v>0</v>
      </c>
      <c r="AP238" s="947">
        <f>AC222-AC228-AC233-AC238</f>
        <v>0</v>
      </c>
      <c r="AQ238" s="945">
        <f>SUM(H238:AE238)-AF238</f>
        <v>0</v>
      </c>
      <c r="BC238" s="772"/>
      <c r="BD238" s="642"/>
      <c r="BE238" s="642"/>
      <c r="BF238" s="642"/>
      <c r="BG238" s="642"/>
      <c r="BH238" s="642"/>
      <c r="BI238" s="642"/>
      <c r="BJ238" s="642"/>
      <c r="BK238" s="771"/>
    </row>
    <row r="239" spans="1:63" s="635" customFormat="1" ht="22.5" customHeight="1" thickBot="1" x14ac:dyDescent="0.25">
      <c r="A239" s="933"/>
      <c r="D239" s="1170" t="s">
        <v>30</v>
      </c>
      <c r="E239" s="1170"/>
      <c r="F239" s="1170"/>
      <c r="G239" s="1170"/>
      <c r="H239" s="1401">
        <f>H226-H231-H236</f>
        <v>0</v>
      </c>
      <c r="I239" s="1401"/>
      <c r="J239" s="1401"/>
      <c r="K239" s="1401">
        <f t="shared" ref="K239" si="80">K226-K231-K236</f>
        <v>0</v>
      </c>
      <c r="L239" s="1401"/>
      <c r="M239" s="1401"/>
      <c r="N239" s="1401">
        <f t="shared" ref="N239" si="81">N226-N231-N236</f>
        <v>26010</v>
      </c>
      <c r="O239" s="1401"/>
      <c r="P239" s="1401"/>
      <c r="Q239" s="1401">
        <f t="shared" ref="Q239" si="82">Q226-Q231-Q236</f>
        <v>0</v>
      </c>
      <c r="R239" s="1401"/>
      <c r="S239" s="1401"/>
      <c r="T239" s="1401">
        <f t="shared" ref="T239" si="83">T226-T231-T236</f>
        <v>0</v>
      </c>
      <c r="U239" s="1401"/>
      <c r="V239" s="1401"/>
      <c r="W239" s="1401">
        <f t="shared" ref="W239" si="84">W226-W231-W236</f>
        <v>0</v>
      </c>
      <c r="X239" s="1401"/>
      <c r="Y239" s="1401"/>
      <c r="Z239" s="1401">
        <f>Z226-Z231-Z236</f>
        <v>0</v>
      </c>
      <c r="AA239" s="1401"/>
      <c r="AB239" s="1401"/>
      <c r="AC239" s="1401">
        <f t="shared" ref="AC239" si="85">AC226-AC231-AC236</f>
        <v>0</v>
      </c>
      <c r="AD239" s="1401"/>
      <c r="AE239" s="1401"/>
      <c r="AF239" s="1401">
        <f t="shared" ref="AF239" si="86">AF226-AF231-AF236</f>
        <v>26010</v>
      </c>
      <c r="AG239" s="1401"/>
      <c r="AH239" s="1401"/>
      <c r="AI239" s="949">
        <f>H226-H231-H236-H239</f>
        <v>0</v>
      </c>
      <c r="AJ239" s="950">
        <f>K226-K231-K236-K239</f>
        <v>0</v>
      </c>
      <c r="AK239" s="950">
        <f>N226-N231-N236-N239</f>
        <v>0</v>
      </c>
      <c r="AL239" s="950">
        <f>Q226-Q231-Q236-Q239</f>
        <v>0</v>
      </c>
      <c r="AM239" s="950">
        <f>T226-T231-T236-T239</f>
        <v>0</v>
      </c>
      <c r="AN239" s="950">
        <f>W226-W231-W236-W239</f>
        <v>0</v>
      </c>
      <c r="AO239" s="950">
        <f>Z226-Z231-Z236-Z239</f>
        <v>0</v>
      </c>
      <c r="AP239" s="950">
        <f>AC226-AC231-AC236-AC239</f>
        <v>0</v>
      </c>
      <c r="AQ239" s="951">
        <f>SUM(H239:AE239)-AF239</f>
        <v>0</v>
      </c>
      <c r="BC239" s="949">
        <f>H239-BS!$G$21</f>
        <v>0</v>
      </c>
      <c r="BD239" s="950">
        <f>K239-BS!$G$22</f>
        <v>0</v>
      </c>
      <c r="BE239" s="950">
        <f>N239-BS!$G$23</f>
        <v>0</v>
      </c>
      <c r="BF239" s="950">
        <f>Q239-BS!$G$24</f>
        <v>0</v>
      </c>
      <c r="BG239" s="950">
        <f>T239-BS!$G$25</f>
        <v>0</v>
      </c>
      <c r="BH239" s="950">
        <f>W239-BS!$G$26</f>
        <v>0</v>
      </c>
      <c r="BI239" s="950">
        <f>Z239-BS!$G$27</f>
        <v>0</v>
      </c>
      <c r="BJ239" s="950">
        <f>AC239-BS!$G$28</f>
        <v>0</v>
      </c>
      <c r="BK239" s="951">
        <f>AF239-BS!$G$20</f>
        <v>0</v>
      </c>
    </row>
    <row r="240" spans="1:63" s="635" customFormat="1" x14ac:dyDescent="0.2">
      <c r="A240" s="933"/>
      <c r="D240" s="923"/>
      <c r="E240" s="923"/>
      <c r="F240" s="923"/>
      <c r="G240" s="923"/>
      <c r="H240" s="923"/>
      <c r="I240" s="923"/>
      <c r="J240" s="923"/>
      <c r="K240" s="923"/>
      <c r="L240" s="923"/>
      <c r="M240" s="923"/>
      <c r="N240" s="923"/>
      <c r="O240" s="923"/>
      <c r="P240" s="923"/>
      <c r="Q240" s="923"/>
      <c r="R240" s="923"/>
      <c r="S240" s="923"/>
      <c r="T240" s="923"/>
      <c r="U240" s="923"/>
      <c r="V240" s="923"/>
      <c r="W240" s="923"/>
      <c r="X240" s="923"/>
      <c r="Y240" s="923"/>
      <c r="Z240" s="923"/>
      <c r="AA240" s="923"/>
      <c r="AB240" s="923"/>
      <c r="AC240" s="923"/>
      <c r="AD240" s="923"/>
      <c r="AE240" s="923"/>
      <c r="AF240" s="923"/>
      <c r="AG240" s="923"/>
      <c r="AI240" s="934"/>
      <c r="AJ240" s="934"/>
      <c r="AK240" s="934"/>
      <c r="AL240" s="934"/>
      <c r="AM240" s="934"/>
      <c r="AN240" s="934"/>
      <c r="AO240" s="934"/>
      <c r="AP240" s="934"/>
      <c r="AQ240" s="934"/>
    </row>
    <row r="241" spans="1:43" s="635" customFormat="1" hidden="1" x14ac:dyDescent="0.2">
      <c r="A241" s="933"/>
      <c r="AI241" s="934"/>
      <c r="AJ241" s="934"/>
      <c r="AK241" s="934"/>
      <c r="AL241" s="934"/>
      <c r="AM241" s="934"/>
      <c r="AN241" s="934"/>
      <c r="AO241" s="934"/>
      <c r="AP241" s="934"/>
      <c r="AQ241" s="934"/>
    </row>
    <row r="242" spans="1:43" s="635" customFormat="1" ht="29.25" hidden="1" customHeight="1" thickBot="1" x14ac:dyDescent="0.25">
      <c r="A242" s="933">
        <v>6</v>
      </c>
      <c r="D242" s="1058" t="s">
        <v>40</v>
      </c>
      <c r="E242" s="1058"/>
      <c r="F242" s="1058"/>
      <c r="G242" s="1058"/>
      <c r="H242" s="1058"/>
      <c r="I242" s="1058"/>
      <c r="J242" s="1058"/>
      <c r="K242" s="1058"/>
      <c r="L242" s="1058"/>
      <c r="M242" s="1058"/>
      <c r="N242" s="1058"/>
      <c r="O242" s="1058"/>
      <c r="P242" s="1058"/>
      <c r="Q242" s="1058"/>
      <c r="R242" s="1058"/>
      <c r="S242" s="1058" t="s">
        <v>36</v>
      </c>
      <c r="T242" s="1058"/>
      <c r="U242" s="1058"/>
      <c r="V242" s="1058"/>
      <c r="W242" s="1058"/>
      <c r="X242" s="1058"/>
      <c r="Y242" s="1058"/>
      <c r="Z242" s="1058"/>
      <c r="AA242" s="1058"/>
      <c r="AB242" s="1058"/>
      <c r="AC242" s="1058"/>
      <c r="AD242" s="1058"/>
      <c r="AE242" s="1058"/>
      <c r="AF242" s="1058"/>
      <c r="AG242" s="1058"/>
      <c r="AI242" s="934"/>
      <c r="AJ242" s="934"/>
      <c r="AK242" s="934"/>
      <c r="AL242" s="934"/>
      <c r="AM242" s="934"/>
      <c r="AN242" s="934"/>
      <c r="AO242" s="934"/>
      <c r="AP242" s="934"/>
      <c r="AQ242" s="934"/>
    </row>
    <row r="243" spans="1:43" s="635" customFormat="1" ht="29.25" hidden="1" customHeight="1" x14ac:dyDescent="0.2">
      <c r="A243" s="933"/>
      <c r="D243" s="1164" t="s">
        <v>48</v>
      </c>
      <c r="E243" s="1164"/>
      <c r="F243" s="1164"/>
      <c r="G243" s="1164"/>
      <c r="H243" s="1164"/>
      <c r="I243" s="1164"/>
      <c r="J243" s="1164"/>
      <c r="K243" s="1164"/>
      <c r="L243" s="1164"/>
      <c r="M243" s="1164"/>
      <c r="N243" s="1164"/>
      <c r="O243" s="1164"/>
      <c r="P243" s="1164"/>
      <c r="Q243" s="1164"/>
      <c r="R243" s="1164"/>
      <c r="S243" s="1165"/>
      <c r="T243" s="1165"/>
      <c r="U243" s="1165"/>
      <c r="V243" s="1165"/>
      <c r="W243" s="1165"/>
      <c r="X243" s="1165"/>
      <c r="Y243" s="1165"/>
      <c r="Z243" s="1165"/>
      <c r="AA243" s="1165"/>
      <c r="AB243" s="1165"/>
      <c r="AC243" s="1165"/>
      <c r="AD243" s="1165"/>
      <c r="AE243" s="1165"/>
      <c r="AF243" s="1165"/>
      <c r="AG243" s="1165"/>
      <c r="AI243" s="934"/>
      <c r="AJ243" s="934"/>
      <c r="AK243" s="934"/>
      <c r="AL243" s="934"/>
      <c r="AM243" s="934"/>
      <c r="AN243" s="934"/>
      <c r="AO243" s="934"/>
      <c r="AP243" s="934"/>
      <c r="AQ243" s="934"/>
    </row>
    <row r="244" spans="1:43" s="635" customFormat="1" ht="29.25" hidden="1" customHeight="1" thickBot="1" x14ac:dyDescent="0.25">
      <c r="A244" s="933"/>
      <c r="D244" s="1166" t="s">
        <v>49</v>
      </c>
      <c r="E244" s="1166"/>
      <c r="F244" s="1166"/>
      <c r="G244" s="1166"/>
      <c r="H244" s="1166"/>
      <c r="I244" s="1166"/>
      <c r="J244" s="1166"/>
      <c r="K244" s="1166"/>
      <c r="L244" s="1166"/>
      <c r="M244" s="1166"/>
      <c r="N244" s="1166"/>
      <c r="O244" s="1166"/>
      <c r="P244" s="1166"/>
      <c r="Q244" s="1166"/>
      <c r="R244" s="1166"/>
      <c r="S244" s="1167"/>
      <c r="T244" s="1167"/>
      <c r="U244" s="1167"/>
      <c r="V244" s="1167"/>
      <c r="W244" s="1167"/>
      <c r="X244" s="1167"/>
      <c r="Y244" s="1167"/>
      <c r="Z244" s="1167"/>
      <c r="AA244" s="1167"/>
      <c r="AB244" s="1167"/>
      <c r="AC244" s="1167"/>
      <c r="AD244" s="1167"/>
      <c r="AE244" s="1167"/>
      <c r="AF244" s="1167"/>
      <c r="AG244" s="1167"/>
      <c r="AI244" s="934"/>
      <c r="AJ244" s="934"/>
      <c r="AK244" s="934"/>
      <c r="AL244" s="934"/>
      <c r="AM244" s="934"/>
      <c r="AN244" s="934"/>
      <c r="AO244" s="934"/>
      <c r="AP244" s="934"/>
      <c r="AQ244" s="934"/>
    </row>
    <row r="245" spans="1:43" s="635" customFormat="1" hidden="1" x14ac:dyDescent="0.2">
      <c r="A245" s="933"/>
      <c r="AI245" s="934"/>
      <c r="AJ245" s="934"/>
      <c r="AK245" s="934"/>
      <c r="AL245" s="934"/>
      <c r="AM245" s="934"/>
      <c r="AN245" s="934"/>
      <c r="AO245" s="934"/>
      <c r="AP245" s="934"/>
      <c r="AQ245" s="934"/>
    </row>
    <row r="246" spans="1:43" s="635" customFormat="1" x14ac:dyDescent="0.2">
      <c r="A246" s="933"/>
      <c r="AI246" s="934"/>
      <c r="AJ246" s="934"/>
      <c r="AK246" s="934"/>
      <c r="AL246" s="934"/>
      <c r="AM246" s="934"/>
      <c r="AN246" s="934"/>
      <c r="AO246" s="934"/>
      <c r="AP246" s="934"/>
      <c r="AQ246" s="934"/>
    </row>
    <row r="247" spans="1:43" s="635" customFormat="1" x14ac:dyDescent="0.2">
      <c r="A247" s="933"/>
      <c r="D247" s="634" t="s">
        <v>1457</v>
      </c>
      <c r="AI247" s="934"/>
      <c r="AJ247" s="934"/>
      <c r="AK247" s="934"/>
      <c r="AL247" s="934"/>
      <c r="AM247" s="934"/>
      <c r="AN247" s="934"/>
      <c r="AO247" s="934"/>
      <c r="AP247" s="934"/>
      <c r="AQ247" s="934"/>
    </row>
    <row r="248" spans="1:43" s="635" customFormat="1" x14ac:dyDescent="0.2">
      <c r="A248" s="933"/>
      <c r="AI248" s="934"/>
      <c r="AJ248" s="934"/>
      <c r="AK248" s="934"/>
      <c r="AL248" s="934"/>
      <c r="AM248" s="934"/>
      <c r="AN248" s="934"/>
      <c r="AO248" s="934"/>
      <c r="AP248" s="934"/>
      <c r="AQ248" s="934"/>
    </row>
    <row r="249" spans="1:43" s="635" customFormat="1" x14ac:dyDescent="0.2">
      <c r="A249" s="933"/>
      <c r="D249" s="1168" t="s">
        <v>1969</v>
      </c>
      <c r="E249" s="1168"/>
      <c r="F249" s="1168"/>
      <c r="G249" s="1168"/>
      <c r="H249" s="1168"/>
      <c r="I249" s="1168"/>
      <c r="J249" s="1168"/>
      <c r="K249" s="1168"/>
      <c r="L249" s="1168"/>
      <c r="M249" s="1168"/>
      <c r="N249" s="1168"/>
      <c r="O249" s="1168"/>
      <c r="P249" s="1168"/>
      <c r="Q249" s="1168"/>
      <c r="R249" s="1168"/>
      <c r="S249" s="1168"/>
      <c r="T249" s="1168"/>
      <c r="U249" s="1168"/>
      <c r="V249" s="1168"/>
      <c r="W249" s="1168"/>
      <c r="X249" s="1168"/>
      <c r="Y249" s="1168"/>
      <c r="Z249" s="1168"/>
      <c r="AA249" s="1168"/>
      <c r="AB249" s="1168"/>
      <c r="AC249" s="1168"/>
      <c r="AD249" s="1168"/>
      <c r="AE249" s="1168"/>
      <c r="AF249" s="1168"/>
      <c r="AG249" s="1168"/>
      <c r="AI249" s="934"/>
      <c r="AJ249" s="934"/>
      <c r="AK249" s="934"/>
      <c r="AL249" s="934"/>
      <c r="AM249" s="934"/>
      <c r="AN249" s="934"/>
      <c r="AO249" s="934"/>
      <c r="AP249" s="934"/>
      <c r="AQ249" s="934"/>
    </row>
    <row r="250" spans="1:43" s="635" customFormat="1" ht="26.25" customHeight="1" x14ac:dyDescent="0.2">
      <c r="A250" s="933"/>
      <c r="D250" s="1168"/>
      <c r="E250" s="1168"/>
      <c r="F250" s="1168"/>
      <c r="G250" s="1168"/>
      <c r="H250" s="1168"/>
      <c r="I250" s="1168"/>
      <c r="J250" s="1168"/>
      <c r="K250" s="1168"/>
      <c r="L250" s="1168"/>
      <c r="M250" s="1168"/>
      <c r="N250" s="1168"/>
      <c r="O250" s="1168"/>
      <c r="P250" s="1168"/>
      <c r="Q250" s="1168"/>
      <c r="R250" s="1168"/>
      <c r="S250" s="1168"/>
      <c r="T250" s="1168"/>
      <c r="U250" s="1168"/>
      <c r="V250" s="1168"/>
      <c r="W250" s="1168"/>
      <c r="X250" s="1168"/>
      <c r="Y250" s="1168"/>
      <c r="Z250" s="1168"/>
      <c r="AA250" s="1168"/>
      <c r="AB250" s="1168"/>
      <c r="AC250" s="1168"/>
      <c r="AD250" s="1168"/>
      <c r="AE250" s="1168"/>
      <c r="AF250" s="1168"/>
      <c r="AG250" s="1168"/>
      <c r="AI250" s="934"/>
      <c r="AJ250" s="934"/>
      <c r="AK250" s="934"/>
      <c r="AL250" s="934"/>
      <c r="AM250" s="934"/>
      <c r="AN250" s="934"/>
      <c r="AO250" s="934"/>
      <c r="AP250" s="934"/>
      <c r="AQ250" s="934"/>
    </row>
    <row r="251" spans="1:43" s="635" customFormat="1" x14ac:dyDescent="0.2">
      <c r="A251" s="933"/>
      <c r="D251" s="923"/>
      <c r="E251" s="923"/>
      <c r="F251" s="923"/>
      <c r="G251" s="923"/>
      <c r="H251" s="923"/>
      <c r="I251" s="923"/>
      <c r="J251" s="923"/>
      <c r="K251" s="923"/>
      <c r="L251" s="923"/>
      <c r="M251" s="923"/>
      <c r="N251" s="923"/>
      <c r="O251" s="923"/>
      <c r="P251" s="923"/>
      <c r="Q251" s="923"/>
      <c r="R251" s="923"/>
      <c r="S251" s="923"/>
      <c r="T251" s="923"/>
      <c r="U251" s="923"/>
      <c r="V251" s="923"/>
      <c r="W251" s="923"/>
      <c r="X251" s="923"/>
      <c r="Y251" s="923"/>
      <c r="Z251" s="923"/>
      <c r="AA251" s="923"/>
      <c r="AB251" s="923"/>
      <c r="AC251" s="923"/>
      <c r="AD251" s="923"/>
      <c r="AE251" s="923"/>
      <c r="AF251" s="923"/>
      <c r="AG251" s="923"/>
      <c r="AI251" s="934"/>
      <c r="AJ251" s="934"/>
      <c r="AK251" s="934"/>
      <c r="AL251" s="934"/>
      <c r="AM251" s="934"/>
      <c r="AN251" s="934"/>
      <c r="AO251" s="934"/>
      <c r="AP251" s="934"/>
      <c r="AQ251" s="934"/>
    </row>
    <row r="252" spans="1:43" s="635" customFormat="1" x14ac:dyDescent="0.2">
      <c r="A252" s="933"/>
      <c r="D252" s="634" t="s">
        <v>1952</v>
      </c>
      <c r="AI252" s="934"/>
      <c r="AJ252" s="934"/>
      <c r="AK252" s="934"/>
      <c r="AL252" s="934"/>
      <c r="AM252" s="934"/>
      <c r="AN252" s="934"/>
      <c r="AO252" s="934"/>
      <c r="AP252" s="934"/>
      <c r="AQ252" s="934"/>
    </row>
    <row r="253" spans="1:43" s="635" customFormat="1" x14ac:dyDescent="0.2">
      <c r="A253" s="933"/>
      <c r="AI253" s="934"/>
      <c r="AJ253" s="934"/>
      <c r="AK253" s="934"/>
      <c r="AL253" s="934"/>
      <c r="AM253" s="934"/>
      <c r="AN253" s="934"/>
      <c r="AO253" s="934"/>
      <c r="AP253" s="934"/>
      <c r="AQ253" s="934"/>
    </row>
    <row r="254" spans="1:43" s="635" customFormat="1" x14ac:dyDescent="0.2">
      <c r="A254" s="933"/>
      <c r="D254" s="1204" t="s">
        <v>1459</v>
      </c>
      <c r="E254" s="1204"/>
      <c r="F254" s="1204"/>
      <c r="G254" s="1204"/>
      <c r="H254" s="1204"/>
      <c r="I254" s="1204"/>
      <c r="J254" s="1204"/>
      <c r="K254" s="1204"/>
      <c r="L254" s="1204"/>
      <c r="M254" s="1204"/>
      <c r="N254" s="1204"/>
      <c r="O254" s="1204"/>
      <c r="P254" s="1204"/>
      <c r="Q254" s="1204"/>
      <c r="R254" s="1204"/>
      <c r="S254" s="1204"/>
      <c r="T254" s="1204"/>
      <c r="U254" s="1204"/>
      <c r="V254" s="1204"/>
      <c r="W254" s="1204"/>
      <c r="X254" s="1204"/>
      <c r="Y254" s="1204"/>
      <c r="Z254" s="1204"/>
      <c r="AA254" s="1204"/>
      <c r="AB254" s="1204"/>
      <c r="AC254" s="1204"/>
      <c r="AD254" s="1204"/>
      <c r="AE254" s="1204"/>
      <c r="AF254" s="1204"/>
      <c r="AG254" s="1204"/>
      <c r="AI254" s="934"/>
      <c r="AJ254" s="934"/>
      <c r="AK254" s="934"/>
      <c r="AL254" s="934"/>
      <c r="AM254" s="934"/>
      <c r="AN254" s="934"/>
      <c r="AO254" s="934"/>
      <c r="AP254" s="934"/>
      <c r="AQ254" s="934"/>
    </row>
    <row r="255" spans="1:43" s="635" customFormat="1" ht="15" thickBot="1" x14ac:dyDescent="0.25">
      <c r="A255" s="933"/>
      <c r="AI255" s="934"/>
      <c r="AJ255" s="934"/>
      <c r="AK255" s="934"/>
      <c r="AL255" s="934"/>
      <c r="AM255" s="934"/>
      <c r="AN255" s="934"/>
      <c r="AO255" s="934"/>
      <c r="AP255" s="934"/>
      <c r="AQ255" s="934"/>
    </row>
    <row r="256" spans="1:43" s="635" customFormat="1" ht="15" thickBot="1" x14ac:dyDescent="0.25">
      <c r="A256" s="933"/>
      <c r="D256" s="1058" t="s">
        <v>122</v>
      </c>
      <c r="E256" s="1058"/>
      <c r="F256" s="1058"/>
      <c r="G256" s="1058"/>
      <c r="H256" s="1058"/>
      <c r="I256" s="1058" t="s">
        <v>2</v>
      </c>
      <c r="J256" s="1058"/>
      <c r="K256" s="1058"/>
      <c r="L256" s="1058"/>
      <c r="M256" s="1058"/>
      <c r="N256" s="1058"/>
      <c r="O256" s="1058"/>
      <c r="P256" s="1058"/>
      <c r="Q256" s="1058"/>
      <c r="R256" s="1058"/>
      <c r="S256" s="1058"/>
      <c r="T256" s="1058"/>
      <c r="U256" s="1058"/>
      <c r="V256" s="1058"/>
      <c r="W256" s="1058"/>
      <c r="X256" s="1058"/>
      <c r="Y256" s="1058"/>
      <c r="Z256" s="1058"/>
      <c r="AA256" s="1058"/>
      <c r="AB256" s="1058"/>
      <c r="AC256" s="1058"/>
      <c r="AD256" s="1058"/>
      <c r="AE256" s="1058"/>
      <c r="AF256" s="1058"/>
      <c r="AG256" s="1058"/>
      <c r="AI256" s="934"/>
      <c r="AJ256" s="934"/>
      <c r="AK256" s="934"/>
      <c r="AL256" s="934"/>
      <c r="AM256" s="934"/>
      <c r="AN256" s="934"/>
      <c r="AO256" s="934"/>
      <c r="AP256" s="934"/>
      <c r="AQ256" s="934"/>
    </row>
    <row r="257" spans="1:43" s="635" customFormat="1" ht="48" customHeight="1" thickTop="1" thickBot="1" x14ac:dyDescent="0.25">
      <c r="A257" s="933">
        <v>15</v>
      </c>
      <c r="D257" s="1058"/>
      <c r="E257" s="1058"/>
      <c r="F257" s="1058"/>
      <c r="G257" s="1058"/>
      <c r="H257" s="1058"/>
      <c r="I257" s="1059" t="s">
        <v>87</v>
      </c>
      <c r="J257" s="1059"/>
      <c r="K257" s="1059"/>
      <c r="L257" s="1059"/>
      <c r="M257" s="1059"/>
      <c r="N257" s="1059" t="s">
        <v>455</v>
      </c>
      <c r="O257" s="1059"/>
      <c r="P257" s="1059"/>
      <c r="Q257" s="1059"/>
      <c r="R257" s="1059"/>
      <c r="S257" s="1059" t="s">
        <v>459</v>
      </c>
      <c r="T257" s="1059"/>
      <c r="U257" s="1059"/>
      <c r="V257" s="1059"/>
      <c r="W257" s="1059"/>
      <c r="X257" s="1059" t="s">
        <v>457</v>
      </c>
      <c r="Y257" s="1059"/>
      <c r="Z257" s="1059"/>
      <c r="AA257" s="1059"/>
      <c r="AB257" s="1059"/>
      <c r="AC257" s="1059" t="s">
        <v>89</v>
      </c>
      <c r="AD257" s="1059"/>
      <c r="AE257" s="1059"/>
      <c r="AF257" s="1059"/>
      <c r="AG257" s="1059"/>
      <c r="AI257" s="925" t="s">
        <v>123</v>
      </c>
      <c r="AJ257" s="927" t="s">
        <v>455</v>
      </c>
      <c r="AK257" s="925" t="s">
        <v>459</v>
      </c>
      <c r="AL257" s="927" t="s">
        <v>457</v>
      </c>
      <c r="AM257" s="925" t="s">
        <v>89</v>
      </c>
      <c r="AN257" s="934"/>
      <c r="AO257" s="925" t="s">
        <v>89</v>
      </c>
      <c r="AP257" s="934"/>
      <c r="AQ257" s="934"/>
    </row>
    <row r="258" spans="1:43" s="635" customFormat="1" ht="31.5" customHeight="1" x14ac:dyDescent="0.2">
      <c r="A258" s="933"/>
      <c r="D258" s="1128" t="s">
        <v>125</v>
      </c>
      <c r="E258" s="1129"/>
      <c r="F258" s="1129"/>
      <c r="G258" s="1129"/>
      <c r="H258" s="1130"/>
      <c r="I258" s="1205">
        <v>49692</v>
      </c>
      <c r="J258" s="1206"/>
      <c r="K258" s="1206"/>
      <c r="L258" s="1206"/>
      <c r="M258" s="1206"/>
      <c r="N258" s="1206"/>
      <c r="O258" s="1206"/>
      <c r="P258" s="1206"/>
      <c r="Q258" s="1206"/>
      <c r="R258" s="1206"/>
      <c r="S258" s="1206">
        <v>47976</v>
      </c>
      <c r="T258" s="1206"/>
      <c r="U258" s="1206"/>
      <c r="V258" s="1206"/>
      <c r="W258" s="1206"/>
      <c r="X258" s="1206"/>
      <c r="Y258" s="1206"/>
      <c r="Z258" s="1206"/>
      <c r="AA258" s="1206"/>
      <c r="AB258" s="1206"/>
      <c r="AC258" s="1207">
        <v>1716</v>
      </c>
      <c r="AD258" s="1207"/>
      <c r="AE258" s="1207"/>
      <c r="AF258" s="1207"/>
      <c r="AG258" s="1208"/>
      <c r="AI258" s="941"/>
      <c r="AJ258" s="942"/>
      <c r="AK258" s="942"/>
      <c r="AL258" s="942"/>
      <c r="AM258" s="955">
        <f t="shared" ref="AM258:AM263" si="87">SUM(I258:AB258)-AC258</f>
        <v>95952</v>
      </c>
      <c r="AN258" s="934"/>
      <c r="AO258" s="956">
        <f>AC258-BS!$E$56-BS!$E$48</f>
        <v>0</v>
      </c>
      <c r="AP258" s="934"/>
      <c r="AQ258" s="934"/>
    </row>
    <row r="259" spans="1:43" s="635" customFormat="1" ht="41.25" customHeight="1" x14ac:dyDescent="0.2">
      <c r="A259" s="933"/>
      <c r="D259" s="1115" t="s">
        <v>1876</v>
      </c>
      <c r="E259" s="1116"/>
      <c r="F259" s="1116"/>
      <c r="G259" s="1116"/>
      <c r="H259" s="1117"/>
      <c r="I259" s="1076"/>
      <c r="J259" s="1201"/>
      <c r="K259" s="1201"/>
      <c r="L259" s="1201"/>
      <c r="M259" s="1201"/>
      <c r="N259" s="1201"/>
      <c r="O259" s="1201"/>
      <c r="P259" s="1201"/>
      <c r="Q259" s="1201"/>
      <c r="R259" s="1201"/>
      <c r="S259" s="1201"/>
      <c r="T259" s="1201"/>
      <c r="U259" s="1201"/>
      <c r="V259" s="1201"/>
      <c r="W259" s="1201"/>
      <c r="X259" s="1201"/>
      <c r="Y259" s="1201"/>
      <c r="Z259" s="1201"/>
      <c r="AA259" s="1201"/>
      <c r="AB259" s="1201"/>
      <c r="AC259" s="1202">
        <f t="shared" ref="AC259:AC262" si="88">SUM(I259:AB259)</f>
        <v>0</v>
      </c>
      <c r="AD259" s="1202"/>
      <c r="AE259" s="1202"/>
      <c r="AF259" s="1202"/>
      <c r="AG259" s="1203"/>
      <c r="AI259" s="944"/>
      <c r="AJ259" s="940"/>
      <c r="AK259" s="940"/>
      <c r="AL259" s="940"/>
      <c r="AM259" s="945">
        <f t="shared" si="87"/>
        <v>0</v>
      </c>
      <c r="AN259" s="934"/>
      <c r="AO259" s="957">
        <f>AC259-BS!$E$58-BS!$E$50</f>
        <v>0</v>
      </c>
      <c r="AP259" s="934"/>
      <c r="AQ259" s="934"/>
    </row>
    <row r="260" spans="1:43" s="635" customFormat="1" ht="33.75" customHeight="1" x14ac:dyDescent="0.2">
      <c r="A260" s="933"/>
      <c r="D260" s="1115" t="s">
        <v>1877</v>
      </c>
      <c r="E260" s="1116"/>
      <c r="F260" s="1116"/>
      <c r="G260" s="1116"/>
      <c r="H260" s="1117"/>
      <c r="I260" s="1076"/>
      <c r="J260" s="1201"/>
      <c r="K260" s="1201"/>
      <c r="L260" s="1201"/>
      <c r="M260" s="1201"/>
      <c r="N260" s="1201"/>
      <c r="O260" s="1201"/>
      <c r="P260" s="1201"/>
      <c r="Q260" s="1201"/>
      <c r="R260" s="1201"/>
      <c r="S260" s="1201"/>
      <c r="T260" s="1201"/>
      <c r="U260" s="1201"/>
      <c r="V260" s="1201"/>
      <c r="W260" s="1201"/>
      <c r="X260" s="1201"/>
      <c r="Y260" s="1201"/>
      <c r="Z260" s="1201"/>
      <c r="AA260" s="1201"/>
      <c r="AB260" s="1201"/>
      <c r="AC260" s="1202">
        <f t="shared" si="88"/>
        <v>0</v>
      </c>
      <c r="AD260" s="1202"/>
      <c r="AE260" s="1202"/>
      <c r="AF260" s="1202"/>
      <c r="AG260" s="1203"/>
      <c r="AI260" s="944"/>
      <c r="AJ260" s="940"/>
      <c r="AK260" s="940"/>
      <c r="AL260" s="940"/>
      <c r="AM260" s="945">
        <f t="shared" si="87"/>
        <v>0</v>
      </c>
      <c r="AN260" s="934"/>
      <c r="AO260" s="957">
        <f>AC260-BS!$E$59-BS!$E$51</f>
        <v>0</v>
      </c>
      <c r="AP260" s="934"/>
      <c r="AQ260" s="934"/>
    </row>
    <row r="261" spans="1:43" s="635" customFormat="1" ht="37.5" customHeight="1" x14ac:dyDescent="0.2">
      <c r="A261" s="933"/>
      <c r="D261" s="1054" t="s">
        <v>127</v>
      </c>
      <c r="E261" s="1055"/>
      <c r="F261" s="1055"/>
      <c r="G261" s="1055"/>
      <c r="H261" s="1056"/>
      <c r="I261" s="1076"/>
      <c r="J261" s="1201"/>
      <c r="K261" s="1201"/>
      <c r="L261" s="1201"/>
      <c r="M261" s="1201"/>
      <c r="N261" s="1201"/>
      <c r="O261" s="1201"/>
      <c r="P261" s="1201"/>
      <c r="Q261" s="1201"/>
      <c r="R261" s="1201"/>
      <c r="S261" s="1201"/>
      <c r="T261" s="1201"/>
      <c r="U261" s="1201"/>
      <c r="V261" s="1201"/>
      <c r="W261" s="1201"/>
      <c r="X261" s="1201"/>
      <c r="Y261" s="1201"/>
      <c r="Z261" s="1201"/>
      <c r="AA261" s="1201"/>
      <c r="AB261" s="1201"/>
      <c r="AC261" s="1202">
        <f t="shared" si="88"/>
        <v>0</v>
      </c>
      <c r="AD261" s="1202"/>
      <c r="AE261" s="1202"/>
      <c r="AF261" s="1202"/>
      <c r="AG261" s="1203"/>
      <c r="AI261" s="944"/>
      <c r="AJ261" s="940"/>
      <c r="AK261" s="940"/>
      <c r="AL261" s="940"/>
      <c r="AM261" s="945">
        <f t="shared" si="87"/>
        <v>0</v>
      </c>
      <c r="AN261" s="934"/>
      <c r="AO261" s="957">
        <f>AC261-BS!$E$60-BS!$E$52</f>
        <v>0</v>
      </c>
      <c r="AP261" s="934"/>
      <c r="AQ261" s="934"/>
    </row>
    <row r="262" spans="1:43" s="635" customFormat="1" ht="23.25" customHeight="1" x14ac:dyDescent="0.2">
      <c r="A262" s="933"/>
      <c r="D262" s="1054" t="s">
        <v>128</v>
      </c>
      <c r="E262" s="1055"/>
      <c r="F262" s="1055"/>
      <c r="G262" s="1055"/>
      <c r="H262" s="1056"/>
      <c r="I262" s="1076"/>
      <c r="J262" s="1201"/>
      <c r="K262" s="1201"/>
      <c r="L262" s="1201"/>
      <c r="M262" s="1201"/>
      <c r="N262" s="1201"/>
      <c r="O262" s="1201"/>
      <c r="P262" s="1201"/>
      <c r="Q262" s="1201"/>
      <c r="R262" s="1201"/>
      <c r="S262" s="1201"/>
      <c r="T262" s="1201"/>
      <c r="U262" s="1201"/>
      <c r="V262" s="1201"/>
      <c r="W262" s="1201"/>
      <c r="X262" s="1201"/>
      <c r="Y262" s="1201"/>
      <c r="Z262" s="1201"/>
      <c r="AA262" s="1201"/>
      <c r="AB262" s="1201"/>
      <c r="AC262" s="1202">
        <f t="shared" si="88"/>
        <v>0</v>
      </c>
      <c r="AD262" s="1202"/>
      <c r="AE262" s="1202"/>
      <c r="AF262" s="1202"/>
      <c r="AG262" s="1203"/>
      <c r="AI262" s="944"/>
      <c r="AJ262" s="940"/>
      <c r="AK262" s="940"/>
      <c r="AL262" s="940"/>
      <c r="AM262" s="945">
        <f t="shared" si="87"/>
        <v>0</v>
      </c>
      <c r="AN262" s="934"/>
      <c r="AO262" s="957">
        <f>AC262-SUM(BS!$E$61:$E$63,BS!$E$53,BS!$E$54)</f>
        <v>0</v>
      </c>
      <c r="AP262" s="934"/>
      <c r="AQ262" s="934"/>
    </row>
    <row r="263" spans="1:43" s="635" customFormat="1" ht="27.75" customHeight="1" thickBot="1" x14ac:dyDescent="0.25">
      <c r="A263" s="933"/>
      <c r="D263" s="1170" t="s">
        <v>129</v>
      </c>
      <c r="E263" s="1170"/>
      <c r="F263" s="1170"/>
      <c r="G263" s="1170"/>
      <c r="H263" s="1170"/>
      <c r="I263" s="1209">
        <f>SUM(I258:M262)</f>
        <v>49692</v>
      </c>
      <c r="J263" s="1210"/>
      <c r="K263" s="1210"/>
      <c r="L263" s="1210"/>
      <c r="M263" s="1210"/>
      <c r="N263" s="1210">
        <f>SUM(N258:R262)</f>
        <v>0</v>
      </c>
      <c r="O263" s="1210"/>
      <c r="P263" s="1210"/>
      <c r="Q263" s="1210"/>
      <c r="R263" s="1210"/>
      <c r="S263" s="1210">
        <f>SUM(S258:W262)</f>
        <v>47976</v>
      </c>
      <c r="T263" s="1210"/>
      <c r="U263" s="1210"/>
      <c r="V263" s="1210"/>
      <c r="W263" s="1210"/>
      <c r="X263" s="1210">
        <f>SUM(X258:AB262)</f>
        <v>0</v>
      </c>
      <c r="Y263" s="1210"/>
      <c r="Z263" s="1210"/>
      <c r="AA263" s="1210"/>
      <c r="AB263" s="1210"/>
      <c r="AC263" s="1210">
        <f>SUM(AC258:AG262)</f>
        <v>1716</v>
      </c>
      <c r="AD263" s="1210"/>
      <c r="AE263" s="1210"/>
      <c r="AF263" s="1210"/>
      <c r="AG263" s="1211"/>
      <c r="AI263" s="949">
        <f>SUM(I256:M262)-I263</f>
        <v>0</v>
      </c>
      <c r="AJ263" s="950">
        <f>SUM(N258:R262)-N263</f>
        <v>0</v>
      </c>
      <c r="AK263" s="950">
        <f>SUM(S258:W262)-S263</f>
        <v>0</v>
      </c>
      <c r="AL263" s="950">
        <f>SUM(X258:AB262)-X263</f>
        <v>0</v>
      </c>
      <c r="AM263" s="951">
        <f t="shared" si="87"/>
        <v>95952</v>
      </c>
      <c r="AN263" s="934"/>
      <c r="AO263" s="958">
        <f>AC263-BS!$E$47-BS!$E$55</f>
        <v>0</v>
      </c>
      <c r="AP263" s="934"/>
      <c r="AQ263" s="934"/>
    </row>
    <row r="264" spans="1:43" s="635" customFormat="1" x14ac:dyDescent="0.2">
      <c r="A264" s="933"/>
      <c r="AI264" s="934"/>
      <c r="AJ264" s="934"/>
      <c r="AK264" s="934"/>
      <c r="AL264" s="934"/>
      <c r="AM264" s="934"/>
      <c r="AN264" s="934"/>
      <c r="AO264" s="934"/>
      <c r="AP264" s="934"/>
      <c r="AQ264" s="934"/>
    </row>
    <row r="265" spans="1:43" s="635" customFormat="1" x14ac:dyDescent="0.2">
      <c r="A265" s="933"/>
      <c r="D265" s="1174" t="s">
        <v>1981</v>
      </c>
      <c r="E265" s="1174"/>
      <c r="F265" s="1174"/>
      <c r="G265" s="1174"/>
      <c r="H265" s="1174"/>
      <c r="I265" s="1174"/>
      <c r="J265" s="1174"/>
      <c r="K265" s="1174"/>
      <c r="L265" s="1174"/>
      <c r="M265" s="1174"/>
      <c r="N265" s="1174"/>
      <c r="O265" s="1174"/>
      <c r="P265" s="1174"/>
      <c r="Q265" s="1174"/>
      <c r="R265" s="1174"/>
      <c r="S265" s="1174"/>
      <c r="T265" s="1174"/>
      <c r="U265" s="1174"/>
      <c r="V265" s="1174"/>
      <c r="W265" s="1174"/>
      <c r="X265" s="1174"/>
      <c r="Y265" s="1174"/>
      <c r="Z265" s="1174"/>
      <c r="AA265" s="1174"/>
      <c r="AB265" s="1174"/>
      <c r="AC265" s="1174"/>
      <c r="AD265" s="1174"/>
      <c r="AE265" s="1174"/>
      <c r="AF265" s="1174"/>
      <c r="AG265" s="1174"/>
      <c r="AI265" s="934"/>
      <c r="AJ265" s="934"/>
      <c r="AK265" s="934"/>
      <c r="AL265" s="934"/>
      <c r="AM265" s="934"/>
      <c r="AN265" s="934"/>
      <c r="AO265" s="934"/>
      <c r="AP265" s="934"/>
      <c r="AQ265" s="934"/>
    </row>
    <row r="266" spans="1:43" s="635" customFormat="1" x14ac:dyDescent="0.2">
      <c r="A266" s="933"/>
      <c r="AI266" s="934"/>
      <c r="AJ266" s="934"/>
      <c r="AK266" s="934"/>
      <c r="AL266" s="934"/>
      <c r="AM266" s="934"/>
      <c r="AN266" s="934"/>
      <c r="AO266" s="934"/>
      <c r="AP266" s="934"/>
      <c r="AQ266" s="934"/>
    </row>
    <row r="267" spans="1:43" s="635" customFormat="1" x14ac:dyDescent="0.2">
      <c r="A267" s="933"/>
      <c r="D267" s="1174" t="s">
        <v>1460</v>
      </c>
      <c r="E267" s="1174"/>
      <c r="F267" s="1174"/>
      <c r="G267" s="1174"/>
      <c r="H267" s="1174"/>
      <c r="I267" s="1174"/>
      <c r="J267" s="1174"/>
      <c r="K267" s="1174"/>
      <c r="L267" s="1174"/>
      <c r="M267" s="1174"/>
      <c r="N267" s="1174"/>
      <c r="O267" s="1174"/>
      <c r="P267" s="1174"/>
      <c r="Q267" s="1174"/>
      <c r="R267" s="1174"/>
      <c r="S267" s="1174"/>
      <c r="T267" s="1174"/>
      <c r="U267" s="1174"/>
      <c r="V267" s="1174"/>
      <c r="W267" s="1174"/>
      <c r="X267" s="1174"/>
      <c r="Y267" s="1174"/>
      <c r="Z267" s="1174"/>
      <c r="AA267" s="1174"/>
      <c r="AB267" s="1174"/>
      <c r="AC267" s="1174"/>
      <c r="AD267" s="1174"/>
      <c r="AE267" s="1174"/>
      <c r="AF267" s="1174"/>
      <c r="AG267" s="1174"/>
      <c r="AI267" s="934"/>
      <c r="AJ267" s="934"/>
      <c r="AK267" s="934"/>
      <c r="AL267" s="934"/>
      <c r="AM267" s="934"/>
      <c r="AN267" s="934"/>
      <c r="AO267" s="934"/>
      <c r="AP267" s="934"/>
      <c r="AQ267" s="934"/>
    </row>
    <row r="268" spans="1:43" s="635" customFormat="1" ht="15" thickBot="1" x14ac:dyDescent="0.25">
      <c r="A268" s="933"/>
      <c r="AI268" s="934"/>
      <c r="AJ268" s="934"/>
      <c r="AK268" s="934"/>
      <c r="AL268" s="934"/>
      <c r="AM268" s="934"/>
      <c r="AN268" s="934"/>
      <c r="AO268" s="934"/>
      <c r="AP268" s="934"/>
      <c r="AQ268" s="934"/>
    </row>
    <row r="269" spans="1:43" s="635" customFormat="1" ht="27.75" customHeight="1" thickTop="1" thickBot="1" x14ac:dyDescent="0.25">
      <c r="A269" s="933">
        <v>16</v>
      </c>
      <c r="D269" s="1058" t="s">
        <v>131</v>
      </c>
      <c r="E269" s="1058"/>
      <c r="F269" s="1058"/>
      <c r="G269" s="1058"/>
      <c r="H269" s="1058"/>
      <c r="I269" s="1058"/>
      <c r="J269" s="1058"/>
      <c r="K269" s="1058"/>
      <c r="L269" s="1058"/>
      <c r="M269" s="1058" t="s">
        <v>132</v>
      </c>
      <c r="N269" s="1058"/>
      <c r="O269" s="1058"/>
      <c r="P269" s="1058"/>
      <c r="Q269" s="1058"/>
      <c r="R269" s="1058"/>
      <c r="S269" s="1058"/>
      <c r="T269" s="1058" t="s">
        <v>133</v>
      </c>
      <c r="U269" s="1058"/>
      <c r="V269" s="1058"/>
      <c r="W269" s="1058"/>
      <c r="X269" s="1058"/>
      <c r="Y269" s="1058"/>
      <c r="Z269" s="1058"/>
      <c r="AA269" s="1058" t="s">
        <v>129</v>
      </c>
      <c r="AB269" s="1058"/>
      <c r="AC269" s="1058"/>
      <c r="AD269" s="1058"/>
      <c r="AE269" s="1058"/>
      <c r="AF269" s="1058"/>
      <c r="AG269" s="1058"/>
      <c r="AI269" s="934"/>
      <c r="AJ269" s="934"/>
      <c r="AK269" s="925" t="s">
        <v>132</v>
      </c>
      <c r="AL269" s="927" t="s">
        <v>133</v>
      </c>
      <c r="AM269" s="927" t="s">
        <v>129</v>
      </c>
      <c r="AN269" s="934"/>
      <c r="AO269" s="925" t="s">
        <v>129</v>
      </c>
      <c r="AP269" s="934"/>
      <c r="AQ269" s="934"/>
    </row>
    <row r="270" spans="1:43" s="635" customFormat="1" ht="27.75" customHeight="1" thickBot="1" x14ac:dyDescent="0.25">
      <c r="A270" s="933"/>
      <c r="D270" s="1212" t="s">
        <v>134</v>
      </c>
      <c r="E270" s="1212"/>
      <c r="F270" s="1212"/>
      <c r="G270" s="1212"/>
      <c r="H270" s="1212"/>
      <c r="I270" s="1212"/>
      <c r="J270" s="1212"/>
      <c r="K270" s="1212"/>
      <c r="L270" s="1212"/>
      <c r="M270" s="1212"/>
      <c r="N270" s="1212"/>
      <c r="O270" s="1212"/>
      <c r="P270" s="1212"/>
      <c r="Q270" s="1212"/>
      <c r="R270" s="1212"/>
      <c r="S270" s="1212"/>
      <c r="T270" s="1212"/>
      <c r="U270" s="1212"/>
      <c r="V270" s="1212"/>
      <c r="W270" s="1212"/>
      <c r="X270" s="1212"/>
      <c r="Y270" s="1212"/>
      <c r="Z270" s="1212"/>
      <c r="AA270" s="1212"/>
      <c r="AB270" s="1212"/>
      <c r="AC270" s="1212"/>
      <c r="AD270" s="1212"/>
      <c r="AE270" s="1212"/>
      <c r="AF270" s="1212"/>
      <c r="AG270" s="1212"/>
      <c r="AI270" s="934"/>
      <c r="AJ270" s="934"/>
      <c r="AK270" s="941"/>
      <c r="AL270" s="942"/>
      <c r="AM270" s="943"/>
      <c r="AN270" s="934"/>
      <c r="AO270" s="956"/>
      <c r="AP270" s="934"/>
      <c r="AQ270" s="934"/>
    </row>
    <row r="271" spans="1:43" s="635" customFormat="1" ht="27.75" customHeight="1" x14ac:dyDescent="0.2">
      <c r="A271" s="933"/>
      <c r="D271" s="1141" t="s">
        <v>135</v>
      </c>
      <c r="E271" s="1141"/>
      <c r="F271" s="1141"/>
      <c r="G271" s="1141"/>
      <c r="H271" s="1141"/>
      <c r="I271" s="1141"/>
      <c r="J271" s="1141"/>
      <c r="K271" s="1141"/>
      <c r="L271" s="1141"/>
      <c r="M271" s="1131"/>
      <c r="N271" s="1131"/>
      <c r="O271" s="1131"/>
      <c r="P271" s="1131"/>
      <c r="Q271" s="1131"/>
      <c r="R271" s="1131"/>
      <c r="S271" s="1131"/>
      <c r="T271" s="1131"/>
      <c r="U271" s="1131"/>
      <c r="V271" s="1131"/>
      <c r="W271" s="1131"/>
      <c r="X271" s="1131"/>
      <c r="Y271" s="1131"/>
      <c r="Z271" s="1131"/>
      <c r="AA271" s="1217">
        <f>M271+T271</f>
        <v>0</v>
      </c>
      <c r="AB271" s="1217"/>
      <c r="AC271" s="1217"/>
      <c r="AD271" s="1217"/>
      <c r="AE271" s="1217"/>
      <c r="AF271" s="1217"/>
      <c r="AG271" s="1217"/>
      <c r="AI271" s="934"/>
      <c r="AJ271" s="934"/>
      <c r="AK271" s="944"/>
      <c r="AL271" s="940"/>
      <c r="AM271" s="945">
        <f>SUM(M271:Z271)-AA271</f>
        <v>0</v>
      </c>
      <c r="AN271" s="934"/>
      <c r="AO271" s="957">
        <f>AA271-BS!$D$48</f>
        <v>0</v>
      </c>
      <c r="AP271" s="934"/>
      <c r="AQ271" s="934"/>
    </row>
    <row r="272" spans="1:43" s="635" customFormat="1" ht="27.75" customHeight="1" x14ac:dyDescent="0.2">
      <c r="A272" s="933"/>
      <c r="D272" s="1144" t="s">
        <v>1876</v>
      </c>
      <c r="E272" s="1144"/>
      <c r="F272" s="1144"/>
      <c r="G272" s="1144"/>
      <c r="H272" s="1144"/>
      <c r="I272" s="1144"/>
      <c r="J272" s="1144"/>
      <c r="K272" s="1144"/>
      <c r="L272" s="1144"/>
      <c r="M272" s="1075"/>
      <c r="N272" s="1075"/>
      <c r="O272" s="1075"/>
      <c r="P272" s="1075"/>
      <c r="Q272" s="1075"/>
      <c r="R272" s="1075"/>
      <c r="S272" s="1075"/>
      <c r="T272" s="1075"/>
      <c r="U272" s="1075"/>
      <c r="V272" s="1075"/>
      <c r="W272" s="1075"/>
      <c r="X272" s="1075"/>
      <c r="Y272" s="1075"/>
      <c r="Z272" s="1075"/>
      <c r="AA272" s="1216">
        <f t="shared" ref="AA272:AA275" si="89">M272+T272</f>
        <v>0</v>
      </c>
      <c r="AB272" s="1216"/>
      <c r="AC272" s="1216"/>
      <c r="AD272" s="1216"/>
      <c r="AE272" s="1216"/>
      <c r="AF272" s="1216"/>
      <c r="AG272" s="1216"/>
      <c r="AI272" s="934"/>
      <c r="AJ272" s="934"/>
      <c r="AK272" s="944"/>
      <c r="AL272" s="940"/>
      <c r="AM272" s="945">
        <f t="shared" ref="AM272:AM275" si="90">SUM(M272:Z272)-AA272</f>
        <v>0</v>
      </c>
      <c r="AN272" s="934"/>
      <c r="AO272" s="957">
        <f>AA272-BS!$D$50</f>
        <v>0</v>
      </c>
      <c r="AP272" s="934"/>
      <c r="AQ272" s="934"/>
    </row>
    <row r="273" spans="1:43" s="635" customFormat="1" ht="27.75" customHeight="1" x14ac:dyDescent="0.2">
      <c r="A273" s="933"/>
      <c r="D273" s="1140" t="s">
        <v>136</v>
      </c>
      <c r="E273" s="1140"/>
      <c r="F273" s="1140"/>
      <c r="G273" s="1140"/>
      <c r="H273" s="1140"/>
      <c r="I273" s="1140"/>
      <c r="J273" s="1140"/>
      <c r="K273" s="1140"/>
      <c r="L273" s="1140"/>
      <c r="M273" s="1075"/>
      <c r="N273" s="1075"/>
      <c r="O273" s="1075"/>
      <c r="P273" s="1075"/>
      <c r="Q273" s="1075"/>
      <c r="R273" s="1075"/>
      <c r="S273" s="1075"/>
      <c r="T273" s="1075"/>
      <c r="U273" s="1075"/>
      <c r="V273" s="1075"/>
      <c r="W273" s="1075"/>
      <c r="X273" s="1075"/>
      <c r="Y273" s="1075"/>
      <c r="Z273" s="1075"/>
      <c r="AA273" s="1216">
        <f t="shared" si="89"/>
        <v>0</v>
      </c>
      <c r="AB273" s="1216"/>
      <c r="AC273" s="1216"/>
      <c r="AD273" s="1216"/>
      <c r="AE273" s="1216"/>
      <c r="AF273" s="1216"/>
      <c r="AG273" s="1216"/>
      <c r="AI273" s="934"/>
      <c r="AJ273" s="934"/>
      <c r="AK273" s="944"/>
      <c r="AL273" s="940"/>
      <c r="AM273" s="945">
        <f t="shared" si="90"/>
        <v>0</v>
      </c>
      <c r="AN273" s="934"/>
      <c r="AO273" s="957">
        <f>AA273-BS!$D$51</f>
        <v>0</v>
      </c>
      <c r="AP273" s="934"/>
      <c r="AQ273" s="934"/>
    </row>
    <row r="274" spans="1:43" s="635" customFormat="1" ht="27.75" customHeight="1" x14ac:dyDescent="0.2">
      <c r="A274" s="933"/>
      <c r="D274" s="1140" t="s">
        <v>127</v>
      </c>
      <c r="E274" s="1140"/>
      <c r="F274" s="1140"/>
      <c r="G274" s="1140"/>
      <c r="H274" s="1140"/>
      <c r="I274" s="1140"/>
      <c r="J274" s="1140"/>
      <c r="K274" s="1140"/>
      <c r="L274" s="1140"/>
      <c r="M274" s="1075"/>
      <c r="N274" s="1075"/>
      <c r="O274" s="1075"/>
      <c r="P274" s="1075"/>
      <c r="Q274" s="1075"/>
      <c r="R274" s="1075"/>
      <c r="S274" s="1075"/>
      <c r="T274" s="1075"/>
      <c r="U274" s="1075"/>
      <c r="V274" s="1075"/>
      <c r="W274" s="1075"/>
      <c r="X274" s="1075"/>
      <c r="Y274" s="1075"/>
      <c r="Z274" s="1075"/>
      <c r="AA274" s="1216">
        <f t="shared" si="89"/>
        <v>0</v>
      </c>
      <c r="AB274" s="1216"/>
      <c r="AC274" s="1216"/>
      <c r="AD274" s="1216"/>
      <c r="AE274" s="1216"/>
      <c r="AF274" s="1216"/>
      <c r="AG274" s="1216"/>
      <c r="AI274" s="934"/>
      <c r="AJ274" s="934"/>
      <c r="AK274" s="944"/>
      <c r="AL274" s="940"/>
      <c r="AM274" s="945">
        <f t="shared" si="90"/>
        <v>0</v>
      </c>
      <c r="AN274" s="934"/>
      <c r="AO274" s="957">
        <f>AA274-BS!$D$52</f>
        <v>0</v>
      </c>
      <c r="AP274" s="934"/>
      <c r="AQ274" s="934"/>
    </row>
    <row r="275" spans="1:43" s="635" customFormat="1" ht="27.75" customHeight="1" thickBot="1" x14ac:dyDescent="0.25">
      <c r="A275" s="933"/>
      <c r="D275" s="1139" t="s">
        <v>227</v>
      </c>
      <c r="E275" s="1139"/>
      <c r="F275" s="1139"/>
      <c r="G275" s="1139"/>
      <c r="H275" s="1139"/>
      <c r="I275" s="1139"/>
      <c r="J275" s="1139"/>
      <c r="K275" s="1139"/>
      <c r="L275" s="1139"/>
      <c r="M275" s="1075">
        <v>25577</v>
      </c>
      <c r="N275" s="1075"/>
      <c r="O275" s="1075"/>
      <c r="P275" s="1075"/>
      <c r="Q275" s="1075"/>
      <c r="R275" s="1075"/>
      <c r="S275" s="1075"/>
      <c r="T275" s="1075"/>
      <c r="U275" s="1075"/>
      <c r="V275" s="1075"/>
      <c r="W275" s="1075"/>
      <c r="X275" s="1075"/>
      <c r="Y275" s="1075"/>
      <c r="Z275" s="1075"/>
      <c r="AA275" s="1216">
        <f t="shared" si="89"/>
        <v>25577</v>
      </c>
      <c r="AB275" s="1216"/>
      <c r="AC275" s="1216"/>
      <c r="AD275" s="1216"/>
      <c r="AE275" s="1216"/>
      <c r="AF275" s="1216"/>
      <c r="AG275" s="1216"/>
      <c r="AI275" s="934"/>
      <c r="AJ275" s="934"/>
      <c r="AK275" s="944"/>
      <c r="AL275" s="940"/>
      <c r="AM275" s="945">
        <f t="shared" si="90"/>
        <v>0</v>
      </c>
      <c r="AN275" s="934"/>
      <c r="AO275" s="957">
        <f>AA275-BS!$D$53-BS!$D$54</f>
        <v>0</v>
      </c>
      <c r="AP275" s="934"/>
      <c r="AQ275" s="934"/>
    </row>
    <row r="276" spans="1:43" s="635" customFormat="1" ht="27.75" customHeight="1" thickBot="1" x14ac:dyDescent="0.25">
      <c r="A276" s="933"/>
      <c r="D276" s="1212" t="s">
        <v>137</v>
      </c>
      <c r="E276" s="1212"/>
      <c r="F276" s="1212"/>
      <c r="G276" s="1212"/>
      <c r="H276" s="1212"/>
      <c r="I276" s="1212"/>
      <c r="J276" s="1212"/>
      <c r="K276" s="1212"/>
      <c r="L276" s="1212"/>
      <c r="M276" s="1213">
        <f t="shared" ref="M276" si="91">SUM(M271:S275)</f>
        <v>25577</v>
      </c>
      <c r="N276" s="1213"/>
      <c r="O276" s="1213"/>
      <c r="P276" s="1213"/>
      <c r="Q276" s="1213"/>
      <c r="R276" s="1213"/>
      <c r="S276" s="1213"/>
      <c r="T276" s="1213">
        <f>SUM(T271:Z275)</f>
        <v>0</v>
      </c>
      <c r="U276" s="1213"/>
      <c r="V276" s="1213"/>
      <c r="W276" s="1213"/>
      <c r="X276" s="1213"/>
      <c r="Y276" s="1213"/>
      <c r="Z276" s="1213"/>
      <c r="AA276" s="1213">
        <f>SUM(AA271:AG275)</f>
        <v>25577</v>
      </c>
      <c r="AB276" s="1213"/>
      <c r="AC276" s="1213"/>
      <c r="AD276" s="1213"/>
      <c r="AE276" s="1213"/>
      <c r="AF276" s="1213"/>
      <c r="AG276" s="1213"/>
      <c r="AI276" s="934"/>
      <c r="AJ276" s="940"/>
      <c r="AK276" s="949">
        <f>SUM(M271:S275)-M276</f>
        <v>0</v>
      </c>
      <c r="AL276" s="950">
        <f>SUM(T271:Z275)-T276</f>
        <v>0</v>
      </c>
      <c r="AM276" s="951">
        <f>SUM(AA271:AG275)-AA276</f>
        <v>0</v>
      </c>
      <c r="AN276" s="934"/>
      <c r="AO276" s="958">
        <f>AA276-BS!$D$47</f>
        <v>0</v>
      </c>
      <c r="AP276" s="934"/>
      <c r="AQ276" s="934"/>
    </row>
    <row r="277" spans="1:43" s="635" customFormat="1" ht="27.75" customHeight="1" thickBot="1" x14ac:dyDescent="0.25">
      <c r="A277" s="933"/>
      <c r="D277" s="1212" t="s">
        <v>138</v>
      </c>
      <c r="E277" s="1212"/>
      <c r="F277" s="1212"/>
      <c r="G277" s="1212"/>
      <c r="H277" s="1212"/>
      <c r="I277" s="1212"/>
      <c r="J277" s="1212"/>
      <c r="K277" s="1212"/>
      <c r="L277" s="1212"/>
      <c r="M277" s="1212"/>
      <c r="N277" s="1212"/>
      <c r="O277" s="1212"/>
      <c r="P277" s="1212"/>
      <c r="Q277" s="1212"/>
      <c r="R277" s="1212"/>
      <c r="S277" s="1212"/>
      <c r="T277" s="1212"/>
      <c r="U277" s="1212"/>
      <c r="V277" s="1212"/>
      <c r="W277" s="1212"/>
      <c r="X277" s="1212"/>
      <c r="Y277" s="1212"/>
      <c r="Z277" s="1212"/>
      <c r="AA277" s="1212"/>
      <c r="AB277" s="1212"/>
      <c r="AC277" s="1212"/>
      <c r="AD277" s="1212"/>
      <c r="AE277" s="1212"/>
      <c r="AF277" s="1212"/>
      <c r="AG277" s="1212"/>
      <c r="AI277" s="934"/>
      <c r="AJ277" s="934"/>
      <c r="AK277" s="934"/>
      <c r="AL277" s="934"/>
      <c r="AM277" s="934"/>
      <c r="AN277" s="934"/>
      <c r="AO277" s="934"/>
      <c r="AP277" s="934"/>
      <c r="AQ277" s="934"/>
    </row>
    <row r="278" spans="1:43" s="635" customFormat="1" ht="27.75" customHeight="1" x14ac:dyDescent="0.2">
      <c r="A278" s="933"/>
      <c r="D278" s="1141" t="s">
        <v>139</v>
      </c>
      <c r="E278" s="1141"/>
      <c r="F278" s="1141"/>
      <c r="G278" s="1141"/>
      <c r="H278" s="1141"/>
      <c r="I278" s="1141"/>
      <c r="J278" s="1141"/>
      <c r="K278" s="1141"/>
      <c r="L278" s="1141"/>
      <c r="M278" s="1131">
        <v>2410527</v>
      </c>
      <c r="N278" s="1131"/>
      <c r="O278" s="1131"/>
      <c r="P278" s="1131"/>
      <c r="Q278" s="1131"/>
      <c r="R278" s="1131"/>
      <c r="S278" s="1131"/>
      <c r="T278" s="1131">
        <v>410040</v>
      </c>
      <c r="U278" s="1131"/>
      <c r="V278" s="1131"/>
      <c r="W278" s="1131"/>
      <c r="X278" s="1131"/>
      <c r="Y278" s="1131"/>
      <c r="Z278" s="1131"/>
      <c r="AA278" s="1217">
        <f>M278+T278</f>
        <v>2820567</v>
      </c>
      <c r="AB278" s="1217"/>
      <c r="AC278" s="1217"/>
      <c r="AD278" s="1217"/>
      <c r="AE278" s="1217"/>
      <c r="AF278" s="1217"/>
      <c r="AG278" s="1217"/>
      <c r="AI278" s="934"/>
      <c r="AJ278" s="934"/>
      <c r="AK278" s="941"/>
      <c r="AL278" s="942"/>
      <c r="AM278" s="955">
        <f t="shared" ref="AM278:AM279" si="92">SUM(M278:Z278)-AA278</f>
        <v>0</v>
      </c>
      <c r="AN278" s="934"/>
      <c r="AO278" s="956">
        <f>AA278-BS!$D$56</f>
        <v>0</v>
      </c>
      <c r="AP278" s="934"/>
      <c r="AQ278" s="934"/>
    </row>
    <row r="279" spans="1:43" s="635" customFormat="1" ht="27.75" customHeight="1" x14ac:dyDescent="0.2">
      <c r="A279" s="933"/>
      <c r="D279" s="1144" t="s">
        <v>1876</v>
      </c>
      <c r="E279" s="1144"/>
      <c r="F279" s="1144"/>
      <c r="G279" s="1144"/>
      <c r="H279" s="1144"/>
      <c r="I279" s="1144"/>
      <c r="J279" s="1144"/>
      <c r="K279" s="1144"/>
      <c r="L279" s="1144"/>
      <c r="M279" s="1075"/>
      <c r="N279" s="1075"/>
      <c r="O279" s="1075"/>
      <c r="P279" s="1075"/>
      <c r="Q279" s="1075"/>
      <c r="R279" s="1075"/>
      <c r="S279" s="1075"/>
      <c r="T279" s="1075"/>
      <c r="U279" s="1075"/>
      <c r="V279" s="1075"/>
      <c r="W279" s="1075"/>
      <c r="X279" s="1075"/>
      <c r="Y279" s="1075"/>
      <c r="Z279" s="1075"/>
      <c r="AA279" s="1216">
        <f t="shared" ref="AA279:AA281" si="93">M279+T279</f>
        <v>0</v>
      </c>
      <c r="AB279" s="1216"/>
      <c r="AC279" s="1216"/>
      <c r="AD279" s="1216"/>
      <c r="AE279" s="1216"/>
      <c r="AF279" s="1216"/>
      <c r="AG279" s="1216"/>
      <c r="AI279" s="934"/>
      <c r="AJ279" s="934"/>
      <c r="AK279" s="944"/>
      <c r="AL279" s="940"/>
      <c r="AM279" s="945">
        <f t="shared" si="92"/>
        <v>0</v>
      </c>
      <c r="AN279" s="934"/>
      <c r="AO279" s="957">
        <f>AA279-BS!$D$58</f>
        <v>0</v>
      </c>
      <c r="AP279" s="934"/>
      <c r="AQ279" s="934"/>
    </row>
    <row r="280" spans="1:43" s="635" customFormat="1" ht="27.75" customHeight="1" x14ac:dyDescent="0.2">
      <c r="A280" s="933"/>
      <c r="D280" s="1140" t="s">
        <v>136</v>
      </c>
      <c r="E280" s="1140"/>
      <c r="F280" s="1140"/>
      <c r="G280" s="1140"/>
      <c r="H280" s="1140"/>
      <c r="I280" s="1140"/>
      <c r="J280" s="1140"/>
      <c r="K280" s="1140"/>
      <c r="L280" s="1140"/>
      <c r="M280" s="1075"/>
      <c r="N280" s="1075"/>
      <c r="O280" s="1075"/>
      <c r="P280" s="1075"/>
      <c r="Q280" s="1075"/>
      <c r="R280" s="1075"/>
      <c r="S280" s="1075"/>
      <c r="T280" s="1075"/>
      <c r="U280" s="1075"/>
      <c r="V280" s="1075"/>
      <c r="W280" s="1075"/>
      <c r="X280" s="1075"/>
      <c r="Y280" s="1075"/>
      <c r="Z280" s="1075"/>
      <c r="AA280" s="1216">
        <f t="shared" si="93"/>
        <v>0</v>
      </c>
      <c r="AB280" s="1216"/>
      <c r="AC280" s="1216"/>
      <c r="AD280" s="1216"/>
      <c r="AE280" s="1216"/>
      <c r="AF280" s="1216"/>
      <c r="AG280" s="1216"/>
      <c r="AI280" s="934"/>
      <c r="AJ280" s="934"/>
      <c r="AK280" s="944"/>
      <c r="AL280" s="940"/>
      <c r="AM280" s="945">
        <f>SUM(M280:Z280)-AA280</f>
        <v>0</v>
      </c>
      <c r="AN280" s="934"/>
      <c r="AO280" s="957">
        <f>AA280-BS!$D$59</f>
        <v>0</v>
      </c>
      <c r="AP280" s="934"/>
      <c r="AQ280" s="934"/>
    </row>
    <row r="281" spans="1:43" s="635" customFormat="1" ht="27.75" customHeight="1" x14ac:dyDescent="0.2">
      <c r="A281" s="933"/>
      <c r="D281" s="1140" t="s">
        <v>127</v>
      </c>
      <c r="E281" s="1140"/>
      <c r="F281" s="1140"/>
      <c r="G281" s="1140"/>
      <c r="H281" s="1140"/>
      <c r="I281" s="1140"/>
      <c r="J281" s="1140"/>
      <c r="K281" s="1140"/>
      <c r="L281" s="1140"/>
      <c r="M281" s="1075"/>
      <c r="N281" s="1075"/>
      <c r="O281" s="1075"/>
      <c r="P281" s="1075"/>
      <c r="Q281" s="1075"/>
      <c r="R281" s="1075"/>
      <c r="S281" s="1075"/>
      <c r="T281" s="1075"/>
      <c r="U281" s="1075"/>
      <c r="V281" s="1075"/>
      <c r="W281" s="1075"/>
      <c r="X281" s="1075"/>
      <c r="Y281" s="1075"/>
      <c r="Z281" s="1075"/>
      <c r="AA281" s="1216">
        <f t="shared" si="93"/>
        <v>0</v>
      </c>
      <c r="AB281" s="1216"/>
      <c r="AC281" s="1216"/>
      <c r="AD281" s="1216"/>
      <c r="AE281" s="1216"/>
      <c r="AF281" s="1216"/>
      <c r="AG281" s="1216"/>
      <c r="AI281" s="934"/>
      <c r="AJ281" s="934"/>
      <c r="AK281" s="944"/>
      <c r="AL281" s="940"/>
      <c r="AM281" s="945">
        <f t="shared" ref="AM281:AM283" si="94">SUM(M281:Z281)-AA281</f>
        <v>0</v>
      </c>
      <c r="AN281" s="934"/>
      <c r="AO281" s="957">
        <f>AA281-BS!$D$60</f>
        <v>0</v>
      </c>
      <c r="AP281" s="934"/>
      <c r="AQ281" s="934"/>
    </row>
    <row r="282" spans="1:43" s="635" customFormat="1" ht="27.75" customHeight="1" x14ac:dyDescent="0.2">
      <c r="A282" s="933"/>
      <c r="D282" s="1140" t="s">
        <v>140</v>
      </c>
      <c r="E282" s="1140"/>
      <c r="F282" s="1140"/>
      <c r="G282" s="1140"/>
      <c r="H282" s="1140"/>
      <c r="I282" s="1140"/>
      <c r="J282" s="1140"/>
      <c r="K282" s="1140"/>
      <c r="L282" s="1140"/>
      <c r="M282" s="1173"/>
      <c r="N282" s="1173"/>
      <c r="O282" s="1173"/>
      <c r="P282" s="1173"/>
      <c r="Q282" s="1173"/>
      <c r="R282" s="1173"/>
      <c r="S282" s="1173"/>
      <c r="T282" s="1075"/>
      <c r="U282" s="1075"/>
      <c r="V282" s="1075"/>
      <c r="W282" s="1075"/>
      <c r="X282" s="1075"/>
      <c r="Y282" s="1075"/>
      <c r="Z282" s="1075"/>
      <c r="AA282" s="1216">
        <f>M282+T282</f>
        <v>0</v>
      </c>
      <c r="AB282" s="1216"/>
      <c r="AC282" s="1216"/>
      <c r="AD282" s="1216"/>
      <c r="AE282" s="1216"/>
      <c r="AF282" s="1216"/>
      <c r="AG282" s="1216"/>
      <c r="AI282" s="934"/>
      <c r="AJ282" s="934"/>
      <c r="AK282" s="944"/>
      <c r="AL282" s="940"/>
      <c r="AM282" s="945">
        <f t="shared" si="94"/>
        <v>0</v>
      </c>
      <c r="AN282" s="934"/>
      <c r="AO282" s="959">
        <f>AA281-BS!$D$61</f>
        <v>0</v>
      </c>
      <c r="AP282" s="934"/>
      <c r="AQ282" s="934"/>
    </row>
    <row r="283" spans="1:43" s="635" customFormat="1" ht="27.75" customHeight="1" x14ac:dyDescent="0.2">
      <c r="A283" s="933"/>
      <c r="D283" s="1214" t="s">
        <v>141</v>
      </c>
      <c r="E283" s="1214"/>
      <c r="F283" s="1214"/>
      <c r="G283" s="1214"/>
      <c r="H283" s="1214"/>
      <c r="I283" s="1214"/>
      <c r="J283" s="1214"/>
      <c r="K283" s="1214"/>
      <c r="L283" s="1214"/>
      <c r="M283" s="1218"/>
      <c r="N283" s="1218"/>
      <c r="O283" s="1218"/>
      <c r="P283" s="1218"/>
      <c r="Q283" s="1218"/>
      <c r="R283" s="1218"/>
      <c r="S283" s="1218"/>
      <c r="T283" s="1218"/>
      <c r="U283" s="1218"/>
      <c r="V283" s="1218"/>
      <c r="W283" s="1218"/>
      <c r="X283" s="1218"/>
      <c r="Y283" s="1218"/>
      <c r="Z283" s="1218"/>
      <c r="AA283" s="1219">
        <f t="shared" ref="AA283:AA284" si="95">M283+T283</f>
        <v>0</v>
      </c>
      <c r="AB283" s="1219"/>
      <c r="AC283" s="1219"/>
      <c r="AD283" s="1219"/>
      <c r="AE283" s="1219"/>
      <c r="AF283" s="1219"/>
      <c r="AG283" s="1219"/>
      <c r="AI283" s="934"/>
      <c r="AJ283" s="934"/>
      <c r="AK283" s="944"/>
      <c r="AL283" s="940"/>
      <c r="AM283" s="945">
        <f t="shared" si="94"/>
        <v>0</v>
      </c>
      <c r="AN283" s="934"/>
      <c r="AO283" s="957">
        <f>AA283-BS!$D$62</f>
        <v>0</v>
      </c>
      <c r="AP283" s="934"/>
      <c r="AQ283" s="934"/>
    </row>
    <row r="284" spans="1:43" s="635" customFormat="1" ht="27.75" customHeight="1" thickBot="1" x14ac:dyDescent="0.25">
      <c r="A284" s="933"/>
      <c r="D284" s="1139" t="s">
        <v>128</v>
      </c>
      <c r="E284" s="1139"/>
      <c r="F284" s="1139"/>
      <c r="G284" s="1139"/>
      <c r="H284" s="1139"/>
      <c r="I284" s="1139"/>
      <c r="J284" s="1139"/>
      <c r="K284" s="1139"/>
      <c r="L284" s="1139"/>
      <c r="M284" s="1075">
        <v>652</v>
      </c>
      <c r="N284" s="1075"/>
      <c r="O284" s="1075"/>
      <c r="P284" s="1075"/>
      <c r="Q284" s="1075"/>
      <c r="R284" s="1075"/>
      <c r="S284" s="1075"/>
      <c r="T284" s="1075"/>
      <c r="U284" s="1075"/>
      <c r="V284" s="1075"/>
      <c r="W284" s="1075"/>
      <c r="X284" s="1075"/>
      <c r="Y284" s="1075"/>
      <c r="Z284" s="1075"/>
      <c r="AA284" s="1216">
        <f t="shared" si="95"/>
        <v>652</v>
      </c>
      <c r="AB284" s="1216"/>
      <c r="AC284" s="1216"/>
      <c r="AD284" s="1216"/>
      <c r="AE284" s="1216"/>
      <c r="AF284" s="1216"/>
      <c r="AG284" s="1216"/>
      <c r="AI284" s="934"/>
      <c r="AJ284" s="934"/>
      <c r="AK284" s="944"/>
      <c r="AL284" s="940"/>
      <c r="AM284" s="945">
        <f>SUM(M284:Z284)-AA284</f>
        <v>0</v>
      </c>
      <c r="AN284" s="934"/>
      <c r="AO284" s="957">
        <f>AA284-BS!$D$63</f>
        <v>0</v>
      </c>
      <c r="AP284" s="934"/>
      <c r="AQ284" s="934"/>
    </row>
    <row r="285" spans="1:43" s="635" customFormat="1" ht="27.75" customHeight="1" thickBot="1" x14ac:dyDescent="0.25">
      <c r="A285" s="933"/>
      <c r="D285" s="1215" t="s">
        <v>142</v>
      </c>
      <c r="E285" s="1215"/>
      <c r="F285" s="1215"/>
      <c r="G285" s="1215"/>
      <c r="H285" s="1215"/>
      <c r="I285" s="1215"/>
      <c r="J285" s="1215"/>
      <c r="K285" s="1215"/>
      <c r="L285" s="1215"/>
      <c r="M285" s="1213">
        <f>SUM(M278:S284)</f>
        <v>2411179</v>
      </c>
      <c r="N285" s="1213"/>
      <c r="O285" s="1213"/>
      <c r="P285" s="1213"/>
      <c r="Q285" s="1213"/>
      <c r="R285" s="1213"/>
      <c r="S285" s="1213"/>
      <c r="T285" s="1213">
        <f>SUM(T278:Z284)</f>
        <v>410040</v>
      </c>
      <c r="U285" s="1213"/>
      <c r="V285" s="1213"/>
      <c r="W285" s="1213"/>
      <c r="X285" s="1213"/>
      <c r="Y285" s="1213"/>
      <c r="Z285" s="1213"/>
      <c r="AA285" s="1213">
        <f>SUM(AA278:AG284)</f>
        <v>2821219</v>
      </c>
      <c r="AB285" s="1213"/>
      <c r="AC285" s="1213"/>
      <c r="AD285" s="1213"/>
      <c r="AE285" s="1213"/>
      <c r="AF285" s="1213"/>
      <c r="AG285" s="1213"/>
      <c r="AI285" s="934"/>
      <c r="AJ285" s="934"/>
      <c r="AK285" s="949">
        <f>SUM(M278:S284)-M285</f>
        <v>0</v>
      </c>
      <c r="AL285" s="950">
        <f>SUM(T278:Z284)-T285</f>
        <v>0</v>
      </c>
      <c r="AM285" s="951">
        <f>SUM(AA278:AG284)-AA285</f>
        <v>0</v>
      </c>
      <c r="AN285" s="934"/>
      <c r="AO285" s="958">
        <f>AA285-BS!$D$55</f>
        <v>0</v>
      </c>
      <c r="AP285" s="934"/>
      <c r="AQ285" s="934"/>
    </row>
    <row r="286" spans="1:43" s="635" customFormat="1" ht="15" thickBot="1" x14ac:dyDescent="0.25">
      <c r="A286" s="933"/>
      <c r="D286" s="960"/>
      <c r="E286" s="960"/>
      <c r="F286" s="960"/>
      <c r="G286" s="960"/>
      <c r="H286" s="960"/>
      <c r="I286" s="960"/>
      <c r="J286" s="960"/>
      <c r="K286" s="960"/>
      <c r="L286" s="960"/>
      <c r="AI286" s="934"/>
      <c r="AJ286" s="934"/>
      <c r="AK286" s="934"/>
      <c r="AL286" s="934"/>
      <c r="AM286" s="934"/>
      <c r="AN286" s="934"/>
      <c r="AO286" s="934"/>
      <c r="AP286" s="934"/>
      <c r="AQ286" s="934"/>
    </row>
    <row r="287" spans="1:43" s="635" customFormat="1" ht="30" customHeight="1" thickTop="1" thickBot="1" x14ac:dyDescent="0.25">
      <c r="A287" s="933" t="s">
        <v>1461</v>
      </c>
      <c r="D287" s="1193" t="s">
        <v>460</v>
      </c>
      <c r="E287" s="1193"/>
      <c r="F287" s="1193"/>
      <c r="G287" s="1193"/>
      <c r="H287" s="1193"/>
      <c r="I287" s="1193"/>
      <c r="J287" s="1193"/>
      <c r="K287" s="1193"/>
      <c r="L287" s="1193"/>
      <c r="M287" s="1193"/>
      <c r="N287" s="1193"/>
      <c r="O287" s="1193"/>
      <c r="P287" s="1193" t="s">
        <v>2</v>
      </c>
      <c r="Q287" s="1193"/>
      <c r="R287" s="1193"/>
      <c r="S287" s="1193"/>
      <c r="T287" s="1193"/>
      <c r="U287" s="1193"/>
      <c r="V287" s="1193"/>
      <c r="W287" s="1193"/>
      <c r="X287" s="1193"/>
      <c r="Y287" s="1193" t="s">
        <v>3</v>
      </c>
      <c r="Z287" s="1193"/>
      <c r="AA287" s="1193"/>
      <c r="AB287" s="1193"/>
      <c r="AC287" s="1193"/>
      <c r="AD287" s="1193"/>
      <c r="AE287" s="1193"/>
      <c r="AF287" s="1193"/>
      <c r="AG287" s="1193"/>
      <c r="AI287" s="934"/>
      <c r="AJ287" s="934"/>
      <c r="AK287" s="934"/>
      <c r="AL287" s="649" t="s">
        <v>2</v>
      </c>
      <c r="AM287" s="649" t="s">
        <v>3</v>
      </c>
      <c r="AN287" s="934"/>
      <c r="AO287" s="649" t="s">
        <v>2</v>
      </c>
      <c r="AP287" s="649" t="s">
        <v>3</v>
      </c>
      <c r="AQ287" s="934"/>
    </row>
    <row r="288" spans="1:43" s="635" customFormat="1" ht="30" customHeight="1" x14ac:dyDescent="0.2">
      <c r="A288" s="933"/>
      <c r="D288" s="1223" t="s">
        <v>143</v>
      </c>
      <c r="E288" s="1223"/>
      <c r="F288" s="1223"/>
      <c r="G288" s="1223"/>
      <c r="H288" s="1223"/>
      <c r="I288" s="1223"/>
      <c r="J288" s="1223"/>
      <c r="K288" s="1223"/>
      <c r="L288" s="1223"/>
      <c r="M288" s="1223"/>
      <c r="N288" s="1223"/>
      <c r="O288" s="1223"/>
      <c r="P288" s="1229">
        <v>410040</v>
      </c>
      <c r="Q288" s="1229"/>
      <c r="R288" s="1229"/>
      <c r="S288" s="1229"/>
      <c r="T288" s="1229"/>
      <c r="U288" s="1229"/>
      <c r="V288" s="1229"/>
      <c r="W288" s="1229"/>
      <c r="X288" s="1230"/>
      <c r="Y288" s="1231">
        <v>1031692</v>
      </c>
      <c r="Z288" s="1229"/>
      <c r="AA288" s="1229"/>
      <c r="AB288" s="1229"/>
      <c r="AC288" s="1229"/>
      <c r="AD288" s="1229"/>
      <c r="AE288" s="1229"/>
      <c r="AF288" s="1229"/>
      <c r="AG288" s="1229"/>
      <c r="AI288" s="934"/>
      <c r="AJ288" s="934"/>
      <c r="AK288" s="934"/>
      <c r="AL288" s="941"/>
      <c r="AM288" s="943"/>
      <c r="AN288" s="934"/>
      <c r="AO288" s="941"/>
      <c r="AP288" s="943"/>
      <c r="AQ288" s="934"/>
    </row>
    <row r="289" spans="1:43" s="635" customFormat="1" ht="30" customHeight="1" x14ac:dyDescent="0.2">
      <c r="A289" s="933"/>
      <c r="D289" s="1144" t="s">
        <v>461</v>
      </c>
      <c r="E289" s="1144"/>
      <c r="F289" s="1144"/>
      <c r="G289" s="1144"/>
      <c r="H289" s="1144"/>
      <c r="I289" s="1144"/>
      <c r="J289" s="1144"/>
      <c r="K289" s="1144"/>
      <c r="L289" s="1144"/>
      <c r="M289" s="1144"/>
      <c r="N289" s="1144"/>
      <c r="O289" s="1144"/>
      <c r="P289" s="1225">
        <v>2411179</v>
      </c>
      <c r="Q289" s="1225"/>
      <c r="R289" s="1225"/>
      <c r="S289" s="1225"/>
      <c r="T289" s="1225"/>
      <c r="U289" s="1225"/>
      <c r="V289" s="1225"/>
      <c r="W289" s="1225"/>
      <c r="X289" s="1226"/>
      <c r="Y289" s="1232">
        <v>1168321</v>
      </c>
      <c r="Z289" s="1225"/>
      <c r="AA289" s="1225"/>
      <c r="AB289" s="1225"/>
      <c r="AC289" s="1225"/>
      <c r="AD289" s="1225"/>
      <c r="AE289" s="1225"/>
      <c r="AF289" s="1225"/>
      <c r="AG289" s="1225"/>
      <c r="AI289" s="934"/>
      <c r="AJ289" s="934"/>
      <c r="AK289" s="934"/>
      <c r="AL289" s="944"/>
      <c r="AM289" s="948"/>
      <c r="AN289" s="934"/>
      <c r="AO289" s="944"/>
      <c r="AP289" s="948"/>
      <c r="AQ289" s="934"/>
    </row>
    <row r="290" spans="1:43" s="635" customFormat="1" ht="30" customHeight="1" x14ac:dyDescent="0.2">
      <c r="A290" s="933"/>
      <c r="D290" s="1145" t="s">
        <v>142</v>
      </c>
      <c r="E290" s="1145"/>
      <c r="F290" s="1145"/>
      <c r="G290" s="1145"/>
      <c r="H290" s="1145"/>
      <c r="I290" s="1145"/>
      <c r="J290" s="1145"/>
      <c r="K290" s="1145"/>
      <c r="L290" s="1145"/>
      <c r="M290" s="1145"/>
      <c r="N290" s="1145"/>
      <c r="O290" s="1145"/>
      <c r="P290" s="1227">
        <v>2821219</v>
      </c>
      <c r="Q290" s="1227"/>
      <c r="R290" s="1227"/>
      <c r="S290" s="1227"/>
      <c r="T290" s="1227"/>
      <c r="U290" s="1227"/>
      <c r="V290" s="1227"/>
      <c r="W290" s="1227"/>
      <c r="X290" s="1228"/>
      <c r="Y290" s="1233">
        <v>2200013</v>
      </c>
      <c r="Z290" s="1227"/>
      <c r="AA290" s="1227"/>
      <c r="AB290" s="1227"/>
      <c r="AC290" s="1227"/>
      <c r="AD290" s="1227"/>
      <c r="AE290" s="1227"/>
      <c r="AF290" s="1227"/>
      <c r="AG290" s="1227"/>
      <c r="AI290" s="934"/>
      <c r="AJ290" s="934"/>
      <c r="AK290" s="934"/>
      <c r="AL290" s="946">
        <f>SUM(AI288:AI289)-AI290</f>
        <v>0</v>
      </c>
      <c r="AM290" s="945">
        <f>SUM(AJ288:AJ289)-AJ290</f>
        <v>0</v>
      </c>
      <c r="AN290" s="934"/>
      <c r="AO290" s="946">
        <f>P290-BS!$D$55</f>
        <v>0</v>
      </c>
      <c r="AP290" s="945">
        <f>Y290-BS!$G$55</f>
        <v>49692</v>
      </c>
      <c r="AQ290" s="934"/>
    </row>
    <row r="291" spans="1:43" s="635" customFormat="1" ht="30" customHeight="1" x14ac:dyDescent="0.2">
      <c r="A291" s="933"/>
      <c r="D291" s="1144" t="s">
        <v>144</v>
      </c>
      <c r="E291" s="1144"/>
      <c r="F291" s="1144"/>
      <c r="G291" s="1144"/>
      <c r="H291" s="1144"/>
      <c r="I291" s="1144"/>
      <c r="J291" s="1144"/>
      <c r="K291" s="1144"/>
      <c r="L291" s="1144"/>
      <c r="M291" s="1144"/>
      <c r="N291" s="1144"/>
      <c r="O291" s="1144"/>
      <c r="P291" s="1225">
        <v>25577</v>
      </c>
      <c r="Q291" s="1225"/>
      <c r="R291" s="1225"/>
      <c r="S291" s="1225"/>
      <c r="T291" s="1225"/>
      <c r="U291" s="1225"/>
      <c r="V291" s="1225"/>
      <c r="W291" s="1225"/>
      <c r="X291" s="1226"/>
      <c r="Y291" s="1232">
        <v>19858</v>
      </c>
      <c r="Z291" s="1225"/>
      <c r="AA291" s="1225"/>
      <c r="AB291" s="1225"/>
      <c r="AC291" s="1225"/>
      <c r="AD291" s="1225"/>
      <c r="AE291" s="1225"/>
      <c r="AF291" s="1225"/>
      <c r="AG291" s="1225"/>
      <c r="AI291" s="934"/>
      <c r="AJ291" s="934"/>
      <c r="AK291" s="934"/>
      <c r="AL291" s="944"/>
      <c r="AM291" s="948"/>
      <c r="AN291" s="934"/>
      <c r="AO291" s="944"/>
      <c r="AP291" s="948"/>
      <c r="AQ291" s="934"/>
    </row>
    <row r="292" spans="1:43" s="635" customFormat="1" ht="30" customHeight="1" x14ac:dyDescent="0.2">
      <c r="A292" s="933"/>
      <c r="D292" s="1144" t="s">
        <v>145</v>
      </c>
      <c r="E292" s="1144"/>
      <c r="F292" s="1144"/>
      <c r="G292" s="1144"/>
      <c r="H292" s="1144"/>
      <c r="I292" s="1144"/>
      <c r="J292" s="1144"/>
      <c r="K292" s="1144"/>
      <c r="L292" s="1144"/>
      <c r="M292" s="1144"/>
      <c r="N292" s="1144"/>
      <c r="O292" s="1144"/>
      <c r="P292" s="1225"/>
      <c r="Q292" s="1225"/>
      <c r="R292" s="1225"/>
      <c r="S292" s="1225"/>
      <c r="T292" s="1225"/>
      <c r="U292" s="1225"/>
      <c r="V292" s="1225"/>
      <c r="W292" s="1225"/>
      <c r="X292" s="1226"/>
      <c r="Y292" s="1232"/>
      <c r="Z292" s="1225"/>
      <c r="AA292" s="1225"/>
      <c r="AB292" s="1225"/>
      <c r="AC292" s="1225"/>
      <c r="AD292" s="1225"/>
      <c r="AE292" s="1225"/>
      <c r="AF292" s="1225"/>
      <c r="AG292" s="1225"/>
      <c r="AI292" s="934"/>
      <c r="AJ292" s="934"/>
      <c r="AK292" s="934"/>
      <c r="AL292" s="944"/>
      <c r="AM292" s="948"/>
      <c r="AN292" s="934"/>
      <c r="AO292" s="944"/>
      <c r="AP292" s="948"/>
      <c r="AQ292" s="934"/>
    </row>
    <row r="293" spans="1:43" s="635" customFormat="1" ht="30" customHeight="1" thickBot="1" x14ac:dyDescent="0.25">
      <c r="A293" s="933"/>
      <c r="D293" s="1222" t="s">
        <v>137</v>
      </c>
      <c r="E293" s="1222"/>
      <c r="F293" s="1222"/>
      <c r="G293" s="1222"/>
      <c r="H293" s="1222"/>
      <c r="I293" s="1222"/>
      <c r="J293" s="1222"/>
      <c r="K293" s="1222"/>
      <c r="L293" s="1222"/>
      <c r="M293" s="1222"/>
      <c r="N293" s="1222"/>
      <c r="O293" s="1222"/>
      <c r="P293" s="1221">
        <v>25577</v>
      </c>
      <c r="Q293" s="1221"/>
      <c r="R293" s="1221"/>
      <c r="S293" s="1221"/>
      <c r="T293" s="1221"/>
      <c r="U293" s="1221"/>
      <c r="V293" s="1221"/>
      <c r="W293" s="1221"/>
      <c r="X293" s="1224"/>
      <c r="Y293" s="1220">
        <f>SUM(Y291:AG292)</f>
        <v>19858</v>
      </c>
      <c r="Z293" s="1221"/>
      <c r="AA293" s="1221"/>
      <c r="AB293" s="1221"/>
      <c r="AC293" s="1221"/>
      <c r="AD293" s="1221"/>
      <c r="AE293" s="1221"/>
      <c r="AF293" s="1221"/>
      <c r="AG293" s="1221"/>
      <c r="AI293" s="934"/>
      <c r="AJ293" s="934"/>
      <c r="AK293" s="934"/>
      <c r="AL293" s="949">
        <f>SUM(AI291:AI292)-AI293</f>
        <v>0</v>
      </c>
      <c r="AM293" s="951">
        <f>SUM(AJ291:AJ292)-AJ293</f>
        <v>0</v>
      </c>
      <c r="AN293" s="934"/>
      <c r="AO293" s="949">
        <f>P293-BS!$D$47</f>
        <v>0</v>
      </c>
      <c r="AP293" s="951">
        <f>Y293-BS!$G$47</f>
        <v>0</v>
      </c>
      <c r="AQ293" s="934"/>
    </row>
    <row r="294" spans="1:43" s="635" customFormat="1" x14ac:dyDescent="0.2">
      <c r="A294" s="933"/>
      <c r="AI294" s="934"/>
      <c r="AJ294" s="934"/>
      <c r="AK294" s="934"/>
      <c r="AL294" s="934"/>
      <c r="AM294" s="934"/>
      <c r="AN294" s="934"/>
      <c r="AO294" s="934"/>
      <c r="AP294" s="934"/>
      <c r="AQ294" s="934"/>
    </row>
    <row r="295" spans="1:43" s="635" customFormat="1" x14ac:dyDescent="0.2">
      <c r="A295" s="933"/>
      <c r="D295" s="634" t="s">
        <v>1953</v>
      </c>
      <c r="AI295" s="934"/>
      <c r="AJ295" s="934"/>
      <c r="AK295" s="934"/>
      <c r="AL295" s="934"/>
      <c r="AM295" s="934"/>
      <c r="AN295" s="934"/>
      <c r="AO295" s="934"/>
      <c r="AP295" s="934"/>
      <c r="AQ295" s="934"/>
    </row>
    <row r="296" spans="1:43" s="635" customFormat="1" x14ac:dyDescent="0.2">
      <c r="A296" s="933"/>
      <c r="AI296" s="934"/>
      <c r="AJ296" s="934"/>
      <c r="AK296" s="934"/>
      <c r="AL296" s="934"/>
      <c r="AM296" s="934"/>
      <c r="AN296" s="934"/>
      <c r="AO296" s="934"/>
      <c r="AP296" s="934"/>
      <c r="AQ296" s="934"/>
    </row>
    <row r="297" spans="1:43" s="635" customFormat="1" x14ac:dyDescent="0.2">
      <c r="A297" s="934"/>
      <c r="D297" s="1138" t="s">
        <v>1462</v>
      </c>
      <c r="E297" s="1138"/>
      <c r="F297" s="1138"/>
      <c r="G297" s="1138"/>
      <c r="H297" s="1138"/>
      <c r="I297" s="1138"/>
      <c r="J297" s="1138"/>
      <c r="K297" s="1138"/>
      <c r="L297" s="1138"/>
      <c r="M297" s="1138"/>
      <c r="N297" s="1138"/>
      <c r="O297" s="1138"/>
      <c r="P297" s="1138"/>
      <c r="Q297" s="1138"/>
      <c r="R297" s="1138"/>
      <c r="S297" s="1138"/>
      <c r="T297" s="1138"/>
      <c r="U297" s="1138"/>
      <c r="V297" s="1138"/>
      <c r="W297" s="1138"/>
      <c r="X297" s="1138"/>
      <c r="Y297" s="1138"/>
      <c r="Z297" s="1138"/>
      <c r="AA297" s="1138"/>
      <c r="AB297" s="1138"/>
      <c r="AC297" s="1138"/>
      <c r="AD297" s="1138"/>
      <c r="AE297" s="1138"/>
      <c r="AF297" s="1138"/>
      <c r="AG297" s="1138"/>
      <c r="AI297" s="934"/>
      <c r="AJ297" s="934"/>
      <c r="AK297" s="934"/>
      <c r="AL297" s="934"/>
      <c r="AM297" s="934"/>
      <c r="AN297" s="934"/>
      <c r="AO297" s="934"/>
      <c r="AP297" s="934"/>
      <c r="AQ297" s="934"/>
    </row>
    <row r="298" spans="1:43" s="635" customFormat="1" ht="15" thickBot="1" x14ac:dyDescent="0.25">
      <c r="A298" s="933"/>
      <c r="AI298" s="934"/>
      <c r="AJ298" s="934"/>
      <c r="AK298" s="934"/>
      <c r="AL298" s="934"/>
      <c r="AM298" s="934"/>
      <c r="AN298" s="934"/>
      <c r="AO298" s="934"/>
      <c r="AP298" s="934"/>
      <c r="AQ298" s="934"/>
    </row>
    <row r="299" spans="1:43" s="635" customFormat="1" ht="31.5" customHeight="1" thickTop="1" thickBot="1" x14ac:dyDescent="0.25">
      <c r="A299" s="933">
        <v>18</v>
      </c>
      <c r="D299" s="1235" t="s">
        <v>131</v>
      </c>
      <c r="E299" s="1236"/>
      <c r="F299" s="1236"/>
      <c r="G299" s="1236"/>
      <c r="H299" s="1236"/>
      <c r="I299" s="1236"/>
      <c r="J299" s="1236"/>
      <c r="K299" s="1236"/>
      <c r="L299" s="1236"/>
      <c r="M299" s="1237"/>
      <c r="N299" s="1235" t="s">
        <v>2</v>
      </c>
      <c r="O299" s="1236"/>
      <c r="P299" s="1236"/>
      <c r="Q299" s="1236"/>
      <c r="R299" s="1236"/>
      <c r="S299" s="1236"/>
      <c r="T299" s="1236"/>
      <c r="U299" s="1236"/>
      <c r="V299" s="1236"/>
      <c r="W299" s="1237"/>
      <c r="X299" s="1235" t="s">
        <v>3</v>
      </c>
      <c r="Y299" s="1236"/>
      <c r="Z299" s="1236"/>
      <c r="AA299" s="1236"/>
      <c r="AB299" s="1236"/>
      <c r="AC299" s="1236"/>
      <c r="AD299" s="1236"/>
      <c r="AE299" s="1236"/>
      <c r="AF299" s="1236"/>
      <c r="AG299" s="1237"/>
      <c r="AI299" s="934"/>
      <c r="AJ299" s="934"/>
      <c r="AK299" s="934"/>
      <c r="AL299" s="925" t="s">
        <v>2</v>
      </c>
      <c r="AM299" s="925" t="s">
        <v>3</v>
      </c>
      <c r="AN299" s="934"/>
      <c r="AO299" s="925" t="s">
        <v>2</v>
      </c>
      <c r="AP299" s="925" t="s">
        <v>3</v>
      </c>
      <c r="AQ299" s="934"/>
    </row>
    <row r="300" spans="1:43" s="635" customFormat="1" ht="23.25" customHeight="1" x14ac:dyDescent="0.2">
      <c r="A300" s="933"/>
      <c r="D300" s="1242" t="s">
        <v>155</v>
      </c>
      <c r="E300" s="1243"/>
      <c r="F300" s="1243"/>
      <c r="G300" s="1243"/>
      <c r="H300" s="1243"/>
      <c r="I300" s="1243"/>
      <c r="J300" s="1243"/>
      <c r="K300" s="1243"/>
      <c r="L300" s="1243"/>
      <c r="M300" s="1244"/>
      <c r="N300" s="1245">
        <v>286</v>
      </c>
      <c r="O300" s="1218"/>
      <c r="P300" s="1218"/>
      <c r="Q300" s="1218"/>
      <c r="R300" s="1218"/>
      <c r="S300" s="1218"/>
      <c r="T300" s="1218"/>
      <c r="U300" s="1218"/>
      <c r="V300" s="1218"/>
      <c r="W300" s="1218"/>
      <c r="X300" s="1218">
        <v>689</v>
      </c>
      <c r="Y300" s="1218"/>
      <c r="Z300" s="1218"/>
      <c r="AA300" s="1218"/>
      <c r="AB300" s="1218"/>
      <c r="AC300" s="1218"/>
      <c r="AD300" s="1218"/>
      <c r="AE300" s="1218"/>
      <c r="AF300" s="1218"/>
      <c r="AG300" s="1218"/>
      <c r="AI300" s="934"/>
      <c r="AJ300" s="934"/>
      <c r="AK300" s="934"/>
      <c r="AL300" s="941"/>
      <c r="AM300" s="943"/>
      <c r="AN300" s="934"/>
      <c r="AO300" s="961">
        <f>N300+N303-BS!$D$65</f>
        <v>0</v>
      </c>
      <c r="AP300" s="955">
        <f>X300+X303-BS!$G$65</f>
        <v>0</v>
      </c>
      <c r="AQ300" s="934"/>
    </row>
    <row r="301" spans="1:43" s="635" customFormat="1" ht="23.25" customHeight="1" x14ac:dyDescent="0.2">
      <c r="A301" s="933"/>
      <c r="D301" s="1115" t="s">
        <v>1878</v>
      </c>
      <c r="E301" s="1116"/>
      <c r="F301" s="1116"/>
      <c r="G301" s="1116"/>
      <c r="H301" s="1116"/>
      <c r="I301" s="1116"/>
      <c r="J301" s="1116"/>
      <c r="K301" s="1116"/>
      <c r="L301" s="1116"/>
      <c r="M301" s="1117"/>
      <c r="N301" s="1234"/>
      <c r="O301" s="1075"/>
      <c r="P301" s="1075"/>
      <c r="Q301" s="1075"/>
      <c r="R301" s="1075"/>
      <c r="S301" s="1075"/>
      <c r="T301" s="1075"/>
      <c r="U301" s="1075"/>
      <c r="V301" s="1075"/>
      <c r="W301" s="1075"/>
      <c r="X301" s="1075"/>
      <c r="Y301" s="1075"/>
      <c r="Z301" s="1075"/>
      <c r="AA301" s="1075"/>
      <c r="AB301" s="1075"/>
      <c r="AC301" s="1075"/>
      <c r="AD301" s="1075"/>
      <c r="AE301" s="1075"/>
      <c r="AF301" s="1075"/>
      <c r="AG301" s="1075"/>
      <c r="AI301" s="934"/>
      <c r="AJ301" s="934"/>
      <c r="AK301" s="934"/>
      <c r="AL301" s="944"/>
      <c r="AM301" s="948"/>
      <c r="AN301" s="934"/>
      <c r="AO301" s="946">
        <f>N301-BS!$D$66</f>
        <v>0</v>
      </c>
      <c r="AP301" s="945">
        <f>X301-BS!$G$66</f>
        <v>0</v>
      </c>
      <c r="AQ301" s="934"/>
    </row>
    <row r="302" spans="1:43" s="635" customFormat="1" ht="23.25" customHeight="1" x14ac:dyDescent="0.2">
      <c r="A302" s="933"/>
      <c r="D302" s="1115" t="s">
        <v>1879</v>
      </c>
      <c r="E302" s="1116"/>
      <c r="F302" s="1116"/>
      <c r="G302" s="1116"/>
      <c r="H302" s="1116"/>
      <c r="I302" s="1116"/>
      <c r="J302" s="1116"/>
      <c r="K302" s="1116"/>
      <c r="L302" s="1116"/>
      <c r="M302" s="1117"/>
      <c r="N302" s="1234"/>
      <c r="O302" s="1075"/>
      <c r="P302" s="1075"/>
      <c r="Q302" s="1075"/>
      <c r="R302" s="1075"/>
      <c r="S302" s="1075"/>
      <c r="T302" s="1075"/>
      <c r="U302" s="1075"/>
      <c r="V302" s="1075"/>
      <c r="W302" s="1075"/>
      <c r="X302" s="1075"/>
      <c r="Y302" s="1075"/>
      <c r="Z302" s="1075"/>
      <c r="AA302" s="1075"/>
      <c r="AB302" s="1075"/>
      <c r="AC302" s="1075"/>
      <c r="AD302" s="1075"/>
      <c r="AE302" s="1075"/>
      <c r="AF302" s="1075"/>
      <c r="AG302" s="1075"/>
      <c r="AI302" s="934"/>
      <c r="AJ302" s="934"/>
      <c r="AK302" s="934"/>
      <c r="AL302" s="946"/>
      <c r="AM302" s="945"/>
      <c r="AN302" s="934"/>
      <c r="AO302" s="946">
        <f>N302-BS!$D$67</f>
        <v>0</v>
      </c>
      <c r="AP302" s="945">
        <f>X302-BS!$G$67</f>
        <v>0</v>
      </c>
      <c r="AQ302" s="934"/>
    </row>
    <row r="303" spans="1:43" s="635" customFormat="1" ht="23.25" customHeight="1" x14ac:dyDescent="0.2">
      <c r="A303" s="933"/>
      <c r="D303" s="1054" t="s">
        <v>158</v>
      </c>
      <c r="E303" s="1055"/>
      <c r="F303" s="1055"/>
      <c r="G303" s="1055"/>
      <c r="H303" s="1055"/>
      <c r="I303" s="1055"/>
      <c r="J303" s="1055"/>
      <c r="K303" s="1055"/>
      <c r="L303" s="1055"/>
      <c r="M303" s="1056"/>
      <c r="N303" s="1234"/>
      <c r="O303" s="1075"/>
      <c r="P303" s="1075"/>
      <c r="Q303" s="1075"/>
      <c r="R303" s="1075"/>
      <c r="S303" s="1075"/>
      <c r="T303" s="1075"/>
      <c r="U303" s="1075"/>
      <c r="V303" s="1075"/>
      <c r="W303" s="1075"/>
      <c r="X303" s="1075"/>
      <c r="Y303" s="1075"/>
      <c r="Z303" s="1075"/>
      <c r="AA303" s="1075"/>
      <c r="AB303" s="1075"/>
      <c r="AC303" s="1075"/>
      <c r="AD303" s="1075"/>
      <c r="AE303" s="1075"/>
      <c r="AF303" s="1075"/>
      <c r="AG303" s="1075"/>
      <c r="AI303" s="934"/>
      <c r="AJ303" s="934"/>
      <c r="AK303" s="934"/>
      <c r="AL303" s="944"/>
      <c r="AM303" s="948"/>
      <c r="AN303" s="934"/>
      <c r="AO303" s="946">
        <f>AO300</f>
        <v>0</v>
      </c>
      <c r="AP303" s="945">
        <f>AP300</f>
        <v>0</v>
      </c>
      <c r="AQ303" s="934"/>
    </row>
    <row r="304" spans="1:43" s="635" customFormat="1" ht="23.25" customHeight="1" thickBot="1" x14ac:dyDescent="0.25">
      <c r="A304" s="933"/>
      <c r="D304" s="1238" t="s">
        <v>14</v>
      </c>
      <c r="E304" s="1239"/>
      <c r="F304" s="1239"/>
      <c r="G304" s="1239"/>
      <c r="H304" s="1239"/>
      <c r="I304" s="1239"/>
      <c r="J304" s="1239"/>
      <c r="K304" s="1239"/>
      <c r="L304" s="1239"/>
      <c r="M304" s="1240"/>
      <c r="N304" s="1241">
        <f>SUM(N300:W303)</f>
        <v>286</v>
      </c>
      <c r="O304" s="1213"/>
      <c r="P304" s="1213"/>
      <c r="Q304" s="1213"/>
      <c r="R304" s="1213"/>
      <c r="S304" s="1213"/>
      <c r="T304" s="1213"/>
      <c r="U304" s="1213"/>
      <c r="V304" s="1213"/>
      <c r="W304" s="1213"/>
      <c r="X304" s="1241">
        <f>SUM(X300:AG303)</f>
        <v>689</v>
      </c>
      <c r="Y304" s="1213"/>
      <c r="Z304" s="1213"/>
      <c r="AA304" s="1213"/>
      <c r="AB304" s="1213"/>
      <c r="AC304" s="1213"/>
      <c r="AD304" s="1213"/>
      <c r="AE304" s="1213"/>
      <c r="AF304" s="1213"/>
      <c r="AG304" s="1213"/>
      <c r="AI304" s="934"/>
      <c r="AJ304" s="934"/>
      <c r="AK304" s="934"/>
      <c r="AL304" s="949">
        <f>SUM(N300:W303)-N304</f>
        <v>0</v>
      </c>
      <c r="AM304" s="951">
        <f>SUM(X300:AG303)-X304</f>
        <v>0</v>
      </c>
      <c r="AN304" s="934"/>
      <c r="AO304" s="949">
        <f>N304-SUM(BS!$D$65:$D$67)</f>
        <v>0</v>
      </c>
      <c r="AP304" s="951">
        <f>X304-SUM(BS!$G$65:$G$67)</f>
        <v>0</v>
      </c>
      <c r="AQ304" s="934"/>
    </row>
    <row r="305" spans="1:43" s="635" customFormat="1" x14ac:dyDescent="0.2">
      <c r="A305" s="933"/>
      <c r="AI305" s="934"/>
      <c r="AJ305" s="934"/>
      <c r="AK305" s="934"/>
      <c r="AL305" s="934"/>
      <c r="AM305" s="934"/>
      <c r="AN305" s="934"/>
      <c r="AO305" s="934"/>
      <c r="AP305" s="934"/>
      <c r="AQ305" s="934"/>
    </row>
    <row r="306" spans="1:43" s="635" customFormat="1" x14ac:dyDescent="0.2">
      <c r="A306" s="1004"/>
      <c r="D306" s="1168" t="s">
        <v>2001</v>
      </c>
      <c r="E306" s="1168"/>
      <c r="F306" s="1168"/>
      <c r="G306" s="1168"/>
      <c r="H306" s="1168"/>
      <c r="I306" s="1168"/>
      <c r="J306" s="1168"/>
      <c r="K306" s="1168"/>
      <c r="L306" s="1168"/>
      <c r="M306" s="1168"/>
      <c r="N306" s="1168"/>
      <c r="O306" s="1168"/>
      <c r="P306" s="1168"/>
      <c r="Q306" s="1168"/>
      <c r="R306" s="1168"/>
      <c r="S306" s="1168"/>
      <c r="T306" s="1168"/>
      <c r="U306" s="1168"/>
      <c r="V306" s="1168"/>
      <c r="W306" s="1168"/>
      <c r="X306" s="1168"/>
      <c r="Y306" s="1168"/>
      <c r="Z306" s="1168"/>
      <c r="AA306" s="1168"/>
      <c r="AB306" s="1168"/>
      <c r="AC306" s="1168"/>
      <c r="AD306" s="1168"/>
      <c r="AE306" s="1168"/>
      <c r="AF306" s="1168"/>
      <c r="AG306" s="1168"/>
      <c r="AI306" s="934"/>
      <c r="AJ306" s="934"/>
      <c r="AK306" s="934"/>
      <c r="AL306" s="934"/>
      <c r="AM306" s="934"/>
      <c r="AN306" s="934"/>
      <c r="AO306" s="934"/>
      <c r="AP306" s="934"/>
      <c r="AQ306" s="934"/>
    </row>
    <row r="307" spans="1:43" s="635" customFormat="1" x14ac:dyDescent="0.2">
      <c r="A307" s="1004"/>
      <c r="D307" s="1168"/>
      <c r="E307" s="1168"/>
      <c r="F307" s="1168"/>
      <c r="G307" s="1168"/>
      <c r="H307" s="1168"/>
      <c r="I307" s="1168"/>
      <c r="J307" s="1168"/>
      <c r="K307" s="1168"/>
      <c r="L307" s="1168"/>
      <c r="M307" s="1168"/>
      <c r="N307" s="1168"/>
      <c r="O307" s="1168"/>
      <c r="P307" s="1168"/>
      <c r="Q307" s="1168"/>
      <c r="R307" s="1168"/>
      <c r="S307" s="1168"/>
      <c r="T307" s="1168"/>
      <c r="U307" s="1168"/>
      <c r="V307" s="1168"/>
      <c r="W307" s="1168"/>
      <c r="X307" s="1168"/>
      <c r="Y307" s="1168"/>
      <c r="Z307" s="1168"/>
      <c r="AA307" s="1168"/>
      <c r="AB307" s="1168"/>
      <c r="AC307" s="1168"/>
      <c r="AD307" s="1168"/>
      <c r="AE307" s="1168"/>
      <c r="AF307" s="1168"/>
      <c r="AG307" s="1168"/>
      <c r="AI307" s="934"/>
      <c r="AJ307" s="934"/>
      <c r="AK307" s="934"/>
      <c r="AL307" s="934"/>
      <c r="AM307" s="934"/>
      <c r="AN307" s="934"/>
      <c r="AO307" s="934"/>
      <c r="AP307" s="934"/>
      <c r="AQ307" s="934"/>
    </row>
    <row r="308" spans="1:43" s="635" customFormat="1" x14ac:dyDescent="0.2">
      <c r="A308" s="1004"/>
      <c r="D308" s="1168"/>
      <c r="E308" s="1168"/>
      <c r="F308" s="1168"/>
      <c r="G308" s="1168"/>
      <c r="H308" s="1168"/>
      <c r="I308" s="1168"/>
      <c r="J308" s="1168"/>
      <c r="K308" s="1168"/>
      <c r="L308" s="1168"/>
      <c r="M308" s="1168"/>
      <c r="N308" s="1168"/>
      <c r="O308" s="1168"/>
      <c r="P308" s="1168"/>
      <c r="Q308" s="1168"/>
      <c r="R308" s="1168"/>
      <c r="S308" s="1168"/>
      <c r="T308" s="1168"/>
      <c r="U308" s="1168"/>
      <c r="V308" s="1168"/>
      <c r="W308" s="1168"/>
      <c r="X308" s="1168"/>
      <c r="Y308" s="1168"/>
      <c r="Z308" s="1168"/>
      <c r="AA308" s="1168"/>
      <c r="AB308" s="1168"/>
      <c r="AC308" s="1168"/>
      <c r="AD308" s="1168"/>
      <c r="AE308" s="1168"/>
      <c r="AF308" s="1168"/>
      <c r="AG308" s="1168"/>
      <c r="AI308" s="934"/>
      <c r="AJ308" s="934"/>
      <c r="AK308" s="934"/>
      <c r="AL308" s="934"/>
      <c r="AM308" s="934"/>
      <c r="AN308" s="934"/>
      <c r="AO308" s="934"/>
      <c r="AP308" s="934"/>
      <c r="AQ308" s="934"/>
    </row>
    <row r="309" spans="1:43" ht="14.25" customHeight="1" x14ac:dyDescent="0.2">
      <c r="D309" s="634" t="s">
        <v>1954</v>
      </c>
    </row>
    <row r="311" spans="1:43" ht="14.25" customHeight="1" x14ac:dyDescent="0.2">
      <c r="D311" s="1138" t="s">
        <v>1463</v>
      </c>
      <c r="E311" s="1138"/>
      <c r="F311" s="1138"/>
      <c r="G311" s="1138"/>
      <c r="H311" s="1138"/>
      <c r="I311" s="1138"/>
      <c r="J311" s="1138"/>
      <c r="K311" s="1138"/>
      <c r="L311" s="1138"/>
      <c r="M311" s="1138"/>
      <c r="N311" s="1138"/>
      <c r="O311" s="1138"/>
      <c r="P311" s="1138"/>
      <c r="Q311" s="1138"/>
      <c r="R311" s="1138"/>
      <c r="S311" s="1138"/>
      <c r="T311" s="1138"/>
      <c r="U311" s="1138"/>
      <c r="V311" s="1138"/>
      <c r="W311" s="1138"/>
      <c r="X311" s="1138"/>
      <c r="Y311" s="1138"/>
      <c r="Z311" s="1138"/>
      <c r="AA311" s="1138"/>
      <c r="AB311" s="1138"/>
      <c r="AC311" s="1138"/>
      <c r="AD311" s="1138"/>
      <c r="AE311" s="1138"/>
      <c r="AF311" s="1138"/>
      <c r="AG311" s="1138"/>
    </row>
    <row r="312" spans="1:43" ht="14.25" customHeight="1" thickBot="1" x14ac:dyDescent="0.25"/>
    <row r="313" spans="1:43" ht="28.5" customHeight="1" thickTop="1" thickBot="1" x14ac:dyDescent="0.25">
      <c r="A313" s="933">
        <v>22</v>
      </c>
      <c r="D313" s="1258" t="s">
        <v>178</v>
      </c>
      <c r="E313" s="1258"/>
      <c r="F313" s="1258"/>
      <c r="G313" s="1258"/>
      <c r="H313" s="1258"/>
      <c r="I313" s="1258"/>
      <c r="J313" s="1258"/>
      <c r="K313" s="1258"/>
      <c r="L313" s="1258"/>
      <c r="M313" s="1258"/>
      <c r="N313" s="1258"/>
      <c r="O313" s="1258"/>
      <c r="P313" s="1258" t="s">
        <v>2</v>
      </c>
      <c r="Q313" s="1258"/>
      <c r="R313" s="1258"/>
      <c r="S313" s="1258"/>
      <c r="T313" s="1258"/>
      <c r="U313" s="1258"/>
      <c r="V313" s="1258"/>
      <c r="W313" s="1258"/>
      <c r="X313" s="1258"/>
      <c r="Y313" s="1258" t="s">
        <v>3</v>
      </c>
      <c r="Z313" s="1258"/>
      <c r="AA313" s="1258"/>
      <c r="AB313" s="1258"/>
      <c r="AC313" s="1258"/>
      <c r="AD313" s="1258"/>
      <c r="AE313" s="1258"/>
      <c r="AF313" s="1258"/>
      <c r="AG313" s="1258"/>
      <c r="AL313" s="925" t="s">
        <v>2</v>
      </c>
      <c r="AM313" s="925" t="s">
        <v>3</v>
      </c>
      <c r="AO313" s="925" t="s">
        <v>2</v>
      </c>
      <c r="AP313" s="925" t="s">
        <v>3</v>
      </c>
    </row>
    <row r="314" spans="1:43" ht="16.5" customHeight="1" thickBot="1" x14ac:dyDescent="0.25">
      <c r="D314" s="1254" t="s">
        <v>179</v>
      </c>
      <c r="E314" s="1254"/>
      <c r="F314" s="1254"/>
      <c r="G314" s="1254"/>
      <c r="H314" s="1254"/>
      <c r="I314" s="1254"/>
      <c r="J314" s="1254"/>
      <c r="K314" s="1254"/>
      <c r="L314" s="1254"/>
      <c r="M314" s="1254"/>
      <c r="N314" s="1254"/>
      <c r="O314" s="1254"/>
      <c r="P314" s="1255"/>
      <c r="Q314" s="1255"/>
      <c r="R314" s="1255"/>
      <c r="S314" s="1255"/>
      <c r="T314" s="1255"/>
      <c r="U314" s="1255"/>
      <c r="V314" s="1255"/>
      <c r="W314" s="1255"/>
      <c r="X314" s="1256"/>
      <c r="Y314" s="1257"/>
      <c r="Z314" s="1255"/>
      <c r="AA314" s="1255"/>
      <c r="AB314" s="1255"/>
      <c r="AC314" s="1255"/>
      <c r="AD314" s="1255"/>
      <c r="AE314" s="1255"/>
      <c r="AF314" s="1255"/>
      <c r="AG314" s="1255"/>
      <c r="AL314" s="961">
        <f>SUM(P315:X316)-P314</f>
        <v>0</v>
      </c>
      <c r="AM314" s="955">
        <f>SUM(Y315:AG316)-Y314</f>
        <v>0</v>
      </c>
      <c r="AO314" s="961">
        <f>P314-BS!$D$71</f>
        <v>0</v>
      </c>
      <c r="AP314" s="955">
        <f>Y314-BS!$G$71</f>
        <v>0</v>
      </c>
    </row>
    <row r="315" spans="1:43" ht="16.5" customHeight="1" x14ac:dyDescent="0.2">
      <c r="D315" s="1246"/>
      <c r="E315" s="1246"/>
      <c r="F315" s="1246"/>
      <c r="G315" s="1246"/>
      <c r="H315" s="1246"/>
      <c r="I315" s="1246"/>
      <c r="J315" s="1246"/>
      <c r="K315" s="1246"/>
      <c r="L315" s="1246"/>
      <c r="M315" s="1246"/>
      <c r="N315" s="1246"/>
      <c r="O315" s="1246"/>
      <c r="P315" s="1247"/>
      <c r="Q315" s="1247"/>
      <c r="R315" s="1247"/>
      <c r="S315" s="1247"/>
      <c r="T315" s="1247"/>
      <c r="U315" s="1247"/>
      <c r="V315" s="1247"/>
      <c r="W315" s="1247"/>
      <c r="X315" s="1248"/>
      <c r="Y315" s="1249"/>
      <c r="Z315" s="1247"/>
      <c r="AA315" s="1247"/>
      <c r="AB315" s="1247"/>
      <c r="AC315" s="1247"/>
      <c r="AD315" s="1247"/>
      <c r="AE315" s="1247"/>
      <c r="AF315" s="1247"/>
      <c r="AG315" s="1247"/>
      <c r="AL315" s="944"/>
      <c r="AM315" s="948"/>
      <c r="AO315" s="944"/>
      <c r="AP315" s="948"/>
    </row>
    <row r="316" spans="1:43" ht="16.5" customHeight="1" thickBot="1" x14ac:dyDescent="0.25">
      <c r="D316" s="1250"/>
      <c r="E316" s="1250"/>
      <c r="F316" s="1250"/>
      <c r="G316" s="1250"/>
      <c r="H316" s="1250"/>
      <c r="I316" s="1250"/>
      <c r="J316" s="1250"/>
      <c r="K316" s="1250"/>
      <c r="L316" s="1250"/>
      <c r="M316" s="1250"/>
      <c r="N316" s="1250"/>
      <c r="O316" s="1250"/>
      <c r="P316" s="1251"/>
      <c r="Q316" s="1251"/>
      <c r="R316" s="1251"/>
      <c r="S316" s="1251"/>
      <c r="T316" s="1251"/>
      <c r="U316" s="1251"/>
      <c r="V316" s="1251"/>
      <c r="W316" s="1251"/>
      <c r="X316" s="1252"/>
      <c r="Y316" s="1253"/>
      <c r="Z316" s="1251"/>
      <c r="AA316" s="1251"/>
      <c r="AB316" s="1251"/>
      <c r="AC316" s="1251"/>
      <c r="AD316" s="1251"/>
      <c r="AE316" s="1251"/>
      <c r="AF316" s="1251"/>
      <c r="AG316" s="1251"/>
      <c r="AL316" s="944"/>
      <c r="AM316" s="948"/>
      <c r="AO316" s="944"/>
      <c r="AP316" s="948"/>
    </row>
    <row r="317" spans="1:43" ht="16.5" customHeight="1" thickBot="1" x14ac:dyDescent="0.25">
      <c r="D317" s="1254" t="s">
        <v>180</v>
      </c>
      <c r="E317" s="1254"/>
      <c r="F317" s="1254"/>
      <c r="G317" s="1254"/>
      <c r="H317" s="1254"/>
      <c r="I317" s="1254"/>
      <c r="J317" s="1254"/>
      <c r="K317" s="1254"/>
      <c r="L317" s="1254"/>
      <c r="M317" s="1254"/>
      <c r="N317" s="1254"/>
      <c r="O317" s="1254"/>
      <c r="P317" s="1255">
        <v>2033</v>
      </c>
      <c r="Q317" s="1255"/>
      <c r="R317" s="1255"/>
      <c r="S317" s="1255"/>
      <c r="T317" s="1255"/>
      <c r="U317" s="1255"/>
      <c r="V317" s="1255"/>
      <c r="W317" s="1255"/>
      <c r="X317" s="1256"/>
      <c r="Y317" s="1257">
        <v>766</v>
      </c>
      <c r="Z317" s="1255"/>
      <c r="AA317" s="1255"/>
      <c r="AB317" s="1255"/>
      <c r="AC317" s="1255"/>
      <c r="AD317" s="1255"/>
      <c r="AE317" s="1255"/>
      <c r="AF317" s="1255"/>
      <c r="AG317" s="1255"/>
      <c r="AL317" s="946">
        <f>SUM(P318:X320)-P317</f>
        <v>0</v>
      </c>
      <c r="AM317" s="945">
        <f>SUM(Y318:AG320)-Y317</f>
        <v>0</v>
      </c>
      <c r="AO317" s="946">
        <f>P317-BS!$D$72</f>
        <v>0</v>
      </c>
      <c r="AP317" s="945">
        <f>Y317-BS!$G$72</f>
        <v>0</v>
      </c>
    </row>
    <row r="318" spans="1:43" ht="16.5" customHeight="1" x14ac:dyDescent="0.2">
      <c r="D318" s="1246" t="s">
        <v>1898</v>
      </c>
      <c r="E318" s="1246"/>
      <c r="F318" s="1246"/>
      <c r="G318" s="1246"/>
      <c r="H318" s="1246"/>
      <c r="I318" s="1246"/>
      <c r="J318" s="1246"/>
      <c r="K318" s="1246"/>
      <c r="L318" s="1246"/>
      <c r="M318" s="1246"/>
      <c r="N318" s="1246"/>
      <c r="O318" s="1246"/>
      <c r="P318" s="1262">
        <v>511</v>
      </c>
      <c r="Q318" s="1263"/>
      <c r="R318" s="1263"/>
      <c r="S318" s="1263"/>
      <c r="T318" s="1263"/>
      <c r="U318" s="1263"/>
      <c r="V318" s="1263"/>
      <c r="W318" s="1263"/>
      <c r="X318" s="1264"/>
      <c r="Y318" s="1265">
        <v>469</v>
      </c>
      <c r="Z318" s="1263"/>
      <c r="AA318" s="1263"/>
      <c r="AB318" s="1263"/>
      <c r="AC318" s="1263"/>
      <c r="AD318" s="1263"/>
      <c r="AE318" s="1263"/>
      <c r="AF318" s="1263"/>
      <c r="AG318" s="1266"/>
      <c r="AL318" s="944"/>
      <c r="AM318" s="948"/>
      <c r="AO318" s="944"/>
      <c r="AP318" s="948"/>
    </row>
    <row r="319" spans="1:43" ht="16.5" customHeight="1" x14ac:dyDescent="0.2">
      <c r="D319" s="1115" t="s">
        <v>1899</v>
      </c>
      <c r="E319" s="1116"/>
      <c r="F319" s="1116"/>
      <c r="G319" s="1116"/>
      <c r="H319" s="1116"/>
      <c r="I319" s="1116"/>
      <c r="J319" s="1116"/>
      <c r="K319" s="1116"/>
      <c r="L319" s="1116"/>
      <c r="M319" s="1116"/>
      <c r="N319" s="1116"/>
      <c r="O319" s="1117"/>
      <c r="P319" s="1272">
        <v>1495</v>
      </c>
      <c r="Q319" s="1273"/>
      <c r="R319" s="1273"/>
      <c r="S319" s="1273"/>
      <c r="T319" s="1273"/>
      <c r="U319" s="1273"/>
      <c r="V319" s="1273"/>
      <c r="W319" s="1273"/>
      <c r="X319" s="1274"/>
      <c r="Y319" s="1275">
        <v>270</v>
      </c>
      <c r="Z319" s="1276"/>
      <c r="AA319" s="1276"/>
      <c r="AB319" s="1276"/>
      <c r="AC319" s="1276"/>
      <c r="AD319" s="1276"/>
      <c r="AE319" s="1276"/>
      <c r="AF319" s="1276"/>
      <c r="AG319" s="1277"/>
      <c r="AL319" s="944"/>
      <c r="AM319" s="948"/>
      <c r="AO319" s="944"/>
      <c r="AP319" s="948"/>
    </row>
    <row r="320" spans="1:43" ht="16.5" customHeight="1" thickBot="1" x14ac:dyDescent="0.25">
      <c r="D320" s="1250" t="s">
        <v>1900</v>
      </c>
      <c r="E320" s="1250"/>
      <c r="F320" s="1250"/>
      <c r="G320" s="1250"/>
      <c r="H320" s="1250"/>
      <c r="I320" s="1250"/>
      <c r="J320" s="1250"/>
      <c r="K320" s="1250"/>
      <c r="L320" s="1250"/>
      <c r="M320" s="1250"/>
      <c r="N320" s="1250"/>
      <c r="O320" s="1250"/>
      <c r="P320" s="1267">
        <v>27</v>
      </c>
      <c r="Q320" s="1268"/>
      <c r="R320" s="1268"/>
      <c r="S320" s="1268"/>
      <c r="T320" s="1268"/>
      <c r="U320" s="1268"/>
      <c r="V320" s="1268"/>
      <c r="W320" s="1268"/>
      <c r="X320" s="1269"/>
      <c r="Y320" s="1270">
        <v>27</v>
      </c>
      <c r="Z320" s="1268"/>
      <c r="AA320" s="1268"/>
      <c r="AB320" s="1268"/>
      <c r="AC320" s="1268"/>
      <c r="AD320" s="1268"/>
      <c r="AE320" s="1268"/>
      <c r="AF320" s="1268"/>
      <c r="AG320" s="1271"/>
      <c r="AL320" s="944"/>
      <c r="AM320" s="948"/>
      <c r="AO320" s="944"/>
      <c r="AP320" s="948"/>
    </row>
    <row r="321" spans="4:42" ht="16.5" customHeight="1" thickBot="1" x14ac:dyDescent="0.25">
      <c r="D321" s="1254" t="s">
        <v>181</v>
      </c>
      <c r="E321" s="1254"/>
      <c r="F321" s="1254"/>
      <c r="G321" s="1254"/>
      <c r="H321" s="1254"/>
      <c r="I321" s="1254"/>
      <c r="J321" s="1254"/>
      <c r="K321" s="1254"/>
      <c r="L321" s="1254"/>
      <c r="M321" s="1254"/>
      <c r="N321" s="1254"/>
      <c r="O321" s="1254"/>
      <c r="P321" s="1255"/>
      <c r="Q321" s="1255"/>
      <c r="R321" s="1255"/>
      <c r="S321" s="1255"/>
      <c r="T321" s="1255"/>
      <c r="U321" s="1255"/>
      <c r="V321" s="1255"/>
      <c r="W321" s="1255"/>
      <c r="X321" s="1256"/>
      <c r="Y321" s="1257"/>
      <c r="Z321" s="1255"/>
      <c r="AA321" s="1255"/>
      <c r="AB321" s="1255"/>
      <c r="AC321" s="1255"/>
      <c r="AD321" s="1255"/>
      <c r="AE321" s="1255"/>
      <c r="AF321" s="1255"/>
      <c r="AG321" s="1255"/>
      <c r="AL321" s="946">
        <f>SUM(P322:X323)-P321</f>
        <v>0</v>
      </c>
      <c r="AM321" s="945">
        <f>SUM(Y322:AG323)-Y321</f>
        <v>0</v>
      </c>
      <c r="AO321" s="946">
        <f>P321-BS!$D$73</f>
        <v>0</v>
      </c>
      <c r="AP321" s="945">
        <f>Y321-BS!$G$73</f>
        <v>0</v>
      </c>
    </row>
    <row r="322" spans="4:42" ht="16.5" customHeight="1" x14ac:dyDescent="0.2">
      <c r="D322" s="1259"/>
      <c r="E322" s="1260"/>
      <c r="F322" s="1260"/>
      <c r="G322" s="1260"/>
      <c r="H322" s="1260"/>
      <c r="I322" s="1260"/>
      <c r="J322" s="1260"/>
      <c r="K322" s="1260"/>
      <c r="L322" s="1260"/>
      <c r="M322" s="1260"/>
      <c r="N322" s="1260"/>
      <c r="O322" s="1261"/>
      <c r="P322" s="1247"/>
      <c r="Q322" s="1247"/>
      <c r="R322" s="1247"/>
      <c r="S322" s="1247"/>
      <c r="T322" s="1247"/>
      <c r="U322" s="1247"/>
      <c r="V322" s="1247"/>
      <c r="W322" s="1247"/>
      <c r="X322" s="1248"/>
      <c r="Y322" s="1249"/>
      <c r="Z322" s="1247"/>
      <c r="AA322" s="1247"/>
      <c r="AB322" s="1247"/>
      <c r="AC322" s="1247"/>
      <c r="AD322" s="1247"/>
      <c r="AE322" s="1247"/>
      <c r="AF322" s="1247"/>
      <c r="AG322" s="1247"/>
      <c r="AL322" s="944"/>
      <c r="AM322" s="948"/>
      <c r="AO322" s="944"/>
      <c r="AP322" s="948"/>
    </row>
    <row r="323" spans="4:42" ht="16.5" customHeight="1" thickBot="1" x14ac:dyDescent="0.25">
      <c r="D323" s="1250"/>
      <c r="E323" s="1250"/>
      <c r="F323" s="1250"/>
      <c r="G323" s="1250"/>
      <c r="H323" s="1250"/>
      <c r="I323" s="1250"/>
      <c r="J323" s="1250"/>
      <c r="K323" s="1250"/>
      <c r="L323" s="1250"/>
      <c r="M323" s="1250"/>
      <c r="N323" s="1250"/>
      <c r="O323" s="1250"/>
      <c r="P323" s="1251"/>
      <c r="Q323" s="1251"/>
      <c r="R323" s="1251"/>
      <c r="S323" s="1251"/>
      <c r="T323" s="1251"/>
      <c r="U323" s="1251"/>
      <c r="V323" s="1251"/>
      <c r="W323" s="1251"/>
      <c r="X323" s="1252"/>
      <c r="Y323" s="1253"/>
      <c r="Z323" s="1251"/>
      <c r="AA323" s="1251"/>
      <c r="AB323" s="1251"/>
      <c r="AC323" s="1251"/>
      <c r="AD323" s="1251"/>
      <c r="AE323" s="1251"/>
      <c r="AF323" s="1251"/>
      <c r="AG323" s="1251"/>
      <c r="AL323" s="944"/>
      <c r="AM323" s="948"/>
      <c r="AO323" s="944"/>
      <c r="AP323" s="948"/>
    </row>
    <row r="324" spans="4:42" ht="16.5" customHeight="1" thickBot="1" x14ac:dyDescent="0.25">
      <c r="D324" s="1254" t="s">
        <v>182</v>
      </c>
      <c r="E324" s="1254"/>
      <c r="F324" s="1254"/>
      <c r="G324" s="1254"/>
      <c r="H324" s="1254"/>
      <c r="I324" s="1254"/>
      <c r="J324" s="1254"/>
      <c r="K324" s="1254"/>
      <c r="L324" s="1254"/>
      <c r="M324" s="1254"/>
      <c r="N324" s="1254"/>
      <c r="O324" s="1254"/>
      <c r="P324" s="1255">
        <v>1989</v>
      </c>
      <c r="Q324" s="1255"/>
      <c r="R324" s="1255"/>
      <c r="S324" s="1255"/>
      <c r="T324" s="1255"/>
      <c r="U324" s="1255"/>
      <c r="V324" s="1255"/>
      <c r="W324" s="1255"/>
      <c r="X324" s="1256"/>
      <c r="Y324" s="1257">
        <v>19171</v>
      </c>
      <c r="Z324" s="1255"/>
      <c r="AA324" s="1255"/>
      <c r="AB324" s="1255"/>
      <c r="AC324" s="1255"/>
      <c r="AD324" s="1255"/>
      <c r="AE324" s="1255"/>
      <c r="AF324" s="1255"/>
      <c r="AG324" s="1255"/>
      <c r="AL324" s="946">
        <f>SUM(P325:X326)-P324</f>
        <v>0</v>
      </c>
      <c r="AM324" s="945">
        <f>SUM(Y325:AG326)-Y324</f>
        <v>0</v>
      </c>
      <c r="AO324" s="946">
        <f>P324-BS!$D$74</f>
        <v>0</v>
      </c>
      <c r="AP324" s="945">
        <f>Y324-BS!$G$74</f>
        <v>0</v>
      </c>
    </row>
    <row r="325" spans="4:42" ht="16.5" customHeight="1" x14ac:dyDescent="0.2">
      <c r="D325" s="1246" t="s">
        <v>1901</v>
      </c>
      <c r="E325" s="1246"/>
      <c r="F325" s="1246"/>
      <c r="G325" s="1246"/>
      <c r="H325" s="1246"/>
      <c r="I325" s="1246"/>
      <c r="J325" s="1246"/>
      <c r="K325" s="1246"/>
      <c r="L325" s="1246"/>
      <c r="M325" s="1246"/>
      <c r="N325" s="1246"/>
      <c r="O325" s="1246"/>
      <c r="P325" s="1262">
        <v>1989</v>
      </c>
      <c r="Q325" s="1263"/>
      <c r="R325" s="1263"/>
      <c r="S325" s="1263"/>
      <c r="T325" s="1263"/>
      <c r="U325" s="1263"/>
      <c r="V325" s="1263"/>
      <c r="W325" s="1263"/>
      <c r="X325" s="1264"/>
      <c r="Y325" s="1265">
        <v>19171</v>
      </c>
      <c r="Z325" s="1263"/>
      <c r="AA325" s="1263"/>
      <c r="AB325" s="1263"/>
      <c r="AC325" s="1263"/>
      <c r="AD325" s="1263"/>
      <c r="AE325" s="1263"/>
      <c r="AF325" s="1263"/>
      <c r="AG325" s="1266"/>
      <c r="AL325" s="944"/>
      <c r="AM325" s="948"/>
      <c r="AO325" s="944"/>
      <c r="AP325" s="948"/>
    </row>
    <row r="326" spans="4:42" ht="16.5" customHeight="1" thickBot="1" x14ac:dyDescent="0.25">
      <c r="D326" s="1278"/>
      <c r="E326" s="1278"/>
      <c r="F326" s="1278"/>
      <c r="G326" s="1278"/>
      <c r="H326" s="1278"/>
      <c r="I326" s="1278"/>
      <c r="J326" s="1278"/>
      <c r="K326" s="1278"/>
      <c r="L326" s="1278"/>
      <c r="M326" s="1278"/>
      <c r="N326" s="1278"/>
      <c r="O326" s="1278"/>
      <c r="P326" s="1279"/>
      <c r="Q326" s="1279"/>
      <c r="R326" s="1279"/>
      <c r="S326" s="1279"/>
      <c r="T326" s="1279"/>
      <c r="U326" s="1279"/>
      <c r="V326" s="1279"/>
      <c r="W326" s="1279"/>
      <c r="X326" s="1280"/>
      <c r="Y326" s="1281"/>
      <c r="Z326" s="1279"/>
      <c r="AA326" s="1279"/>
      <c r="AB326" s="1279"/>
      <c r="AC326" s="1279"/>
      <c r="AD326" s="1279"/>
      <c r="AE326" s="1279"/>
      <c r="AF326" s="1279"/>
      <c r="AG326" s="1279"/>
      <c r="AL326" s="952"/>
      <c r="AM326" s="954"/>
      <c r="AO326" s="952"/>
      <c r="AP326" s="954"/>
    </row>
    <row r="328" spans="4:42" ht="14.25" hidden="1" customHeight="1" x14ac:dyDescent="0.2"/>
    <row r="329" spans="4:42" ht="14.25" hidden="1" customHeight="1" x14ac:dyDescent="0.2"/>
    <row r="330" spans="4:42" ht="14.25" hidden="1" customHeight="1" x14ac:dyDescent="0.2"/>
    <row r="331" spans="4:42" ht="14.25" hidden="1" customHeight="1" x14ac:dyDescent="0.2"/>
    <row r="332" spans="4:42" ht="14.25" hidden="1" customHeight="1" x14ac:dyDescent="0.2"/>
    <row r="333" spans="4:42" ht="14.25" customHeight="1" x14ac:dyDescent="0.2">
      <c r="D333" s="634" t="s">
        <v>1971</v>
      </c>
    </row>
    <row r="335" spans="4:42" ht="14.25" customHeight="1" x14ac:dyDescent="0.2">
      <c r="D335" s="1168" t="s">
        <v>2002</v>
      </c>
      <c r="E335" s="1168"/>
      <c r="F335" s="1168"/>
      <c r="G335" s="1168"/>
      <c r="H335" s="1168"/>
      <c r="I335" s="1168"/>
      <c r="J335" s="1168"/>
      <c r="K335" s="1168"/>
      <c r="L335" s="1168"/>
      <c r="M335" s="1168"/>
      <c r="N335" s="1168"/>
      <c r="O335" s="1168"/>
      <c r="P335" s="1168"/>
      <c r="Q335" s="1168"/>
      <c r="R335" s="1168"/>
      <c r="S335" s="1168"/>
      <c r="T335" s="1168"/>
      <c r="U335" s="1168"/>
      <c r="V335" s="1168"/>
      <c r="W335" s="1168"/>
      <c r="X335" s="1168"/>
      <c r="Y335" s="1168"/>
      <c r="Z335" s="1168"/>
      <c r="AA335" s="1168"/>
      <c r="AB335" s="1168"/>
      <c r="AC335" s="1168"/>
      <c r="AD335" s="1168"/>
      <c r="AE335" s="1168"/>
      <c r="AF335" s="1168"/>
      <c r="AG335" s="1168"/>
    </row>
    <row r="336" spans="4:42" ht="14.25" hidden="1" customHeight="1" x14ac:dyDescent="0.2">
      <c r="D336" s="1168"/>
      <c r="E336" s="1168"/>
      <c r="F336" s="1168"/>
      <c r="G336" s="1168"/>
      <c r="H336" s="1168"/>
      <c r="I336" s="1168"/>
      <c r="J336" s="1168"/>
      <c r="K336" s="1168"/>
      <c r="L336" s="1168"/>
      <c r="M336" s="1168"/>
      <c r="N336" s="1168"/>
      <c r="O336" s="1168"/>
      <c r="P336" s="1168"/>
      <c r="Q336" s="1168"/>
      <c r="R336" s="1168"/>
      <c r="S336" s="1168"/>
      <c r="T336" s="1168"/>
      <c r="U336" s="1168"/>
      <c r="V336" s="1168"/>
      <c r="W336" s="1168"/>
      <c r="X336" s="1168"/>
      <c r="Y336" s="1168"/>
      <c r="Z336" s="1168"/>
      <c r="AA336" s="1168"/>
      <c r="AB336" s="1168"/>
      <c r="AC336" s="1168"/>
      <c r="AD336" s="1168"/>
      <c r="AE336" s="1168"/>
      <c r="AF336" s="1168"/>
      <c r="AG336" s="1168"/>
    </row>
    <row r="338" spans="1:39" ht="14.25" customHeight="1" x14ac:dyDescent="0.2">
      <c r="D338" s="1168" t="s">
        <v>2003</v>
      </c>
      <c r="E338" s="1168"/>
      <c r="F338" s="1168"/>
      <c r="G338" s="1168"/>
      <c r="H338" s="1168"/>
      <c r="I338" s="1168"/>
      <c r="J338" s="1168"/>
      <c r="K338" s="1168"/>
      <c r="L338" s="1168"/>
      <c r="M338" s="1168"/>
      <c r="N338" s="1168"/>
      <c r="O338" s="1168"/>
      <c r="P338" s="1168"/>
      <c r="Q338" s="1168"/>
      <c r="R338" s="1168"/>
      <c r="S338" s="1168"/>
      <c r="T338" s="1168"/>
      <c r="U338" s="1168"/>
      <c r="V338" s="1168"/>
      <c r="W338" s="1168"/>
      <c r="X338" s="1168"/>
      <c r="Y338" s="1168"/>
      <c r="Z338" s="1168"/>
      <c r="AA338" s="1168"/>
      <c r="AB338" s="1168"/>
      <c r="AC338" s="1168"/>
      <c r="AD338" s="1168"/>
      <c r="AE338" s="1168"/>
      <c r="AF338" s="1168"/>
      <c r="AG338" s="1168"/>
    </row>
    <row r="339" spans="1:39" ht="14.25" customHeight="1" x14ac:dyDescent="0.2">
      <c r="D339" s="1168"/>
      <c r="E339" s="1168"/>
      <c r="F339" s="1168"/>
      <c r="G339" s="1168"/>
      <c r="H339" s="1168"/>
      <c r="I339" s="1168"/>
      <c r="J339" s="1168"/>
      <c r="K339" s="1168"/>
      <c r="L339" s="1168"/>
      <c r="M339" s="1168"/>
      <c r="N339" s="1168"/>
      <c r="O339" s="1168"/>
      <c r="P339" s="1168"/>
      <c r="Q339" s="1168"/>
      <c r="R339" s="1168"/>
      <c r="S339" s="1168"/>
      <c r="T339" s="1168"/>
      <c r="U339" s="1168"/>
      <c r="V339" s="1168"/>
      <c r="W339" s="1168"/>
      <c r="X339" s="1168"/>
      <c r="Y339" s="1168"/>
      <c r="Z339" s="1168"/>
      <c r="AA339" s="1168"/>
      <c r="AB339" s="1168"/>
      <c r="AC339" s="1168"/>
      <c r="AD339" s="1168"/>
      <c r="AE339" s="1168"/>
      <c r="AF339" s="1168"/>
      <c r="AG339" s="1168"/>
    </row>
    <row r="340" spans="1:39" ht="14.25" hidden="1" customHeight="1" x14ac:dyDescent="0.2"/>
    <row r="341" spans="1:39" ht="14.25" customHeight="1" x14ac:dyDescent="0.2">
      <c r="A341" s="1004"/>
    </row>
    <row r="342" spans="1:39" ht="14.25" customHeight="1" x14ac:dyDescent="0.2">
      <c r="A342" s="1004"/>
    </row>
    <row r="343" spans="1:39" ht="14.25" customHeight="1" x14ac:dyDescent="0.2">
      <c r="A343" s="1004"/>
    </row>
    <row r="344" spans="1:39" ht="14.25" customHeight="1" x14ac:dyDescent="0.2">
      <c r="A344" s="1004"/>
    </row>
    <row r="345" spans="1:39" ht="14.25" customHeight="1" x14ac:dyDescent="0.2">
      <c r="A345" s="1004"/>
    </row>
    <row r="350" spans="1:39" ht="14.25" customHeight="1" x14ac:dyDescent="0.2">
      <c r="D350" s="1174" t="s">
        <v>1982</v>
      </c>
      <c r="E350" s="1174"/>
      <c r="F350" s="1174"/>
      <c r="G350" s="1174"/>
      <c r="H350" s="1174"/>
      <c r="I350" s="1174"/>
      <c r="J350" s="1174"/>
      <c r="K350" s="1174"/>
      <c r="L350" s="1174"/>
      <c r="M350" s="1174"/>
      <c r="N350" s="1174"/>
      <c r="O350" s="1174"/>
      <c r="P350" s="1174"/>
      <c r="Q350" s="1174"/>
      <c r="R350" s="1174"/>
      <c r="S350" s="1174"/>
      <c r="T350" s="1174"/>
      <c r="U350" s="1174"/>
      <c r="V350" s="1174"/>
      <c r="W350" s="1174"/>
      <c r="X350" s="1174"/>
      <c r="Y350" s="1174"/>
      <c r="Z350" s="1174"/>
      <c r="AA350" s="1174"/>
      <c r="AB350" s="1174"/>
      <c r="AC350" s="1174"/>
      <c r="AD350" s="1174"/>
      <c r="AE350" s="1174"/>
      <c r="AF350" s="1174"/>
      <c r="AG350" s="1174"/>
    </row>
    <row r="351" spans="1:39" ht="14.25" customHeight="1" thickBot="1" x14ac:dyDescent="0.25"/>
    <row r="352" spans="1:39" ht="15.75" customHeight="1" thickTop="1" thickBot="1" x14ac:dyDescent="0.25">
      <c r="A352" s="933" t="s">
        <v>1465</v>
      </c>
      <c r="D352" s="1058" t="s">
        <v>131</v>
      </c>
      <c r="E352" s="1058"/>
      <c r="F352" s="1058"/>
      <c r="G352" s="1058"/>
      <c r="H352" s="1058"/>
      <c r="I352" s="1058"/>
      <c r="J352" s="1058"/>
      <c r="K352" s="1058"/>
      <c r="L352" s="1058"/>
      <c r="M352" s="1058"/>
      <c r="N352" s="1058"/>
      <c r="O352" s="1058"/>
      <c r="P352" s="1058"/>
      <c r="Q352" s="1058"/>
      <c r="R352" s="1058" t="s">
        <v>3</v>
      </c>
      <c r="S352" s="1058"/>
      <c r="T352" s="1058"/>
      <c r="U352" s="1058"/>
      <c r="V352" s="1058"/>
      <c r="W352" s="1058"/>
      <c r="X352" s="1058"/>
      <c r="Y352" s="1058"/>
      <c r="Z352" s="1058"/>
      <c r="AA352" s="1058"/>
      <c r="AB352" s="1058"/>
      <c r="AC352" s="1058"/>
      <c r="AD352" s="1058"/>
      <c r="AE352" s="1058"/>
      <c r="AF352" s="1058"/>
      <c r="AG352" s="1058"/>
      <c r="AM352" s="928" t="s">
        <v>3</v>
      </c>
    </row>
    <row r="353" spans="1:39" ht="15.75" customHeight="1" thickBot="1" x14ac:dyDescent="0.3">
      <c r="D353" s="1212" t="s">
        <v>191</v>
      </c>
      <c r="E353" s="1212"/>
      <c r="F353" s="1212"/>
      <c r="G353" s="1212"/>
      <c r="H353" s="1212"/>
      <c r="I353" s="1212"/>
      <c r="J353" s="1212"/>
      <c r="K353" s="1212"/>
      <c r="L353" s="1212"/>
      <c r="M353" s="1212"/>
      <c r="N353" s="1212"/>
      <c r="O353" s="1212"/>
      <c r="P353" s="1212"/>
      <c r="Q353" s="1212"/>
      <c r="R353" s="1284">
        <v>2924</v>
      </c>
      <c r="S353" s="1285"/>
      <c r="T353" s="1285"/>
      <c r="U353" s="1285"/>
      <c r="V353" s="1285"/>
      <c r="W353" s="1285"/>
      <c r="X353" s="1285"/>
      <c r="Y353" s="1285"/>
      <c r="Z353" s="1285"/>
      <c r="AA353" s="1285"/>
      <c r="AB353" s="1285"/>
      <c r="AC353" s="1285"/>
      <c r="AD353" s="1285"/>
      <c r="AE353" s="1285"/>
      <c r="AF353" s="1285"/>
      <c r="AG353" s="1286"/>
      <c r="AM353" s="962"/>
    </row>
    <row r="354" spans="1:39" ht="15.75" customHeight="1" thickBot="1" x14ac:dyDescent="0.3">
      <c r="D354" s="1212" t="s">
        <v>192</v>
      </c>
      <c r="E354" s="1212"/>
      <c r="F354" s="1212"/>
      <c r="G354" s="1212"/>
      <c r="H354" s="1212"/>
      <c r="I354" s="1212"/>
      <c r="J354" s="1212"/>
      <c r="K354" s="1212"/>
      <c r="L354" s="1212"/>
      <c r="M354" s="1212"/>
      <c r="N354" s="1212"/>
      <c r="O354" s="1212"/>
      <c r="P354" s="1212"/>
      <c r="Q354" s="1212"/>
      <c r="R354" s="1058" t="s">
        <v>2</v>
      </c>
      <c r="S354" s="1058"/>
      <c r="T354" s="1058"/>
      <c r="U354" s="1058"/>
      <c r="V354" s="1058"/>
      <c r="W354" s="1058"/>
      <c r="X354" s="1058"/>
      <c r="Y354" s="1058"/>
      <c r="Z354" s="1058"/>
      <c r="AA354" s="1058"/>
      <c r="AB354" s="1058"/>
      <c r="AC354" s="1058"/>
      <c r="AD354" s="1058"/>
      <c r="AE354" s="1058"/>
      <c r="AF354" s="1058"/>
      <c r="AG354" s="1058"/>
      <c r="AM354" s="963"/>
    </row>
    <row r="355" spans="1:39" ht="15.75" customHeight="1" x14ac:dyDescent="0.25">
      <c r="D355" s="1283" t="s">
        <v>193</v>
      </c>
      <c r="E355" s="1283"/>
      <c r="F355" s="1283"/>
      <c r="G355" s="1283"/>
      <c r="H355" s="1283"/>
      <c r="I355" s="1283"/>
      <c r="J355" s="1283"/>
      <c r="K355" s="1283"/>
      <c r="L355" s="1283"/>
      <c r="M355" s="1283"/>
      <c r="N355" s="1283"/>
      <c r="O355" s="1283"/>
      <c r="P355" s="1283"/>
      <c r="Q355" s="1283"/>
      <c r="R355" s="1165"/>
      <c r="S355" s="1165"/>
      <c r="T355" s="1165"/>
      <c r="U355" s="1165"/>
      <c r="V355" s="1165"/>
      <c r="W355" s="1165"/>
      <c r="X355" s="1165"/>
      <c r="Y355" s="1165"/>
      <c r="Z355" s="1165"/>
      <c r="AA355" s="1165"/>
      <c r="AB355" s="1165"/>
      <c r="AC355" s="1165"/>
      <c r="AD355" s="1165"/>
      <c r="AE355" s="1165"/>
      <c r="AF355" s="1165"/>
      <c r="AG355" s="1165"/>
      <c r="AM355" s="963"/>
    </row>
    <row r="356" spans="1:39" ht="15.75" customHeight="1" x14ac:dyDescent="0.25">
      <c r="D356" s="1171" t="s">
        <v>194</v>
      </c>
      <c r="E356" s="1171"/>
      <c r="F356" s="1171"/>
      <c r="G356" s="1171"/>
      <c r="H356" s="1171"/>
      <c r="I356" s="1171"/>
      <c r="J356" s="1171"/>
      <c r="K356" s="1171"/>
      <c r="L356" s="1171"/>
      <c r="M356" s="1171"/>
      <c r="N356" s="1171"/>
      <c r="O356" s="1171"/>
      <c r="P356" s="1171"/>
      <c r="Q356" s="1171"/>
      <c r="R356" s="1075"/>
      <c r="S356" s="1075"/>
      <c r="T356" s="1075"/>
      <c r="U356" s="1075"/>
      <c r="V356" s="1075"/>
      <c r="W356" s="1075"/>
      <c r="X356" s="1075"/>
      <c r="Y356" s="1075"/>
      <c r="Z356" s="1075"/>
      <c r="AA356" s="1075"/>
      <c r="AB356" s="1075"/>
      <c r="AC356" s="1075"/>
      <c r="AD356" s="1075"/>
      <c r="AE356" s="1075"/>
      <c r="AF356" s="1075"/>
      <c r="AG356" s="1075"/>
      <c r="AM356" s="963"/>
    </row>
    <row r="357" spans="1:39" ht="15.75" customHeight="1" x14ac:dyDescent="0.25">
      <c r="D357" s="1171" t="s">
        <v>195</v>
      </c>
      <c r="E357" s="1171"/>
      <c r="F357" s="1171"/>
      <c r="G357" s="1171"/>
      <c r="H357" s="1171"/>
      <c r="I357" s="1171"/>
      <c r="J357" s="1171"/>
      <c r="K357" s="1171"/>
      <c r="L357" s="1171"/>
      <c r="M357" s="1171"/>
      <c r="N357" s="1171"/>
      <c r="O357" s="1171"/>
      <c r="P357" s="1171"/>
      <c r="Q357" s="1171"/>
      <c r="R357" s="1075"/>
      <c r="S357" s="1075"/>
      <c r="T357" s="1075"/>
      <c r="U357" s="1075"/>
      <c r="V357" s="1075"/>
      <c r="W357" s="1075"/>
      <c r="X357" s="1075"/>
      <c r="Y357" s="1075"/>
      <c r="Z357" s="1075"/>
      <c r="AA357" s="1075"/>
      <c r="AB357" s="1075"/>
      <c r="AC357" s="1075"/>
      <c r="AD357" s="1075"/>
      <c r="AE357" s="1075"/>
      <c r="AF357" s="1075"/>
      <c r="AG357" s="1075"/>
      <c r="AM357" s="963"/>
    </row>
    <row r="358" spans="1:39" ht="15.75" customHeight="1" x14ac:dyDescent="0.25">
      <c r="D358" s="1171" t="s">
        <v>196</v>
      </c>
      <c r="E358" s="1171"/>
      <c r="F358" s="1171"/>
      <c r="G358" s="1171"/>
      <c r="H358" s="1171"/>
      <c r="I358" s="1171"/>
      <c r="J358" s="1171"/>
      <c r="K358" s="1171"/>
      <c r="L358" s="1171"/>
      <c r="M358" s="1171"/>
      <c r="N358" s="1171"/>
      <c r="O358" s="1171"/>
      <c r="P358" s="1171"/>
      <c r="Q358" s="1171"/>
      <c r="R358" s="1075"/>
      <c r="S358" s="1075"/>
      <c r="T358" s="1075"/>
      <c r="U358" s="1075"/>
      <c r="V358" s="1075"/>
      <c r="W358" s="1075"/>
      <c r="X358" s="1075"/>
      <c r="Y358" s="1075"/>
      <c r="Z358" s="1075"/>
      <c r="AA358" s="1075"/>
      <c r="AB358" s="1075"/>
      <c r="AC358" s="1075"/>
      <c r="AD358" s="1075"/>
      <c r="AE358" s="1075"/>
      <c r="AF358" s="1075"/>
      <c r="AG358" s="1075"/>
      <c r="AM358" s="963"/>
    </row>
    <row r="359" spans="1:39" ht="15.75" customHeight="1" x14ac:dyDescent="0.25">
      <c r="D359" s="1171" t="s">
        <v>197</v>
      </c>
      <c r="E359" s="1171"/>
      <c r="F359" s="1171"/>
      <c r="G359" s="1171"/>
      <c r="H359" s="1171"/>
      <c r="I359" s="1171"/>
      <c r="J359" s="1171"/>
      <c r="K359" s="1171"/>
      <c r="L359" s="1171"/>
      <c r="M359" s="1171"/>
      <c r="N359" s="1171"/>
      <c r="O359" s="1171"/>
      <c r="P359" s="1171"/>
      <c r="Q359" s="1171"/>
      <c r="R359" s="1075"/>
      <c r="S359" s="1075"/>
      <c r="T359" s="1075"/>
      <c r="U359" s="1075"/>
      <c r="V359" s="1075"/>
      <c r="W359" s="1075"/>
      <c r="X359" s="1075"/>
      <c r="Y359" s="1075"/>
      <c r="Z359" s="1075"/>
      <c r="AA359" s="1075"/>
      <c r="AB359" s="1075"/>
      <c r="AC359" s="1075"/>
      <c r="AD359" s="1075"/>
      <c r="AE359" s="1075"/>
      <c r="AF359" s="1075"/>
      <c r="AG359" s="1075"/>
      <c r="AM359" s="963"/>
    </row>
    <row r="360" spans="1:39" ht="15.75" customHeight="1" x14ac:dyDescent="0.25">
      <c r="D360" s="1171" t="s">
        <v>198</v>
      </c>
      <c r="E360" s="1171"/>
      <c r="F360" s="1171"/>
      <c r="G360" s="1171"/>
      <c r="H360" s="1171"/>
      <c r="I360" s="1171"/>
      <c r="J360" s="1171"/>
      <c r="K360" s="1171"/>
      <c r="L360" s="1171"/>
      <c r="M360" s="1171"/>
      <c r="N360" s="1171"/>
      <c r="O360" s="1171"/>
      <c r="P360" s="1171"/>
      <c r="Q360" s="1171"/>
      <c r="R360" s="1075"/>
      <c r="S360" s="1075"/>
      <c r="T360" s="1075"/>
      <c r="U360" s="1075"/>
      <c r="V360" s="1075"/>
      <c r="W360" s="1075"/>
      <c r="X360" s="1075"/>
      <c r="Y360" s="1075"/>
      <c r="Z360" s="1075"/>
      <c r="AA360" s="1075"/>
      <c r="AB360" s="1075"/>
      <c r="AC360" s="1075"/>
      <c r="AD360" s="1075"/>
      <c r="AE360" s="1075"/>
      <c r="AF360" s="1075"/>
      <c r="AG360" s="1075"/>
      <c r="AM360" s="963"/>
    </row>
    <row r="361" spans="1:39" ht="15.75" customHeight="1" x14ac:dyDescent="0.25">
      <c r="D361" s="1171" t="s">
        <v>199</v>
      </c>
      <c r="E361" s="1171"/>
      <c r="F361" s="1171"/>
      <c r="G361" s="1171"/>
      <c r="H361" s="1171"/>
      <c r="I361" s="1171"/>
      <c r="J361" s="1171"/>
      <c r="K361" s="1171"/>
      <c r="L361" s="1171"/>
      <c r="M361" s="1171"/>
      <c r="N361" s="1171"/>
      <c r="O361" s="1171"/>
      <c r="P361" s="1171"/>
      <c r="Q361" s="1171"/>
      <c r="R361" s="1075">
        <v>2924</v>
      </c>
      <c r="S361" s="1075"/>
      <c r="T361" s="1075"/>
      <c r="U361" s="1075"/>
      <c r="V361" s="1075"/>
      <c r="W361" s="1075"/>
      <c r="X361" s="1075"/>
      <c r="Y361" s="1075"/>
      <c r="Z361" s="1075"/>
      <c r="AA361" s="1075"/>
      <c r="AB361" s="1075"/>
      <c r="AC361" s="1075"/>
      <c r="AD361" s="1075"/>
      <c r="AE361" s="1075"/>
      <c r="AF361" s="1075"/>
      <c r="AG361" s="1075"/>
      <c r="AM361" s="963"/>
    </row>
    <row r="362" spans="1:39" ht="15.75" customHeight="1" x14ac:dyDescent="0.2">
      <c r="D362" s="1171" t="s">
        <v>200</v>
      </c>
      <c r="E362" s="1171"/>
      <c r="F362" s="1171"/>
      <c r="G362" s="1171"/>
      <c r="H362" s="1171"/>
      <c r="I362" s="1171"/>
      <c r="J362" s="1171"/>
      <c r="K362" s="1171"/>
      <c r="L362" s="1171"/>
      <c r="M362" s="1171"/>
      <c r="N362" s="1171"/>
      <c r="O362" s="1171"/>
      <c r="P362" s="1171"/>
      <c r="Q362" s="1171"/>
      <c r="R362" s="1075"/>
      <c r="S362" s="1075"/>
      <c r="T362" s="1075"/>
      <c r="U362" s="1075"/>
      <c r="V362" s="1075"/>
      <c r="W362" s="1075"/>
      <c r="X362" s="1075"/>
      <c r="Y362" s="1075"/>
      <c r="Z362" s="1075"/>
      <c r="AA362" s="1075"/>
      <c r="AB362" s="1075"/>
      <c r="AC362" s="1075"/>
      <c r="AD362" s="1075"/>
      <c r="AE362" s="1075"/>
      <c r="AF362" s="1075"/>
      <c r="AG362" s="1075"/>
      <c r="AM362" s="964"/>
    </row>
    <row r="363" spans="1:39" ht="15.75" customHeight="1" thickBot="1" x14ac:dyDescent="0.25">
      <c r="D363" s="1282" t="s">
        <v>14</v>
      </c>
      <c r="E363" s="1282"/>
      <c r="F363" s="1282"/>
      <c r="G363" s="1282"/>
      <c r="H363" s="1282"/>
      <c r="I363" s="1282"/>
      <c r="J363" s="1282"/>
      <c r="K363" s="1282"/>
      <c r="L363" s="1282"/>
      <c r="M363" s="1282"/>
      <c r="N363" s="1282"/>
      <c r="O363" s="1282"/>
      <c r="P363" s="1282"/>
      <c r="Q363" s="1282"/>
      <c r="R363" s="1287">
        <f>SUM(R355:AG362)</f>
        <v>2924</v>
      </c>
      <c r="S363" s="1288"/>
      <c r="T363" s="1288"/>
      <c r="U363" s="1288"/>
      <c r="V363" s="1288"/>
      <c r="W363" s="1288"/>
      <c r="X363" s="1288"/>
      <c r="Y363" s="1288"/>
      <c r="Z363" s="1288"/>
      <c r="AA363" s="1288"/>
      <c r="AB363" s="1288"/>
      <c r="AC363" s="1288"/>
      <c r="AD363" s="1288"/>
      <c r="AE363" s="1288"/>
      <c r="AF363" s="1288"/>
      <c r="AG363" s="1289"/>
      <c r="AM363" s="957">
        <f>SUM(R355:AG362)-R363</f>
        <v>0</v>
      </c>
    </row>
    <row r="364" spans="1:39" ht="14.25" hidden="1" customHeight="1" x14ac:dyDescent="0.2">
      <c r="AM364" s="964"/>
    </row>
    <row r="365" spans="1:39" ht="15.75" hidden="1" customHeight="1" thickBot="1" x14ac:dyDescent="0.25">
      <c r="A365" s="933" t="s">
        <v>1466</v>
      </c>
      <c r="D365" s="1302" t="s">
        <v>131</v>
      </c>
      <c r="E365" s="1303"/>
      <c r="F365" s="1303"/>
      <c r="G365" s="1303"/>
      <c r="H365" s="1303"/>
      <c r="I365" s="1303"/>
      <c r="J365" s="1303"/>
      <c r="K365" s="1303"/>
      <c r="L365" s="1303"/>
      <c r="M365" s="1303"/>
      <c r="N365" s="1303"/>
      <c r="O365" s="1303"/>
      <c r="P365" s="1303"/>
      <c r="Q365" s="1304"/>
      <c r="R365" s="1058" t="s">
        <v>3</v>
      </c>
      <c r="S365" s="1058"/>
      <c r="T365" s="1058"/>
      <c r="U365" s="1058"/>
      <c r="V365" s="1058"/>
      <c r="W365" s="1058"/>
      <c r="X365" s="1058"/>
      <c r="Y365" s="1058"/>
      <c r="Z365" s="1058"/>
      <c r="AA365" s="1058"/>
      <c r="AB365" s="1058"/>
      <c r="AC365" s="1058"/>
      <c r="AD365" s="1058"/>
      <c r="AE365" s="1058"/>
      <c r="AF365" s="1058"/>
      <c r="AG365" s="1058"/>
      <c r="AM365" s="964"/>
    </row>
    <row r="366" spans="1:39" ht="15.75" hidden="1" customHeight="1" thickBot="1" x14ac:dyDescent="0.25">
      <c r="D366" s="1299" t="s">
        <v>201</v>
      </c>
      <c r="E366" s="1300"/>
      <c r="F366" s="1300"/>
      <c r="G366" s="1300"/>
      <c r="H366" s="1300"/>
      <c r="I366" s="1300"/>
      <c r="J366" s="1300"/>
      <c r="K366" s="1300"/>
      <c r="L366" s="1300"/>
      <c r="M366" s="1300"/>
      <c r="N366" s="1300"/>
      <c r="O366" s="1300"/>
      <c r="P366" s="1300"/>
      <c r="Q366" s="1301"/>
      <c r="R366" s="1305"/>
      <c r="S366" s="1305"/>
      <c r="T366" s="1305"/>
      <c r="U366" s="1305"/>
      <c r="V366" s="1305"/>
      <c r="W366" s="1305"/>
      <c r="X366" s="1305"/>
      <c r="Y366" s="1305"/>
      <c r="Z366" s="1305"/>
      <c r="AA366" s="1305"/>
      <c r="AB366" s="1305"/>
      <c r="AC366" s="1305"/>
      <c r="AD366" s="1305"/>
      <c r="AE366" s="1305"/>
      <c r="AF366" s="1305"/>
      <c r="AG366" s="1305"/>
      <c r="AM366" s="964"/>
    </row>
    <row r="367" spans="1:39" ht="15.75" hidden="1" customHeight="1" thickBot="1" x14ac:dyDescent="0.25">
      <c r="D367" s="1299" t="s">
        <v>202</v>
      </c>
      <c r="E367" s="1300"/>
      <c r="F367" s="1300"/>
      <c r="G367" s="1300"/>
      <c r="H367" s="1300"/>
      <c r="I367" s="1300"/>
      <c r="J367" s="1300"/>
      <c r="K367" s="1300"/>
      <c r="L367" s="1300"/>
      <c r="M367" s="1300"/>
      <c r="N367" s="1300"/>
      <c r="O367" s="1300"/>
      <c r="P367" s="1300"/>
      <c r="Q367" s="1301"/>
      <c r="R367" s="1058" t="s">
        <v>2</v>
      </c>
      <c r="S367" s="1058"/>
      <c r="T367" s="1058"/>
      <c r="U367" s="1058"/>
      <c r="V367" s="1058"/>
      <c r="W367" s="1058"/>
      <c r="X367" s="1058"/>
      <c r="Y367" s="1058"/>
      <c r="Z367" s="1058"/>
      <c r="AA367" s="1058"/>
      <c r="AB367" s="1058"/>
      <c r="AC367" s="1058"/>
      <c r="AD367" s="1058"/>
      <c r="AE367" s="1058"/>
      <c r="AF367" s="1058"/>
      <c r="AG367" s="1058"/>
      <c r="AM367" s="964"/>
    </row>
    <row r="368" spans="1:39" ht="15.75" hidden="1" customHeight="1" x14ac:dyDescent="0.2">
      <c r="D368" s="1296" t="s">
        <v>203</v>
      </c>
      <c r="E368" s="1297"/>
      <c r="F368" s="1297"/>
      <c r="G368" s="1297"/>
      <c r="H368" s="1297"/>
      <c r="I368" s="1297"/>
      <c r="J368" s="1297"/>
      <c r="K368" s="1297"/>
      <c r="L368" s="1297"/>
      <c r="M368" s="1297"/>
      <c r="N368" s="1297"/>
      <c r="O368" s="1297"/>
      <c r="P368" s="1297"/>
      <c r="Q368" s="1298"/>
      <c r="R368" s="1165"/>
      <c r="S368" s="1165"/>
      <c r="T368" s="1165"/>
      <c r="U368" s="1165"/>
      <c r="V368" s="1165"/>
      <c r="W368" s="1165"/>
      <c r="X368" s="1165"/>
      <c r="Y368" s="1165"/>
      <c r="Z368" s="1165"/>
      <c r="AA368" s="1165"/>
      <c r="AB368" s="1165"/>
      <c r="AC368" s="1165"/>
      <c r="AD368" s="1165"/>
      <c r="AE368" s="1165"/>
      <c r="AF368" s="1165"/>
      <c r="AG368" s="1165"/>
      <c r="AM368" s="964"/>
    </row>
    <row r="369" spans="1:41" ht="15.75" hidden="1" customHeight="1" x14ac:dyDescent="0.2">
      <c r="D369" s="1293" t="s">
        <v>204</v>
      </c>
      <c r="E369" s="1294"/>
      <c r="F369" s="1294"/>
      <c r="G369" s="1294"/>
      <c r="H369" s="1294"/>
      <c r="I369" s="1294"/>
      <c r="J369" s="1294"/>
      <c r="K369" s="1294"/>
      <c r="L369" s="1294"/>
      <c r="M369" s="1294"/>
      <c r="N369" s="1294"/>
      <c r="O369" s="1294"/>
      <c r="P369" s="1294"/>
      <c r="Q369" s="1295"/>
      <c r="R369" s="1075"/>
      <c r="S369" s="1075"/>
      <c r="T369" s="1075"/>
      <c r="U369" s="1075"/>
      <c r="V369" s="1075"/>
      <c r="W369" s="1075"/>
      <c r="X369" s="1075"/>
      <c r="Y369" s="1075"/>
      <c r="Z369" s="1075"/>
      <c r="AA369" s="1075"/>
      <c r="AB369" s="1075"/>
      <c r="AC369" s="1075"/>
      <c r="AD369" s="1075"/>
      <c r="AE369" s="1075"/>
      <c r="AF369" s="1075"/>
      <c r="AG369" s="1075"/>
      <c r="AM369" s="964"/>
    </row>
    <row r="370" spans="1:41" ht="15.75" hidden="1" customHeight="1" x14ac:dyDescent="0.2">
      <c r="D370" s="1293" t="s">
        <v>205</v>
      </c>
      <c r="E370" s="1294"/>
      <c r="F370" s="1294"/>
      <c r="G370" s="1294"/>
      <c r="H370" s="1294"/>
      <c r="I370" s="1294"/>
      <c r="J370" s="1294"/>
      <c r="K370" s="1294"/>
      <c r="L370" s="1294"/>
      <c r="M370" s="1294"/>
      <c r="N370" s="1294"/>
      <c r="O370" s="1294"/>
      <c r="P370" s="1294"/>
      <c r="Q370" s="1295"/>
      <c r="R370" s="1075"/>
      <c r="S370" s="1075"/>
      <c r="T370" s="1075"/>
      <c r="U370" s="1075"/>
      <c r="V370" s="1075"/>
      <c r="W370" s="1075"/>
      <c r="X370" s="1075"/>
      <c r="Y370" s="1075"/>
      <c r="Z370" s="1075"/>
      <c r="AA370" s="1075"/>
      <c r="AB370" s="1075"/>
      <c r="AC370" s="1075"/>
      <c r="AD370" s="1075"/>
      <c r="AE370" s="1075"/>
      <c r="AF370" s="1075"/>
      <c r="AG370" s="1075"/>
      <c r="AM370" s="964"/>
    </row>
    <row r="371" spans="1:41" ht="15.75" hidden="1" customHeight="1" x14ac:dyDescent="0.2">
      <c r="D371" s="1293" t="s">
        <v>206</v>
      </c>
      <c r="E371" s="1294"/>
      <c r="F371" s="1294"/>
      <c r="G371" s="1294"/>
      <c r="H371" s="1294"/>
      <c r="I371" s="1294"/>
      <c r="J371" s="1294"/>
      <c r="K371" s="1294"/>
      <c r="L371" s="1294"/>
      <c r="M371" s="1294"/>
      <c r="N371" s="1294"/>
      <c r="O371" s="1294"/>
      <c r="P371" s="1294"/>
      <c r="Q371" s="1295"/>
      <c r="R371" s="1075"/>
      <c r="S371" s="1075"/>
      <c r="T371" s="1075"/>
      <c r="U371" s="1075"/>
      <c r="V371" s="1075"/>
      <c r="W371" s="1075"/>
      <c r="X371" s="1075"/>
      <c r="Y371" s="1075"/>
      <c r="Z371" s="1075"/>
      <c r="AA371" s="1075"/>
      <c r="AB371" s="1075"/>
      <c r="AC371" s="1075"/>
      <c r="AD371" s="1075"/>
      <c r="AE371" s="1075"/>
      <c r="AF371" s="1075"/>
      <c r="AG371" s="1075"/>
      <c r="AM371" s="964"/>
    </row>
    <row r="372" spans="1:41" ht="15.75" hidden="1" customHeight="1" x14ac:dyDescent="0.2">
      <c r="D372" s="1293" t="s">
        <v>207</v>
      </c>
      <c r="E372" s="1294"/>
      <c r="F372" s="1294"/>
      <c r="G372" s="1294"/>
      <c r="H372" s="1294"/>
      <c r="I372" s="1294"/>
      <c r="J372" s="1294"/>
      <c r="K372" s="1294"/>
      <c r="L372" s="1294"/>
      <c r="M372" s="1294"/>
      <c r="N372" s="1294"/>
      <c r="O372" s="1294"/>
      <c r="P372" s="1294"/>
      <c r="Q372" s="1295"/>
      <c r="R372" s="1075"/>
      <c r="S372" s="1075"/>
      <c r="T372" s="1075"/>
      <c r="U372" s="1075"/>
      <c r="V372" s="1075"/>
      <c r="W372" s="1075"/>
      <c r="X372" s="1075"/>
      <c r="Y372" s="1075"/>
      <c r="Z372" s="1075"/>
      <c r="AA372" s="1075"/>
      <c r="AB372" s="1075"/>
      <c r="AC372" s="1075"/>
      <c r="AD372" s="1075"/>
      <c r="AE372" s="1075"/>
      <c r="AF372" s="1075"/>
      <c r="AG372" s="1075"/>
      <c r="AM372" s="964"/>
    </row>
    <row r="373" spans="1:41" ht="15.75" hidden="1" customHeight="1" x14ac:dyDescent="0.2">
      <c r="D373" s="1293" t="s">
        <v>200</v>
      </c>
      <c r="E373" s="1294"/>
      <c r="F373" s="1294"/>
      <c r="G373" s="1294"/>
      <c r="H373" s="1294"/>
      <c r="I373" s="1294"/>
      <c r="J373" s="1294"/>
      <c r="K373" s="1294"/>
      <c r="L373" s="1294"/>
      <c r="M373" s="1294"/>
      <c r="N373" s="1294"/>
      <c r="O373" s="1294"/>
      <c r="P373" s="1294"/>
      <c r="Q373" s="1295"/>
      <c r="R373" s="1075"/>
      <c r="S373" s="1075"/>
      <c r="T373" s="1075"/>
      <c r="U373" s="1075"/>
      <c r="V373" s="1075"/>
      <c r="W373" s="1075"/>
      <c r="X373" s="1075"/>
      <c r="Y373" s="1075"/>
      <c r="Z373" s="1075"/>
      <c r="AA373" s="1075"/>
      <c r="AB373" s="1075"/>
      <c r="AC373" s="1075"/>
      <c r="AD373" s="1075"/>
      <c r="AE373" s="1075"/>
      <c r="AF373" s="1075"/>
      <c r="AG373" s="1075"/>
      <c r="AM373" s="964"/>
    </row>
    <row r="374" spans="1:41" ht="15.75" hidden="1" customHeight="1" thickBot="1" x14ac:dyDescent="0.25">
      <c r="D374" s="1290" t="s">
        <v>208</v>
      </c>
      <c r="E374" s="1291"/>
      <c r="F374" s="1291"/>
      <c r="G374" s="1291"/>
      <c r="H374" s="1291"/>
      <c r="I374" s="1291"/>
      <c r="J374" s="1291"/>
      <c r="K374" s="1291"/>
      <c r="L374" s="1291"/>
      <c r="M374" s="1291"/>
      <c r="N374" s="1291"/>
      <c r="O374" s="1291"/>
      <c r="P374" s="1291"/>
      <c r="Q374" s="1292"/>
      <c r="R374" s="1287">
        <f>SUM(R366:AG373)</f>
        <v>0</v>
      </c>
      <c r="S374" s="1288"/>
      <c r="T374" s="1288"/>
      <c r="U374" s="1288"/>
      <c r="V374" s="1288"/>
      <c r="W374" s="1288"/>
      <c r="X374" s="1288"/>
      <c r="Y374" s="1288"/>
      <c r="Z374" s="1288"/>
      <c r="AA374" s="1288"/>
      <c r="AB374" s="1288"/>
      <c r="AC374" s="1288"/>
      <c r="AD374" s="1288"/>
      <c r="AE374" s="1288"/>
      <c r="AF374" s="1288"/>
      <c r="AG374" s="1289"/>
      <c r="AM374" s="958">
        <f>SUM(R368:AG373)-R374</f>
        <v>0</v>
      </c>
    </row>
    <row r="376" spans="1:41" ht="14.25" customHeight="1" x14ac:dyDescent="0.2">
      <c r="D376" s="634" t="s">
        <v>1955</v>
      </c>
    </row>
    <row r="378" spans="1:41" ht="14.25" customHeight="1" x14ac:dyDescent="0.2">
      <c r="D378" s="1138" t="s">
        <v>1467</v>
      </c>
      <c r="E378" s="1138"/>
      <c r="F378" s="1138"/>
      <c r="G378" s="1138"/>
      <c r="H378" s="1138"/>
      <c r="I378" s="1138"/>
      <c r="J378" s="1138"/>
      <c r="K378" s="1138"/>
      <c r="L378" s="1138"/>
      <c r="M378" s="1138"/>
      <c r="N378" s="1138"/>
      <c r="O378" s="1138"/>
      <c r="P378" s="1138"/>
      <c r="Q378" s="1138"/>
      <c r="R378" s="1138"/>
      <c r="S378" s="1138"/>
      <c r="T378" s="1138"/>
      <c r="U378" s="1138"/>
      <c r="V378" s="1138"/>
      <c r="W378" s="1138"/>
      <c r="X378" s="1138"/>
      <c r="Y378" s="1138"/>
      <c r="Z378" s="1138"/>
      <c r="AA378" s="1138"/>
      <c r="AB378" s="1138"/>
      <c r="AC378" s="1138"/>
      <c r="AD378" s="1138"/>
      <c r="AE378" s="1138"/>
      <c r="AF378" s="1138"/>
      <c r="AG378" s="1138"/>
    </row>
    <row r="379" spans="1:41" ht="14.25" customHeight="1" thickBot="1" x14ac:dyDescent="0.25"/>
    <row r="380" spans="1:41" ht="14.25" customHeight="1" thickBot="1" x14ac:dyDescent="0.25">
      <c r="A380" s="933" t="s">
        <v>1468</v>
      </c>
      <c r="D380" s="1058" t="s">
        <v>1</v>
      </c>
      <c r="E380" s="1058"/>
      <c r="F380" s="1058"/>
      <c r="G380" s="1058"/>
      <c r="H380" s="1058"/>
      <c r="I380" s="1058" t="s">
        <v>2</v>
      </c>
      <c r="J380" s="1058"/>
      <c r="K380" s="1058"/>
      <c r="L380" s="1058"/>
      <c r="M380" s="1058"/>
      <c r="N380" s="1058"/>
      <c r="O380" s="1058"/>
      <c r="P380" s="1058"/>
      <c r="Q380" s="1058"/>
      <c r="R380" s="1058"/>
      <c r="S380" s="1058"/>
      <c r="T380" s="1058"/>
      <c r="U380" s="1058"/>
      <c r="V380" s="1058"/>
      <c r="W380" s="1058"/>
      <c r="X380" s="1058"/>
      <c r="Y380" s="1058"/>
      <c r="Z380" s="1058"/>
      <c r="AA380" s="1058"/>
      <c r="AB380" s="1058"/>
      <c r="AC380" s="1058"/>
      <c r="AD380" s="1058"/>
      <c r="AE380" s="1058"/>
      <c r="AF380" s="1058"/>
      <c r="AG380" s="1058"/>
    </row>
    <row r="381" spans="1:41" ht="30.75" customHeight="1" thickTop="1" thickBot="1" x14ac:dyDescent="0.25">
      <c r="D381" s="1058"/>
      <c r="E381" s="1058"/>
      <c r="F381" s="1058"/>
      <c r="G381" s="1058"/>
      <c r="H381" s="1058"/>
      <c r="I381" s="1059" t="s">
        <v>32</v>
      </c>
      <c r="J381" s="1059"/>
      <c r="K381" s="1059"/>
      <c r="L381" s="1059"/>
      <c r="M381" s="1059"/>
      <c r="N381" s="1059" t="s">
        <v>124</v>
      </c>
      <c r="O381" s="1059"/>
      <c r="P381" s="1059"/>
      <c r="Q381" s="1059"/>
      <c r="R381" s="1059"/>
      <c r="S381" s="1059" t="s">
        <v>210</v>
      </c>
      <c r="T381" s="1059"/>
      <c r="U381" s="1059"/>
      <c r="V381" s="1059"/>
      <c r="W381" s="1059"/>
      <c r="X381" s="1059" t="s">
        <v>211</v>
      </c>
      <c r="Y381" s="1059"/>
      <c r="Z381" s="1059"/>
      <c r="AA381" s="1059"/>
      <c r="AB381" s="1059"/>
      <c r="AC381" s="1059" t="s">
        <v>30</v>
      </c>
      <c r="AD381" s="1059"/>
      <c r="AE381" s="1059"/>
      <c r="AF381" s="1059"/>
      <c r="AG381" s="1059"/>
      <c r="AL381" s="925" t="s">
        <v>472</v>
      </c>
      <c r="AM381" s="925" t="s">
        <v>30</v>
      </c>
      <c r="AO381" s="925" t="s">
        <v>30</v>
      </c>
    </row>
    <row r="382" spans="1:41" ht="28.5" customHeight="1" thickBot="1" x14ac:dyDescent="0.25">
      <c r="D382" s="1320" t="s">
        <v>212</v>
      </c>
      <c r="E382" s="1321"/>
      <c r="F382" s="1321"/>
      <c r="G382" s="1321"/>
      <c r="H382" s="1322"/>
      <c r="I382" s="1323"/>
      <c r="J382" s="1324"/>
      <c r="K382" s="1324"/>
      <c r="L382" s="1324"/>
      <c r="M382" s="1324"/>
      <c r="N382" s="1324"/>
      <c r="O382" s="1324"/>
      <c r="P382" s="1324"/>
      <c r="Q382" s="1324"/>
      <c r="R382" s="1324"/>
      <c r="S382" s="1324"/>
      <c r="T382" s="1324"/>
      <c r="U382" s="1324"/>
      <c r="V382" s="1324"/>
      <c r="W382" s="1324"/>
      <c r="X382" s="1324"/>
      <c r="Y382" s="1324"/>
      <c r="Z382" s="1324"/>
      <c r="AA382" s="1324"/>
      <c r="AB382" s="1324"/>
      <c r="AC382" s="1325">
        <f>SUM(I382:AB382)</f>
        <v>0</v>
      </c>
      <c r="AD382" s="1325"/>
      <c r="AE382" s="1325"/>
      <c r="AF382" s="1325"/>
      <c r="AG382" s="1326"/>
      <c r="AL382" s="965">
        <f t="shared" ref="AL382:AL387" si="96">I382-AC395</f>
        <v>0</v>
      </c>
      <c r="AM382" s="966">
        <f>SUM(I382:AB382)-AC382</f>
        <v>0</v>
      </c>
      <c r="AO382" s="967">
        <f>AC382-BS!$D$105-BS!$D$107</f>
        <v>0</v>
      </c>
    </row>
    <row r="383" spans="1:41" ht="28.5" customHeight="1" thickBot="1" x14ac:dyDescent="0.25">
      <c r="D383" s="1320" t="s">
        <v>213</v>
      </c>
      <c r="E383" s="1321"/>
      <c r="F383" s="1321"/>
      <c r="G383" s="1321"/>
      <c r="H383" s="1322"/>
      <c r="I383" s="1323">
        <v>93989</v>
      </c>
      <c r="J383" s="1324"/>
      <c r="K383" s="1324"/>
      <c r="L383" s="1324"/>
      <c r="M383" s="1324"/>
      <c r="N383" s="1324">
        <f>SUM(N384:R390)</f>
        <v>79953.95</v>
      </c>
      <c r="O383" s="1324"/>
      <c r="P383" s="1324"/>
      <c r="Q383" s="1324"/>
      <c r="R383" s="1324"/>
      <c r="S383" s="1324">
        <f>SUM(S384:W390)</f>
        <v>34563</v>
      </c>
      <c r="T383" s="1324"/>
      <c r="U383" s="1324"/>
      <c r="V383" s="1324"/>
      <c r="W383" s="1324"/>
      <c r="X383" s="1324">
        <f>SUM(X384:AB390)</f>
        <v>14154</v>
      </c>
      <c r="Y383" s="1324"/>
      <c r="Z383" s="1324"/>
      <c r="AA383" s="1324"/>
      <c r="AB383" s="1324"/>
      <c r="AC383" s="1325">
        <f>SUM(AC384:AG390)</f>
        <v>125225.95</v>
      </c>
      <c r="AD383" s="1325"/>
      <c r="AE383" s="1325"/>
      <c r="AF383" s="1325"/>
      <c r="AG383" s="1326"/>
      <c r="AL383" s="968">
        <f t="shared" si="96"/>
        <v>0</v>
      </c>
      <c r="AM383" s="969">
        <f t="shared" ref="AM383:AM390" si="97">SUM(I383:AB383)-AC383</f>
        <v>97434.000000000015</v>
      </c>
      <c r="AO383" s="970">
        <f>AC383-BS!$D$106-BS!$D$108</f>
        <v>-5.0000000002910383E-2</v>
      </c>
    </row>
    <row r="384" spans="1:41" ht="21.75" customHeight="1" x14ac:dyDescent="0.2">
      <c r="D384" s="1128" t="s">
        <v>1902</v>
      </c>
      <c r="E384" s="1129"/>
      <c r="F384" s="1129"/>
      <c r="G384" s="1129"/>
      <c r="H384" s="1130"/>
      <c r="I384" s="1337">
        <v>2750</v>
      </c>
      <c r="J384" s="1338"/>
      <c r="K384" s="1338"/>
      <c r="L384" s="1338"/>
      <c r="M384" s="1338"/>
      <c r="N384" s="1206">
        <v>2050</v>
      </c>
      <c r="O384" s="1206"/>
      <c r="P384" s="1206"/>
      <c r="Q384" s="1206"/>
      <c r="R384" s="1206"/>
      <c r="S384" s="1206">
        <v>2000</v>
      </c>
      <c r="T384" s="1206"/>
      <c r="U384" s="1206"/>
      <c r="V384" s="1206"/>
      <c r="W384" s="1206"/>
      <c r="X384" s="1206">
        <v>750</v>
      </c>
      <c r="Y384" s="1206"/>
      <c r="Z384" s="1206"/>
      <c r="AA384" s="1206"/>
      <c r="AB384" s="1206"/>
      <c r="AC384" s="1207">
        <f>I384+N384-S384-X384</f>
        <v>2050</v>
      </c>
      <c r="AD384" s="1207"/>
      <c r="AE384" s="1207"/>
      <c r="AF384" s="1207"/>
      <c r="AG384" s="1208"/>
      <c r="AL384" s="968">
        <f t="shared" si="96"/>
        <v>0</v>
      </c>
      <c r="AM384" s="969">
        <f>SUM(I384:AB384)-AC384</f>
        <v>5500</v>
      </c>
      <c r="AO384" s="969"/>
    </row>
    <row r="385" spans="1:41" ht="21.75" customHeight="1" x14ac:dyDescent="0.2">
      <c r="D385" s="1054" t="s">
        <v>1903</v>
      </c>
      <c r="E385" s="1055"/>
      <c r="F385" s="1055"/>
      <c r="G385" s="1055"/>
      <c r="H385" s="1056"/>
      <c r="I385" s="1318">
        <v>1000</v>
      </c>
      <c r="J385" s="1319"/>
      <c r="K385" s="1319"/>
      <c r="L385" s="1319"/>
      <c r="M385" s="1319"/>
      <c r="N385" s="1201">
        <v>1000</v>
      </c>
      <c r="O385" s="1201"/>
      <c r="P385" s="1201"/>
      <c r="Q385" s="1201"/>
      <c r="R385" s="1201"/>
      <c r="S385" s="1201">
        <v>1000</v>
      </c>
      <c r="T385" s="1201"/>
      <c r="U385" s="1201"/>
      <c r="V385" s="1201"/>
      <c r="W385" s="1201"/>
      <c r="X385" s="1201"/>
      <c r="Y385" s="1201"/>
      <c r="Z385" s="1201"/>
      <c r="AA385" s="1201"/>
      <c r="AB385" s="1201"/>
      <c r="AC385" s="1202">
        <v>1000</v>
      </c>
      <c r="AD385" s="1202"/>
      <c r="AE385" s="1202"/>
      <c r="AF385" s="1202"/>
      <c r="AG385" s="1203"/>
      <c r="AL385" s="968">
        <f t="shared" si="96"/>
        <v>0</v>
      </c>
      <c r="AM385" s="969">
        <f t="shared" si="97"/>
        <v>2000</v>
      </c>
      <c r="AO385" s="964"/>
    </row>
    <row r="386" spans="1:41" ht="21.75" customHeight="1" x14ac:dyDescent="0.2">
      <c r="D386" s="1054" t="s">
        <v>1983</v>
      </c>
      <c r="E386" s="1055"/>
      <c r="F386" s="1055"/>
      <c r="G386" s="1055"/>
      <c r="H386" s="1056"/>
      <c r="I386" s="1318">
        <v>24000</v>
      </c>
      <c r="J386" s="1319"/>
      <c r="K386" s="1319"/>
      <c r="L386" s="1319"/>
      <c r="M386" s="1319"/>
      <c r="N386" s="1201">
        <v>12000</v>
      </c>
      <c r="O386" s="1201"/>
      <c r="P386" s="1201"/>
      <c r="Q386" s="1201"/>
      <c r="R386" s="1201"/>
      <c r="S386" s="1201">
        <v>10596</v>
      </c>
      <c r="T386" s="1201"/>
      <c r="U386" s="1201"/>
      <c r="V386" s="1201"/>
      <c r="W386" s="1201"/>
      <c r="X386" s="1201">
        <v>13404</v>
      </c>
      <c r="Y386" s="1201"/>
      <c r="Z386" s="1201"/>
      <c r="AA386" s="1201"/>
      <c r="AB386" s="1201"/>
      <c r="AC386" s="1202">
        <f>I386+N386-S386-X386</f>
        <v>12000</v>
      </c>
      <c r="AD386" s="1202"/>
      <c r="AE386" s="1202"/>
      <c r="AF386" s="1202"/>
      <c r="AG386" s="1203"/>
      <c r="AL386" s="968">
        <f t="shared" si="96"/>
        <v>0</v>
      </c>
      <c r="AM386" s="969">
        <f t="shared" si="97"/>
        <v>48000</v>
      </c>
      <c r="AO386" s="964"/>
    </row>
    <row r="387" spans="1:41" ht="21.75" customHeight="1" x14ac:dyDescent="0.2">
      <c r="D387" s="1054" t="s">
        <v>1904</v>
      </c>
      <c r="E387" s="1055"/>
      <c r="F387" s="1055"/>
      <c r="G387" s="1055"/>
      <c r="H387" s="1056"/>
      <c r="I387" s="1318">
        <v>300</v>
      </c>
      <c r="J387" s="1319"/>
      <c r="K387" s="1319"/>
      <c r="L387" s="1319"/>
      <c r="M387" s="1319"/>
      <c r="N387" s="1201">
        <v>300</v>
      </c>
      <c r="O387" s="1201"/>
      <c r="P387" s="1201"/>
      <c r="Q387" s="1201"/>
      <c r="R387" s="1201"/>
      <c r="S387" s="1201">
        <v>300</v>
      </c>
      <c r="T387" s="1201"/>
      <c r="U387" s="1201"/>
      <c r="V387" s="1201"/>
      <c r="W387" s="1201"/>
      <c r="X387" s="1201"/>
      <c r="Y387" s="1201"/>
      <c r="Z387" s="1201"/>
      <c r="AA387" s="1201"/>
      <c r="AB387" s="1201"/>
      <c r="AC387" s="1202">
        <v>300</v>
      </c>
      <c r="AD387" s="1202"/>
      <c r="AE387" s="1202"/>
      <c r="AF387" s="1202"/>
      <c r="AG387" s="1203"/>
      <c r="AL387" s="968">
        <f t="shared" si="96"/>
        <v>0</v>
      </c>
      <c r="AM387" s="969">
        <f t="shared" si="97"/>
        <v>600</v>
      </c>
      <c r="AO387" s="964"/>
    </row>
    <row r="388" spans="1:41" ht="21.75" customHeight="1" x14ac:dyDescent="0.2">
      <c r="D388" s="1054" t="s">
        <v>1905</v>
      </c>
      <c r="E388" s="1055"/>
      <c r="F388" s="1055"/>
      <c r="G388" s="1055"/>
      <c r="H388" s="1056"/>
      <c r="I388" s="1318">
        <v>65490</v>
      </c>
      <c r="J388" s="1319"/>
      <c r="K388" s="1319"/>
      <c r="L388" s="1319"/>
      <c r="M388" s="1319"/>
      <c r="N388" s="1201">
        <v>62643</v>
      </c>
      <c r="O388" s="1201"/>
      <c r="P388" s="1201"/>
      <c r="Q388" s="1201"/>
      <c r="R388" s="1201"/>
      <c r="S388" s="1201">
        <v>20218</v>
      </c>
      <c r="T388" s="1201"/>
      <c r="U388" s="1201"/>
      <c r="V388" s="1201"/>
      <c r="W388" s="1201"/>
      <c r="X388" s="1201"/>
      <c r="Y388" s="1201"/>
      <c r="Z388" s="1201"/>
      <c r="AA388" s="1201"/>
      <c r="AB388" s="1201"/>
      <c r="AC388" s="1202">
        <f>I388+N388-S388-X388</f>
        <v>107915</v>
      </c>
      <c r="AD388" s="1202"/>
      <c r="AE388" s="1202"/>
      <c r="AF388" s="1202"/>
      <c r="AG388" s="1203"/>
      <c r="AL388" s="968">
        <f>I388-AC402</f>
        <v>65041</v>
      </c>
      <c r="AM388" s="969">
        <f t="shared" si="97"/>
        <v>40436</v>
      </c>
      <c r="AO388" s="964"/>
    </row>
    <row r="389" spans="1:41" ht="21.75" customHeight="1" x14ac:dyDescent="0.2">
      <c r="D389" s="1331" t="s">
        <v>1906</v>
      </c>
      <c r="E389" s="1332"/>
      <c r="F389" s="1332"/>
      <c r="G389" s="1332"/>
      <c r="H389" s="1333"/>
      <c r="I389" s="1334">
        <v>449</v>
      </c>
      <c r="J389" s="1335"/>
      <c r="K389" s="1335"/>
      <c r="L389" s="1335"/>
      <c r="M389" s="1336"/>
      <c r="N389" s="1045">
        <f>112.78-53.6</f>
        <v>59.18</v>
      </c>
      <c r="O389" s="1046"/>
      <c r="P389" s="1046"/>
      <c r="Q389" s="1046"/>
      <c r="R389" s="1047"/>
      <c r="S389" s="1045">
        <v>449</v>
      </c>
      <c r="T389" s="1046"/>
      <c r="U389" s="1046"/>
      <c r="V389" s="1046"/>
      <c r="W389" s="1047"/>
      <c r="X389" s="1048"/>
      <c r="Y389" s="1049"/>
      <c r="Z389" s="1049"/>
      <c r="AA389" s="1049"/>
      <c r="AB389" s="1050"/>
      <c r="AC389" s="1051">
        <f>I389+N389-S389-X389</f>
        <v>59.180000000000007</v>
      </c>
      <c r="AD389" s="1052"/>
      <c r="AE389" s="1052"/>
      <c r="AF389" s="1052"/>
      <c r="AG389" s="1053"/>
      <c r="AL389" s="968"/>
      <c r="AM389" s="969"/>
      <c r="AO389" s="964"/>
    </row>
    <row r="390" spans="1:41" ht="21.75" customHeight="1" thickBot="1" x14ac:dyDescent="0.25">
      <c r="D390" s="1315" t="s">
        <v>1927</v>
      </c>
      <c r="E390" s="1315"/>
      <c r="F390" s="1315"/>
      <c r="G390" s="1315"/>
      <c r="H390" s="1315"/>
      <c r="I390" s="1327">
        <v>0</v>
      </c>
      <c r="J390" s="1328"/>
      <c r="K390" s="1328"/>
      <c r="L390" s="1328"/>
      <c r="M390" s="1328"/>
      <c r="N390" s="1329">
        <f>1406.63+495.14</f>
        <v>1901.77</v>
      </c>
      <c r="O390" s="1329"/>
      <c r="P390" s="1329"/>
      <c r="Q390" s="1329"/>
      <c r="R390" s="1329"/>
      <c r="S390" s="1329">
        <v>0</v>
      </c>
      <c r="T390" s="1329"/>
      <c r="U390" s="1329"/>
      <c r="V390" s="1329"/>
      <c r="W390" s="1329"/>
      <c r="X390" s="1329"/>
      <c r="Y390" s="1329"/>
      <c r="Z390" s="1329"/>
      <c r="AA390" s="1329"/>
      <c r="AB390" s="1329"/>
      <c r="AC390" s="1330">
        <f t="shared" ref="AC390" si="98">SUM(I390:AB390)</f>
        <v>1901.77</v>
      </c>
      <c r="AD390" s="1288"/>
      <c r="AE390" s="1288"/>
      <c r="AF390" s="1288"/>
      <c r="AG390" s="1289"/>
      <c r="AL390" s="971">
        <f>I390-AC403</f>
        <v>0</v>
      </c>
      <c r="AM390" s="972">
        <f t="shared" si="97"/>
        <v>0</v>
      </c>
      <c r="AO390" s="973"/>
    </row>
    <row r="391" spans="1:41" ht="14.25" customHeight="1" x14ac:dyDescent="0.25">
      <c r="AL391" s="974"/>
      <c r="AM391" s="975"/>
    </row>
    <row r="392" spans="1:41" ht="14.25" customHeight="1" thickBot="1" x14ac:dyDescent="0.25">
      <c r="AL392" s="974"/>
    </row>
    <row r="393" spans="1:41" ht="14.25" customHeight="1" thickBot="1" x14ac:dyDescent="0.25">
      <c r="A393" s="933" t="s">
        <v>1469</v>
      </c>
      <c r="D393" s="1058" t="s">
        <v>1</v>
      </c>
      <c r="E393" s="1058"/>
      <c r="F393" s="1058"/>
      <c r="G393" s="1058"/>
      <c r="H393" s="1058"/>
      <c r="I393" s="1058" t="s">
        <v>3</v>
      </c>
      <c r="J393" s="1058"/>
      <c r="K393" s="1058"/>
      <c r="L393" s="1058"/>
      <c r="M393" s="1058"/>
      <c r="N393" s="1058"/>
      <c r="O393" s="1058"/>
      <c r="P393" s="1058"/>
      <c r="Q393" s="1058"/>
      <c r="R393" s="1058"/>
      <c r="S393" s="1058"/>
      <c r="T393" s="1058"/>
      <c r="U393" s="1058"/>
      <c r="V393" s="1058"/>
      <c r="W393" s="1058"/>
      <c r="X393" s="1058"/>
      <c r="Y393" s="1058"/>
      <c r="Z393" s="1058"/>
      <c r="AA393" s="1058"/>
      <c r="AB393" s="1058"/>
      <c r="AC393" s="1058"/>
      <c r="AD393" s="1058"/>
      <c r="AE393" s="1058"/>
      <c r="AF393" s="1058"/>
      <c r="AG393" s="1058"/>
      <c r="AL393" s="974"/>
    </row>
    <row r="394" spans="1:41" ht="30.75" customHeight="1" thickTop="1" thickBot="1" x14ac:dyDescent="0.25">
      <c r="D394" s="1058"/>
      <c r="E394" s="1058"/>
      <c r="F394" s="1058"/>
      <c r="G394" s="1058"/>
      <c r="H394" s="1058"/>
      <c r="I394" s="1059" t="s">
        <v>32</v>
      </c>
      <c r="J394" s="1059"/>
      <c r="K394" s="1059"/>
      <c r="L394" s="1059"/>
      <c r="M394" s="1059"/>
      <c r="N394" s="1059" t="s">
        <v>124</v>
      </c>
      <c r="O394" s="1059"/>
      <c r="P394" s="1059"/>
      <c r="Q394" s="1059"/>
      <c r="R394" s="1059"/>
      <c r="S394" s="1059" t="s">
        <v>210</v>
      </c>
      <c r="T394" s="1059"/>
      <c r="U394" s="1059"/>
      <c r="V394" s="1059"/>
      <c r="W394" s="1059"/>
      <c r="X394" s="1059" t="s">
        <v>211</v>
      </c>
      <c r="Y394" s="1059"/>
      <c r="Z394" s="1059"/>
      <c r="AA394" s="1059"/>
      <c r="AB394" s="1059"/>
      <c r="AC394" s="1059" t="s">
        <v>30</v>
      </c>
      <c r="AD394" s="1059"/>
      <c r="AE394" s="1059"/>
      <c r="AF394" s="1059"/>
      <c r="AG394" s="1059"/>
      <c r="AL394" s="974"/>
      <c r="AM394" s="925" t="s">
        <v>30</v>
      </c>
      <c r="AO394" s="925" t="s">
        <v>30</v>
      </c>
    </row>
    <row r="395" spans="1:41" ht="28.5" customHeight="1" thickBot="1" x14ac:dyDescent="0.25">
      <c r="D395" s="1320" t="s">
        <v>212</v>
      </c>
      <c r="E395" s="1321"/>
      <c r="F395" s="1321"/>
      <c r="G395" s="1321"/>
      <c r="H395" s="1322"/>
      <c r="I395" s="1323"/>
      <c r="J395" s="1324"/>
      <c r="K395" s="1324"/>
      <c r="L395" s="1324"/>
      <c r="M395" s="1324"/>
      <c r="N395" s="1324"/>
      <c r="O395" s="1324"/>
      <c r="P395" s="1324"/>
      <c r="Q395" s="1324"/>
      <c r="R395" s="1324"/>
      <c r="S395" s="1324"/>
      <c r="T395" s="1324"/>
      <c r="U395" s="1324"/>
      <c r="V395" s="1324"/>
      <c r="W395" s="1324"/>
      <c r="X395" s="1324"/>
      <c r="Y395" s="1324"/>
      <c r="Z395" s="1324"/>
      <c r="AA395" s="1324"/>
      <c r="AB395" s="1324"/>
      <c r="AC395" s="1325">
        <f>SUM(I395:AB395)</f>
        <v>0</v>
      </c>
      <c r="AD395" s="1325"/>
      <c r="AE395" s="1325"/>
      <c r="AF395" s="1325"/>
      <c r="AG395" s="1326"/>
      <c r="AL395" s="974"/>
      <c r="AM395" s="966">
        <f>SUM(I395:AB395)-AC395</f>
        <v>0</v>
      </c>
      <c r="AO395" s="967">
        <f>AC395-BS!$E$105-BS!$E$107</f>
        <v>0</v>
      </c>
    </row>
    <row r="396" spans="1:41" ht="28.5" customHeight="1" thickBot="1" x14ac:dyDescent="0.25">
      <c r="D396" s="1320" t="s">
        <v>213</v>
      </c>
      <c r="E396" s="1321"/>
      <c r="F396" s="1321"/>
      <c r="G396" s="1321"/>
      <c r="H396" s="1322"/>
      <c r="I396" s="1323">
        <v>220932</v>
      </c>
      <c r="J396" s="1324"/>
      <c r="K396" s="1324"/>
      <c r="L396" s="1324"/>
      <c r="M396" s="1324"/>
      <c r="N396" s="1324">
        <v>93989</v>
      </c>
      <c r="O396" s="1324"/>
      <c r="P396" s="1324"/>
      <c r="Q396" s="1324"/>
      <c r="R396" s="1324"/>
      <c r="S396" s="1324">
        <v>204932</v>
      </c>
      <c r="T396" s="1324"/>
      <c r="U396" s="1324"/>
      <c r="V396" s="1324"/>
      <c r="W396" s="1324"/>
      <c r="X396" s="1324">
        <v>16000</v>
      </c>
      <c r="Y396" s="1324"/>
      <c r="Z396" s="1324"/>
      <c r="AA396" s="1324"/>
      <c r="AB396" s="1324"/>
      <c r="AC396" s="1325">
        <v>93989</v>
      </c>
      <c r="AD396" s="1325"/>
      <c r="AE396" s="1325"/>
      <c r="AF396" s="1325"/>
      <c r="AG396" s="1326"/>
      <c r="AM396" s="969">
        <f t="shared" ref="AM396" si="99">SUM(I396:AB396)-AC396</f>
        <v>441864</v>
      </c>
      <c r="AO396" s="970">
        <f>AC396-BS!$E$106-BS!$E$108</f>
        <v>0</v>
      </c>
    </row>
    <row r="397" spans="1:41" ht="21.75" customHeight="1" x14ac:dyDescent="0.2">
      <c r="D397" s="1128" t="s">
        <v>1902</v>
      </c>
      <c r="E397" s="1129"/>
      <c r="F397" s="1129"/>
      <c r="G397" s="1129"/>
      <c r="H397" s="1130"/>
      <c r="I397" s="1205">
        <v>2000</v>
      </c>
      <c r="J397" s="1206"/>
      <c r="K397" s="1206"/>
      <c r="L397" s="1206"/>
      <c r="M397" s="1206"/>
      <c r="N397" s="1206">
        <v>2750</v>
      </c>
      <c r="O397" s="1206"/>
      <c r="P397" s="1206"/>
      <c r="Q397" s="1206"/>
      <c r="R397" s="1206"/>
      <c r="S397" s="1206">
        <v>2000</v>
      </c>
      <c r="T397" s="1206"/>
      <c r="U397" s="1206"/>
      <c r="V397" s="1206"/>
      <c r="W397" s="1206"/>
      <c r="X397" s="1206"/>
      <c r="Y397" s="1206"/>
      <c r="Z397" s="1206"/>
      <c r="AA397" s="1206"/>
      <c r="AB397" s="1206"/>
      <c r="AC397" s="1207">
        <v>2750</v>
      </c>
      <c r="AD397" s="1207"/>
      <c r="AE397" s="1207"/>
      <c r="AF397" s="1207"/>
      <c r="AG397" s="1208"/>
      <c r="AM397" s="969">
        <f>SUM(I397:AB397)-AC397</f>
        <v>4000</v>
      </c>
      <c r="AO397" s="969"/>
    </row>
    <row r="398" spans="1:41" ht="21.75" customHeight="1" x14ac:dyDescent="0.2">
      <c r="D398" s="1054" t="s">
        <v>1903</v>
      </c>
      <c r="E398" s="1055"/>
      <c r="F398" s="1055"/>
      <c r="G398" s="1055"/>
      <c r="H398" s="1056"/>
      <c r="I398" s="1076">
        <v>3650</v>
      </c>
      <c r="J398" s="1201"/>
      <c r="K398" s="1201"/>
      <c r="L398" s="1201"/>
      <c r="M398" s="1201"/>
      <c r="N398" s="1201">
        <v>1000</v>
      </c>
      <c r="O398" s="1201"/>
      <c r="P398" s="1201"/>
      <c r="Q398" s="1201"/>
      <c r="R398" s="1201"/>
      <c r="S398" s="1201">
        <v>3650</v>
      </c>
      <c r="T398" s="1201"/>
      <c r="U398" s="1201"/>
      <c r="V398" s="1201"/>
      <c r="W398" s="1201"/>
      <c r="X398" s="1201"/>
      <c r="Y398" s="1201"/>
      <c r="Z398" s="1201"/>
      <c r="AA398" s="1201"/>
      <c r="AB398" s="1201"/>
      <c r="AC398" s="1202">
        <v>1000</v>
      </c>
      <c r="AD398" s="1202"/>
      <c r="AE398" s="1202"/>
      <c r="AF398" s="1202"/>
      <c r="AG398" s="1203"/>
      <c r="AM398" s="969">
        <f t="shared" ref="AM398:AM403" si="100">SUM(I398:AB398)-AC398</f>
        <v>7300</v>
      </c>
      <c r="AO398" s="964"/>
    </row>
    <row r="399" spans="1:41" ht="21.75" customHeight="1" x14ac:dyDescent="0.2">
      <c r="D399" s="1054" t="s">
        <v>1983</v>
      </c>
      <c r="E399" s="1055"/>
      <c r="F399" s="1055"/>
      <c r="G399" s="1055"/>
      <c r="H399" s="1056"/>
      <c r="I399" s="1076">
        <v>28000</v>
      </c>
      <c r="J399" s="1201"/>
      <c r="K399" s="1201"/>
      <c r="L399" s="1201"/>
      <c r="M399" s="1201"/>
      <c r="N399" s="1201">
        <v>24000</v>
      </c>
      <c r="O399" s="1201"/>
      <c r="P399" s="1201"/>
      <c r="Q399" s="1201"/>
      <c r="R399" s="1201"/>
      <c r="S399" s="1201">
        <v>21000</v>
      </c>
      <c r="T399" s="1201"/>
      <c r="U399" s="1201"/>
      <c r="V399" s="1201"/>
      <c r="W399" s="1201"/>
      <c r="X399" s="1201">
        <v>7000</v>
      </c>
      <c r="Y399" s="1201"/>
      <c r="Z399" s="1201"/>
      <c r="AA399" s="1201"/>
      <c r="AB399" s="1201"/>
      <c r="AC399" s="1202">
        <v>24000</v>
      </c>
      <c r="AD399" s="1202"/>
      <c r="AE399" s="1202"/>
      <c r="AF399" s="1202"/>
      <c r="AG399" s="1203"/>
      <c r="AM399" s="969">
        <f t="shared" si="100"/>
        <v>56000</v>
      </c>
      <c r="AO399" s="964"/>
    </row>
    <row r="400" spans="1:41" ht="21.75" customHeight="1" x14ac:dyDescent="0.2">
      <c r="D400" s="1054" t="s">
        <v>1904</v>
      </c>
      <c r="E400" s="1055"/>
      <c r="F400" s="1055"/>
      <c r="G400" s="1055"/>
      <c r="H400" s="1056"/>
      <c r="I400" s="1076">
        <v>260</v>
      </c>
      <c r="J400" s="1201"/>
      <c r="K400" s="1201"/>
      <c r="L400" s="1201"/>
      <c r="M400" s="1201"/>
      <c r="N400" s="1201">
        <v>300</v>
      </c>
      <c r="O400" s="1201"/>
      <c r="P400" s="1201"/>
      <c r="Q400" s="1201"/>
      <c r="R400" s="1201"/>
      <c r="S400" s="1201">
        <v>260</v>
      </c>
      <c r="T400" s="1201"/>
      <c r="U400" s="1201"/>
      <c r="V400" s="1201"/>
      <c r="W400" s="1201"/>
      <c r="X400" s="1201"/>
      <c r="Y400" s="1201"/>
      <c r="Z400" s="1201"/>
      <c r="AA400" s="1201"/>
      <c r="AB400" s="1201"/>
      <c r="AC400" s="1202">
        <v>300</v>
      </c>
      <c r="AD400" s="1202"/>
      <c r="AE400" s="1202"/>
      <c r="AF400" s="1202"/>
      <c r="AG400" s="1203"/>
      <c r="AM400" s="969">
        <f t="shared" si="100"/>
        <v>520</v>
      </c>
      <c r="AO400" s="964"/>
    </row>
    <row r="401" spans="4:41" ht="21.75" customHeight="1" x14ac:dyDescent="0.2">
      <c r="D401" s="1054" t="s">
        <v>1905</v>
      </c>
      <c r="E401" s="1055"/>
      <c r="F401" s="1055"/>
      <c r="G401" s="1055"/>
      <c r="H401" s="1056"/>
      <c r="I401" s="1079">
        <v>177823</v>
      </c>
      <c r="J401" s="1046"/>
      <c r="K401" s="1046"/>
      <c r="L401" s="1046"/>
      <c r="M401" s="1047"/>
      <c r="N401" s="1045">
        <v>65490</v>
      </c>
      <c r="O401" s="1046"/>
      <c r="P401" s="1046"/>
      <c r="Q401" s="1046"/>
      <c r="R401" s="1047"/>
      <c r="S401" s="1045">
        <v>177823</v>
      </c>
      <c r="T401" s="1046"/>
      <c r="U401" s="1046"/>
      <c r="V401" s="1046"/>
      <c r="W401" s="1047"/>
      <c r="X401" s="1048"/>
      <c r="Y401" s="1049"/>
      <c r="Z401" s="1049"/>
      <c r="AA401" s="1049"/>
      <c r="AB401" s="1050"/>
      <c r="AC401" s="1051">
        <v>65490</v>
      </c>
      <c r="AD401" s="1052"/>
      <c r="AE401" s="1052"/>
      <c r="AF401" s="1052"/>
      <c r="AG401" s="1053"/>
      <c r="AM401" s="969">
        <f t="shared" si="100"/>
        <v>355646</v>
      </c>
      <c r="AO401" s="964"/>
    </row>
    <row r="402" spans="4:41" ht="21.75" customHeight="1" x14ac:dyDescent="0.2">
      <c r="D402" s="1054" t="s">
        <v>1906</v>
      </c>
      <c r="E402" s="1055"/>
      <c r="F402" s="1055"/>
      <c r="G402" s="1055"/>
      <c r="H402" s="1056"/>
      <c r="I402" s="1076">
        <v>199</v>
      </c>
      <c r="J402" s="1201"/>
      <c r="K402" s="1201"/>
      <c r="L402" s="1201"/>
      <c r="M402" s="1201"/>
      <c r="N402" s="1201">
        <v>449</v>
      </c>
      <c r="O402" s="1201"/>
      <c r="P402" s="1201"/>
      <c r="Q402" s="1201"/>
      <c r="R402" s="1201"/>
      <c r="S402" s="1201">
        <v>199</v>
      </c>
      <c r="T402" s="1201"/>
      <c r="U402" s="1201"/>
      <c r="V402" s="1201"/>
      <c r="W402" s="1201"/>
      <c r="X402" s="1201"/>
      <c r="Y402" s="1201"/>
      <c r="Z402" s="1201"/>
      <c r="AA402" s="1201"/>
      <c r="AB402" s="1201"/>
      <c r="AC402" s="1202">
        <v>449</v>
      </c>
      <c r="AD402" s="1202"/>
      <c r="AE402" s="1202"/>
      <c r="AF402" s="1202"/>
      <c r="AG402" s="1203"/>
      <c r="AM402" s="969">
        <f t="shared" si="100"/>
        <v>398</v>
      </c>
      <c r="AO402" s="964"/>
    </row>
    <row r="403" spans="4:41" ht="21.75" customHeight="1" thickBot="1" x14ac:dyDescent="0.25">
      <c r="D403" s="1139" t="s">
        <v>1907</v>
      </c>
      <c r="E403" s="1139"/>
      <c r="F403" s="1139"/>
      <c r="G403" s="1139"/>
      <c r="H403" s="1139"/>
      <c r="I403" s="1339">
        <v>9000</v>
      </c>
      <c r="J403" s="1329"/>
      <c r="K403" s="1329"/>
      <c r="L403" s="1329"/>
      <c r="M403" s="1329"/>
      <c r="N403" s="1329">
        <v>0</v>
      </c>
      <c r="O403" s="1329"/>
      <c r="P403" s="1329"/>
      <c r="Q403" s="1329"/>
      <c r="R403" s="1329"/>
      <c r="S403" s="1329">
        <v>0</v>
      </c>
      <c r="T403" s="1329"/>
      <c r="U403" s="1329"/>
      <c r="V403" s="1329"/>
      <c r="W403" s="1329"/>
      <c r="X403" s="1329">
        <v>9000</v>
      </c>
      <c r="Y403" s="1329"/>
      <c r="Z403" s="1329"/>
      <c r="AA403" s="1329"/>
      <c r="AB403" s="1329"/>
      <c r="AC403" s="1340">
        <v>0</v>
      </c>
      <c r="AD403" s="1340"/>
      <c r="AE403" s="1340"/>
      <c r="AF403" s="1340"/>
      <c r="AG403" s="1069"/>
      <c r="AM403" s="972">
        <f t="shared" si="100"/>
        <v>18000</v>
      </c>
      <c r="AO403" s="973"/>
    </row>
    <row r="406" spans="4:41" ht="14.25" customHeight="1" x14ac:dyDescent="0.2">
      <c r="D406" s="1138" t="s">
        <v>1984</v>
      </c>
      <c r="E406" s="1138"/>
      <c r="F406" s="1138"/>
      <c r="G406" s="1138"/>
      <c r="H406" s="1138"/>
      <c r="I406" s="1138"/>
      <c r="J406" s="1138"/>
      <c r="K406" s="1138"/>
      <c r="L406" s="1138"/>
      <c r="M406" s="1138"/>
      <c r="N406" s="1138"/>
      <c r="O406" s="1138"/>
      <c r="P406" s="1138"/>
      <c r="Q406" s="1138"/>
      <c r="R406" s="1138"/>
      <c r="S406" s="1138"/>
      <c r="T406" s="1138"/>
      <c r="U406" s="1138"/>
      <c r="V406" s="1138"/>
      <c r="W406" s="1138"/>
      <c r="X406" s="1138"/>
      <c r="Y406" s="1138"/>
      <c r="Z406" s="1138"/>
      <c r="AA406" s="1138"/>
      <c r="AB406" s="1138"/>
      <c r="AC406" s="1138"/>
      <c r="AD406" s="1138"/>
      <c r="AE406" s="1138"/>
      <c r="AF406" s="1138"/>
      <c r="AG406" s="1138"/>
    </row>
    <row r="408" spans="4:41" ht="14.25" hidden="1" customHeight="1" x14ac:dyDescent="0.2"/>
    <row r="409" spans="4:41" ht="14.25" hidden="1" customHeight="1" x14ac:dyDescent="0.2"/>
    <row r="410" spans="4:41" ht="14.25" hidden="1" customHeight="1" x14ac:dyDescent="0.2"/>
    <row r="411" spans="4:41" ht="11.25" hidden="1" x14ac:dyDescent="0.2"/>
    <row r="412" spans="4:41" ht="14.25" customHeight="1" x14ac:dyDescent="0.2">
      <c r="D412" s="634" t="s">
        <v>1956</v>
      </c>
    </row>
    <row r="414" spans="4:41" ht="14.25" customHeight="1" x14ac:dyDescent="0.2">
      <c r="D414" s="1138" t="s">
        <v>1470</v>
      </c>
      <c r="E414" s="1138"/>
      <c r="F414" s="1138"/>
      <c r="G414" s="1138"/>
      <c r="H414" s="1138"/>
      <c r="I414" s="1138"/>
      <c r="J414" s="1138"/>
      <c r="K414" s="1138"/>
      <c r="L414" s="1138"/>
      <c r="M414" s="1138"/>
      <c r="N414" s="1138"/>
      <c r="O414" s="1138"/>
      <c r="P414" s="1138"/>
      <c r="Q414" s="1138"/>
      <c r="R414" s="1138"/>
      <c r="S414" s="1138"/>
      <c r="T414" s="1138"/>
      <c r="U414" s="1138"/>
      <c r="V414" s="1138"/>
      <c r="W414" s="1138"/>
      <c r="X414" s="1138"/>
      <c r="Y414" s="1138"/>
      <c r="Z414" s="1138"/>
      <c r="AA414" s="1138"/>
      <c r="AB414" s="1138"/>
      <c r="AC414" s="1138"/>
      <c r="AD414" s="1138"/>
      <c r="AE414" s="1138"/>
      <c r="AF414" s="1138"/>
      <c r="AG414" s="1138"/>
    </row>
    <row r="415" spans="4:41" ht="14.25" hidden="1" customHeight="1" x14ac:dyDescent="0.2"/>
    <row r="417" spans="1:42" ht="14.25" customHeight="1" thickBot="1" x14ac:dyDescent="0.25"/>
    <row r="418" spans="1:42" ht="28.5" customHeight="1" thickTop="1" thickBot="1" x14ac:dyDescent="0.25">
      <c r="A418" s="933">
        <v>26</v>
      </c>
      <c r="D418" s="1235" t="s">
        <v>131</v>
      </c>
      <c r="E418" s="1236"/>
      <c r="F418" s="1236"/>
      <c r="G418" s="1236"/>
      <c r="H418" s="1236"/>
      <c r="I418" s="1236"/>
      <c r="J418" s="1236"/>
      <c r="K418" s="1236"/>
      <c r="L418" s="1236"/>
      <c r="M418" s="1237"/>
      <c r="N418" s="1235" t="s">
        <v>2</v>
      </c>
      <c r="O418" s="1236"/>
      <c r="P418" s="1236"/>
      <c r="Q418" s="1236"/>
      <c r="R418" s="1236"/>
      <c r="S418" s="1236"/>
      <c r="T418" s="1236"/>
      <c r="U418" s="1236"/>
      <c r="V418" s="1236"/>
      <c r="W418" s="1237"/>
      <c r="X418" s="1235" t="s">
        <v>3</v>
      </c>
      <c r="Y418" s="1236"/>
      <c r="Z418" s="1236"/>
      <c r="AA418" s="1236"/>
      <c r="AB418" s="1236"/>
      <c r="AC418" s="1236"/>
      <c r="AD418" s="1236"/>
      <c r="AE418" s="1236"/>
      <c r="AF418" s="1236"/>
      <c r="AG418" s="1237"/>
      <c r="AL418" s="925" t="s">
        <v>2</v>
      </c>
      <c r="AM418" s="927" t="s">
        <v>3</v>
      </c>
      <c r="AO418" s="925" t="s">
        <v>2</v>
      </c>
      <c r="AP418" s="927" t="s">
        <v>3</v>
      </c>
    </row>
    <row r="419" spans="1:42" ht="28.5" customHeight="1" thickBot="1" x14ac:dyDescent="0.25">
      <c r="D419" s="1147" t="s">
        <v>219</v>
      </c>
      <c r="E419" s="1148"/>
      <c r="F419" s="1148"/>
      <c r="G419" s="1148"/>
      <c r="H419" s="1148"/>
      <c r="I419" s="1148"/>
      <c r="J419" s="1148"/>
      <c r="K419" s="1148"/>
      <c r="L419" s="1148"/>
      <c r="M419" s="1149"/>
      <c r="N419" s="1241">
        <f>N421</f>
        <v>3501</v>
      </c>
      <c r="O419" s="1213"/>
      <c r="P419" s="1213"/>
      <c r="Q419" s="1213"/>
      <c r="R419" s="1213"/>
      <c r="S419" s="1213"/>
      <c r="T419" s="1213"/>
      <c r="U419" s="1213"/>
      <c r="V419" s="1213"/>
      <c r="W419" s="1213"/>
      <c r="X419" s="1241">
        <v>9736</v>
      </c>
      <c r="Y419" s="1213"/>
      <c r="Z419" s="1213"/>
      <c r="AA419" s="1213"/>
      <c r="AB419" s="1213"/>
      <c r="AC419" s="1213"/>
      <c r="AD419" s="1213"/>
      <c r="AE419" s="1213"/>
      <c r="AF419" s="1213"/>
      <c r="AG419" s="1213"/>
      <c r="AL419" s="949">
        <f>SUM(N421:W424)-N419</f>
        <v>4811232</v>
      </c>
      <c r="AM419" s="951">
        <f>SUM(X421:AG424)-X419</f>
        <v>3833656</v>
      </c>
      <c r="AO419" s="655">
        <f>N419-BS!$D$109</f>
        <v>0</v>
      </c>
      <c r="AP419" s="656">
        <f>X419-BS!$E$109</f>
        <v>0</v>
      </c>
    </row>
    <row r="420" spans="1:42" ht="28.5" customHeight="1" x14ac:dyDescent="0.2">
      <c r="D420" s="1115" t="s">
        <v>218</v>
      </c>
      <c r="E420" s="1116"/>
      <c r="F420" s="1116"/>
      <c r="G420" s="1116"/>
      <c r="H420" s="1116"/>
      <c r="I420" s="1116"/>
      <c r="J420" s="1116"/>
      <c r="K420" s="1116"/>
      <c r="L420" s="1116"/>
      <c r="M420" s="1117"/>
      <c r="N420" s="1234">
        <v>0</v>
      </c>
      <c r="O420" s="1075"/>
      <c r="P420" s="1075"/>
      <c r="Q420" s="1075"/>
      <c r="R420" s="1075"/>
      <c r="S420" s="1075"/>
      <c r="T420" s="1075"/>
      <c r="U420" s="1075"/>
      <c r="V420" s="1075"/>
      <c r="W420" s="1075"/>
      <c r="X420" s="1075">
        <v>0</v>
      </c>
      <c r="Y420" s="1075"/>
      <c r="Z420" s="1075"/>
      <c r="AA420" s="1075"/>
      <c r="AB420" s="1075"/>
      <c r="AC420" s="1075"/>
      <c r="AD420" s="1075"/>
      <c r="AE420" s="1075"/>
      <c r="AF420" s="1075"/>
      <c r="AG420" s="1075"/>
      <c r="AL420" s="944"/>
      <c r="AM420" s="948"/>
      <c r="AO420" s="653"/>
      <c r="AP420" s="654"/>
    </row>
    <row r="421" spans="1:42" ht="28.5" customHeight="1" x14ac:dyDescent="0.2">
      <c r="D421" s="1151" t="s">
        <v>217</v>
      </c>
      <c r="E421" s="1152"/>
      <c r="F421" s="1152"/>
      <c r="G421" s="1152"/>
      <c r="H421" s="1152"/>
      <c r="I421" s="1152"/>
      <c r="J421" s="1152"/>
      <c r="K421" s="1152"/>
      <c r="L421" s="1152"/>
      <c r="M421" s="1153"/>
      <c r="N421" s="1234">
        <v>3501</v>
      </c>
      <c r="O421" s="1075"/>
      <c r="P421" s="1075"/>
      <c r="Q421" s="1075"/>
      <c r="R421" s="1075"/>
      <c r="S421" s="1075"/>
      <c r="T421" s="1075"/>
      <c r="U421" s="1075"/>
      <c r="V421" s="1075"/>
      <c r="W421" s="1075"/>
      <c r="X421" s="1075">
        <v>9736</v>
      </c>
      <c r="Y421" s="1075"/>
      <c r="Z421" s="1075"/>
      <c r="AA421" s="1075"/>
      <c r="AB421" s="1075"/>
      <c r="AC421" s="1075"/>
      <c r="AD421" s="1075"/>
      <c r="AE421" s="1075"/>
      <c r="AF421" s="1075"/>
      <c r="AG421" s="1075"/>
      <c r="AL421" s="944"/>
      <c r="AM421" s="948"/>
      <c r="AO421" s="653"/>
      <c r="AP421" s="654"/>
    </row>
    <row r="422" spans="1:42" ht="28.5" customHeight="1" thickBot="1" x14ac:dyDescent="0.25">
      <c r="D422" s="1147" t="s">
        <v>216</v>
      </c>
      <c r="E422" s="1148"/>
      <c r="F422" s="1148"/>
      <c r="G422" s="1148"/>
      <c r="H422" s="1148"/>
      <c r="I422" s="1148"/>
      <c r="J422" s="1148"/>
      <c r="K422" s="1148"/>
      <c r="L422" s="1148"/>
      <c r="M422" s="1149"/>
      <c r="N422" s="1241">
        <f>SUM(N423:W424)</f>
        <v>2405616</v>
      </c>
      <c r="O422" s="1213"/>
      <c r="P422" s="1213"/>
      <c r="Q422" s="1213"/>
      <c r="R422" s="1213"/>
      <c r="S422" s="1213"/>
      <c r="T422" s="1213"/>
      <c r="U422" s="1213"/>
      <c r="V422" s="1213"/>
      <c r="W422" s="1213"/>
      <c r="X422" s="1241">
        <v>1916828</v>
      </c>
      <c r="Y422" s="1213"/>
      <c r="Z422" s="1213"/>
      <c r="AA422" s="1213"/>
      <c r="AB422" s="1213"/>
      <c r="AC422" s="1213"/>
      <c r="AD422" s="1213"/>
      <c r="AE422" s="1213"/>
      <c r="AF422" s="1213"/>
      <c r="AG422" s="1213"/>
      <c r="AL422" s="946">
        <f>SUM(N424:W424)-N422</f>
        <v>-1171707</v>
      </c>
      <c r="AM422" s="945">
        <f>SUM(X424:AG424)-X422</f>
        <v>-1821118</v>
      </c>
      <c r="AO422" s="651">
        <f>N422-BS!$D$121</f>
        <v>0</v>
      </c>
      <c r="AP422" s="652">
        <f>X422-BS!$E$121</f>
        <v>0</v>
      </c>
    </row>
    <row r="423" spans="1:42" ht="28.5" customHeight="1" x14ac:dyDescent="0.2">
      <c r="D423" s="1115" t="s">
        <v>473</v>
      </c>
      <c r="E423" s="1116"/>
      <c r="F423" s="1116"/>
      <c r="G423" s="1116"/>
      <c r="H423" s="1116"/>
      <c r="I423" s="1116"/>
      <c r="J423" s="1116"/>
      <c r="K423" s="1116"/>
      <c r="L423" s="1116"/>
      <c r="M423" s="1117"/>
      <c r="N423" s="1234">
        <f>1171707</f>
        <v>1171707</v>
      </c>
      <c r="O423" s="1075"/>
      <c r="P423" s="1075"/>
      <c r="Q423" s="1075"/>
      <c r="R423" s="1075"/>
      <c r="S423" s="1075"/>
      <c r="T423" s="1075"/>
      <c r="U423" s="1075"/>
      <c r="V423" s="1075"/>
      <c r="W423" s="1075"/>
      <c r="X423" s="1079">
        <v>1821118</v>
      </c>
      <c r="Y423" s="1046"/>
      <c r="Z423" s="1046"/>
      <c r="AA423" s="1046"/>
      <c r="AB423" s="1046"/>
      <c r="AC423" s="1046"/>
      <c r="AD423" s="1046"/>
      <c r="AE423" s="1046"/>
      <c r="AF423" s="1046"/>
      <c r="AG423" s="1234"/>
      <c r="AJ423" s="1010"/>
      <c r="AL423" s="944"/>
      <c r="AM423" s="948"/>
      <c r="AO423" s="653"/>
      <c r="AP423" s="654"/>
    </row>
    <row r="424" spans="1:42" ht="28.5" customHeight="1" thickBot="1" x14ac:dyDescent="0.25">
      <c r="D424" s="1341" t="s">
        <v>215</v>
      </c>
      <c r="E424" s="1342"/>
      <c r="F424" s="1342"/>
      <c r="G424" s="1342"/>
      <c r="H424" s="1342"/>
      <c r="I424" s="1342"/>
      <c r="J424" s="1342"/>
      <c r="K424" s="1342"/>
      <c r="L424" s="1342"/>
      <c r="M424" s="1343"/>
      <c r="N424" s="1344">
        <v>1233909</v>
      </c>
      <c r="O424" s="1317"/>
      <c r="P424" s="1317"/>
      <c r="Q424" s="1317"/>
      <c r="R424" s="1317"/>
      <c r="S424" s="1317"/>
      <c r="T424" s="1317"/>
      <c r="U424" s="1317"/>
      <c r="V424" s="1317"/>
      <c r="W424" s="1317"/>
      <c r="X424" s="1317">
        <v>95710</v>
      </c>
      <c r="Y424" s="1317"/>
      <c r="Z424" s="1317"/>
      <c r="AA424" s="1317"/>
      <c r="AB424" s="1317"/>
      <c r="AC424" s="1317"/>
      <c r="AD424" s="1317"/>
      <c r="AE424" s="1317"/>
      <c r="AF424" s="1317"/>
      <c r="AG424" s="1317"/>
      <c r="AL424" s="941"/>
      <c r="AM424" s="943"/>
      <c r="AO424" s="658"/>
      <c r="AP424" s="659"/>
    </row>
    <row r="426" spans="1:42" ht="14.25" customHeight="1" x14ac:dyDescent="0.2">
      <c r="D426" s="1138" t="s">
        <v>1985</v>
      </c>
      <c r="E426" s="1138"/>
      <c r="F426" s="1138"/>
      <c r="G426" s="1138"/>
      <c r="H426" s="1138"/>
      <c r="I426" s="1138"/>
      <c r="J426" s="1138"/>
      <c r="K426" s="1138"/>
      <c r="L426" s="1138"/>
      <c r="M426" s="1138"/>
      <c r="N426" s="1138"/>
      <c r="O426" s="1138"/>
      <c r="P426" s="1138"/>
      <c r="Q426" s="1138"/>
      <c r="R426" s="1138"/>
      <c r="S426" s="1138"/>
      <c r="T426" s="1138"/>
      <c r="U426" s="1138"/>
      <c r="V426" s="1138"/>
      <c r="W426" s="1138"/>
      <c r="X426" s="1138"/>
      <c r="Y426" s="1138"/>
      <c r="Z426" s="1138"/>
      <c r="AA426" s="1138"/>
      <c r="AB426" s="1138"/>
      <c r="AC426" s="1138"/>
      <c r="AD426" s="1138"/>
      <c r="AE426" s="1138"/>
      <c r="AF426" s="1138"/>
      <c r="AG426" s="1138"/>
    </row>
    <row r="428" spans="1:42" ht="14.25" customHeight="1" x14ac:dyDescent="0.2">
      <c r="D428" s="1008" t="s">
        <v>1957</v>
      </c>
      <c r="E428" s="1009"/>
      <c r="F428" s="1009"/>
      <c r="G428" s="1009"/>
      <c r="H428" s="1009"/>
      <c r="I428" s="1009"/>
      <c r="J428" s="1009"/>
      <c r="K428" s="1009"/>
      <c r="L428" s="1009"/>
      <c r="M428" s="1009"/>
      <c r="N428" s="1009"/>
      <c r="O428" s="1009"/>
    </row>
    <row r="430" spans="1:42" ht="14.25" customHeight="1" x14ac:dyDescent="0.2">
      <c r="D430" s="1138" t="s">
        <v>1471</v>
      </c>
      <c r="E430" s="1138"/>
      <c r="F430" s="1138"/>
      <c r="G430" s="1138"/>
      <c r="H430" s="1138"/>
      <c r="I430" s="1138"/>
      <c r="J430" s="1138"/>
      <c r="K430" s="1138"/>
      <c r="L430" s="1138"/>
      <c r="M430" s="1138"/>
      <c r="N430" s="1138"/>
      <c r="O430" s="1138"/>
      <c r="P430" s="1138"/>
      <c r="Q430" s="1138"/>
      <c r="R430" s="1138"/>
      <c r="S430" s="1138"/>
      <c r="T430" s="1138"/>
      <c r="U430" s="1138"/>
      <c r="V430" s="1138"/>
      <c r="W430" s="1138"/>
      <c r="X430" s="1138"/>
      <c r="Y430" s="1138"/>
      <c r="Z430" s="1138"/>
      <c r="AA430" s="1138"/>
      <c r="AB430" s="1138"/>
      <c r="AC430" s="1138"/>
      <c r="AD430" s="1138"/>
      <c r="AE430" s="1138"/>
      <c r="AF430" s="1138"/>
      <c r="AG430" s="1138"/>
    </row>
    <row r="431" spans="1:42" ht="14.25" customHeight="1" thickBot="1" x14ac:dyDescent="0.25"/>
    <row r="432" spans="1:42" ht="27" customHeight="1" thickBot="1" x14ac:dyDescent="0.25">
      <c r="D432" s="1059" t="s">
        <v>131</v>
      </c>
      <c r="E432" s="1059"/>
      <c r="F432" s="1059"/>
      <c r="G432" s="1059"/>
      <c r="H432" s="1059"/>
      <c r="I432" s="1059"/>
      <c r="J432" s="1059"/>
      <c r="K432" s="1059"/>
      <c r="L432" s="1059"/>
      <c r="M432" s="1059"/>
      <c r="N432" s="1059" t="s">
        <v>2</v>
      </c>
      <c r="O432" s="1059"/>
      <c r="P432" s="1059"/>
      <c r="Q432" s="1059"/>
      <c r="R432" s="1059"/>
      <c r="S432" s="1059"/>
      <c r="T432" s="1059"/>
      <c r="U432" s="1059"/>
      <c r="V432" s="1059"/>
      <c r="W432" s="1059"/>
      <c r="X432" s="1059" t="s">
        <v>3</v>
      </c>
      <c r="Y432" s="1059"/>
      <c r="Z432" s="1059"/>
      <c r="AA432" s="1059"/>
      <c r="AB432" s="1059"/>
      <c r="AC432" s="1059"/>
      <c r="AD432" s="1059"/>
      <c r="AE432" s="1059"/>
      <c r="AF432" s="1059"/>
      <c r="AG432" s="1059"/>
    </row>
    <row r="433" spans="4:35" ht="19.5" customHeight="1" x14ac:dyDescent="0.2">
      <c r="D433" s="1169" t="s">
        <v>220</v>
      </c>
      <c r="E433" s="1169"/>
      <c r="F433" s="1169"/>
      <c r="G433" s="1169"/>
      <c r="H433" s="1169"/>
      <c r="I433" s="1169"/>
      <c r="J433" s="1169"/>
      <c r="K433" s="1169"/>
      <c r="L433" s="1169"/>
      <c r="M433" s="1169"/>
      <c r="N433" s="1351">
        <v>-3675</v>
      </c>
      <c r="O433" s="1351"/>
      <c r="P433" s="1351"/>
      <c r="Q433" s="1351"/>
      <c r="R433" s="1351"/>
      <c r="S433" s="1351"/>
      <c r="T433" s="1351"/>
      <c r="U433" s="1351"/>
      <c r="V433" s="1351"/>
      <c r="W433" s="1351"/>
      <c r="X433" s="1351">
        <v>-3450</v>
      </c>
      <c r="Y433" s="1351"/>
      <c r="Z433" s="1351"/>
      <c r="AA433" s="1351"/>
      <c r="AB433" s="1351"/>
      <c r="AC433" s="1351"/>
      <c r="AD433" s="1351"/>
      <c r="AE433" s="1351"/>
      <c r="AF433" s="1351"/>
      <c r="AG433" s="1351"/>
    </row>
    <row r="434" spans="4:35" ht="14.25" customHeight="1" x14ac:dyDescent="0.2">
      <c r="D434" s="1140" t="s">
        <v>221</v>
      </c>
      <c r="E434" s="1140"/>
      <c r="F434" s="1140"/>
      <c r="G434" s="1140"/>
      <c r="H434" s="1140"/>
      <c r="I434" s="1140"/>
      <c r="J434" s="1140"/>
      <c r="K434" s="1140"/>
      <c r="L434" s="1140"/>
      <c r="M434" s="1140"/>
      <c r="N434" s="1075">
        <v>1716</v>
      </c>
      <c r="O434" s="1075"/>
      <c r="P434" s="1075"/>
      <c r="Q434" s="1075"/>
      <c r="R434" s="1075"/>
      <c r="S434" s="1075"/>
      <c r="T434" s="1075"/>
      <c r="U434" s="1075"/>
      <c r="V434" s="1075"/>
      <c r="W434" s="1075"/>
      <c r="X434" s="1075"/>
      <c r="Y434" s="1075"/>
      <c r="Z434" s="1075"/>
      <c r="AA434" s="1075"/>
      <c r="AB434" s="1075"/>
      <c r="AC434" s="1075"/>
      <c r="AD434" s="1075"/>
      <c r="AE434" s="1075"/>
      <c r="AF434" s="1075"/>
      <c r="AG434" s="1075"/>
    </row>
    <row r="435" spans="4:35" ht="14.25" customHeight="1" x14ac:dyDescent="0.2">
      <c r="D435" s="1140" t="s">
        <v>222</v>
      </c>
      <c r="E435" s="1140"/>
      <c r="F435" s="1140"/>
      <c r="G435" s="1140"/>
      <c r="H435" s="1140"/>
      <c r="I435" s="1140"/>
      <c r="J435" s="1140"/>
      <c r="K435" s="1140"/>
      <c r="L435" s="1140"/>
      <c r="M435" s="1140"/>
      <c r="N435" s="1075">
        <v>-5391</v>
      </c>
      <c r="O435" s="1075"/>
      <c r="P435" s="1075"/>
      <c r="Q435" s="1075"/>
      <c r="R435" s="1075"/>
      <c r="S435" s="1075"/>
      <c r="T435" s="1075"/>
      <c r="U435" s="1075"/>
      <c r="V435" s="1075"/>
      <c r="W435" s="1075"/>
      <c r="X435" s="1075">
        <v>-3450</v>
      </c>
      <c r="Y435" s="1075"/>
      <c r="Z435" s="1075"/>
      <c r="AA435" s="1075"/>
      <c r="AB435" s="1075"/>
      <c r="AC435" s="1075"/>
      <c r="AD435" s="1075"/>
      <c r="AE435" s="1075"/>
      <c r="AF435" s="1075"/>
      <c r="AG435" s="1075"/>
    </row>
    <row r="436" spans="4:35" ht="19.5" customHeight="1" x14ac:dyDescent="0.2">
      <c r="D436" s="1349" t="s">
        <v>223</v>
      </c>
      <c r="E436" s="1349"/>
      <c r="F436" s="1349"/>
      <c r="G436" s="1349"/>
      <c r="H436" s="1349"/>
      <c r="I436" s="1349"/>
      <c r="J436" s="1349"/>
      <c r="K436" s="1349"/>
      <c r="L436" s="1349"/>
      <c r="M436" s="1349"/>
      <c r="N436" s="1350">
        <v>119934</v>
      </c>
      <c r="O436" s="1350"/>
      <c r="P436" s="1350"/>
      <c r="Q436" s="1350"/>
      <c r="R436" s="1350"/>
      <c r="S436" s="1350"/>
      <c r="T436" s="1350"/>
      <c r="U436" s="1350"/>
      <c r="V436" s="1350"/>
      <c r="W436" s="1350"/>
      <c r="X436" s="1350">
        <v>89790</v>
      </c>
      <c r="Y436" s="1350"/>
      <c r="Z436" s="1350"/>
      <c r="AA436" s="1350"/>
      <c r="AB436" s="1350"/>
      <c r="AC436" s="1350"/>
      <c r="AD436" s="1350"/>
      <c r="AE436" s="1350"/>
      <c r="AF436" s="1350"/>
      <c r="AG436" s="1350"/>
    </row>
    <row r="437" spans="4:35" ht="14.25" customHeight="1" x14ac:dyDescent="0.2">
      <c r="D437" s="1140" t="s">
        <v>221</v>
      </c>
      <c r="E437" s="1140"/>
      <c r="F437" s="1140"/>
      <c r="G437" s="1140"/>
      <c r="H437" s="1140"/>
      <c r="I437" s="1140"/>
      <c r="J437" s="1140"/>
      <c r="K437" s="1140"/>
      <c r="L437" s="1140"/>
      <c r="M437" s="1140"/>
      <c r="N437" s="1075">
        <v>119934</v>
      </c>
      <c r="O437" s="1075"/>
      <c r="P437" s="1075"/>
      <c r="Q437" s="1075"/>
      <c r="R437" s="1075"/>
      <c r="S437" s="1075"/>
      <c r="T437" s="1075"/>
      <c r="U437" s="1075"/>
      <c r="V437" s="1075"/>
      <c r="W437" s="1075"/>
      <c r="X437" s="1075">
        <v>89790</v>
      </c>
      <c r="Y437" s="1075"/>
      <c r="Z437" s="1075"/>
      <c r="AA437" s="1075"/>
      <c r="AB437" s="1075"/>
      <c r="AC437" s="1075"/>
      <c r="AD437" s="1075"/>
      <c r="AE437" s="1075"/>
      <c r="AF437" s="1075"/>
      <c r="AG437" s="1075"/>
    </row>
    <row r="438" spans="4:35" ht="14.25" customHeight="1" x14ac:dyDescent="0.2">
      <c r="D438" s="1140" t="s">
        <v>222</v>
      </c>
      <c r="E438" s="1140"/>
      <c r="F438" s="1140"/>
      <c r="G438" s="1140"/>
      <c r="H438" s="1140"/>
      <c r="I438" s="1140"/>
      <c r="J438" s="1140"/>
      <c r="K438" s="1140"/>
      <c r="L438" s="1140"/>
      <c r="M438" s="1140"/>
      <c r="N438" s="1075"/>
      <c r="O438" s="1075"/>
      <c r="P438" s="1075"/>
      <c r="Q438" s="1075"/>
      <c r="R438" s="1075"/>
      <c r="S438" s="1075"/>
      <c r="T438" s="1075"/>
      <c r="U438" s="1075"/>
      <c r="V438" s="1075"/>
      <c r="W438" s="1075"/>
      <c r="X438" s="1075"/>
      <c r="Y438" s="1075"/>
      <c r="Z438" s="1075"/>
      <c r="AA438" s="1075"/>
      <c r="AB438" s="1075"/>
      <c r="AC438" s="1075"/>
      <c r="AD438" s="1075"/>
      <c r="AE438" s="1075"/>
      <c r="AF438" s="1075"/>
      <c r="AG438" s="1075"/>
    </row>
    <row r="439" spans="4:35" ht="26.25" customHeight="1" x14ac:dyDescent="0.2">
      <c r="D439" s="1349" t="s">
        <v>224</v>
      </c>
      <c r="E439" s="1349"/>
      <c r="F439" s="1349"/>
      <c r="G439" s="1349"/>
      <c r="H439" s="1349"/>
      <c r="I439" s="1349"/>
      <c r="J439" s="1349"/>
      <c r="K439" s="1349"/>
      <c r="L439" s="1349"/>
      <c r="M439" s="1349"/>
      <c r="N439" s="1350"/>
      <c r="O439" s="1350"/>
      <c r="P439" s="1350"/>
      <c r="Q439" s="1350"/>
      <c r="R439" s="1350"/>
      <c r="S439" s="1350"/>
      <c r="T439" s="1350"/>
      <c r="U439" s="1350"/>
      <c r="V439" s="1350"/>
      <c r="W439" s="1350"/>
      <c r="X439" s="1350"/>
      <c r="Y439" s="1350"/>
      <c r="Z439" s="1350"/>
      <c r="AA439" s="1350"/>
      <c r="AB439" s="1350"/>
      <c r="AC439" s="1350"/>
      <c r="AD439" s="1350"/>
      <c r="AE439" s="1350"/>
      <c r="AF439" s="1350"/>
      <c r="AG439" s="1350"/>
      <c r="AI439" s="1010"/>
    </row>
    <row r="440" spans="4:35" ht="26.25" customHeight="1" x14ac:dyDescent="0.2">
      <c r="D440" s="1349" t="s">
        <v>225</v>
      </c>
      <c r="E440" s="1349"/>
      <c r="F440" s="1349"/>
      <c r="G440" s="1349"/>
      <c r="H440" s="1349"/>
      <c r="I440" s="1349"/>
      <c r="J440" s="1349"/>
      <c r="K440" s="1349"/>
      <c r="L440" s="1349"/>
      <c r="M440" s="1349"/>
      <c r="N440" s="1350"/>
      <c r="O440" s="1350"/>
      <c r="P440" s="1350"/>
      <c r="Q440" s="1350"/>
      <c r="R440" s="1350"/>
      <c r="S440" s="1350"/>
      <c r="T440" s="1350"/>
      <c r="U440" s="1350"/>
      <c r="V440" s="1350"/>
      <c r="W440" s="1350"/>
      <c r="X440" s="1350"/>
      <c r="Y440" s="1350"/>
      <c r="Z440" s="1350"/>
      <c r="AA440" s="1350"/>
      <c r="AB440" s="1350"/>
      <c r="AC440" s="1350"/>
      <c r="AD440" s="1350"/>
      <c r="AE440" s="1350"/>
      <c r="AF440" s="1350"/>
      <c r="AG440" s="1350"/>
    </row>
    <row r="441" spans="4:35" ht="14.25" customHeight="1" x14ac:dyDescent="0.2">
      <c r="D441" s="1349" t="s">
        <v>226</v>
      </c>
      <c r="E441" s="1349"/>
      <c r="F441" s="1349"/>
      <c r="G441" s="1349"/>
      <c r="H441" s="1349"/>
      <c r="I441" s="1349"/>
      <c r="J441" s="1349"/>
      <c r="K441" s="1349"/>
      <c r="L441" s="1349"/>
      <c r="M441" s="1349"/>
      <c r="N441" s="1350">
        <v>22</v>
      </c>
      <c r="O441" s="1350"/>
      <c r="P441" s="1350"/>
      <c r="Q441" s="1350"/>
      <c r="R441" s="1350"/>
      <c r="S441" s="1350"/>
      <c r="T441" s="1350"/>
      <c r="U441" s="1350"/>
      <c r="V441" s="1350"/>
      <c r="W441" s="1350"/>
      <c r="X441" s="1350">
        <v>23</v>
      </c>
      <c r="Y441" s="1350"/>
      <c r="Z441" s="1350"/>
      <c r="AA441" s="1350"/>
      <c r="AB441" s="1350"/>
      <c r="AC441" s="1350"/>
      <c r="AD441" s="1350"/>
      <c r="AE441" s="1350"/>
      <c r="AF441" s="1350"/>
      <c r="AG441" s="1350"/>
    </row>
    <row r="442" spans="4:35" ht="14.25" customHeight="1" x14ac:dyDescent="0.2">
      <c r="D442" s="1349" t="s">
        <v>227</v>
      </c>
      <c r="E442" s="1349"/>
      <c r="F442" s="1349"/>
      <c r="G442" s="1349"/>
      <c r="H442" s="1349"/>
      <c r="I442" s="1349"/>
      <c r="J442" s="1349"/>
      <c r="K442" s="1349"/>
      <c r="L442" s="1349"/>
      <c r="M442" s="1349"/>
      <c r="N442" s="1350">
        <v>25577</v>
      </c>
      <c r="O442" s="1350"/>
      <c r="P442" s="1350"/>
      <c r="Q442" s="1350"/>
      <c r="R442" s="1350"/>
      <c r="S442" s="1350"/>
      <c r="T442" s="1350"/>
      <c r="U442" s="1350"/>
      <c r="V442" s="1350"/>
      <c r="W442" s="1350"/>
      <c r="X442" s="1350">
        <v>19858</v>
      </c>
      <c r="Y442" s="1350"/>
      <c r="Z442" s="1350"/>
      <c r="AA442" s="1350"/>
      <c r="AB442" s="1350"/>
      <c r="AC442" s="1350"/>
      <c r="AD442" s="1350"/>
      <c r="AE442" s="1350"/>
      <c r="AF442" s="1350"/>
      <c r="AG442" s="1350"/>
      <c r="AI442" s="1010"/>
    </row>
    <row r="443" spans="4:35" ht="14.25" customHeight="1" x14ac:dyDescent="0.2">
      <c r="D443" s="1349" t="s">
        <v>228</v>
      </c>
      <c r="E443" s="1349"/>
      <c r="F443" s="1349"/>
      <c r="G443" s="1349"/>
      <c r="H443" s="1349"/>
      <c r="I443" s="1349"/>
      <c r="J443" s="1349"/>
      <c r="K443" s="1349"/>
      <c r="L443" s="1349"/>
      <c r="M443" s="1349"/>
      <c r="N443" s="1350">
        <v>25577</v>
      </c>
      <c r="O443" s="1350"/>
      <c r="P443" s="1350"/>
      <c r="Q443" s="1350"/>
      <c r="R443" s="1350"/>
      <c r="S443" s="1350"/>
      <c r="T443" s="1350"/>
      <c r="U443" s="1350"/>
      <c r="V443" s="1350"/>
      <c r="W443" s="1350"/>
      <c r="X443" s="1350">
        <v>19858</v>
      </c>
      <c r="Y443" s="1350"/>
      <c r="Z443" s="1350"/>
      <c r="AA443" s="1350"/>
      <c r="AB443" s="1350"/>
      <c r="AC443" s="1350"/>
      <c r="AD443" s="1350"/>
      <c r="AE443" s="1350"/>
      <c r="AF443" s="1350"/>
      <c r="AG443" s="1350"/>
    </row>
    <row r="444" spans="4:35" ht="14.25" customHeight="1" x14ac:dyDescent="0.2">
      <c r="D444" s="1140" t="s">
        <v>229</v>
      </c>
      <c r="E444" s="1140"/>
      <c r="F444" s="1140"/>
      <c r="G444" s="1140"/>
      <c r="H444" s="1140"/>
      <c r="I444" s="1140"/>
      <c r="J444" s="1140"/>
      <c r="K444" s="1140"/>
      <c r="L444" s="1140"/>
      <c r="M444" s="1140"/>
      <c r="N444" s="1075">
        <v>5719</v>
      </c>
      <c r="O444" s="1075"/>
      <c r="P444" s="1075"/>
      <c r="Q444" s="1075"/>
      <c r="R444" s="1075"/>
      <c r="S444" s="1075"/>
      <c r="T444" s="1075"/>
      <c r="U444" s="1075"/>
      <c r="V444" s="1075"/>
      <c r="W444" s="1075"/>
      <c r="X444" s="1075">
        <v>-20152</v>
      </c>
      <c r="Y444" s="1075"/>
      <c r="Z444" s="1075"/>
      <c r="AA444" s="1075"/>
      <c r="AB444" s="1075"/>
      <c r="AC444" s="1075"/>
      <c r="AD444" s="1075"/>
      <c r="AE444" s="1075"/>
      <c r="AF444" s="1075"/>
      <c r="AG444" s="1075"/>
    </row>
    <row r="445" spans="4:35" ht="14.25" customHeight="1" x14ac:dyDescent="0.2">
      <c r="D445" s="1140" t="s">
        <v>230</v>
      </c>
      <c r="E445" s="1140"/>
      <c r="F445" s="1140"/>
      <c r="G445" s="1140"/>
      <c r="H445" s="1140"/>
      <c r="I445" s="1140"/>
      <c r="J445" s="1140"/>
      <c r="K445" s="1140"/>
      <c r="L445" s="1140"/>
      <c r="M445" s="1140"/>
      <c r="N445" s="1075"/>
      <c r="O445" s="1075"/>
      <c r="P445" s="1075"/>
      <c r="Q445" s="1075"/>
      <c r="R445" s="1075"/>
      <c r="S445" s="1075"/>
      <c r="T445" s="1075"/>
      <c r="U445" s="1075"/>
      <c r="V445" s="1075"/>
      <c r="W445" s="1075"/>
      <c r="X445" s="1075"/>
      <c r="Y445" s="1075"/>
      <c r="Z445" s="1075"/>
      <c r="AA445" s="1075"/>
      <c r="AB445" s="1075"/>
      <c r="AC445" s="1075"/>
      <c r="AD445" s="1075"/>
      <c r="AE445" s="1075"/>
      <c r="AF445" s="1075"/>
      <c r="AG445" s="1075"/>
    </row>
    <row r="446" spans="4:35" ht="14.25" customHeight="1" x14ac:dyDescent="0.2">
      <c r="D446" s="1349" t="s">
        <v>231</v>
      </c>
      <c r="E446" s="1349"/>
      <c r="F446" s="1349"/>
      <c r="G446" s="1349"/>
      <c r="H446" s="1349"/>
      <c r="I446" s="1349"/>
      <c r="J446" s="1349"/>
      <c r="K446" s="1349"/>
      <c r="L446" s="1349"/>
      <c r="M446" s="1349"/>
      <c r="N446" s="1350"/>
      <c r="O446" s="1350"/>
      <c r="P446" s="1350"/>
      <c r="Q446" s="1350"/>
      <c r="R446" s="1350"/>
      <c r="S446" s="1350"/>
      <c r="T446" s="1350"/>
      <c r="U446" s="1350"/>
      <c r="V446" s="1350"/>
      <c r="W446" s="1350"/>
      <c r="X446" s="1350"/>
      <c r="Y446" s="1350"/>
      <c r="Z446" s="1350"/>
      <c r="AA446" s="1350"/>
      <c r="AB446" s="1350"/>
      <c r="AC446" s="1350"/>
      <c r="AD446" s="1350"/>
      <c r="AE446" s="1350"/>
      <c r="AF446" s="1350"/>
      <c r="AG446" s="1350"/>
    </row>
    <row r="447" spans="4:35" ht="14.25" customHeight="1" x14ac:dyDescent="0.2">
      <c r="D447" s="1349" t="s">
        <v>232</v>
      </c>
      <c r="E447" s="1349"/>
      <c r="F447" s="1349"/>
      <c r="G447" s="1349"/>
      <c r="H447" s="1349"/>
      <c r="I447" s="1349"/>
      <c r="J447" s="1349"/>
      <c r="K447" s="1349"/>
      <c r="L447" s="1349"/>
      <c r="M447" s="1349"/>
      <c r="N447" s="1350"/>
      <c r="O447" s="1350"/>
      <c r="P447" s="1350"/>
      <c r="Q447" s="1350"/>
      <c r="R447" s="1350"/>
      <c r="S447" s="1350"/>
      <c r="T447" s="1350"/>
      <c r="U447" s="1350"/>
      <c r="V447" s="1350"/>
      <c r="W447" s="1350"/>
      <c r="X447" s="1350"/>
      <c r="Y447" s="1350"/>
      <c r="Z447" s="1350"/>
      <c r="AA447" s="1350"/>
      <c r="AB447" s="1350"/>
      <c r="AC447" s="1350"/>
      <c r="AD447" s="1350"/>
      <c r="AE447" s="1350"/>
      <c r="AF447" s="1350"/>
      <c r="AG447" s="1350"/>
    </row>
    <row r="448" spans="4:35" ht="14.25" customHeight="1" x14ac:dyDescent="0.2">
      <c r="D448" s="1140" t="s">
        <v>233</v>
      </c>
      <c r="E448" s="1140"/>
      <c r="F448" s="1140"/>
      <c r="G448" s="1140"/>
      <c r="H448" s="1140"/>
      <c r="I448" s="1140"/>
      <c r="J448" s="1140"/>
      <c r="K448" s="1140"/>
      <c r="L448" s="1140"/>
      <c r="M448" s="1140"/>
      <c r="N448" s="1075"/>
      <c r="O448" s="1075"/>
      <c r="P448" s="1075"/>
      <c r="Q448" s="1075"/>
      <c r="R448" s="1075"/>
      <c r="S448" s="1075"/>
      <c r="T448" s="1075"/>
      <c r="U448" s="1075"/>
      <c r="V448" s="1075"/>
      <c r="W448" s="1075"/>
      <c r="X448" s="1075"/>
      <c r="Y448" s="1075"/>
      <c r="Z448" s="1075"/>
      <c r="AA448" s="1075"/>
      <c r="AB448" s="1075"/>
      <c r="AC448" s="1075"/>
      <c r="AD448" s="1075"/>
      <c r="AE448" s="1075"/>
      <c r="AF448" s="1075"/>
      <c r="AG448" s="1075"/>
    </row>
    <row r="449" spans="1:42" ht="14.25" customHeight="1" thickBot="1" x14ac:dyDescent="0.25">
      <c r="D449" s="1139" t="s">
        <v>230</v>
      </c>
      <c r="E449" s="1139"/>
      <c r="F449" s="1139"/>
      <c r="G449" s="1139"/>
      <c r="H449" s="1139"/>
      <c r="I449" s="1139"/>
      <c r="J449" s="1139"/>
      <c r="K449" s="1139"/>
      <c r="L449" s="1139"/>
      <c r="M449" s="1139"/>
      <c r="N449" s="1142"/>
      <c r="O449" s="1142"/>
      <c r="P449" s="1142"/>
      <c r="Q449" s="1142"/>
      <c r="R449" s="1142"/>
      <c r="S449" s="1142"/>
      <c r="T449" s="1142"/>
      <c r="U449" s="1142"/>
      <c r="V449" s="1142"/>
      <c r="W449" s="1142"/>
      <c r="X449" s="1142"/>
      <c r="Y449" s="1142"/>
      <c r="Z449" s="1142"/>
      <c r="AA449" s="1142"/>
      <c r="AB449" s="1142"/>
      <c r="AC449" s="1142"/>
      <c r="AD449" s="1142"/>
      <c r="AE449" s="1142"/>
      <c r="AF449" s="1142"/>
      <c r="AG449" s="1142"/>
    </row>
    <row r="451" spans="1:42" ht="14.25" customHeight="1" x14ac:dyDescent="0.2">
      <c r="D451" s="1168" t="s">
        <v>1973</v>
      </c>
      <c r="E451" s="1168"/>
      <c r="F451" s="1168"/>
      <c r="G451" s="1168"/>
      <c r="H451" s="1168"/>
      <c r="I451" s="1168"/>
      <c r="J451" s="1168"/>
      <c r="K451" s="1168"/>
      <c r="L451" s="1168"/>
      <c r="M451" s="1168"/>
      <c r="N451" s="1168"/>
      <c r="O451" s="1168"/>
      <c r="P451" s="1168"/>
      <c r="Q451" s="1168"/>
      <c r="R451" s="1168"/>
      <c r="S451" s="1168"/>
      <c r="T451" s="1168"/>
      <c r="U451" s="1168"/>
      <c r="V451" s="1168"/>
      <c r="W451" s="1168"/>
      <c r="X451" s="1168"/>
      <c r="Y451" s="1168"/>
      <c r="Z451" s="1168"/>
      <c r="AA451" s="1168"/>
      <c r="AB451" s="1168"/>
      <c r="AC451" s="1168"/>
      <c r="AD451" s="1168"/>
      <c r="AE451" s="1168"/>
      <c r="AF451" s="1168"/>
      <c r="AG451" s="1168"/>
    </row>
    <row r="452" spans="1:42" ht="14.25" hidden="1" customHeight="1" x14ac:dyDescent="0.2">
      <c r="D452" s="1168"/>
      <c r="E452" s="1168"/>
      <c r="F452" s="1168"/>
      <c r="G452" s="1168"/>
      <c r="H452" s="1168"/>
      <c r="I452" s="1168"/>
      <c r="J452" s="1168"/>
      <c r="K452" s="1168"/>
      <c r="L452" s="1168"/>
      <c r="M452" s="1168"/>
      <c r="N452" s="1168"/>
      <c r="O452" s="1168"/>
      <c r="P452" s="1168"/>
      <c r="Q452" s="1168"/>
      <c r="R452" s="1168"/>
      <c r="S452" s="1168"/>
      <c r="T452" s="1168"/>
      <c r="U452" s="1168"/>
      <c r="V452" s="1168"/>
      <c r="W452" s="1168"/>
      <c r="X452" s="1168"/>
      <c r="Y452" s="1168"/>
      <c r="Z452" s="1168"/>
      <c r="AA452" s="1168"/>
      <c r="AB452" s="1168"/>
      <c r="AC452" s="1168"/>
      <c r="AD452" s="1168"/>
      <c r="AE452" s="1168"/>
      <c r="AF452" s="1168"/>
      <c r="AG452" s="1168"/>
    </row>
    <row r="453" spans="1:42" ht="14.25" customHeight="1" x14ac:dyDescent="0.2">
      <c r="D453" s="1168"/>
      <c r="E453" s="1168"/>
      <c r="F453" s="1168"/>
      <c r="G453" s="1168"/>
      <c r="H453" s="1168"/>
      <c r="I453" s="1168"/>
      <c r="J453" s="1168"/>
      <c r="K453" s="1168"/>
      <c r="L453" s="1168"/>
      <c r="M453" s="1168"/>
      <c r="N453" s="1168"/>
      <c r="O453" s="1168"/>
      <c r="P453" s="1168"/>
      <c r="Q453" s="1168"/>
      <c r="R453" s="1168"/>
      <c r="S453" s="1168"/>
      <c r="T453" s="1168"/>
      <c r="U453" s="1168"/>
      <c r="V453" s="1168"/>
      <c r="W453" s="1168"/>
      <c r="X453" s="1168"/>
      <c r="Y453" s="1168"/>
      <c r="Z453" s="1168"/>
      <c r="AA453" s="1168"/>
      <c r="AB453" s="1168"/>
      <c r="AC453" s="1168"/>
      <c r="AD453" s="1168"/>
      <c r="AE453" s="1168"/>
      <c r="AF453" s="1168"/>
      <c r="AG453" s="1168"/>
    </row>
    <row r="454" spans="1:42" ht="14.25" hidden="1" customHeight="1" x14ac:dyDescent="0.2"/>
    <row r="455" spans="1:42" ht="14.25" customHeight="1" x14ac:dyDescent="0.2">
      <c r="D455" s="1345" t="s">
        <v>2004</v>
      </c>
      <c r="E455" s="1345"/>
      <c r="F455" s="1345"/>
      <c r="G455" s="1345"/>
      <c r="H455" s="1345"/>
      <c r="I455" s="1345"/>
      <c r="J455" s="1345"/>
      <c r="K455" s="1345"/>
      <c r="L455" s="1345"/>
      <c r="M455" s="1345"/>
      <c r="N455" s="1345"/>
      <c r="O455" s="1345"/>
      <c r="P455" s="1345"/>
      <c r="Q455" s="1345"/>
      <c r="R455" s="1345"/>
      <c r="S455" s="1345"/>
      <c r="T455" s="1345"/>
      <c r="U455" s="1345"/>
      <c r="V455" s="1345"/>
      <c r="W455" s="1345"/>
      <c r="X455" s="1345"/>
      <c r="Y455" s="1345"/>
      <c r="Z455" s="1345"/>
      <c r="AA455" s="1345"/>
      <c r="AB455" s="1345"/>
      <c r="AC455" s="1345"/>
      <c r="AD455" s="1345"/>
      <c r="AE455" s="1345"/>
      <c r="AF455" s="1345"/>
      <c r="AG455" s="1345"/>
    </row>
    <row r="456" spans="1:42" ht="14.25" customHeight="1" thickBot="1" x14ac:dyDescent="0.25"/>
    <row r="457" spans="1:42" ht="28.5" customHeight="1" thickTop="1" thickBot="1" x14ac:dyDescent="0.25">
      <c r="A457" s="933">
        <v>27</v>
      </c>
      <c r="D457" s="1235" t="s">
        <v>131</v>
      </c>
      <c r="E457" s="1236"/>
      <c r="F457" s="1236"/>
      <c r="G457" s="1236"/>
      <c r="H457" s="1236"/>
      <c r="I457" s="1236"/>
      <c r="J457" s="1236"/>
      <c r="K457" s="1236"/>
      <c r="L457" s="1236"/>
      <c r="M457" s="1237"/>
      <c r="N457" s="1235" t="s">
        <v>2</v>
      </c>
      <c r="O457" s="1236"/>
      <c r="P457" s="1236"/>
      <c r="Q457" s="1236"/>
      <c r="R457" s="1236"/>
      <c r="S457" s="1236"/>
      <c r="T457" s="1236"/>
      <c r="U457" s="1236"/>
      <c r="V457" s="1236"/>
      <c r="W457" s="1237"/>
      <c r="X457" s="1235" t="s">
        <v>3</v>
      </c>
      <c r="Y457" s="1236"/>
      <c r="Z457" s="1236"/>
      <c r="AA457" s="1236"/>
      <c r="AB457" s="1236"/>
      <c r="AC457" s="1236"/>
      <c r="AD457" s="1236"/>
      <c r="AE457" s="1236"/>
      <c r="AF457" s="1236"/>
      <c r="AG457" s="1237"/>
      <c r="AL457" s="925" t="s">
        <v>2</v>
      </c>
      <c r="AM457" s="927" t="s">
        <v>3</v>
      </c>
      <c r="AO457" s="925" t="s">
        <v>2</v>
      </c>
      <c r="AP457" s="927" t="s">
        <v>3</v>
      </c>
    </row>
    <row r="458" spans="1:42" ht="18.75" customHeight="1" x14ac:dyDescent="0.2">
      <c r="D458" s="1346" t="s">
        <v>234</v>
      </c>
      <c r="E458" s="1347"/>
      <c r="F458" s="1347"/>
      <c r="G458" s="1347"/>
      <c r="H458" s="1347"/>
      <c r="I458" s="1347"/>
      <c r="J458" s="1347"/>
      <c r="K458" s="1347"/>
      <c r="L458" s="1347"/>
      <c r="M458" s="1348"/>
      <c r="N458" s="1245">
        <v>849</v>
      </c>
      <c r="O458" s="1218"/>
      <c r="P458" s="1218"/>
      <c r="Q458" s="1218"/>
      <c r="R458" s="1218"/>
      <c r="S458" s="1218"/>
      <c r="T458" s="1218"/>
      <c r="U458" s="1218"/>
      <c r="V458" s="1218"/>
      <c r="W458" s="1218"/>
      <c r="X458" s="1218">
        <v>542</v>
      </c>
      <c r="Y458" s="1218"/>
      <c r="Z458" s="1218"/>
      <c r="AA458" s="1218"/>
      <c r="AB458" s="1218"/>
      <c r="AC458" s="1218"/>
      <c r="AD458" s="1218"/>
      <c r="AE458" s="1218"/>
      <c r="AF458" s="1218"/>
      <c r="AG458" s="1218"/>
      <c r="AL458" s="941"/>
      <c r="AM458" s="943"/>
      <c r="AO458" s="941"/>
      <c r="AP458" s="943"/>
    </row>
    <row r="459" spans="1:42" ht="18.75" customHeight="1" x14ac:dyDescent="0.2">
      <c r="D459" s="1352" t="s">
        <v>235</v>
      </c>
      <c r="E459" s="1353"/>
      <c r="F459" s="1353"/>
      <c r="G459" s="1353"/>
      <c r="H459" s="1353"/>
      <c r="I459" s="1353"/>
      <c r="J459" s="1353"/>
      <c r="K459" s="1353"/>
      <c r="L459" s="1353"/>
      <c r="M459" s="1354"/>
      <c r="N459" s="1234">
        <v>872</v>
      </c>
      <c r="O459" s="1075"/>
      <c r="P459" s="1075"/>
      <c r="Q459" s="1075"/>
      <c r="R459" s="1075"/>
      <c r="S459" s="1075"/>
      <c r="T459" s="1075"/>
      <c r="U459" s="1075"/>
      <c r="V459" s="1075"/>
      <c r="W459" s="1075"/>
      <c r="X459" s="1079">
        <v>734</v>
      </c>
      <c r="Y459" s="1046"/>
      <c r="Z459" s="1046"/>
      <c r="AA459" s="1046"/>
      <c r="AB459" s="1046"/>
      <c r="AC459" s="1046"/>
      <c r="AD459" s="1046"/>
      <c r="AE459" s="1046"/>
      <c r="AF459" s="1046"/>
      <c r="AG459" s="1234"/>
      <c r="AL459" s="944"/>
      <c r="AM459" s="948"/>
      <c r="AO459" s="944"/>
      <c r="AP459" s="948"/>
    </row>
    <row r="460" spans="1:42" ht="18.75" customHeight="1" x14ac:dyDescent="0.2">
      <c r="D460" s="1352" t="s">
        <v>236</v>
      </c>
      <c r="E460" s="1353"/>
      <c r="F460" s="1353"/>
      <c r="G460" s="1353"/>
      <c r="H460" s="1353"/>
      <c r="I460" s="1353"/>
      <c r="J460" s="1353"/>
      <c r="K460" s="1353"/>
      <c r="L460" s="1353"/>
      <c r="M460" s="1354"/>
      <c r="N460" s="1234"/>
      <c r="O460" s="1075"/>
      <c r="P460" s="1075"/>
      <c r="Q460" s="1075"/>
      <c r="R460" s="1075"/>
      <c r="S460" s="1075"/>
      <c r="T460" s="1075"/>
      <c r="U460" s="1075"/>
      <c r="V460" s="1075"/>
      <c r="W460" s="1075"/>
      <c r="X460" s="1079"/>
      <c r="Y460" s="1046"/>
      <c r="Z460" s="1046"/>
      <c r="AA460" s="1046"/>
      <c r="AB460" s="1046"/>
      <c r="AC460" s="1046"/>
      <c r="AD460" s="1046"/>
      <c r="AE460" s="1046"/>
      <c r="AF460" s="1046"/>
      <c r="AG460" s="1234"/>
      <c r="AL460" s="944"/>
      <c r="AM460" s="948"/>
      <c r="AO460" s="944"/>
      <c r="AP460" s="948"/>
    </row>
    <row r="461" spans="1:42" ht="18.75" customHeight="1" x14ac:dyDescent="0.2">
      <c r="D461" s="1352" t="s">
        <v>237</v>
      </c>
      <c r="E461" s="1353"/>
      <c r="F461" s="1353"/>
      <c r="G461" s="1353"/>
      <c r="H461" s="1353"/>
      <c r="I461" s="1353"/>
      <c r="J461" s="1353"/>
      <c r="K461" s="1353"/>
      <c r="L461" s="1353"/>
      <c r="M461" s="1354"/>
      <c r="N461" s="1234"/>
      <c r="O461" s="1075"/>
      <c r="P461" s="1075"/>
      <c r="Q461" s="1075"/>
      <c r="R461" s="1075"/>
      <c r="S461" s="1075"/>
      <c r="T461" s="1075"/>
      <c r="U461" s="1075"/>
      <c r="V461" s="1075"/>
      <c r="W461" s="1075"/>
      <c r="X461" s="1079"/>
      <c r="Y461" s="1046"/>
      <c r="Z461" s="1046"/>
      <c r="AA461" s="1046"/>
      <c r="AB461" s="1046"/>
      <c r="AC461" s="1046"/>
      <c r="AD461" s="1046"/>
      <c r="AE461" s="1046"/>
      <c r="AF461" s="1046"/>
      <c r="AG461" s="1234"/>
      <c r="AL461" s="944"/>
      <c r="AM461" s="948"/>
      <c r="AO461" s="944"/>
      <c r="AP461" s="948"/>
    </row>
    <row r="462" spans="1:42" ht="18.75" customHeight="1" x14ac:dyDescent="0.2">
      <c r="D462" s="1355" t="s">
        <v>238</v>
      </c>
      <c r="E462" s="1356"/>
      <c r="F462" s="1356"/>
      <c r="G462" s="1356"/>
      <c r="H462" s="1356"/>
      <c r="I462" s="1356"/>
      <c r="J462" s="1356"/>
      <c r="K462" s="1356"/>
      <c r="L462" s="1356"/>
      <c r="M462" s="1357"/>
      <c r="N462" s="1053">
        <f>SUM(N459:W461)</f>
        <v>872</v>
      </c>
      <c r="O462" s="1216"/>
      <c r="P462" s="1216"/>
      <c r="Q462" s="1216"/>
      <c r="R462" s="1216"/>
      <c r="S462" s="1216"/>
      <c r="T462" s="1216"/>
      <c r="U462" s="1216"/>
      <c r="V462" s="1216"/>
      <c r="W462" s="1216"/>
      <c r="X462" s="1053">
        <f>SUM(X459:AG461)</f>
        <v>734</v>
      </c>
      <c r="Y462" s="1216"/>
      <c r="Z462" s="1216"/>
      <c r="AA462" s="1216"/>
      <c r="AB462" s="1216"/>
      <c r="AC462" s="1216"/>
      <c r="AD462" s="1216"/>
      <c r="AE462" s="1216"/>
      <c r="AF462" s="1216"/>
      <c r="AG462" s="1216"/>
      <c r="AL462" s="946">
        <f>SUM(N459:W461)-N462</f>
        <v>0</v>
      </c>
      <c r="AM462" s="945">
        <f>SUM(X459:AG461)-X462</f>
        <v>0</v>
      </c>
      <c r="AO462" s="944"/>
      <c r="AP462" s="948"/>
    </row>
    <row r="463" spans="1:42" ht="18.75" customHeight="1" x14ac:dyDescent="0.2">
      <c r="D463" s="1355" t="s">
        <v>239</v>
      </c>
      <c r="E463" s="1356"/>
      <c r="F463" s="1356"/>
      <c r="G463" s="1356"/>
      <c r="H463" s="1356"/>
      <c r="I463" s="1356"/>
      <c r="J463" s="1356"/>
      <c r="K463" s="1356"/>
      <c r="L463" s="1356"/>
      <c r="M463" s="1357"/>
      <c r="N463" s="1234">
        <v>520</v>
      </c>
      <c r="O463" s="1075"/>
      <c r="P463" s="1075"/>
      <c r="Q463" s="1075"/>
      <c r="R463" s="1075"/>
      <c r="S463" s="1075"/>
      <c r="T463" s="1075"/>
      <c r="U463" s="1075"/>
      <c r="V463" s="1075"/>
      <c r="W463" s="1075"/>
      <c r="X463" s="1079">
        <v>427</v>
      </c>
      <c r="Y463" s="1046"/>
      <c r="Z463" s="1046"/>
      <c r="AA463" s="1046"/>
      <c r="AB463" s="1046"/>
      <c r="AC463" s="1046"/>
      <c r="AD463" s="1046"/>
      <c r="AE463" s="1046"/>
      <c r="AF463" s="1046"/>
      <c r="AG463" s="1234"/>
      <c r="AL463" s="944"/>
      <c r="AM463" s="948"/>
      <c r="AO463" s="944"/>
      <c r="AP463" s="948"/>
    </row>
    <row r="464" spans="1:42" ht="18.75" customHeight="1" thickBot="1" x14ac:dyDescent="0.25">
      <c r="D464" s="1358" t="s">
        <v>240</v>
      </c>
      <c r="E464" s="1359"/>
      <c r="F464" s="1359"/>
      <c r="G464" s="1359"/>
      <c r="H464" s="1359"/>
      <c r="I464" s="1359"/>
      <c r="J464" s="1359"/>
      <c r="K464" s="1359"/>
      <c r="L464" s="1359"/>
      <c r="M464" s="1360"/>
      <c r="N464" s="1241">
        <v>1201</v>
      </c>
      <c r="O464" s="1213"/>
      <c r="P464" s="1213"/>
      <c r="Q464" s="1213"/>
      <c r="R464" s="1213"/>
      <c r="S464" s="1213"/>
      <c r="T464" s="1213"/>
      <c r="U464" s="1213"/>
      <c r="V464" s="1213"/>
      <c r="W464" s="1213"/>
      <c r="X464" s="1241">
        <v>849</v>
      </c>
      <c r="Y464" s="1213"/>
      <c r="Z464" s="1213"/>
      <c r="AA464" s="1213"/>
      <c r="AB464" s="1213"/>
      <c r="AC464" s="1213"/>
      <c r="AD464" s="1213"/>
      <c r="AE464" s="1213"/>
      <c r="AF464" s="1213"/>
      <c r="AG464" s="1213"/>
      <c r="AL464" s="949">
        <f>N458+N462+N463-N464</f>
        <v>1040</v>
      </c>
      <c r="AM464" s="951">
        <f>X458+X462+X463-X464</f>
        <v>854</v>
      </c>
      <c r="AO464" s="949">
        <f>N464-BS!$D$118</f>
        <v>0</v>
      </c>
      <c r="AP464" s="951">
        <f>X464-BS!$E$118</f>
        <v>0</v>
      </c>
    </row>
    <row r="465" spans="1:42" ht="14.25" hidden="1" customHeight="1" x14ac:dyDescent="0.2"/>
    <row r="466" spans="1:42" ht="14.25" hidden="1" customHeight="1" x14ac:dyDescent="0.2"/>
    <row r="467" spans="1:42" ht="14.25" hidden="1" customHeight="1" x14ac:dyDescent="0.2"/>
    <row r="468" spans="1:42" ht="14.25" hidden="1" customHeight="1" x14ac:dyDescent="0.2"/>
    <row r="471" spans="1:42" ht="14.25" customHeight="1" x14ac:dyDescent="0.2">
      <c r="D471" s="634" t="s">
        <v>1958</v>
      </c>
    </row>
    <row r="473" spans="1:42" ht="14.25" customHeight="1" x14ac:dyDescent="0.2">
      <c r="D473" s="1138" t="s">
        <v>1472</v>
      </c>
      <c r="E473" s="1138"/>
      <c r="F473" s="1138"/>
      <c r="G473" s="1138"/>
      <c r="H473" s="1138"/>
      <c r="I473" s="1138"/>
      <c r="J473" s="1138"/>
      <c r="K473" s="1138"/>
      <c r="L473" s="1138"/>
      <c r="M473" s="1138"/>
      <c r="N473" s="1138"/>
      <c r="O473" s="1138"/>
      <c r="P473" s="1138"/>
      <c r="Q473" s="1138"/>
      <c r="R473" s="1138"/>
      <c r="S473" s="1138"/>
      <c r="T473" s="1138"/>
      <c r="U473" s="1138"/>
      <c r="V473" s="1138"/>
      <c r="W473" s="1138"/>
      <c r="X473" s="1138"/>
      <c r="Y473" s="1138"/>
      <c r="Z473" s="1138"/>
      <c r="AA473" s="1138"/>
      <c r="AB473" s="1138"/>
      <c r="AC473" s="1138"/>
      <c r="AD473" s="1138"/>
      <c r="AE473" s="1138"/>
      <c r="AF473" s="1138"/>
      <c r="AG473" s="1138"/>
    </row>
    <row r="474" spans="1:42" ht="14.25" customHeight="1" thickBot="1" x14ac:dyDescent="0.25"/>
    <row r="475" spans="1:42" ht="27" customHeight="1" thickTop="1" thickBot="1" x14ac:dyDescent="0.25">
      <c r="A475" s="933">
        <v>31</v>
      </c>
      <c r="D475" s="1258" t="s">
        <v>131</v>
      </c>
      <c r="E475" s="1258"/>
      <c r="F475" s="1258"/>
      <c r="G475" s="1258"/>
      <c r="H475" s="1258"/>
      <c r="I475" s="1258"/>
      <c r="J475" s="1258"/>
      <c r="K475" s="1258"/>
      <c r="L475" s="1258"/>
      <c r="M475" s="1258"/>
      <c r="N475" s="1258" t="s">
        <v>2</v>
      </c>
      <c r="O475" s="1258"/>
      <c r="P475" s="1258"/>
      <c r="Q475" s="1258"/>
      <c r="R475" s="1258"/>
      <c r="S475" s="1258"/>
      <c r="T475" s="1258"/>
      <c r="U475" s="1258"/>
      <c r="V475" s="1258"/>
      <c r="W475" s="1258"/>
      <c r="X475" s="1258" t="s">
        <v>3</v>
      </c>
      <c r="Y475" s="1258"/>
      <c r="Z475" s="1258"/>
      <c r="AA475" s="1258"/>
      <c r="AB475" s="1258"/>
      <c r="AC475" s="1258"/>
      <c r="AD475" s="1258"/>
      <c r="AE475" s="1258"/>
      <c r="AF475" s="1258"/>
      <c r="AG475" s="1258"/>
      <c r="AL475" s="925" t="s">
        <v>2</v>
      </c>
      <c r="AM475" s="925" t="s">
        <v>3</v>
      </c>
      <c r="AO475" s="662" t="s">
        <v>2</v>
      </c>
      <c r="AP475" s="662" t="s">
        <v>3</v>
      </c>
    </row>
    <row r="476" spans="1:42" ht="30.75" customHeight="1" thickBot="1" x14ac:dyDescent="0.25">
      <c r="D476" s="1254" t="s">
        <v>1473</v>
      </c>
      <c r="E476" s="1254"/>
      <c r="F476" s="1254"/>
      <c r="G476" s="1254"/>
      <c r="H476" s="1254"/>
      <c r="I476" s="1254"/>
      <c r="J476" s="1254"/>
      <c r="K476" s="1254"/>
      <c r="L476" s="1254"/>
      <c r="M476" s="1254"/>
      <c r="N476" s="1255">
        <v>1500</v>
      </c>
      <c r="O476" s="1255"/>
      <c r="P476" s="1255"/>
      <c r="Q476" s="1255"/>
      <c r="R476" s="1255"/>
      <c r="S476" s="1255"/>
      <c r="T476" s="1255"/>
      <c r="U476" s="1255"/>
      <c r="V476" s="1255"/>
      <c r="W476" s="1255"/>
      <c r="X476" s="1255"/>
      <c r="Y476" s="1255"/>
      <c r="Z476" s="1255"/>
      <c r="AA476" s="1255"/>
      <c r="AB476" s="1255"/>
      <c r="AC476" s="1255"/>
      <c r="AD476" s="1255"/>
      <c r="AE476" s="1255"/>
      <c r="AF476" s="1255"/>
      <c r="AG476" s="1255"/>
      <c r="AL476" s="946">
        <f>SUM(N477:W477)-N476</f>
        <v>0</v>
      </c>
      <c r="AM476" s="945">
        <f>SUM(X477:AG477)-X476</f>
        <v>0</v>
      </c>
      <c r="AO476" s="977">
        <f>N476-BS!$D$140</f>
        <v>0</v>
      </c>
      <c r="AP476" s="978">
        <f>X476-BS!$E$140</f>
        <v>0</v>
      </c>
    </row>
    <row r="477" spans="1:42" ht="25.5" customHeight="1" thickBot="1" x14ac:dyDescent="0.25">
      <c r="D477" s="1361" t="s">
        <v>1908</v>
      </c>
      <c r="E477" s="1361"/>
      <c r="F477" s="1361"/>
      <c r="G477" s="1361"/>
      <c r="H477" s="1361"/>
      <c r="I477" s="1361"/>
      <c r="J477" s="1361"/>
      <c r="K477" s="1361"/>
      <c r="L477" s="1361"/>
      <c r="M477" s="1361"/>
      <c r="N477" s="1362">
        <v>1500</v>
      </c>
      <c r="O477" s="1362"/>
      <c r="P477" s="1362"/>
      <c r="Q477" s="1362"/>
      <c r="R477" s="1362"/>
      <c r="S477" s="1362"/>
      <c r="T477" s="1362"/>
      <c r="U477" s="1362"/>
      <c r="V477" s="1362"/>
      <c r="W477" s="1362"/>
      <c r="X477" s="1362"/>
      <c r="Y477" s="1362"/>
      <c r="Z477" s="1362"/>
      <c r="AA477" s="1362"/>
      <c r="AB477" s="1362"/>
      <c r="AC477" s="1362"/>
      <c r="AD477" s="1362"/>
      <c r="AE477" s="1362"/>
      <c r="AF477" s="1362"/>
      <c r="AG477" s="1362"/>
      <c r="AL477" s="944"/>
      <c r="AM477" s="948"/>
      <c r="AO477" s="944"/>
      <c r="AP477" s="948"/>
    </row>
    <row r="478" spans="1:42" ht="14.25" customHeight="1" x14ac:dyDescent="0.25">
      <c r="AL478" s="979"/>
      <c r="AM478" s="979"/>
    </row>
    <row r="479" spans="1:42" ht="14.25" customHeight="1" x14ac:dyDescent="0.2">
      <c r="D479" s="634" t="s">
        <v>1959</v>
      </c>
    </row>
    <row r="481" spans="1:40" ht="14.25" customHeight="1" x14ac:dyDescent="0.2">
      <c r="D481" s="1138" t="s">
        <v>1464</v>
      </c>
      <c r="E481" s="1138"/>
      <c r="F481" s="1138"/>
      <c r="G481" s="1138"/>
      <c r="H481" s="1138"/>
      <c r="I481" s="1138"/>
      <c r="J481" s="1138"/>
      <c r="K481" s="1138"/>
      <c r="L481" s="1138"/>
      <c r="M481" s="1138"/>
      <c r="N481" s="1138"/>
      <c r="O481" s="1138"/>
      <c r="P481" s="1138"/>
      <c r="Q481" s="1138"/>
      <c r="R481" s="1138"/>
      <c r="S481" s="1138"/>
      <c r="T481" s="1138"/>
      <c r="U481" s="1138"/>
      <c r="V481" s="1138"/>
      <c r="W481" s="1138"/>
      <c r="X481" s="1138"/>
      <c r="Y481" s="1138"/>
      <c r="Z481" s="1138"/>
      <c r="AA481" s="1138"/>
      <c r="AB481" s="1138"/>
      <c r="AC481" s="1138"/>
      <c r="AD481" s="1138"/>
      <c r="AE481" s="1138"/>
      <c r="AF481" s="1138"/>
      <c r="AG481" s="1138"/>
    </row>
    <row r="482" spans="1:40" ht="14.25" customHeight="1" thickBot="1" x14ac:dyDescent="0.25"/>
    <row r="483" spans="1:40" ht="25.5" customHeight="1" thickTop="1" thickBot="1" x14ac:dyDescent="0.25">
      <c r="A483" s="933">
        <v>34</v>
      </c>
      <c r="D483" s="1058" t="s">
        <v>1</v>
      </c>
      <c r="E483" s="1058"/>
      <c r="F483" s="1058"/>
      <c r="G483" s="1058"/>
      <c r="H483" s="1058"/>
      <c r="I483" s="1058"/>
      <c r="J483" s="1059" t="s">
        <v>2</v>
      </c>
      <c r="K483" s="1059"/>
      <c r="L483" s="1059"/>
      <c r="M483" s="1059"/>
      <c r="N483" s="1059"/>
      <c r="O483" s="1059"/>
      <c r="P483" s="1059"/>
      <c r="Q483" s="1059"/>
      <c r="R483" s="1059"/>
      <c r="S483" s="1059"/>
      <c r="T483" s="1059"/>
      <c r="U483" s="1059"/>
      <c r="V483" s="1059" t="s">
        <v>3</v>
      </c>
      <c r="W483" s="1059"/>
      <c r="X483" s="1059"/>
      <c r="Y483" s="1059"/>
      <c r="Z483" s="1059"/>
      <c r="AA483" s="1059"/>
      <c r="AB483" s="1059"/>
      <c r="AC483" s="1059"/>
      <c r="AD483" s="1059"/>
      <c r="AE483" s="1059"/>
      <c r="AF483" s="1059"/>
      <c r="AG483" s="1059"/>
      <c r="AI483" s="1363" t="s">
        <v>2</v>
      </c>
      <c r="AJ483" s="1364"/>
      <c r="AK483" s="1365"/>
      <c r="AL483" s="1366" t="s">
        <v>492</v>
      </c>
      <c r="AM483" s="1367"/>
      <c r="AN483" s="1368"/>
    </row>
    <row r="484" spans="1:40" ht="14.25" customHeight="1" thickTop="1" thickBot="1" x14ac:dyDescent="0.25">
      <c r="D484" s="1058"/>
      <c r="E484" s="1058"/>
      <c r="F484" s="1058"/>
      <c r="G484" s="1058"/>
      <c r="H484" s="1058"/>
      <c r="I484" s="1058"/>
      <c r="J484" s="1058" t="s">
        <v>184</v>
      </c>
      <c r="K484" s="1058"/>
      <c r="L484" s="1058"/>
      <c r="M484" s="1058"/>
      <c r="N484" s="1058"/>
      <c r="O484" s="1058"/>
      <c r="P484" s="1058"/>
      <c r="Q484" s="1058"/>
      <c r="R484" s="1058"/>
      <c r="S484" s="1058"/>
      <c r="T484" s="1058"/>
      <c r="U484" s="1058"/>
      <c r="V484" s="1058" t="s">
        <v>184</v>
      </c>
      <c r="W484" s="1058"/>
      <c r="X484" s="1058"/>
      <c r="Y484" s="1058"/>
      <c r="Z484" s="1058"/>
      <c r="AA484" s="1058"/>
      <c r="AB484" s="1058"/>
      <c r="AC484" s="1058"/>
      <c r="AD484" s="1058"/>
      <c r="AE484" s="1058"/>
      <c r="AF484" s="1058"/>
      <c r="AG484" s="1058"/>
      <c r="AI484" s="1363" t="s">
        <v>184</v>
      </c>
      <c r="AJ484" s="1364"/>
      <c r="AK484" s="1365"/>
      <c r="AL484" s="1363" t="s">
        <v>184</v>
      </c>
      <c r="AM484" s="1364"/>
      <c r="AN484" s="1365"/>
    </row>
    <row r="485" spans="1:40" ht="40.5" customHeight="1" thickTop="1" thickBot="1" x14ac:dyDescent="0.25">
      <c r="D485" s="1058"/>
      <c r="E485" s="1058"/>
      <c r="F485" s="1058"/>
      <c r="G485" s="1058"/>
      <c r="H485" s="1058"/>
      <c r="I485" s="1058"/>
      <c r="J485" s="1059" t="s">
        <v>185</v>
      </c>
      <c r="K485" s="1059"/>
      <c r="L485" s="1059"/>
      <c r="M485" s="1059"/>
      <c r="N485" s="1059" t="s">
        <v>186</v>
      </c>
      <c r="O485" s="1059"/>
      <c r="P485" s="1059"/>
      <c r="Q485" s="1059"/>
      <c r="R485" s="1059" t="s">
        <v>187</v>
      </c>
      <c r="S485" s="1059"/>
      <c r="T485" s="1059"/>
      <c r="U485" s="1059"/>
      <c r="V485" s="1059" t="s">
        <v>185</v>
      </c>
      <c r="W485" s="1059"/>
      <c r="X485" s="1059"/>
      <c r="Y485" s="1059"/>
      <c r="Z485" s="1059" t="s">
        <v>186</v>
      </c>
      <c r="AA485" s="1059"/>
      <c r="AB485" s="1059"/>
      <c r="AC485" s="1059"/>
      <c r="AD485" s="1059" t="s">
        <v>187</v>
      </c>
      <c r="AE485" s="1059"/>
      <c r="AF485" s="1059"/>
      <c r="AG485" s="1059"/>
      <c r="AI485" s="925" t="s">
        <v>185</v>
      </c>
      <c r="AJ485" s="40" t="s">
        <v>186</v>
      </c>
      <c r="AK485" s="40" t="s">
        <v>187</v>
      </c>
      <c r="AL485" s="40" t="s">
        <v>185</v>
      </c>
      <c r="AM485" s="40" t="s">
        <v>186</v>
      </c>
      <c r="AN485" s="40" t="s">
        <v>187</v>
      </c>
    </row>
    <row r="486" spans="1:40" ht="14.25" customHeight="1" x14ac:dyDescent="0.2">
      <c r="D486" s="1370" t="s">
        <v>188</v>
      </c>
      <c r="E486" s="1370"/>
      <c r="F486" s="1370"/>
      <c r="G486" s="1370"/>
      <c r="H486" s="1370"/>
      <c r="I486" s="1370"/>
      <c r="J486" s="1131">
        <v>6587</v>
      </c>
      <c r="K486" s="1131"/>
      <c r="L486" s="1131"/>
      <c r="M486" s="1131"/>
      <c r="N486" s="1131">
        <v>2300</v>
      </c>
      <c r="O486" s="1131"/>
      <c r="P486" s="1131"/>
      <c r="Q486" s="1131"/>
      <c r="R486" s="1131"/>
      <c r="S486" s="1131"/>
      <c r="T486" s="1131"/>
      <c r="U486" s="1131"/>
      <c r="V486" s="1131">
        <v>5280</v>
      </c>
      <c r="W486" s="1131"/>
      <c r="X486" s="1131"/>
      <c r="Y486" s="1131"/>
      <c r="Z486" s="1131">
        <v>9748</v>
      </c>
      <c r="AA486" s="1131"/>
      <c r="AB486" s="1131"/>
      <c r="AC486" s="1131"/>
      <c r="AD486" s="1131"/>
      <c r="AE486" s="1131"/>
      <c r="AF486" s="1131"/>
      <c r="AG486" s="1131"/>
      <c r="AI486" s="941"/>
      <c r="AJ486" s="942"/>
      <c r="AK486" s="942"/>
      <c r="AL486" s="942"/>
      <c r="AM486" s="942"/>
      <c r="AN486" s="943"/>
    </row>
    <row r="487" spans="1:40" ht="14.25" customHeight="1" x14ac:dyDescent="0.2">
      <c r="D487" s="1371" t="s">
        <v>273</v>
      </c>
      <c r="E487" s="1371"/>
      <c r="F487" s="1371"/>
      <c r="G487" s="1371"/>
      <c r="H487" s="1371"/>
      <c r="I487" s="1371"/>
      <c r="J487" s="1075">
        <v>889</v>
      </c>
      <c r="K487" s="1075"/>
      <c r="L487" s="1075"/>
      <c r="M487" s="1075"/>
      <c r="N487" s="1075"/>
      <c r="O487" s="1075"/>
      <c r="P487" s="1075"/>
      <c r="Q487" s="1075"/>
      <c r="R487" s="1075"/>
      <c r="S487" s="1075"/>
      <c r="T487" s="1075"/>
      <c r="U487" s="1075"/>
      <c r="V487" s="1075">
        <v>861</v>
      </c>
      <c r="W487" s="1075"/>
      <c r="X487" s="1075"/>
      <c r="Y487" s="1075"/>
      <c r="Z487" s="1075">
        <v>449</v>
      </c>
      <c r="AA487" s="1075"/>
      <c r="AB487" s="1075"/>
      <c r="AC487" s="1075"/>
      <c r="AD487" s="1075"/>
      <c r="AE487" s="1075"/>
      <c r="AF487" s="1075"/>
      <c r="AG487" s="1075"/>
      <c r="AI487" s="944"/>
      <c r="AJ487" s="940"/>
      <c r="AK487" s="940"/>
      <c r="AL487" s="940"/>
      <c r="AM487" s="940"/>
      <c r="AN487" s="948"/>
    </row>
    <row r="488" spans="1:40" ht="14.25" customHeight="1" thickBot="1" x14ac:dyDescent="0.25">
      <c r="D488" s="1373" t="s">
        <v>14</v>
      </c>
      <c r="E488" s="1373"/>
      <c r="F488" s="1373"/>
      <c r="G488" s="1373"/>
      <c r="H488" s="1373"/>
      <c r="I488" s="1373"/>
      <c r="J488" s="1213">
        <f>SUM(J486:M487)</f>
        <v>7476</v>
      </c>
      <c r="K488" s="1213"/>
      <c r="L488" s="1213"/>
      <c r="M488" s="1213"/>
      <c r="N488" s="1213">
        <f>SUM(N486:Q487)</f>
        <v>2300</v>
      </c>
      <c r="O488" s="1213"/>
      <c r="P488" s="1213"/>
      <c r="Q488" s="1213"/>
      <c r="R488" s="1213">
        <f>SUM(R486:U487)</f>
        <v>0</v>
      </c>
      <c r="S488" s="1213"/>
      <c r="T488" s="1213"/>
      <c r="U488" s="1213"/>
      <c r="V488" s="1213">
        <f>SUM(V486:Y487)</f>
        <v>6141</v>
      </c>
      <c r="W488" s="1213"/>
      <c r="X488" s="1213"/>
      <c r="Y488" s="1213"/>
      <c r="Z488" s="1213">
        <f>SUM(Z486:AC487)</f>
        <v>10197</v>
      </c>
      <c r="AA488" s="1213"/>
      <c r="AB488" s="1213"/>
      <c r="AC488" s="1213"/>
      <c r="AD488" s="1213">
        <f>SUM(AD486:AG487)</f>
        <v>0</v>
      </c>
      <c r="AE488" s="1213"/>
      <c r="AF488" s="1213"/>
      <c r="AG488" s="1213"/>
      <c r="AI488" s="949">
        <f>SUM(J486:M487)-J488</f>
        <v>0</v>
      </c>
      <c r="AJ488" s="950">
        <f>SUM(N486:Q487)-N488</f>
        <v>0</v>
      </c>
      <c r="AK488" s="950">
        <f>SUM(R486:U487)-R488</f>
        <v>0</v>
      </c>
      <c r="AL488" s="950">
        <f>SUM(V486:Y487)-V488</f>
        <v>0</v>
      </c>
      <c r="AM488" s="950">
        <f>SUM(Z486:AC487)-Z488</f>
        <v>0</v>
      </c>
      <c r="AN488" s="951">
        <f>SUM(AD486:AG487)-AD488</f>
        <v>0</v>
      </c>
    </row>
    <row r="490" spans="1:40" ht="14.25" customHeight="1" x14ac:dyDescent="0.2">
      <c r="D490" s="634" t="s">
        <v>1972</v>
      </c>
    </row>
    <row r="492" spans="1:40" ht="14.25" customHeight="1" x14ac:dyDescent="0.2">
      <c r="D492" s="1137" t="s">
        <v>1475</v>
      </c>
      <c r="E492" s="1137"/>
      <c r="F492" s="1137"/>
      <c r="G492" s="1137"/>
      <c r="H492" s="1137"/>
      <c r="I492" s="1137"/>
      <c r="J492" s="1137"/>
      <c r="K492" s="1137"/>
      <c r="L492" s="1137"/>
      <c r="M492" s="1137"/>
      <c r="N492" s="1137"/>
      <c r="O492" s="1137"/>
      <c r="P492" s="1137"/>
      <c r="Q492" s="1137"/>
      <c r="R492" s="1137"/>
      <c r="S492" s="1137"/>
      <c r="T492" s="1137"/>
      <c r="U492" s="1137"/>
      <c r="V492" s="1137"/>
      <c r="W492" s="1137"/>
      <c r="X492" s="1137"/>
      <c r="Y492" s="1137"/>
      <c r="Z492" s="1137"/>
      <c r="AA492" s="1137"/>
      <c r="AB492" s="1137"/>
      <c r="AC492" s="1137"/>
      <c r="AD492" s="1137"/>
      <c r="AE492" s="1137"/>
      <c r="AF492" s="1137"/>
      <c r="AG492" s="1137"/>
    </row>
    <row r="494" spans="1:40" ht="14.25" customHeight="1" x14ac:dyDescent="0.2">
      <c r="D494" s="1138" t="s">
        <v>1476</v>
      </c>
      <c r="E494" s="1138"/>
      <c r="F494" s="1138"/>
      <c r="G494" s="1138"/>
      <c r="H494" s="1138"/>
      <c r="I494" s="1138"/>
      <c r="J494" s="1138"/>
      <c r="K494" s="1138"/>
      <c r="L494" s="1138"/>
      <c r="M494" s="1138"/>
      <c r="N494" s="1138"/>
      <c r="O494" s="1138"/>
      <c r="P494" s="1138"/>
      <c r="Q494" s="1138"/>
      <c r="R494" s="1138"/>
      <c r="S494" s="1138"/>
      <c r="T494" s="1138"/>
      <c r="U494" s="1138"/>
      <c r="V494" s="1138"/>
      <c r="W494" s="1138"/>
      <c r="X494" s="1138"/>
      <c r="Y494" s="1138"/>
      <c r="Z494" s="1138"/>
      <c r="AA494" s="1138"/>
      <c r="AB494" s="1138"/>
      <c r="AC494" s="1138"/>
      <c r="AD494" s="1138"/>
      <c r="AE494" s="1138"/>
      <c r="AF494" s="1138"/>
      <c r="AG494" s="1138"/>
    </row>
    <row r="495" spans="1:40" ht="14.25" customHeight="1" thickBot="1" x14ac:dyDescent="0.25"/>
    <row r="496" spans="1:40" ht="35.25" customHeight="1" thickBot="1" x14ac:dyDescent="0.25">
      <c r="A496" s="933">
        <v>35</v>
      </c>
      <c r="D496" s="1369" t="s">
        <v>275</v>
      </c>
      <c r="E496" s="1369"/>
      <c r="F496" s="1369"/>
      <c r="G496" s="1369"/>
      <c r="H496" s="1369"/>
      <c r="I496" s="1369"/>
      <c r="J496" s="1193" t="s">
        <v>1986</v>
      </c>
      <c r="K496" s="1193"/>
      <c r="L496" s="1193"/>
      <c r="M496" s="1193"/>
      <c r="N496" s="1193"/>
      <c r="O496" s="1193"/>
      <c r="P496" s="1193"/>
      <c r="Q496" s="1193"/>
    </row>
    <row r="497" spans="1:42" ht="49.5" customHeight="1" thickBot="1" x14ac:dyDescent="0.25">
      <c r="D497" s="1369"/>
      <c r="E497" s="1369"/>
      <c r="F497" s="1369"/>
      <c r="G497" s="1369"/>
      <c r="H497" s="1369"/>
      <c r="I497" s="1369"/>
      <c r="J497" s="1193" t="s">
        <v>2</v>
      </c>
      <c r="K497" s="1193"/>
      <c r="L497" s="1193"/>
      <c r="M497" s="1193"/>
      <c r="N497" s="1193" t="s">
        <v>484</v>
      </c>
      <c r="O497" s="1193"/>
      <c r="P497" s="1193"/>
      <c r="Q497" s="1193"/>
    </row>
    <row r="498" spans="1:42" ht="14.25" customHeight="1" x14ac:dyDescent="0.2">
      <c r="D498" s="1372" t="s">
        <v>1909</v>
      </c>
      <c r="E498" s="1372"/>
      <c r="F498" s="1372"/>
      <c r="G498" s="1372"/>
      <c r="H498" s="1372"/>
      <c r="I498" s="1372"/>
      <c r="J498" s="1229">
        <v>5060964</v>
      </c>
      <c r="K498" s="1229"/>
      <c r="L498" s="1229"/>
      <c r="M498" s="1229"/>
      <c r="N498" s="1229">
        <v>4668331</v>
      </c>
      <c r="O498" s="1229"/>
      <c r="P498" s="1229"/>
      <c r="Q498" s="1229"/>
    </row>
    <row r="499" spans="1:42" ht="14.25" customHeight="1" x14ac:dyDescent="0.2">
      <c r="D499" s="1413" t="s">
        <v>1928</v>
      </c>
      <c r="E499" s="1413"/>
      <c r="F499" s="1413"/>
      <c r="G499" s="1413"/>
      <c r="H499" s="1413"/>
      <c r="I499" s="1413"/>
      <c r="J499" s="1225">
        <v>3499342</v>
      </c>
      <c r="K499" s="1225"/>
      <c r="L499" s="1225"/>
      <c r="M499" s="1225"/>
      <c r="N499" s="1225">
        <v>2706072</v>
      </c>
      <c r="O499" s="1225"/>
      <c r="P499" s="1225"/>
      <c r="Q499" s="1225"/>
    </row>
    <row r="500" spans="1:42" ht="14.25" hidden="1" customHeight="1" x14ac:dyDescent="0.2">
      <c r="D500" s="1412"/>
      <c r="E500" s="1412"/>
      <c r="F500" s="1412"/>
      <c r="G500" s="1412"/>
      <c r="H500" s="1412"/>
      <c r="I500" s="1412"/>
      <c r="J500" s="1225"/>
      <c r="K500" s="1225"/>
      <c r="L500" s="1225"/>
      <c r="M500" s="1225"/>
      <c r="N500" s="1225"/>
      <c r="O500" s="1225"/>
      <c r="P500" s="1225"/>
      <c r="Q500" s="1225"/>
    </row>
    <row r="501" spans="1:42" ht="14.25" hidden="1" customHeight="1" x14ac:dyDescent="0.2">
      <c r="D501" s="1412"/>
      <c r="E501" s="1412"/>
      <c r="F501" s="1412"/>
      <c r="G501" s="1412"/>
      <c r="H501" s="1412"/>
      <c r="I501" s="1412"/>
      <c r="J501" s="1225"/>
      <c r="K501" s="1225"/>
      <c r="L501" s="1225"/>
      <c r="M501" s="1225"/>
      <c r="N501" s="1225"/>
      <c r="O501" s="1225"/>
      <c r="P501" s="1225"/>
      <c r="Q501" s="1225"/>
    </row>
    <row r="502" spans="1:42" ht="14.25" customHeight="1" thickBot="1" x14ac:dyDescent="0.25">
      <c r="D502" s="1418" t="s">
        <v>14</v>
      </c>
      <c r="E502" s="1418"/>
      <c r="F502" s="1418"/>
      <c r="G502" s="1418"/>
      <c r="H502" s="1418"/>
      <c r="I502" s="1418"/>
      <c r="J502" s="1167">
        <f>SUM(J498:M501)</f>
        <v>8560306</v>
      </c>
      <c r="K502" s="1167"/>
      <c r="L502" s="1167"/>
      <c r="M502" s="1167"/>
      <c r="N502" s="1167">
        <f t="shared" ref="N502" si="101">SUM(N498:Q501)</f>
        <v>7374403</v>
      </c>
      <c r="O502" s="1167"/>
      <c r="P502" s="1167"/>
      <c r="Q502" s="1167"/>
    </row>
    <row r="504" spans="1:42" ht="14.25" customHeight="1" x14ac:dyDescent="0.2">
      <c r="D504" s="1137" t="s">
        <v>1477</v>
      </c>
      <c r="E504" s="1137"/>
      <c r="F504" s="1137"/>
      <c r="G504" s="1137"/>
      <c r="H504" s="1137"/>
      <c r="I504" s="1137"/>
      <c r="J504" s="1137"/>
      <c r="K504" s="1137"/>
      <c r="L504" s="1137"/>
      <c r="M504" s="1137"/>
      <c r="N504" s="1137"/>
      <c r="O504" s="1137"/>
      <c r="P504" s="1137"/>
      <c r="Q504" s="1137"/>
      <c r="R504" s="1137"/>
      <c r="S504" s="1137"/>
      <c r="T504" s="1137"/>
      <c r="U504" s="1137"/>
      <c r="V504" s="1137"/>
      <c r="W504" s="1137"/>
      <c r="X504" s="1137"/>
      <c r="Y504" s="1137"/>
      <c r="Z504" s="1137"/>
      <c r="AA504" s="1137"/>
      <c r="AB504" s="1137"/>
      <c r="AC504" s="1137"/>
      <c r="AD504" s="1137"/>
      <c r="AE504" s="1137"/>
      <c r="AF504" s="1137"/>
      <c r="AG504" s="1137"/>
    </row>
    <row r="506" spans="1:42" ht="14.25" customHeight="1" x14ac:dyDescent="0.2">
      <c r="D506" s="1383" t="s">
        <v>1478</v>
      </c>
      <c r="E506" s="1383"/>
      <c r="F506" s="1383"/>
      <c r="G506" s="1383"/>
      <c r="H506" s="1383"/>
      <c r="I506" s="1383"/>
      <c r="J506" s="1383"/>
      <c r="K506" s="1383"/>
      <c r="L506" s="1383"/>
      <c r="M506" s="1383"/>
      <c r="N506" s="1383"/>
      <c r="O506" s="1383"/>
      <c r="P506" s="1383"/>
      <c r="Q506" s="1383"/>
      <c r="R506" s="1383"/>
      <c r="S506" s="1383"/>
      <c r="T506" s="1383"/>
      <c r="U506" s="1383"/>
      <c r="V506" s="1383"/>
      <c r="W506" s="1383"/>
      <c r="X506" s="1383"/>
      <c r="Y506" s="1383"/>
      <c r="Z506" s="1383"/>
      <c r="AA506" s="1383"/>
      <c r="AB506" s="1383"/>
      <c r="AC506" s="1383"/>
      <c r="AD506" s="1383"/>
      <c r="AE506" s="1383"/>
      <c r="AF506" s="1383"/>
      <c r="AG506" s="1383"/>
    </row>
    <row r="507" spans="1:42" ht="14.25" hidden="1" customHeight="1" x14ac:dyDescent="0.2">
      <c r="D507" s="1383"/>
      <c r="E507" s="1383"/>
      <c r="F507" s="1383"/>
      <c r="G507" s="1383"/>
      <c r="H507" s="1383"/>
      <c r="I507" s="1383"/>
      <c r="J507" s="1383"/>
      <c r="K507" s="1383"/>
      <c r="L507" s="1383"/>
      <c r="M507" s="1383"/>
      <c r="N507" s="1383"/>
      <c r="O507" s="1383"/>
      <c r="P507" s="1383"/>
      <c r="Q507" s="1383"/>
      <c r="R507" s="1383"/>
      <c r="S507" s="1383"/>
      <c r="T507" s="1383"/>
      <c r="U507" s="1383"/>
      <c r="V507" s="1383"/>
      <c r="W507" s="1383"/>
      <c r="X507" s="1383"/>
      <c r="Y507" s="1383"/>
      <c r="Z507" s="1383"/>
      <c r="AA507" s="1383"/>
      <c r="AB507" s="1383"/>
      <c r="AC507" s="1383"/>
      <c r="AD507" s="1383"/>
      <c r="AE507" s="1383"/>
      <c r="AF507" s="1383"/>
      <c r="AG507" s="1383"/>
    </row>
    <row r="508" spans="1:42" ht="14.25" customHeight="1" thickBot="1" x14ac:dyDescent="0.25"/>
    <row r="509" spans="1:42" ht="14.25" customHeight="1" thickBot="1" x14ac:dyDescent="0.25">
      <c r="A509" s="933">
        <v>37</v>
      </c>
      <c r="D509" s="1384" t="s">
        <v>131</v>
      </c>
      <c r="E509" s="1385"/>
      <c r="F509" s="1385"/>
      <c r="G509" s="1385"/>
      <c r="H509" s="1385"/>
      <c r="I509" s="1385"/>
      <c r="J509" s="1385"/>
      <c r="K509" s="1385"/>
      <c r="L509" s="1385"/>
      <c r="M509" s="1386"/>
      <c r="N509" s="1387" t="s">
        <v>2</v>
      </c>
      <c r="O509" s="1388"/>
      <c r="P509" s="1388"/>
      <c r="Q509" s="1388"/>
      <c r="R509" s="1388"/>
      <c r="S509" s="1388"/>
      <c r="T509" s="1388"/>
      <c r="U509" s="1388"/>
      <c r="V509" s="1388"/>
      <c r="W509" s="1388"/>
      <c r="X509" s="1387" t="s">
        <v>3</v>
      </c>
      <c r="Y509" s="1388"/>
      <c r="Z509" s="1388"/>
      <c r="AA509" s="1388"/>
      <c r="AB509" s="1388"/>
      <c r="AC509" s="1388"/>
      <c r="AD509" s="1388"/>
      <c r="AE509" s="1388"/>
      <c r="AF509" s="1388"/>
      <c r="AG509" s="1391"/>
    </row>
    <row r="510" spans="1:42" ht="14.25" customHeight="1" thickBot="1" x14ac:dyDescent="0.25">
      <c r="D510" s="1384"/>
      <c r="E510" s="1385"/>
      <c r="F510" s="1385"/>
      <c r="G510" s="1385"/>
      <c r="H510" s="1385"/>
      <c r="I510" s="1385"/>
      <c r="J510" s="1385"/>
      <c r="K510" s="1385"/>
      <c r="L510" s="1385"/>
      <c r="M510" s="1386"/>
      <c r="N510" s="1389"/>
      <c r="O510" s="1390"/>
      <c r="P510" s="1390"/>
      <c r="Q510" s="1390"/>
      <c r="R510" s="1390"/>
      <c r="S510" s="1390"/>
      <c r="T510" s="1390"/>
      <c r="U510" s="1390"/>
      <c r="V510" s="1390"/>
      <c r="W510" s="1390"/>
      <c r="X510" s="1389"/>
      <c r="Y510" s="1390"/>
      <c r="Z510" s="1390"/>
      <c r="AA510" s="1390"/>
      <c r="AB510" s="1390"/>
      <c r="AC510" s="1390"/>
      <c r="AD510" s="1390"/>
      <c r="AE510" s="1390"/>
      <c r="AF510" s="1390"/>
      <c r="AG510" s="1392"/>
      <c r="AO510" s="666" t="s">
        <v>2</v>
      </c>
      <c r="AP510" s="667" t="s">
        <v>3</v>
      </c>
    </row>
    <row r="511" spans="1:42" s="981" customFormat="1" ht="27" customHeight="1" x14ac:dyDescent="0.2">
      <c r="A511" s="980"/>
      <c r="D511" s="1393" t="s">
        <v>487</v>
      </c>
      <c r="E511" s="1394"/>
      <c r="F511" s="1394"/>
      <c r="G511" s="1394"/>
      <c r="H511" s="1394"/>
      <c r="I511" s="1394"/>
      <c r="J511" s="1394"/>
      <c r="K511" s="1394"/>
      <c r="L511" s="1394"/>
      <c r="M511" s="1395"/>
      <c r="N511" s="1396"/>
      <c r="O511" s="1396"/>
      <c r="P511" s="1396"/>
      <c r="Q511" s="1396"/>
      <c r="R511" s="1396"/>
      <c r="S511" s="1396"/>
      <c r="T511" s="1396"/>
      <c r="U511" s="1396"/>
      <c r="V511" s="1396"/>
      <c r="W511" s="1396"/>
      <c r="X511" s="1396"/>
      <c r="Y511" s="1396"/>
      <c r="Z511" s="1396"/>
      <c r="AA511" s="1396"/>
      <c r="AB511" s="1396"/>
      <c r="AC511" s="1396"/>
      <c r="AD511" s="1396"/>
      <c r="AE511" s="1396"/>
      <c r="AF511" s="1396"/>
      <c r="AG511" s="1396"/>
      <c r="AO511" s="982"/>
      <c r="AP511" s="983"/>
    </row>
    <row r="512" spans="1:42" s="981" customFormat="1" ht="27" hidden="1" customHeight="1" x14ac:dyDescent="0.2">
      <c r="A512" s="980"/>
      <c r="D512" s="1144"/>
      <c r="E512" s="1144"/>
      <c r="F512" s="1144"/>
      <c r="G512" s="1144"/>
      <c r="H512" s="1144"/>
      <c r="I512" s="1144"/>
      <c r="J512" s="1144"/>
      <c r="K512" s="1144"/>
      <c r="L512" s="1144"/>
      <c r="M512" s="1144"/>
      <c r="N512" s="1143"/>
      <c r="O512" s="1143"/>
      <c r="P512" s="1143"/>
      <c r="Q512" s="1143"/>
      <c r="R512" s="1143"/>
      <c r="S512" s="1143"/>
      <c r="T512" s="1143"/>
      <c r="U512" s="1143"/>
      <c r="V512" s="1143"/>
      <c r="W512" s="1143"/>
      <c r="X512" s="1143"/>
      <c r="Y512" s="1143"/>
      <c r="Z512" s="1143"/>
      <c r="AA512" s="1143"/>
      <c r="AB512" s="1143"/>
      <c r="AC512" s="1143"/>
      <c r="AD512" s="1143"/>
      <c r="AE512" s="1143"/>
      <c r="AF512" s="1143"/>
      <c r="AG512" s="1143"/>
      <c r="AO512" s="982"/>
      <c r="AP512" s="983"/>
    </row>
    <row r="513" spans="1:42" s="981" customFormat="1" ht="27" customHeight="1" x14ac:dyDescent="0.2">
      <c r="A513" s="980"/>
      <c r="D513" s="1145" t="s">
        <v>290</v>
      </c>
      <c r="E513" s="1145"/>
      <c r="F513" s="1145"/>
      <c r="G513" s="1145"/>
      <c r="H513" s="1145"/>
      <c r="I513" s="1145"/>
      <c r="J513" s="1145"/>
      <c r="K513" s="1145"/>
      <c r="L513" s="1145"/>
      <c r="M513" s="1145"/>
      <c r="N513" s="1146">
        <v>69681</v>
      </c>
      <c r="O513" s="1146"/>
      <c r="P513" s="1146"/>
      <c r="Q513" s="1146"/>
      <c r="R513" s="1146"/>
      <c r="S513" s="1146"/>
      <c r="T513" s="1146"/>
      <c r="U513" s="1146"/>
      <c r="V513" s="1146"/>
      <c r="W513" s="1146"/>
      <c r="X513" s="1146"/>
      <c r="Y513" s="1146"/>
      <c r="Z513" s="1146"/>
      <c r="AA513" s="1146"/>
      <c r="AB513" s="1146"/>
      <c r="AC513" s="1146"/>
      <c r="AD513" s="1146"/>
      <c r="AE513" s="1146"/>
      <c r="AF513" s="1146"/>
      <c r="AG513" s="1146"/>
      <c r="AO513" s="982"/>
      <c r="AP513" s="983"/>
    </row>
    <row r="514" spans="1:42" s="981" customFormat="1" ht="27" customHeight="1" x14ac:dyDescent="0.2">
      <c r="A514" s="980"/>
      <c r="D514" s="1144" t="s">
        <v>1910</v>
      </c>
      <c r="E514" s="1144"/>
      <c r="F514" s="1144"/>
      <c r="G514" s="1144"/>
      <c r="H514" s="1144"/>
      <c r="I514" s="1144"/>
      <c r="J514" s="1144"/>
      <c r="K514" s="1144"/>
      <c r="L514" s="1144"/>
      <c r="M514" s="1144"/>
      <c r="N514" s="1143">
        <v>69681</v>
      </c>
      <c r="O514" s="1143"/>
      <c r="P514" s="1143"/>
      <c r="Q514" s="1143"/>
      <c r="R514" s="1143"/>
      <c r="S514" s="1143"/>
      <c r="T514" s="1143"/>
      <c r="U514" s="1143"/>
      <c r="V514" s="1143"/>
      <c r="W514" s="1143"/>
      <c r="X514" s="1143"/>
      <c r="Y514" s="1143"/>
      <c r="Z514" s="1143"/>
      <c r="AA514" s="1143"/>
      <c r="AB514" s="1143"/>
      <c r="AC514" s="1143"/>
      <c r="AD514" s="1143"/>
      <c r="AE514" s="1143"/>
      <c r="AF514" s="1143"/>
      <c r="AG514" s="1143"/>
      <c r="AO514" s="982"/>
      <c r="AP514" s="983"/>
    </row>
    <row r="515" spans="1:42" s="981" customFormat="1" ht="27" hidden="1" customHeight="1" x14ac:dyDescent="0.2">
      <c r="A515" s="980"/>
      <c r="D515" s="1144"/>
      <c r="E515" s="1144"/>
      <c r="F515" s="1144"/>
      <c r="G515" s="1144"/>
      <c r="H515" s="1144"/>
      <c r="I515" s="1144"/>
      <c r="J515" s="1144"/>
      <c r="K515" s="1144"/>
      <c r="L515" s="1144"/>
      <c r="M515" s="1144"/>
      <c r="N515" s="1146"/>
      <c r="O515" s="1146"/>
      <c r="P515" s="1146"/>
      <c r="Q515" s="1146"/>
      <c r="R515" s="1146"/>
      <c r="S515" s="1146"/>
      <c r="T515" s="1146"/>
      <c r="U515" s="1146"/>
      <c r="V515" s="1146"/>
      <c r="W515" s="1146"/>
      <c r="X515" s="1146"/>
      <c r="Y515" s="1146"/>
      <c r="Z515" s="1146"/>
      <c r="AA515" s="1146"/>
      <c r="AB515" s="1146"/>
      <c r="AC515" s="1146"/>
      <c r="AD515" s="1146"/>
      <c r="AE515" s="1146"/>
      <c r="AF515" s="1146"/>
      <c r="AG515" s="1146"/>
      <c r="AO515" s="982"/>
      <c r="AP515" s="983"/>
    </row>
    <row r="516" spans="1:42" s="981" customFormat="1" ht="27" customHeight="1" x14ac:dyDescent="0.2">
      <c r="A516" s="980"/>
      <c r="D516" s="1145" t="s">
        <v>291</v>
      </c>
      <c r="E516" s="1145"/>
      <c r="F516" s="1145"/>
      <c r="G516" s="1145"/>
      <c r="H516" s="1145"/>
      <c r="I516" s="1145"/>
      <c r="J516" s="1145"/>
      <c r="K516" s="1145"/>
      <c r="L516" s="1145"/>
      <c r="M516" s="1145"/>
      <c r="N516" s="1143">
        <v>134</v>
      </c>
      <c r="O516" s="1143"/>
      <c r="P516" s="1143"/>
      <c r="Q516" s="1143"/>
      <c r="R516" s="1143"/>
      <c r="S516" s="1143"/>
      <c r="T516" s="1143"/>
      <c r="U516" s="1143"/>
      <c r="V516" s="1143"/>
      <c r="W516" s="1143"/>
      <c r="X516" s="1143">
        <v>157</v>
      </c>
      <c r="Y516" s="1143"/>
      <c r="Z516" s="1143"/>
      <c r="AA516" s="1143"/>
      <c r="AB516" s="1143"/>
      <c r="AC516" s="1143"/>
      <c r="AD516" s="1143"/>
      <c r="AE516" s="1143"/>
      <c r="AF516" s="1143"/>
      <c r="AG516" s="1143"/>
      <c r="AO516" s="946">
        <f>N516-SUM('P&amp;L'!$D$35,'P&amp;L'!$D$37,'P&amp;L'!$D$41,'P&amp;L'!$D$43,'P&amp;L'!$D$46,'P&amp;L'!$D$48,'P&amp;L'!$D$50,'P&amp;L'!$D$52)</f>
        <v>0</v>
      </c>
      <c r="AP516" s="945">
        <f>X516-SUM('P&amp;L'!$E$35,'P&amp;L'!$E$37,'P&amp;L'!$E$41,'P&amp;L'!$E$43,'P&amp;L'!$E$46,'P&amp;L'!$E$48,'P&amp;L'!$E$50,'P&amp;L'!$E$52)</f>
        <v>0</v>
      </c>
    </row>
    <row r="517" spans="1:42" s="981" customFormat="1" ht="27" customHeight="1" x14ac:dyDescent="0.2">
      <c r="A517" s="980"/>
      <c r="D517" s="1144" t="s">
        <v>292</v>
      </c>
      <c r="E517" s="1144"/>
      <c r="F517" s="1144"/>
      <c r="G517" s="1144"/>
      <c r="H517" s="1144"/>
      <c r="I517" s="1144"/>
      <c r="J517" s="1144"/>
      <c r="K517" s="1144"/>
      <c r="L517" s="1144"/>
      <c r="M517" s="1144"/>
      <c r="N517" s="1143">
        <v>130</v>
      </c>
      <c r="O517" s="1143"/>
      <c r="P517" s="1143"/>
      <c r="Q517" s="1143"/>
      <c r="R517" s="1143"/>
      <c r="S517" s="1143"/>
      <c r="T517" s="1143"/>
      <c r="U517" s="1143"/>
      <c r="V517" s="1143"/>
      <c r="W517" s="1143"/>
      <c r="X517" s="1143">
        <v>8</v>
      </c>
      <c r="Y517" s="1143"/>
      <c r="Z517" s="1143"/>
      <c r="AA517" s="1143"/>
      <c r="AB517" s="1143"/>
      <c r="AC517" s="1143"/>
      <c r="AD517" s="1143"/>
      <c r="AE517" s="1143"/>
      <c r="AF517" s="1143"/>
      <c r="AG517" s="1143"/>
      <c r="AO517" s="946">
        <f>N517-'P&amp;L'!$D$48</f>
        <v>0</v>
      </c>
      <c r="AP517" s="945">
        <f>X517-'P&amp;L'!$E$48</f>
        <v>0</v>
      </c>
    </row>
    <row r="518" spans="1:42" s="981" customFormat="1" ht="27" customHeight="1" x14ac:dyDescent="0.2">
      <c r="A518" s="980"/>
      <c r="D518" s="1144" t="s">
        <v>293</v>
      </c>
      <c r="E518" s="1144"/>
      <c r="F518" s="1144"/>
      <c r="G518" s="1144"/>
      <c r="H518" s="1144"/>
      <c r="I518" s="1144"/>
      <c r="J518" s="1144"/>
      <c r="K518" s="1144"/>
      <c r="L518" s="1144"/>
      <c r="M518" s="1144"/>
      <c r="N518" s="1143">
        <v>0</v>
      </c>
      <c r="O518" s="1143"/>
      <c r="P518" s="1143"/>
      <c r="Q518" s="1143"/>
      <c r="R518" s="1143"/>
      <c r="S518" s="1143"/>
      <c r="T518" s="1143"/>
      <c r="U518" s="1143"/>
      <c r="V518" s="1143"/>
      <c r="W518" s="1143"/>
      <c r="X518" s="1143">
        <v>0</v>
      </c>
      <c r="Y518" s="1143"/>
      <c r="Z518" s="1143"/>
      <c r="AA518" s="1143"/>
      <c r="AB518" s="1143"/>
      <c r="AC518" s="1143"/>
      <c r="AD518" s="1143"/>
      <c r="AE518" s="1143"/>
      <c r="AF518" s="1143"/>
      <c r="AG518" s="1143"/>
      <c r="AO518" s="944"/>
      <c r="AP518" s="948"/>
    </row>
    <row r="519" spans="1:42" s="981" customFormat="1" ht="27" customHeight="1" x14ac:dyDescent="0.2">
      <c r="A519" s="980"/>
      <c r="D519" s="1144" t="s">
        <v>294</v>
      </c>
      <c r="E519" s="1144"/>
      <c r="F519" s="1144"/>
      <c r="G519" s="1144"/>
      <c r="H519" s="1144"/>
      <c r="I519" s="1144"/>
      <c r="J519" s="1144"/>
      <c r="K519" s="1144"/>
      <c r="L519" s="1144"/>
      <c r="M519" s="1144"/>
      <c r="N519" s="1143">
        <v>4</v>
      </c>
      <c r="O519" s="1143"/>
      <c r="P519" s="1143"/>
      <c r="Q519" s="1143"/>
      <c r="R519" s="1143"/>
      <c r="S519" s="1143"/>
      <c r="T519" s="1143"/>
      <c r="U519" s="1143"/>
      <c r="V519" s="1143"/>
      <c r="W519" s="1143"/>
      <c r="X519" s="1143">
        <v>149</v>
      </c>
      <c r="Y519" s="1143"/>
      <c r="Z519" s="1143"/>
      <c r="AA519" s="1143"/>
      <c r="AB519" s="1143"/>
      <c r="AC519" s="1143"/>
      <c r="AD519" s="1143"/>
      <c r="AE519" s="1143"/>
      <c r="AF519" s="1143"/>
      <c r="AG519" s="1143"/>
      <c r="AO519" s="944"/>
      <c r="AP519" s="948"/>
    </row>
    <row r="520" spans="1:42" s="981" customFormat="1" ht="27" customHeight="1" x14ac:dyDescent="0.2">
      <c r="A520" s="980"/>
      <c r="D520" s="1246" t="s">
        <v>1911</v>
      </c>
      <c r="E520" s="1246"/>
      <c r="F520" s="1246"/>
      <c r="G520" s="1246"/>
      <c r="H520" s="1246"/>
      <c r="I520" s="1246"/>
      <c r="J520" s="1246"/>
      <c r="K520" s="1246"/>
      <c r="L520" s="1246"/>
      <c r="M520" s="1246"/>
      <c r="N520" s="1399">
        <v>4</v>
      </c>
      <c r="O520" s="1399"/>
      <c r="P520" s="1399"/>
      <c r="Q520" s="1399"/>
      <c r="R520" s="1399"/>
      <c r="S520" s="1399"/>
      <c r="T520" s="1399"/>
      <c r="U520" s="1399"/>
      <c r="V520" s="1399"/>
      <c r="W520" s="1399"/>
      <c r="X520" s="1399">
        <v>149</v>
      </c>
      <c r="Y520" s="1399"/>
      <c r="Z520" s="1399"/>
      <c r="AA520" s="1399"/>
      <c r="AB520" s="1399"/>
      <c r="AC520" s="1399"/>
      <c r="AD520" s="1399"/>
      <c r="AE520" s="1399"/>
      <c r="AF520" s="1399"/>
      <c r="AG520" s="1399"/>
      <c r="AO520" s="944"/>
      <c r="AP520" s="948"/>
    </row>
    <row r="521" spans="1:42" s="981" customFormat="1" ht="27" customHeight="1" thickBot="1" x14ac:dyDescent="0.25">
      <c r="A521" s="980"/>
      <c r="D521" s="1398" t="s">
        <v>295</v>
      </c>
      <c r="E521" s="1398"/>
      <c r="F521" s="1398"/>
      <c r="G521" s="1398"/>
      <c r="H521" s="1398"/>
      <c r="I521" s="1398"/>
      <c r="J521" s="1398"/>
      <c r="K521" s="1398"/>
      <c r="L521" s="1398"/>
      <c r="M521" s="1398"/>
      <c r="N521" s="1150"/>
      <c r="O521" s="1150"/>
      <c r="P521" s="1150"/>
      <c r="Q521" s="1150"/>
      <c r="R521" s="1150"/>
      <c r="S521" s="1150"/>
      <c r="T521" s="1150"/>
      <c r="U521" s="1150"/>
      <c r="V521" s="1150"/>
      <c r="W521" s="1150"/>
      <c r="X521" s="1150"/>
      <c r="Y521" s="1150"/>
      <c r="Z521" s="1150"/>
      <c r="AA521" s="1150"/>
      <c r="AB521" s="1150"/>
      <c r="AC521" s="1150"/>
      <c r="AD521" s="1150"/>
      <c r="AE521" s="1150"/>
      <c r="AF521" s="1150"/>
      <c r="AG521" s="1150"/>
      <c r="AO521" s="946">
        <f>N521-'P&amp;L'!$D$60</f>
        <v>0</v>
      </c>
      <c r="AP521" s="945">
        <f>X521-'P&amp;L'!$E$60</f>
        <v>0</v>
      </c>
    </row>
    <row r="522" spans="1:42" ht="14.25" customHeight="1" x14ac:dyDescent="0.2">
      <c r="D522" s="960"/>
      <c r="E522" s="960"/>
      <c r="F522" s="960"/>
      <c r="G522" s="960"/>
      <c r="H522" s="960"/>
      <c r="I522" s="960"/>
      <c r="J522" s="960"/>
      <c r="K522" s="960"/>
      <c r="L522" s="960"/>
      <c r="M522" s="960"/>
    </row>
    <row r="523" spans="1:42" ht="14.25" customHeight="1" x14ac:dyDescent="0.2">
      <c r="D523" s="1138" t="s">
        <v>1479</v>
      </c>
      <c r="E523" s="1138"/>
      <c r="F523" s="1138"/>
      <c r="G523" s="1138"/>
      <c r="H523" s="1138"/>
      <c r="I523" s="1138"/>
      <c r="J523" s="1138"/>
      <c r="K523" s="1138"/>
      <c r="L523" s="1138"/>
      <c r="M523" s="1138"/>
      <c r="N523" s="1138"/>
      <c r="O523" s="1138"/>
      <c r="P523" s="1138"/>
      <c r="Q523" s="1138"/>
      <c r="R523" s="1138"/>
      <c r="S523" s="1138"/>
      <c r="T523" s="1138"/>
      <c r="U523" s="1138"/>
      <c r="V523" s="1138"/>
      <c r="W523" s="1138"/>
      <c r="X523" s="1138"/>
      <c r="Y523" s="1138"/>
      <c r="Z523" s="1138"/>
      <c r="AA523" s="1138"/>
      <c r="AB523" s="1138"/>
      <c r="AC523" s="1138"/>
      <c r="AD523" s="1138"/>
      <c r="AE523" s="1138"/>
      <c r="AF523" s="1138"/>
      <c r="AG523" s="1138"/>
    </row>
    <row r="524" spans="1:42" ht="14.25" customHeight="1" thickBot="1" x14ac:dyDescent="0.25">
      <c r="D524" s="960"/>
      <c r="E524" s="960"/>
      <c r="F524" s="960"/>
      <c r="G524" s="960"/>
      <c r="H524" s="960"/>
      <c r="I524" s="960"/>
      <c r="J524" s="960"/>
      <c r="K524" s="960"/>
      <c r="L524" s="960"/>
      <c r="M524" s="960"/>
    </row>
    <row r="525" spans="1:42" ht="14.25" customHeight="1" thickBot="1" x14ac:dyDescent="0.25">
      <c r="A525" s="933">
        <v>38</v>
      </c>
      <c r="D525" s="1376" t="s">
        <v>131</v>
      </c>
      <c r="E525" s="1377"/>
      <c r="F525" s="1377"/>
      <c r="G525" s="1377"/>
      <c r="H525" s="1377"/>
      <c r="I525" s="1377"/>
      <c r="J525" s="1377"/>
      <c r="K525" s="1377"/>
      <c r="L525" s="1377"/>
      <c r="M525" s="1378"/>
      <c r="N525" s="1109" t="s">
        <v>2</v>
      </c>
      <c r="O525" s="1110"/>
      <c r="P525" s="1110"/>
      <c r="Q525" s="1110"/>
      <c r="R525" s="1110"/>
      <c r="S525" s="1110"/>
      <c r="T525" s="1110"/>
      <c r="U525" s="1110"/>
      <c r="V525" s="1110"/>
      <c r="W525" s="1110"/>
      <c r="X525" s="1109" t="s">
        <v>3</v>
      </c>
      <c r="Y525" s="1110"/>
      <c r="Z525" s="1110"/>
      <c r="AA525" s="1110"/>
      <c r="AB525" s="1110"/>
      <c r="AC525" s="1110"/>
      <c r="AD525" s="1110"/>
      <c r="AE525" s="1110"/>
      <c r="AF525" s="1110"/>
      <c r="AG525" s="1111"/>
    </row>
    <row r="526" spans="1:42" ht="14.25" customHeight="1" thickTop="1" thickBot="1" x14ac:dyDescent="0.25">
      <c r="D526" s="1376"/>
      <c r="E526" s="1377"/>
      <c r="F526" s="1377"/>
      <c r="G526" s="1377"/>
      <c r="H526" s="1377"/>
      <c r="I526" s="1377"/>
      <c r="J526" s="1377"/>
      <c r="K526" s="1377"/>
      <c r="L526" s="1377"/>
      <c r="M526" s="1378"/>
      <c r="N526" s="1112"/>
      <c r="O526" s="1113"/>
      <c r="P526" s="1113"/>
      <c r="Q526" s="1113"/>
      <c r="R526" s="1113"/>
      <c r="S526" s="1113"/>
      <c r="T526" s="1113"/>
      <c r="U526" s="1113"/>
      <c r="V526" s="1113"/>
      <c r="W526" s="1113"/>
      <c r="X526" s="1112"/>
      <c r="Y526" s="1113"/>
      <c r="Z526" s="1113"/>
      <c r="AA526" s="1113"/>
      <c r="AB526" s="1113"/>
      <c r="AC526" s="1113"/>
      <c r="AD526" s="1113"/>
      <c r="AE526" s="1113"/>
      <c r="AF526" s="1113"/>
      <c r="AG526" s="1114"/>
      <c r="AL526" s="925" t="s">
        <v>2</v>
      </c>
      <c r="AM526" s="927" t="s">
        <v>3</v>
      </c>
      <c r="AO526" s="925" t="s">
        <v>2</v>
      </c>
      <c r="AP526" s="927" t="s">
        <v>3</v>
      </c>
    </row>
    <row r="527" spans="1:42" ht="26.25" hidden="1" customHeight="1" x14ac:dyDescent="0.2">
      <c r="D527" s="1379" t="s">
        <v>297</v>
      </c>
      <c r="E527" s="1380"/>
      <c r="F527" s="1380"/>
      <c r="G527" s="1380"/>
      <c r="H527" s="1380"/>
      <c r="I527" s="1380"/>
      <c r="J527" s="1380"/>
      <c r="K527" s="1380"/>
      <c r="L527" s="1380"/>
      <c r="M527" s="1381"/>
      <c r="N527" s="1382"/>
      <c r="O527" s="1382"/>
      <c r="P527" s="1382"/>
      <c r="Q527" s="1382"/>
      <c r="R527" s="1382"/>
      <c r="S527" s="1382"/>
      <c r="T527" s="1382"/>
      <c r="U527" s="1382"/>
      <c r="V527" s="1382"/>
      <c r="W527" s="1382"/>
      <c r="X527" s="1382"/>
      <c r="Y527" s="1382"/>
      <c r="Z527" s="1382"/>
      <c r="AA527" s="1382"/>
      <c r="AB527" s="1382"/>
      <c r="AC527" s="1382"/>
      <c r="AD527" s="1382"/>
      <c r="AE527" s="1382"/>
      <c r="AF527" s="1382"/>
      <c r="AG527" s="1382"/>
      <c r="AL527" s="965"/>
      <c r="AM527" s="984"/>
      <c r="AO527" s="961">
        <f>N527+N528-'P&amp;L'!$D$13+N530+N532+N531</f>
        <v>69681</v>
      </c>
      <c r="AP527" s="955">
        <f>X527+X528-'P&amp;L'!$E$13+X530+X531+X532</f>
        <v>100</v>
      </c>
    </row>
    <row r="528" spans="1:42" ht="26.25" customHeight="1" x14ac:dyDescent="0.2">
      <c r="D528" s="1054" t="s">
        <v>298</v>
      </c>
      <c r="E528" s="1055"/>
      <c r="F528" s="1055"/>
      <c r="G528" s="1055"/>
      <c r="H528" s="1055"/>
      <c r="I528" s="1055"/>
      <c r="J528" s="1055"/>
      <c r="K528" s="1055"/>
      <c r="L528" s="1055"/>
      <c r="M528" s="1056"/>
      <c r="N528" s="1163">
        <v>8560306</v>
      </c>
      <c r="O528" s="1163"/>
      <c r="P528" s="1163"/>
      <c r="Q528" s="1163"/>
      <c r="R528" s="1163"/>
      <c r="S528" s="1163"/>
      <c r="T528" s="1163"/>
      <c r="U528" s="1163"/>
      <c r="V528" s="1163"/>
      <c r="W528" s="1163"/>
      <c r="X528" s="1163">
        <v>7374403</v>
      </c>
      <c r="Y528" s="1163"/>
      <c r="Z528" s="1163"/>
      <c r="AA528" s="1163"/>
      <c r="AB528" s="1163"/>
      <c r="AC528" s="1163"/>
      <c r="AD528" s="1163"/>
      <c r="AE528" s="1163"/>
      <c r="AF528" s="1163"/>
      <c r="AG528" s="1163"/>
      <c r="AL528" s="968"/>
      <c r="AM528" s="985"/>
      <c r="AO528" s="946">
        <f>AO527</f>
        <v>69681</v>
      </c>
      <c r="AP528" s="945">
        <f>AP527</f>
        <v>100</v>
      </c>
    </row>
    <row r="529" spans="1:42" ht="26.25" hidden="1" customHeight="1" x14ac:dyDescent="0.2">
      <c r="D529" s="1054" t="s">
        <v>299</v>
      </c>
      <c r="E529" s="1055"/>
      <c r="F529" s="1055"/>
      <c r="G529" s="1055"/>
      <c r="H529" s="1055"/>
      <c r="I529" s="1055"/>
      <c r="J529" s="1055"/>
      <c r="K529" s="1055"/>
      <c r="L529" s="1055"/>
      <c r="M529" s="1056"/>
      <c r="N529" s="1163"/>
      <c r="O529" s="1163"/>
      <c r="P529" s="1163"/>
      <c r="Q529" s="1163"/>
      <c r="R529" s="1163"/>
      <c r="S529" s="1163"/>
      <c r="T529" s="1163"/>
      <c r="U529" s="1163"/>
      <c r="V529" s="1163"/>
      <c r="W529" s="1163"/>
      <c r="X529" s="1163"/>
      <c r="Y529" s="1163"/>
      <c r="Z529" s="1163"/>
      <c r="AA529" s="1163"/>
      <c r="AB529" s="1163"/>
      <c r="AC529" s="1163"/>
      <c r="AD529" s="1163"/>
      <c r="AE529" s="1163"/>
      <c r="AF529" s="1163"/>
      <c r="AG529" s="1163"/>
      <c r="AL529" s="968"/>
      <c r="AM529" s="985"/>
      <c r="AO529" s="946">
        <f>N529-'P&amp;L'!$D$9</f>
        <v>0</v>
      </c>
      <c r="AP529" s="945">
        <f>X529-'P&amp;L'!$E$9</f>
        <v>0</v>
      </c>
    </row>
    <row r="530" spans="1:42" ht="26.25" hidden="1" customHeight="1" x14ac:dyDescent="0.2">
      <c r="D530" s="1054" t="s">
        <v>300</v>
      </c>
      <c r="E530" s="1055"/>
      <c r="F530" s="1055"/>
      <c r="G530" s="1055"/>
      <c r="H530" s="1055"/>
      <c r="I530" s="1055"/>
      <c r="J530" s="1055"/>
      <c r="K530" s="1055"/>
      <c r="L530" s="1055"/>
      <c r="M530" s="1056"/>
      <c r="N530" s="1146"/>
      <c r="O530" s="1146"/>
      <c r="P530" s="1146"/>
      <c r="Q530" s="1146"/>
      <c r="R530" s="1146"/>
      <c r="S530" s="1146"/>
      <c r="T530" s="1146"/>
      <c r="U530" s="1146"/>
      <c r="V530" s="1146"/>
      <c r="W530" s="1146"/>
      <c r="X530" s="1146"/>
      <c r="Y530" s="1146"/>
      <c r="Z530" s="1146"/>
      <c r="AA530" s="1146"/>
      <c r="AB530" s="1146"/>
      <c r="AC530" s="1146"/>
      <c r="AD530" s="1146"/>
      <c r="AE530" s="1146"/>
      <c r="AF530" s="1146"/>
      <c r="AG530" s="1146"/>
      <c r="AL530" s="968"/>
      <c r="AM530" s="985"/>
      <c r="AO530" s="982"/>
      <c r="AP530" s="983"/>
    </row>
    <row r="531" spans="1:42" ht="26.25" hidden="1" customHeight="1" x14ac:dyDescent="0.2">
      <c r="D531" s="1054" t="s">
        <v>301</v>
      </c>
      <c r="E531" s="1055"/>
      <c r="F531" s="1055"/>
      <c r="G531" s="1055"/>
      <c r="H531" s="1055"/>
      <c r="I531" s="1055"/>
      <c r="J531" s="1055"/>
      <c r="K531" s="1055"/>
      <c r="L531" s="1055"/>
      <c r="M531" s="1056"/>
      <c r="N531" s="1143"/>
      <c r="O531" s="1143"/>
      <c r="P531" s="1143"/>
      <c r="Q531" s="1143"/>
      <c r="R531" s="1143"/>
      <c r="S531" s="1143"/>
      <c r="T531" s="1143"/>
      <c r="U531" s="1143"/>
      <c r="V531" s="1143"/>
      <c r="W531" s="1143"/>
      <c r="X531" s="1143"/>
      <c r="Y531" s="1143"/>
      <c r="Z531" s="1143"/>
      <c r="AA531" s="1143"/>
      <c r="AB531" s="1143"/>
      <c r="AC531" s="1143"/>
      <c r="AD531" s="1143"/>
      <c r="AE531" s="1143"/>
      <c r="AF531" s="1143"/>
      <c r="AG531" s="1143"/>
      <c r="AL531" s="968"/>
      <c r="AM531" s="985"/>
      <c r="AO531" s="946"/>
      <c r="AP531" s="945"/>
    </row>
    <row r="532" spans="1:42" ht="26.25" customHeight="1" x14ac:dyDescent="0.2">
      <c r="D532" s="1054" t="s">
        <v>302</v>
      </c>
      <c r="E532" s="1055"/>
      <c r="F532" s="1055"/>
      <c r="G532" s="1055"/>
      <c r="H532" s="1055"/>
      <c r="I532" s="1055"/>
      <c r="J532" s="1055"/>
      <c r="K532" s="1055"/>
      <c r="L532" s="1055"/>
      <c r="M532" s="1056"/>
      <c r="N532" s="1163">
        <v>69681</v>
      </c>
      <c r="O532" s="1163"/>
      <c r="P532" s="1163"/>
      <c r="Q532" s="1163"/>
      <c r="R532" s="1163"/>
      <c r="S532" s="1163"/>
      <c r="T532" s="1163"/>
      <c r="U532" s="1163"/>
      <c r="V532" s="1163"/>
      <c r="W532" s="1163"/>
      <c r="X532" s="1163">
        <v>100</v>
      </c>
      <c r="Y532" s="1163"/>
      <c r="Z532" s="1163"/>
      <c r="AA532" s="1163"/>
      <c r="AB532" s="1163"/>
      <c r="AC532" s="1163"/>
      <c r="AD532" s="1163"/>
      <c r="AE532" s="1163"/>
      <c r="AF532" s="1163"/>
      <c r="AG532" s="1163"/>
      <c r="AL532" s="968"/>
      <c r="AM532" s="985"/>
      <c r="AO532" s="982"/>
      <c r="AP532" s="983"/>
    </row>
    <row r="533" spans="1:42" ht="26.25" customHeight="1" thickBot="1" x14ac:dyDescent="0.25">
      <c r="D533" s="1415" t="s">
        <v>303</v>
      </c>
      <c r="E533" s="1416"/>
      <c r="F533" s="1416"/>
      <c r="G533" s="1416"/>
      <c r="H533" s="1416"/>
      <c r="I533" s="1416"/>
      <c r="J533" s="1416"/>
      <c r="K533" s="1416"/>
      <c r="L533" s="1416"/>
      <c r="M533" s="1417"/>
      <c r="N533" s="1397">
        <f>SUM(N527:W532)</f>
        <v>8629987</v>
      </c>
      <c r="O533" s="1397"/>
      <c r="P533" s="1397"/>
      <c r="Q533" s="1397"/>
      <c r="R533" s="1397"/>
      <c r="S533" s="1397"/>
      <c r="T533" s="1397"/>
      <c r="U533" s="1397"/>
      <c r="V533" s="1397"/>
      <c r="W533" s="1397"/>
      <c r="X533" s="1397">
        <f>SUM(X527:AG532)</f>
        <v>7374503</v>
      </c>
      <c r="Y533" s="1397"/>
      <c r="Z533" s="1397"/>
      <c r="AA533" s="1397"/>
      <c r="AB533" s="1397"/>
      <c r="AC533" s="1397"/>
      <c r="AD533" s="1397"/>
      <c r="AE533" s="1397"/>
      <c r="AF533" s="1397"/>
      <c r="AG533" s="1397"/>
      <c r="AL533" s="986">
        <f>SUM(N527:W532)-N533</f>
        <v>0</v>
      </c>
      <c r="AM533" s="987">
        <f>SUM(X527:AG532)-X533</f>
        <v>0</v>
      </c>
      <c r="AO533" s="988">
        <f>N533-'P&amp;L'!D13</f>
        <v>69681</v>
      </c>
      <c r="AP533" s="989">
        <f>X533-'P&amp;L'!E13</f>
        <v>100</v>
      </c>
    </row>
    <row r="535" spans="1:42" ht="14.25" hidden="1" customHeight="1" x14ac:dyDescent="0.2"/>
    <row r="536" spans="1:42" ht="14.25" customHeight="1" x14ac:dyDescent="0.2">
      <c r="D536" s="1137" t="s">
        <v>1480</v>
      </c>
      <c r="E536" s="1137"/>
      <c r="F536" s="1137"/>
      <c r="G536" s="1137"/>
      <c r="H536" s="1137"/>
      <c r="I536" s="1137"/>
      <c r="J536" s="1137"/>
      <c r="K536" s="1137"/>
      <c r="L536" s="1137"/>
      <c r="M536" s="1137"/>
      <c r="N536" s="1137"/>
      <c r="O536" s="1137"/>
      <c r="P536" s="1137"/>
      <c r="Q536" s="1137"/>
      <c r="R536" s="1137"/>
      <c r="S536" s="1137"/>
      <c r="T536" s="1137"/>
      <c r="U536" s="1137"/>
      <c r="V536" s="1137"/>
      <c r="W536" s="1137"/>
      <c r="X536" s="1137"/>
      <c r="Y536" s="1137"/>
      <c r="Z536" s="1137"/>
      <c r="AA536" s="1137"/>
      <c r="AB536" s="1137"/>
      <c r="AC536" s="1137"/>
      <c r="AD536" s="1137"/>
      <c r="AE536" s="1137"/>
      <c r="AF536" s="1137"/>
      <c r="AG536" s="1137"/>
    </row>
    <row r="538" spans="1:42" ht="14.25" customHeight="1" x14ac:dyDescent="0.2">
      <c r="D538" s="1138" t="s">
        <v>1481</v>
      </c>
      <c r="E538" s="1138"/>
      <c r="F538" s="1138"/>
      <c r="G538" s="1138"/>
      <c r="H538" s="1138"/>
      <c r="I538" s="1138"/>
      <c r="J538" s="1138"/>
      <c r="K538" s="1138"/>
      <c r="L538" s="1138"/>
      <c r="M538" s="1138"/>
      <c r="N538" s="1138"/>
      <c r="O538" s="1138"/>
      <c r="P538" s="1138"/>
      <c r="Q538" s="1138"/>
      <c r="R538" s="1138"/>
      <c r="S538" s="1138"/>
      <c r="T538" s="1138"/>
      <c r="U538" s="1138"/>
      <c r="V538" s="1138"/>
      <c r="W538" s="1138"/>
      <c r="X538" s="1138"/>
      <c r="Y538" s="1138"/>
      <c r="Z538" s="1138"/>
      <c r="AA538" s="1138"/>
      <c r="AB538" s="1138"/>
      <c r="AC538" s="1138"/>
      <c r="AD538" s="1138"/>
      <c r="AE538" s="1138"/>
      <c r="AF538" s="1138"/>
      <c r="AG538" s="1138"/>
    </row>
    <row r="539" spans="1:42" ht="14.25" customHeight="1" thickBot="1" x14ac:dyDescent="0.25"/>
    <row r="540" spans="1:42" ht="14.25" customHeight="1" thickBot="1" x14ac:dyDescent="0.25">
      <c r="A540" s="933">
        <v>39</v>
      </c>
      <c r="D540" s="1306" t="s">
        <v>131</v>
      </c>
      <c r="E540" s="1307"/>
      <c r="F540" s="1307"/>
      <c r="G540" s="1307"/>
      <c r="H540" s="1307"/>
      <c r="I540" s="1307"/>
      <c r="J540" s="1307"/>
      <c r="K540" s="1307"/>
      <c r="L540" s="1307"/>
      <c r="M540" s="1308"/>
      <c r="N540" s="1109" t="s">
        <v>2</v>
      </c>
      <c r="O540" s="1110"/>
      <c r="P540" s="1110"/>
      <c r="Q540" s="1110"/>
      <c r="R540" s="1110"/>
      <c r="S540" s="1110"/>
      <c r="T540" s="1110"/>
      <c r="U540" s="1110"/>
      <c r="V540" s="1110"/>
      <c r="W540" s="1110"/>
      <c r="X540" s="1109" t="s">
        <v>3</v>
      </c>
      <c r="Y540" s="1110"/>
      <c r="Z540" s="1110"/>
      <c r="AA540" s="1110"/>
      <c r="AB540" s="1110"/>
      <c r="AC540" s="1110"/>
      <c r="AD540" s="1110"/>
      <c r="AE540" s="1110"/>
      <c r="AF540" s="1110"/>
      <c r="AG540" s="1111"/>
    </row>
    <row r="541" spans="1:42" ht="14.25" customHeight="1" thickTop="1" thickBot="1" x14ac:dyDescent="0.25">
      <c r="D541" s="1309"/>
      <c r="E541" s="1310"/>
      <c r="F541" s="1310"/>
      <c r="G541" s="1310"/>
      <c r="H541" s="1310"/>
      <c r="I541" s="1310"/>
      <c r="J541" s="1310"/>
      <c r="K541" s="1310"/>
      <c r="L541" s="1310"/>
      <c r="M541" s="1311"/>
      <c r="N541" s="1112"/>
      <c r="O541" s="1113"/>
      <c r="P541" s="1113"/>
      <c r="Q541" s="1113"/>
      <c r="R541" s="1113"/>
      <c r="S541" s="1113"/>
      <c r="T541" s="1113"/>
      <c r="U541" s="1113"/>
      <c r="V541" s="1113"/>
      <c r="W541" s="1113"/>
      <c r="X541" s="1112"/>
      <c r="Y541" s="1113"/>
      <c r="Z541" s="1113"/>
      <c r="AA541" s="1113"/>
      <c r="AB541" s="1113"/>
      <c r="AC541" s="1113"/>
      <c r="AD541" s="1113"/>
      <c r="AE541" s="1113"/>
      <c r="AF541" s="1113"/>
      <c r="AG541" s="1114"/>
      <c r="AL541" s="925" t="s">
        <v>2</v>
      </c>
      <c r="AM541" s="927" t="s">
        <v>3</v>
      </c>
      <c r="AO541" s="925" t="s">
        <v>2</v>
      </c>
      <c r="AP541" s="927" t="s">
        <v>3</v>
      </c>
    </row>
    <row r="542" spans="1:42" s="991" customFormat="1" ht="29.25" customHeight="1" x14ac:dyDescent="0.2">
      <c r="A542" s="990"/>
      <c r="D542" s="1312" t="s">
        <v>305</v>
      </c>
      <c r="E542" s="1313"/>
      <c r="F542" s="1313"/>
      <c r="G542" s="1313"/>
      <c r="H542" s="1313"/>
      <c r="I542" s="1313"/>
      <c r="J542" s="1313"/>
      <c r="K542" s="1313"/>
      <c r="L542" s="1313"/>
      <c r="M542" s="1314"/>
      <c r="N542" s="1146">
        <v>8238701</v>
      </c>
      <c r="O542" s="1146"/>
      <c r="P542" s="1146"/>
      <c r="Q542" s="1146"/>
      <c r="R542" s="1146"/>
      <c r="S542" s="1146"/>
      <c r="T542" s="1146"/>
      <c r="U542" s="1146"/>
      <c r="V542" s="1146"/>
      <c r="W542" s="1146"/>
      <c r="X542" s="1146">
        <v>7108837</v>
      </c>
      <c r="Y542" s="1146"/>
      <c r="Z542" s="1146"/>
      <c r="AA542" s="1146"/>
      <c r="AB542" s="1146"/>
      <c r="AC542" s="1146"/>
      <c r="AD542" s="1146"/>
      <c r="AE542" s="1146"/>
      <c r="AF542" s="1146"/>
      <c r="AG542" s="1146"/>
      <c r="AL542" s="961">
        <f>SUM(N543,N553)-N542</f>
        <v>-8226460</v>
      </c>
      <c r="AM542" s="955">
        <f>SUM(X543,X553)-X542</f>
        <v>-7098057</v>
      </c>
      <c r="AO542" s="961">
        <f>N542-'P&amp;L'!$D$18</f>
        <v>0</v>
      </c>
      <c r="AP542" s="955">
        <f>X542-'P&amp;L'!$E$18</f>
        <v>0</v>
      </c>
    </row>
    <row r="543" spans="1:42" s="991" customFormat="1" ht="29.25" customHeight="1" x14ac:dyDescent="0.2">
      <c r="A543" s="990"/>
      <c r="D543" s="1054" t="s">
        <v>306</v>
      </c>
      <c r="E543" s="1055"/>
      <c r="F543" s="1055"/>
      <c r="G543" s="1055"/>
      <c r="H543" s="1055"/>
      <c r="I543" s="1055"/>
      <c r="J543" s="1055"/>
      <c r="K543" s="1055"/>
      <c r="L543" s="1055"/>
      <c r="M543" s="1056"/>
      <c r="N543" s="1163">
        <v>2050</v>
      </c>
      <c r="O543" s="1163"/>
      <c r="P543" s="1163"/>
      <c r="Q543" s="1163"/>
      <c r="R543" s="1163"/>
      <c r="S543" s="1163"/>
      <c r="T543" s="1163"/>
      <c r="U543" s="1163"/>
      <c r="V543" s="1163"/>
      <c r="W543" s="1163"/>
      <c r="X543" s="1163">
        <v>3500</v>
      </c>
      <c r="Y543" s="1163"/>
      <c r="Z543" s="1163"/>
      <c r="AA543" s="1163"/>
      <c r="AB543" s="1163"/>
      <c r="AC543" s="1163"/>
      <c r="AD543" s="1163"/>
      <c r="AE543" s="1163"/>
      <c r="AF543" s="1163"/>
      <c r="AG543" s="1163"/>
      <c r="AL543" s="946">
        <f>SUM(N544:W552)-N543</f>
        <v>16404260</v>
      </c>
      <c r="AM543" s="945">
        <f>SUM(X544:AG552)-X543</f>
        <v>14130544</v>
      </c>
      <c r="AO543" s="946"/>
      <c r="AP543" s="945"/>
    </row>
    <row r="544" spans="1:42" s="991" customFormat="1" ht="29.25" customHeight="1" x14ac:dyDescent="0.2">
      <c r="A544" s="990"/>
      <c r="D544" s="1054" t="s">
        <v>307</v>
      </c>
      <c r="E544" s="1055"/>
      <c r="F544" s="1055"/>
      <c r="G544" s="1055"/>
      <c r="H544" s="1055"/>
      <c r="I544" s="1055"/>
      <c r="J544" s="1055"/>
      <c r="K544" s="1055"/>
      <c r="L544" s="1055"/>
      <c r="M544" s="1056"/>
      <c r="N544" s="1163">
        <v>2050</v>
      </c>
      <c r="O544" s="1163"/>
      <c r="P544" s="1163"/>
      <c r="Q544" s="1163"/>
      <c r="R544" s="1163"/>
      <c r="S544" s="1163"/>
      <c r="T544" s="1163"/>
      <c r="U544" s="1163"/>
      <c r="V544" s="1163"/>
      <c r="W544" s="1163"/>
      <c r="X544" s="1163">
        <v>3500</v>
      </c>
      <c r="Y544" s="1163"/>
      <c r="Z544" s="1163"/>
      <c r="AA544" s="1163"/>
      <c r="AB544" s="1163"/>
      <c r="AC544" s="1163"/>
      <c r="AD544" s="1163"/>
      <c r="AE544" s="1163"/>
      <c r="AF544" s="1163"/>
      <c r="AG544" s="1163"/>
      <c r="AL544" s="944"/>
      <c r="AM544" s="945"/>
      <c r="AO544" s="992"/>
      <c r="AP544" s="993"/>
    </row>
    <row r="545" spans="1:42" s="991" customFormat="1" ht="29.25" customHeight="1" x14ac:dyDescent="0.2">
      <c r="A545" s="990"/>
      <c r="D545" s="1054" t="s">
        <v>308</v>
      </c>
      <c r="E545" s="1055"/>
      <c r="F545" s="1055"/>
      <c r="G545" s="1055"/>
      <c r="H545" s="1055"/>
      <c r="I545" s="1055"/>
      <c r="J545" s="1055"/>
      <c r="K545" s="1055"/>
      <c r="L545" s="1055"/>
      <c r="M545" s="1056"/>
      <c r="N545" s="1163"/>
      <c r="O545" s="1163"/>
      <c r="P545" s="1163"/>
      <c r="Q545" s="1163"/>
      <c r="R545" s="1163"/>
      <c r="S545" s="1163"/>
      <c r="T545" s="1163"/>
      <c r="U545" s="1163"/>
      <c r="V545" s="1163"/>
      <c r="W545" s="1163"/>
      <c r="X545" s="1163"/>
      <c r="Y545" s="1163"/>
      <c r="Z545" s="1163"/>
      <c r="AA545" s="1163"/>
      <c r="AB545" s="1163"/>
      <c r="AC545" s="1163"/>
      <c r="AD545" s="1163"/>
      <c r="AE545" s="1163"/>
      <c r="AF545" s="1163"/>
      <c r="AG545" s="1163"/>
      <c r="AL545" s="944"/>
      <c r="AM545" s="945"/>
      <c r="AO545" s="992"/>
      <c r="AP545" s="993"/>
    </row>
    <row r="546" spans="1:42" s="991" customFormat="1" ht="29.25" customHeight="1" x14ac:dyDescent="0.2">
      <c r="A546" s="990"/>
      <c r="D546" s="1054" t="s">
        <v>309</v>
      </c>
      <c r="E546" s="1055"/>
      <c r="F546" s="1055"/>
      <c r="G546" s="1055"/>
      <c r="H546" s="1055"/>
      <c r="I546" s="1055"/>
      <c r="J546" s="1055"/>
      <c r="K546" s="1055"/>
      <c r="L546" s="1055"/>
      <c r="M546" s="1056"/>
      <c r="N546" s="1163"/>
      <c r="O546" s="1163"/>
      <c r="P546" s="1163"/>
      <c r="Q546" s="1163"/>
      <c r="R546" s="1163"/>
      <c r="S546" s="1163"/>
      <c r="T546" s="1163"/>
      <c r="U546" s="1163"/>
      <c r="V546" s="1163"/>
      <c r="W546" s="1163"/>
      <c r="X546" s="1163"/>
      <c r="Y546" s="1163"/>
      <c r="Z546" s="1163"/>
      <c r="AA546" s="1163"/>
      <c r="AB546" s="1163"/>
      <c r="AC546" s="1163"/>
      <c r="AD546" s="1163"/>
      <c r="AE546" s="1163"/>
      <c r="AF546" s="1163"/>
      <c r="AG546" s="1163"/>
      <c r="AL546" s="944"/>
      <c r="AM546" s="945"/>
      <c r="AO546" s="992"/>
      <c r="AP546" s="993"/>
    </row>
    <row r="547" spans="1:42" s="991" customFormat="1" ht="29.25" customHeight="1" x14ac:dyDescent="0.2">
      <c r="A547" s="990"/>
      <c r="D547" s="1054" t="s">
        <v>310</v>
      </c>
      <c r="E547" s="1055"/>
      <c r="F547" s="1055"/>
      <c r="G547" s="1055"/>
      <c r="H547" s="1055"/>
      <c r="I547" s="1055"/>
      <c r="J547" s="1055"/>
      <c r="K547" s="1055"/>
      <c r="L547" s="1055"/>
      <c r="M547" s="1056"/>
      <c r="N547" s="1163"/>
      <c r="O547" s="1163"/>
      <c r="P547" s="1163"/>
      <c r="Q547" s="1163"/>
      <c r="R547" s="1163"/>
      <c r="S547" s="1163"/>
      <c r="T547" s="1163"/>
      <c r="U547" s="1163"/>
      <c r="V547" s="1163"/>
      <c r="W547" s="1163"/>
      <c r="X547" s="1163"/>
      <c r="Y547" s="1163"/>
      <c r="Z547" s="1163"/>
      <c r="AA547" s="1163"/>
      <c r="AB547" s="1163"/>
      <c r="AC547" s="1163"/>
      <c r="AD547" s="1163"/>
      <c r="AE547" s="1163"/>
      <c r="AF547" s="1163"/>
      <c r="AG547" s="1163"/>
      <c r="AL547" s="944"/>
      <c r="AM547" s="945"/>
      <c r="AO547" s="992"/>
      <c r="AP547" s="993"/>
    </row>
    <row r="548" spans="1:42" s="991" customFormat="1" ht="29.25" customHeight="1" x14ac:dyDescent="0.2">
      <c r="A548" s="990"/>
      <c r="D548" s="1054" t="s">
        <v>311</v>
      </c>
      <c r="E548" s="1055"/>
      <c r="F548" s="1055"/>
      <c r="G548" s="1055"/>
      <c r="H548" s="1055"/>
      <c r="I548" s="1055"/>
      <c r="J548" s="1055"/>
      <c r="K548" s="1055"/>
      <c r="L548" s="1055"/>
      <c r="M548" s="1056"/>
      <c r="N548" s="1163"/>
      <c r="O548" s="1163"/>
      <c r="P548" s="1163"/>
      <c r="Q548" s="1163"/>
      <c r="R548" s="1163"/>
      <c r="S548" s="1163"/>
      <c r="T548" s="1163"/>
      <c r="U548" s="1163"/>
      <c r="V548" s="1163"/>
      <c r="W548" s="1163"/>
      <c r="X548" s="1163"/>
      <c r="Y548" s="1163"/>
      <c r="Z548" s="1163"/>
      <c r="AA548" s="1163"/>
      <c r="AB548" s="1163"/>
      <c r="AC548" s="1163"/>
      <c r="AD548" s="1163"/>
      <c r="AE548" s="1163"/>
      <c r="AF548" s="1163"/>
      <c r="AG548" s="1163"/>
      <c r="AL548" s="944"/>
      <c r="AM548" s="945"/>
      <c r="AO548" s="992"/>
      <c r="AP548" s="993"/>
    </row>
    <row r="549" spans="1:42" s="991" customFormat="1" ht="29.25" customHeight="1" x14ac:dyDescent="0.2">
      <c r="A549" s="990"/>
      <c r="D549" s="1115" t="s">
        <v>312</v>
      </c>
      <c r="E549" s="1116"/>
      <c r="F549" s="1116"/>
      <c r="G549" s="1116"/>
      <c r="H549" s="1116"/>
      <c r="I549" s="1116"/>
      <c r="J549" s="1116"/>
      <c r="K549" s="1116"/>
      <c r="L549" s="1116"/>
      <c r="M549" s="1117"/>
      <c r="N549" s="1163">
        <f>SUM(N550:W554)</f>
        <v>8236651</v>
      </c>
      <c r="O549" s="1163"/>
      <c r="P549" s="1163"/>
      <c r="Q549" s="1163"/>
      <c r="R549" s="1163"/>
      <c r="S549" s="1163"/>
      <c r="T549" s="1163"/>
      <c r="U549" s="1163"/>
      <c r="V549" s="1163"/>
      <c r="W549" s="1163"/>
      <c r="X549" s="1163">
        <v>7105337</v>
      </c>
      <c r="Y549" s="1163"/>
      <c r="Z549" s="1163"/>
      <c r="AA549" s="1163"/>
      <c r="AB549" s="1163"/>
      <c r="AC549" s="1163"/>
      <c r="AD549" s="1163"/>
      <c r="AE549" s="1163"/>
      <c r="AF549" s="1163"/>
      <c r="AG549" s="1163"/>
      <c r="AL549" s="944"/>
      <c r="AM549" s="945"/>
      <c r="AO549" s="994"/>
      <c r="AP549" s="995"/>
    </row>
    <row r="550" spans="1:42" s="991" customFormat="1" ht="29.25" customHeight="1" x14ac:dyDescent="0.2">
      <c r="A550" s="990"/>
      <c r="D550" s="1054" t="s">
        <v>1912</v>
      </c>
      <c r="E550" s="1055"/>
      <c r="F550" s="1055"/>
      <c r="G550" s="1055"/>
      <c r="H550" s="1055"/>
      <c r="I550" s="1055"/>
      <c r="J550" s="1055"/>
      <c r="K550" s="1055"/>
      <c r="L550" s="1055"/>
      <c r="M550" s="1056"/>
      <c r="N550" s="1163">
        <v>8160228</v>
      </c>
      <c r="O550" s="1163"/>
      <c r="P550" s="1163"/>
      <c r="Q550" s="1163"/>
      <c r="R550" s="1163"/>
      <c r="S550" s="1163"/>
      <c r="T550" s="1163"/>
      <c r="U550" s="1163"/>
      <c r="V550" s="1163"/>
      <c r="W550" s="1163"/>
      <c r="X550" s="1163">
        <v>7017041</v>
      </c>
      <c r="Y550" s="1163"/>
      <c r="Z550" s="1163"/>
      <c r="AA550" s="1163"/>
      <c r="AB550" s="1163"/>
      <c r="AC550" s="1163"/>
      <c r="AD550" s="1163"/>
      <c r="AE550" s="1163"/>
      <c r="AF550" s="1163"/>
      <c r="AG550" s="1163"/>
      <c r="AL550" s="944"/>
      <c r="AM550" s="945"/>
      <c r="AO550" s="992"/>
      <c r="AP550" s="993"/>
    </row>
    <row r="551" spans="1:42" s="991" customFormat="1" ht="29.25" customHeight="1" x14ac:dyDescent="0.2">
      <c r="A551" s="990"/>
      <c r="D551" s="1054" t="s">
        <v>1913</v>
      </c>
      <c r="E551" s="1055"/>
      <c r="F551" s="1055"/>
      <c r="G551" s="1055"/>
      <c r="H551" s="1055"/>
      <c r="I551" s="1055"/>
      <c r="J551" s="1055"/>
      <c r="K551" s="1055"/>
      <c r="L551" s="1055"/>
      <c r="M551" s="1056"/>
      <c r="N551" s="1163">
        <v>5897</v>
      </c>
      <c r="O551" s="1163"/>
      <c r="P551" s="1163"/>
      <c r="Q551" s="1163"/>
      <c r="R551" s="1163"/>
      <c r="S551" s="1163"/>
      <c r="T551" s="1163"/>
      <c r="U551" s="1163"/>
      <c r="V551" s="1163"/>
      <c r="W551" s="1163"/>
      <c r="X551" s="1163">
        <v>6682</v>
      </c>
      <c r="Y551" s="1163"/>
      <c r="Z551" s="1163"/>
      <c r="AA551" s="1163"/>
      <c r="AB551" s="1163"/>
      <c r="AC551" s="1163"/>
      <c r="AD551" s="1163"/>
      <c r="AE551" s="1163"/>
      <c r="AF551" s="1163"/>
      <c r="AG551" s="1163"/>
      <c r="AL551" s="944"/>
      <c r="AM551" s="945"/>
      <c r="AO551" s="994"/>
      <c r="AP551" s="995"/>
    </row>
    <row r="552" spans="1:42" s="991" customFormat="1" ht="29.25" customHeight="1" x14ac:dyDescent="0.2">
      <c r="A552" s="990"/>
      <c r="D552" s="1054" t="s">
        <v>1914</v>
      </c>
      <c r="E552" s="1055"/>
      <c r="F552" s="1055"/>
      <c r="G552" s="1055"/>
      <c r="H552" s="1055"/>
      <c r="I552" s="1055"/>
      <c r="J552" s="1055"/>
      <c r="K552" s="1055"/>
      <c r="L552" s="1055"/>
      <c r="M552" s="1056"/>
      <c r="N552" s="1163">
        <v>1484</v>
      </c>
      <c r="O552" s="1163"/>
      <c r="P552" s="1163"/>
      <c r="Q552" s="1163"/>
      <c r="R552" s="1163"/>
      <c r="S552" s="1163"/>
      <c r="T552" s="1163"/>
      <c r="U552" s="1163"/>
      <c r="V552" s="1163"/>
      <c r="W552" s="1163"/>
      <c r="X552" s="1163">
        <v>1484</v>
      </c>
      <c r="Y552" s="1163"/>
      <c r="Z552" s="1163"/>
      <c r="AA552" s="1163"/>
      <c r="AB552" s="1163"/>
      <c r="AC552" s="1163"/>
      <c r="AD552" s="1163"/>
      <c r="AE552" s="1163"/>
      <c r="AF552" s="1163"/>
      <c r="AG552" s="1163"/>
      <c r="AL552" s="946"/>
      <c r="AM552" s="945"/>
      <c r="AO552" s="994"/>
      <c r="AP552" s="995"/>
    </row>
    <row r="553" spans="1:42" s="991" customFormat="1" ht="29.25" customHeight="1" x14ac:dyDescent="0.2">
      <c r="A553" s="990"/>
      <c r="D553" s="1115" t="s">
        <v>1915</v>
      </c>
      <c r="E553" s="1116"/>
      <c r="F553" s="1116"/>
      <c r="G553" s="1116"/>
      <c r="H553" s="1116"/>
      <c r="I553" s="1116"/>
      <c r="J553" s="1116"/>
      <c r="K553" s="1116"/>
      <c r="L553" s="1116"/>
      <c r="M553" s="1117"/>
      <c r="N553" s="1143">
        <v>10191</v>
      </c>
      <c r="O553" s="1143"/>
      <c r="P553" s="1143"/>
      <c r="Q553" s="1143"/>
      <c r="R553" s="1143"/>
      <c r="S553" s="1143"/>
      <c r="T553" s="1143"/>
      <c r="U553" s="1143"/>
      <c r="V553" s="1143"/>
      <c r="W553" s="1143"/>
      <c r="X553" s="1143">
        <v>7280</v>
      </c>
      <c r="Y553" s="1143"/>
      <c r="Z553" s="1143"/>
      <c r="AA553" s="1143"/>
      <c r="AB553" s="1143"/>
      <c r="AC553" s="1143"/>
      <c r="AD553" s="1143"/>
      <c r="AE553" s="1143"/>
      <c r="AF553" s="1143"/>
      <c r="AG553" s="1143"/>
      <c r="AL553" s="946">
        <f>SUM(N554:W556)-N553</f>
        <v>48660</v>
      </c>
      <c r="AM553" s="945">
        <f>SUM(X554:AG556)-X553</f>
        <v>24129</v>
      </c>
      <c r="AO553" s="992"/>
      <c r="AP553" s="993"/>
    </row>
    <row r="554" spans="1:42" s="991" customFormat="1" ht="29.25" customHeight="1" x14ac:dyDescent="0.2">
      <c r="A554" s="990"/>
      <c r="D554" s="1144" t="s">
        <v>1916</v>
      </c>
      <c r="E554" s="1144"/>
      <c r="F554" s="1144"/>
      <c r="G554" s="1144"/>
      <c r="H554" s="1144"/>
      <c r="I554" s="1144"/>
      <c r="J554" s="1144"/>
      <c r="K554" s="1144"/>
      <c r="L554" s="1144"/>
      <c r="M554" s="1144"/>
      <c r="N554" s="1143">
        <f>N542-N543-N550-N551-N552-N553</f>
        <v>58851</v>
      </c>
      <c r="O554" s="1143"/>
      <c r="P554" s="1143"/>
      <c r="Q554" s="1143"/>
      <c r="R554" s="1143"/>
      <c r="S554" s="1143"/>
      <c r="T554" s="1143"/>
      <c r="U554" s="1143"/>
      <c r="V554" s="1143"/>
      <c r="W554" s="1143"/>
      <c r="X554" s="1143">
        <v>31409</v>
      </c>
      <c r="Y554" s="1143"/>
      <c r="Z554" s="1143"/>
      <c r="AA554" s="1143"/>
      <c r="AB554" s="1143"/>
      <c r="AC554" s="1143"/>
      <c r="AD554" s="1143"/>
      <c r="AE554" s="1143"/>
      <c r="AF554" s="1143"/>
      <c r="AG554" s="1143"/>
      <c r="AL554" s="944"/>
      <c r="AM554" s="945"/>
      <c r="AO554" s="944"/>
      <c r="AP554" s="948"/>
    </row>
    <row r="555" spans="1:42" s="991" customFormat="1" ht="29.25" customHeight="1" x14ac:dyDescent="0.2">
      <c r="A555" s="990"/>
      <c r="D555" s="1144"/>
      <c r="E555" s="1144"/>
      <c r="F555" s="1144"/>
      <c r="G555" s="1144"/>
      <c r="H555" s="1144"/>
      <c r="I555" s="1144"/>
      <c r="J555" s="1144"/>
      <c r="K555" s="1144"/>
      <c r="L555" s="1144"/>
      <c r="M555" s="1144"/>
      <c r="N555" s="1143"/>
      <c r="O555" s="1143"/>
      <c r="P555" s="1143"/>
      <c r="Q555" s="1143"/>
      <c r="R555" s="1143"/>
      <c r="S555" s="1143"/>
      <c r="T555" s="1143"/>
      <c r="U555" s="1143"/>
      <c r="V555" s="1143"/>
      <c r="W555" s="1143"/>
      <c r="X555" s="1143"/>
      <c r="Y555" s="1143"/>
      <c r="Z555" s="1143"/>
      <c r="AA555" s="1143"/>
      <c r="AB555" s="1143"/>
      <c r="AC555" s="1143"/>
      <c r="AD555" s="1143"/>
      <c r="AE555" s="1143"/>
      <c r="AF555" s="1143"/>
      <c r="AG555" s="1143"/>
      <c r="AL555" s="944"/>
      <c r="AM555" s="945"/>
      <c r="AO555" s="944"/>
      <c r="AP555" s="948"/>
    </row>
    <row r="556" spans="1:42" s="991" customFormat="1" ht="29.25" hidden="1" customHeight="1" x14ac:dyDescent="0.2">
      <c r="A556" s="990"/>
      <c r="D556" s="1144"/>
      <c r="E556" s="1144"/>
      <c r="F556" s="1144"/>
      <c r="G556" s="1144"/>
      <c r="H556" s="1144"/>
      <c r="I556" s="1144"/>
      <c r="J556" s="1144"/>
      <c r="K556" s="1144"/>
      <c r="L556" s="1144"/>
      <c r="M556" s="1144"/>
      <c r="N556" s="1143"/>
      <c r="O556" s="1143"/>
      <c r="P556" s="1143"/>
      <c r="Q556" s="1143"/>
      <c r="R556" s="1143"/>
      <c r="S556" s="1143"/>
      <c r="T556" s="1143"/>
      <c r="U556" s="1143"/>
      <c r="V556" s="1143"/>
      <c r="W556" s="1143"/>
      <c r="X556" s="1143"/>
      <c r="Y556" s="1143"/>
      <c r="Z556" s="1143"/>
      <c r="AA556" s="1143"/>
      <c r="AB556" s="1143"/>
      <c r="AC556" s="1143"/>
      <c r="AD556" s="1143"/>
      <c r="AE556" s="1143"/>
      <c r="AF556" s="1143"/>
      <c r="AG556" s="1143"/>
      <c r="AL556" s="944"/>
      <c r="AM556" s="945"/>
      <c r="AO556" s="944"/>
      <c r="AP556" s="948"/>
    </row>
    <row r="557" spans="1:42" s="991" customFormat="1" ht="29.25" customHeight="1" x14ac:dyDescent="0.2">
      <c r="A557" s="990"/>
      <c r="D557" s="1145" t="s">
        <v>313</v>
      </c>
      <c r="E557" s="1145"/>
      <c r="F557" s="1145"/>
      <c r="G557" s="1145"/>
      <c r="H557" s="1145"/>
      <c r="I557" s="1145"/>
      <c r="J557" s="1145"/>
      <c r="K557" s="1145"/>
      <c r="L557" s="1145"/>
      <c r="M557" s="1145"/>
      <c r="N557" s="1146">
        <f>SUM(N558:W559)</f>
        <v>-47325</v>
      </c>
      <c r="O557" s="1146"/>
      <c r="P557" s="1146"/>
      <c r="Q557" s="1146"/>
      <c r="R557" s="1146"/>
      <c r="S557" s="1146"/>
      <c r="T557" s="1146"/>
      <c r="U557" s="1146"/>
      <c r="V557" s="1146"/>
      <c r="W557" s="1146"/>
      <c r="X557" s="1146">
        <v>49692</v>
      </c>
      <c r="Y557" s="1146"/>
      <c r="Z557" s="1146"/>
      <c r="AA557" s="1146"/>
      <c r="AB557" s="1146"/>
      <c r="AC557" s="1146"/>
      <c r="AD557" s="1146"/>
      <c r="AE557" s="1146"/>
      <c r="AF557" s="1146"/>
      <c r="AG557" s="1146"/>
      <c r="AL557" s="946">
        <f>SUM(N558:W560)-N557</f>
        <v>0</v>
      </c>
      <c r="AM557" s="945">
        <f>SUM(X558:AG560)-X557</f>
        <v>0</v>
      </c>
      <c r="AO557" s="944"/>
      <c r="AP557" s="948"/>
    </row>
    <row r="558" spans="1:42" s="991" customFormat="1" ht="29.25" customHeight="1" x14ac:dyDescent="0.2">
      <c r="A558" s="990"/>
      <c r="D558" s="1144" t="s">
        <v>1987</v>
      </c>
      <c r="E558" s="1144"/>
      <c r="F558" s="1144"/>
      <c r="G558" s="1144"/>
      <c r="H558" s="1144"/>
      <c r="I558" s="1144"/>
      <c r="J558" s="1144"/>
      <c r="K558" s="1144"/>
      <c r="L558" s="1144"/>
      <c r="M558" s="1144"/>
      <c r="N558" s="1143">
        <v>-47976</v>
      </c>
      <c r="O558" s="1143"/>
      <c r="P558" s="1143"/>
      <c r="Q558" s="1143"/>
      <c r="R558" s="1143"/>
      <c r="S558" s="1143"/>
      <c r="T558" s="1143"/>
      <c r="U558" s="1143"/>
      <c r="V558" s="1143"/>
      <c r="W558" s="1143"/>
      <c r="X558" s="1143">
        <v>49692</v>
      </c>
      <c r="Y558" s="1143"/>
      <c r="Z558" s="1143"/>
      <c r="AA558" s="1143"/>
      <c r="AB558" s="1143"/>
      <c r="AC558" s="1143"/>
      <c r="AD558" s="1143"/>
      <c r="AE558" s="1143"/>
      <c r="AF558" s="1143"/>
      <c r="AG558" s="1143"/>
      <c r="AL558" s="944"/>
      <c r="AM558" s="945"/>
      <c r="AO558" s="944"/>
      <c r="AP558" s="948"/>
    </row>
    <row r="559" spans="1:42" s="991" customFormat="1" ht="29.25" customHeight="1" x14ac:dyDescent="0.2">
      <c r="A559" s="990"/>
      <c r="D559" s="1144" t="s">
        <v>1960</v>
      </c>
      <c r="E559" s="1144"/>
      <c r="F559" s="1144"/>
      <c r="G559" s="1144"/>
      <c r="H559" s="1144"/>
      <c r="I559" s="1144"/>
      <c r="J559" s="1144"/>
      <c r="K559" s="1144"/>
      <c r="L559" s="1144"/>
      <c r="M559" s="1144"/>
      <c r="N559" s="1143">
        <v>651</v>
      </c>
      <c r="O559" s="1143"/>
      <c r="P559" s="1143"/>
      <c r="Q559" s="1143"/>
      <c r="R559" s="1143"/>
      <c r="S559" s="1143"/>
      <c r="T559" s="1143"/>
      <c r="U559" s="1143"/>
      <c r="V559" s="1143"/>
      <c r="W559" s="1143"/>
      <c r="X559" s="1143"/>
      <c r="Y559" s="1143"/>
      <c r="Z559" s="1143"/>
      <c r="AA559" s="1143"/>
      <c r="AB559" s="1143"/>
      <c r="AC559" s="1143"/>
      <c r="AD559" s="1143"/>
      <c r="AE559" s="1143"/>
      <c r="AF559" s="1143"/>
      <c r="AG559" s="1143"/>
      <c r="AL559" s="944"/>
      <c r="AM559" s="945"/>
      <c r="AO559" s="944"/>
      <c r="AP559" s="948"/>
    </row>
    <row r="560" spans="1:42" s="991" customFormat="1" ht="29.25" hidden="1" customHeight="1" x14ac:dyDescent="0.2">
      <c r="A560" s="990"/>
      <c r="D560" s="1145"/>
      <c r="E560" s="1145"/>
      <c r="F560" s="1145"/>
      <c r="G560" s="1145"/>
      <c r="H560" s="1145"/>
      <c r="I560" s="1145"/>
      <c r="J560" s="1145"/>
      <c r="K560" s="1145"/>
      <c r="L560" s="1145"/>
      <c r="M560" s="1145"/>
      <c r="N560" s="1143"/>
      <c r="O560" s="1143"/>
      <c r="P560" s="1143"/>
      <c r="Q560" s="1143"/>
      <c r="R560" s="1143"/>
      <c r="S560" s="1143"/>
      <c r="T560" s="1143"/>
      <c r="U560" s="1143"/>
      <c r="V560" s="1143"/>
      <c r="W560" s="1143"/>
      <c r="X560" s="1143"/>
      <c r="Y560" s="1143"/>
      <c r="Z560" s="1143"/>
      <c r="AA560" s="1143"/>
      <c r="AB560" s="1143"/>
      <c r="AC560" s="1143"/>
      <c r="AD560" s="1143"/>
      <c r="AE560" s="1143"/>
      <c r="AF560" s="1143"/>
      <c r="AG560" s="1143"/>
      <c r="AL560" s="944"/>
      <c r="AM560" s="945"/>
      <c r="AO560" s="944"/>
      <c r="AP560" s="948"/>
    </row>
    <row r="561" spans="1:42" s="991" customFormat="1" ht="29.25" customHeight="1" x14ac:dyDescent="0.2">
      <c r="A561" s="990"/>
      <c r="D561" s="1160" t="s">
        <v>314</v>
      </c>
      <c r="E561" s="1161"/>
      <c r="F561" s="1161"/>
      <c r="G561" s="1161"/>
      <c r="H561" s="1161"/>
      <c r="I561" s="1161"/>
      <c r="J561" s="1161"/>
      <c r="K561" s="1161"/>
      <c r="L561" s="1161"/>
      <c r="M561" s="1162"/>
      <c r="N561" s="1146">
        <v>3576</v>
      </c>
      <c r="O561" s="1146"/>
      <c r="P561" s="1146"/>
      <c r="Q561" s="1146"/>
      <c r="R561" s="1146"/>
      <c r="S561" s="1146"/>
      <c r="T561" s="1146"/>
      <c r="U561" s="1146"/>
      <c r="V561" s="1146"/>
      <c r="W561" s="1146"/>
      <c r="X561" s="1146">
        <v>8049</v>
      </c>
      <c r="Y561" s="1146"/>
      <c r="Z561" s="1146"/>
      <c r="AA561" s="1146"/>
      <c r="AB561" s="1146"/>
      <c r="AC561" s="1146"/>
      <c r="AD561" s="1146"/>
      <c r="AE561" s="1146"/>
      <c r="AF561" s="1146"/>
      <c r="AG561" s="1146"/>
      <c r="AL561" s="946">
        <f>SUM(N562,N564)-N561</f>
        <v>0</v>
      </c>
      <c r="AM561" s="945">
        <f>SUM(X562,X564)-X561</f>
        <v>0</v>
      </c>
      <c r="AO561" s="946">
        <f>N561-SUM('P&amp;L'!$D$36,'P&amp;L'!$D$42,'P&amp;L'!$D$44,'P&amp;L'!$D$45,'P&amp;L'!$D$47,'P&amp;L'!$D$49,'P&amp;L'!$D$51,'P&amp;L'!$D$53)</f>
        <v>0</v>
      </c>
      <c r="AP561" s="945">
        <f>X561-SUM('P&amp;L'!$E$36,'P&amp;L'!$E$42,'P&amp;L'!$E$44,'P&amp;L'!$E$45,'P&amp;L'!$E$47,'P&amp;L'!$E$49,'P&amp;L'!$E$51,'P&amp;L'!$E$53)</f>
        <v>0</v>
      </c>
    </row>
    <row r="562" spans="1:42" s="991" customFormat="1" ht="29.25" customHeight="1" x14ac:dyDescent="0.2">
      <c r="A562" s="990"/>
      <c r="D562" s="1115" t="s">
        <v>315</v>
      </c>
      <c r="E562" s="1116"/>
      <c r="F562" s="1116"/>
      <c r="G562" s="1116"/>
      <c r="H562" s="1116"/>
      <c r="I562" s="1116"/>
      <c r="J562" s="1116"/>
      <c r="K562" s="1116"/>
      <c r="L562" s="1116"/>
      <c r="M562" s="1117"/>
      <c r="N562" s="1143">
        <v>96</v>
      </c>
      <c r="O562" s="1143"/>
      <c r="P562" s="1143"/>
      <c r="Q562" s="1143"/>
      <c r="R562" s="1143"/>
      <c r="S562" s="1143"/>
      <c r="T562" s="1143"/>
      <c r="U562" s="1143"/>
      <c r="V562" s="1143"/>
      <c r="W562" s="1143"/>
      <c r="X562" s="1143">
        <v>18</v>
      </c>
      <c r="Y562" s="1143"/>
      <c r="Z562" s="1143"/>
      <c r="AA562" s="1143"/>
      <c r="AB562" s="1143"/>
      <c r="AC562" s="1143"/>
      <c r="AD562" s="1143"/>
      <c r="AE562" s="1143"/>
      <c r="AF562" s="1143"/>
      <c r="AG562" s="1143"/>
      <c r="AL562" s="946"/>
      <c r="AM562" s="945"/>
      <c r="AO562" s="946">
        <f>N562-'P&amp;L'!$D$49</f>
        <v>0</v>
      </c>
      <c r="AP562" s="945">
        <f>X562-'P&amp;L'!$E$49</f>
        <v>0</v>
      </c>
    </row>
    <row r="563" spans="1:42" s="991" customFormat="1" ht="29.25" customHeight="1" x14ac:dyDescent="0.2">
      <c r="A563" s="990"/>
      <c r="D563" s="1115" t="s">
        <v>316</v>
      </c>
      <c r="E563" s="1116"/>
      <c r="F563" s="1116"/>
      <c r="G563" s="1116"/>
      <c r="H563" s="1116"/>
      <c r="I563" s="1116"/>
      <c r="J563" s="1116"/>
      <c r="K563" s="1116"/>
      <c r="L563" s="1116"/>
      <c r="M563" s="1117"/>
      <c r="N563" s="1143">
        <v>96</v>
      </c>
      <c r="O563" s="1143"/>
      <c r="P563" s="1143"/>
      <c r="Q563" s="1143"/>
      <c r="R563" s="1143"/>
      <c r="S563" s="1143"/>
      <c r="T563" s="1143"/>
      <c r="U563" s="1143"/>
      <c r="V563" s="1143"/>
      <c r="W563" s="1143"/>
      <c r="X563" s="1143">
        <v>18</v>
      </c>
      <c r="Y563" s="1143"/>
      <c r="Z563" s="1143"/>
      <c r="AA563" s="1143"/>
      <c r="AB563" s="1143"/>
      <c r="AC563" s="1143"/>
      <c r="AD563" s="1143"/>
      <c r="AE563" s="1143"/>
      <c r="AF563" s="1143"/>
      <c r="AG563" s="1143"/>
      <c r="AL563" s="944"/>
      <c r="AM563" s="945"/>
      <c r="AO563" s="944"/>
      <c r="AP563" s="948"/>
    </row>
    <row r="564" spans="1:42" s="991" customFormat="1" ht="29.25" customHeight="1" x14ac:dyDescent="0.2">
      <c r="A564" s="990"/>
      <c r="D564" s="1115" t="s">
        <v>317</v>
      </c>
      <c r="E564" s="1116"/>
      <c r="F564" s="1116"/>
      <c r="G564" s="1116"/>
      <c r="H564" s="1116"/>
      <c r="I564" s="1116"/>
      <c r="J564" s="1116"/>
      <c r="K564" s="1116"/>
      <c r="L564" s="1116"/>
      <c r="M564" s="1117"/>
      <c r="N564" s="1143">
        <v>3480</v>
      </c>
      <c r="O564" s="1143"/>
      <c r="P564" s="1143"/>
      <c r="Q564" s="1143"/>
      <c r="R564" s="1143"/>
      <c r="S564" s="1143"/>
      <c r="T564" s="1143"/>
      <c r="U564" s="1143"/>
      <c r="V564" s="1143"/>
      <c r="W564" s="1143"/>
      <c r="X564" s="1143">
        <v>8031</v>
      </c>
      <c r="Y564" s="1143"/>
      <c r="Z564" s="1143"/>
      <c r="AA564" s="1143"/>
      <c r="AB564" s="1143"/>
      <c r="AC564" s="1143"/>
      <c r="AD564" s="1143"/>
      <c r="AE564" s="1143"/>
      <c r="AF564" s="1143"/>
      <c r="AG564" s="1143"/>
      <c r="AL564" s="946">
        <f>SUM(N565:W566)-N564</f>
        <v>0</v>
      </c>
      <c r="AM564" s="945">
        <f>SUM(X565:AG566)-X564</f>
        <v>0</v>
      </c>
      <c r="AO564" s="944"/>
      <c r="AP564" s="948"/>
    </row>
    <row r="565" spans="1:42" s="991" customFormat="1" ht="29.25" customHeight="1" x14ac:dyDescent="0.2">
      <c r="A565" s="990"/>
      <c r="D565" s="1115" t="s">
        <v>1917</v>
      </c>
      <c r="E565" s="1116"/>
      <c r="F565" s="1116"/>
      <c r="G565" s="1116"/>
      <c r="H565" s="1116"/>
      <c r="I565" s="1116"/>
      <c r="J565" s="1116"/>
      <c r="K565" s="1116"/>
      <c r="L565" s="1116"/>
      <c r="M565" s="1117"/>
      <c r="N565" s="1143">
        <v>889</v>
      </c>
      <c r="O565" s="1143"/>
      <c r="P565" s="1143"/>
      <c r="Q565" s="1143"/>
      <c r="R565" s="1143"/>
      <c r="S565" s="1143"/>
      <c r="T565" s="1143"/>
      <c r="U565" s="1143"/>
      <c r="V565" s="1143"/>
      <c r="W565" s="1143"/>
      <c r="X565" s="1143">
        <v>1307</v>
      </c>
      <c r="Y565" s="1143"/>
      <c r="Z565" s="1143"/>
      <c r="AA565" s="1143"/>
      <c r="AB565" s="1143"/>
      <c r="AC565" s="1143"/>
      <c r="AD565" s="1143"/>
      <c r="AE565" s="1143"/>
      <c r="AF565" s="1143"/>
      <c r="AG565" s="1143"/>
      <c r="AL565" s="944"/>
      <c r="AM565" s="945"/>
      <c r="AO565" s="944"/>
      <c r="AP565" s="948"/>
    </row>
    <row r="566" spans="1:42" s="991" customFormat="1" ht="29.25" customHeight="1" x14ac:dyDescent="0.2">
      <c r="A566" s="990"/>
      <c r="D566" s="1115" t="s">
        <v>1918</v>
      </c>
      <c r="E566" s="1116"/>
      <c r="F566" s="1116"/>
      <c r="G566" s="1116"/>
      <c r="H566" s="1116"/>
      <c r="I566" s="1116"/>
      <c r="J566" s="1116"/>
      <c r="K566" s="1116"/>
      <c r="L566" s="1116"/>
      <c r="M566" s="1117"/>
      <c r="N566" s="1143">
        <v>2591</v>
      </c>
      <c r="O566" s="1143"/>
      <c r="P566" s="1143"/>
      <c r="Q566" s="1143"/>
      <c r="R566" s="1143"/>
      <c r="S566" s="1143"/>
      <c r="T566" s="1143"/>
      <c r="U566" s="1143"/>
      <c r="V566" s="1143"/>
      <c r="W566" s="1143"/>
      <c r="X566" s="1143">
        <v>6724</v>
      </c>
      <c r="Y566" s="1143"/>
      <c r="Z566" s="1143"/>
      <c r="AA566" s="1143"/>
      <c r="AB566" s="1143"/>
      <c r="AC566" s="1143"/>
      <c r="AD566" s="1143"/>
      <c r="AE566" s="1143"/>
      <c r="AF566" s="1143"/>
      <c r="AG566" s="1143"/>
      <c r="AL566" s="944"/>
      <c r="AM566" s="945"/>
      <c r="AO566" s="944"/>
      <c r="AP566" s="948"/>
    </row>
    <row r="567" spans="1:42" s="991" customFormat="1" ht="29.25" customHeight="1" thickBot="1" x14ac:dyDescent="0.25">
      <c r="A567" s="990"/>
      <c r="D567" s="1147" t="s">
        <v>318</v>
      </c>
      <c r="E567" s="1148"/>
      <c r="F567" s="1148"/>
      <c r="G567" s="1148"/>
      <c r="H567" s="1148"/>
      <c r="I567" s="1148"/>
      <c r="J567" s="1148"/>
      <c r="K567" s="1148"/>
      <c r="L567" s="1148"/>
      <c r="M567" s="1149"/>
      <c r="N567" s="1150"/>
      <c r="O567" s="1150"/>
      <c r="P567" s="1150"/>
      <c r="Q567" s="1150"/>
      <c r="R567" s="1150"/>
      <c r="S567" s="1150"/>
      <c r="T567" s="1150"/>
      <c r="U567" s="1150"/>
      <c r="V567" s="1150"/>
      <c r="W567" s="1150"/>
      <c r="X567" s="1150"/>
      <c r="Y567" s="1150"/>
      <c r="Z567" s="1150"/>
      <c r="AA567" s="1150"/>
      <c r="AB567" s="1150"/>
      <c r="AC567" s="1150"/>
      <c r="AD567" s="1150"/>
      <c r="AE567" s="1150"/>
      <c r="AF567" s="1150"/>
      <c r="AG567" s="1150"/>
      <c r="AL567" s="946">
        <f>SUM(N568:W569)-N567</f>
        <v>0</v>
      </c>
      <c r="AM567" s="945">
        <f>SUM(X568:AG569)-X567</f>
        <v>0</v>
      </c>
      <c r="AO567" s="946">
        <f>N567-'P&amp;L'!$D$61</f>
        <v>0</v>
      </c>
      <c r="AP567" s="945">
        <f>X567-'P&amp;L'!$E$61</f>
        <v>0</v>
      </c>
    </row>
    <row r="568" spans="1:42" s="991" customFormat="1" ht="29.25" hidden="1" customHeight="1" x14ac:dyDescent="0.2">
      <c r="A568" s="990"/>
      <c r="D568" s="1151"/>
      <c r="E568" s="1152"/>
      <c r="F568" s="1152"/>
      <c r="G568" s="1152"/>
      <c r="H568" s="1152"/>
      <c r="I568" s="1152"/>
      <c r="J568" s="1152"/>
      <c r="K568" s="1152"/>
      <c r="L568" s="1152"/>
      <c r="M568" s="1153"/>
      <c r="N568" s="1154"/>
      <c r="O568" s="1155"/>
      <c r="P568" s="1155"/>
      <c r="Q568" s="1155"/>
      <c r="R568" s="1155"/>
      <c r="S568" s="1155"/>
      <c r="T568" s="1155"/>
      <c r="U568" s="1155"/>
      <c r="V568" s="1155"/>
      <c r="W568" s="1156"/>
      <c r="X568" s="1154"/>
      <c r="Y568" s="1155"/>
      <c r="Z568" s="1155"/>
      <c r="AA568" s="1155"/>
      <c r="AB568" s="1155"/>
      <c r="AC568" s="1155"/>
      <c r="AD568" s="1155"/>
      <c r="AE568" s="1155"/>
      <c r="AF568" s="1155"/>
      <c r="AG568" s="1156"/>
      <c r="AL568" s="944"/>
      <c r="AM568" s="945"/>
      <c r="AO568" s="968"/>
      <c r="AP568" s="985"/>
    </row>
    <row r="569" spans="1:42" s="991" customFormat="1" ht="29.25" hidden="1" customHeight="1" thickBot="1" x14ac:dyDescent="0.25">
      <c r="A569" s="990"/>
      <c r="D569" s="1147"/>
      <c r="E569" s="1148"/>
      <c r="F569" s="1148"/>
      <c r="G569" s="1148"/>
      <c r="H569" s="1148"/>
      <c r="I569" s="1148"/>
      <c r="J569" s="1148"/>
      <c r="K569" s="1148"/>
      <c r="L569" s="1148"/>
      <c r="M569" s="1149"/>
      <c r="N569" s="1157"/>
      <c r="O569" s="1158"/>
      <c r="P569" s="1158"/>
      <c r="Q569" s="1158"/>
      <c r="R569" s="1158"/>
      <c r="S569" s="1158"/>
      <c r="T569" s="1158"/>
      <c r="U569" s="1158"/>
      <c r="V569" s="1158"/>
      <c r="W569" s="1159"/>
      <c r="X569" s="1157"/>
      <c r="Y569" s="1158"/>
      <c r="Z569" s="1158"/>
      <c r="AA569" s="1158"/>
      <c r="AB569" s="1158"/>
      <c r="AC569" s="1158"/>
      <c r="AD569" s="1158"/>
      <c r="AE569" s="1158"/>
      <c r="AF569" s="1158"/>
      <c r="AG569" s="1159"/>
      <c r="AL569" s="952"/>
      <c r="AM569" s="951"/>
      <c r="AO569" s="971"/>
      <c r="AP569" s="987"/>
    </row>
    <row r="570" spans="1:42" ht="14.25" customHeight="1" x14ac:dyDescent="0.2">
      <c r="D570" s="668"/>
      <c r="E570" s="668"/>
      <c r="F570" s="668"/>
      <c r="G570" s="668"/>
      <c r="H570" s="668"/>
      <c r="I570" s="668"/>
      <c r="J570" s="668"/>
      <c r="K570" s="668"/>
      <c r="L570" s="668"/>
      <c r="M570" s="668"/>
      <c r="N570" s="996"/>
      <c r="O570" s="996"/>
      <c r="P570" s="996"/>
      <c r="Q570" s="996"/>
      <c r="R570" s="996"/>
      <c r="S570" s="996"/>
      <c r="T570" s="996"/>
      <c r="U570" s="996"/>
      <c r="V570" s="996"/>
      <c r="W570" s="996"/>
      <c r="X570" s="996"/>
      <c r="Y570" s="996"/>
      <c r="Z570" s="996"/>
      <c r="AA570" s="996"/>
      <c r="AB570" s="996"/>
      <c r="AC570" s="996"/>
      <c r="AD570" s="996"/>
      <c r="AE570" s="996"/>
      <c r="AF570" s="996"/>
      <c r="AG570" s="996"/>
    </row>
    <row r="571" spans="1:42" ht="14.25" hidden="1" customHeight="1" x14ac:dyDescent="0.2">
      <c r="D571" s="668"/>
      <c r="E571" s="668"/>
      <c r="F571" s="668"/>
      <c r="G571" s="668"/>
      <c r="H571" s="668"/>
      <c r="I571" s="668"/>
      <c r="J571" s="668"/>
      <c r="K571" s="668"/>
      <c r="L571" s="668"/>
      <c r="M571" s="668"/>
      <c r="N571" s="996"/>
      <c r="O571" s="996"/>
      <c r="P571" s="996"/>
      <c r="Q571" s="996"/>
      <c r="R571" s="996"/>
      <c r="S571" s="996"/>
      <c r="T571" s="996"/>
      <c r="U571" s="996"/>
      <c r="V571" s="996"/>
      <c r="W571" s="996"/>
      <c r="X571" s="996"/>
      <c r="Y571" s="996"/>
      <c r="Z571" s="996"/>
      <c r="AA571" s="996"/>
      <c r="AB571" s="996"/>
      <c r="AC571" s="996"/>
      <c r="AD571" s="996"/>
      <c r="AE571" s="996"/>
      <c r="AF571" s="996"/>
      <c r="AG571" s="996"/>
    </row>
    <row r="572" spans="1:42" ht="14.25" hidden="1" customHeight="1" x14ac:dyDescent="0.2">
      <c r="D572" s="668"/>
      <c r="E572" s="668"/>
      <c r="F572" s="668"/>
      <c r="G572" s="668"/>
      <c r="H572" s="668"/>
      <c r="I572" s="668"/>
      <c r="J572" s="668"/>
      <c r="K572" s="668"/>
      <c r="L572" s="668"/>
      <c r="M572" s="668"/>
      <c r="N572" s="996"/>
      <c r="O572" s="996"/>
      <c r="P572" s="996"/>
      <c r="Q572" s="996"/>
      <c r="R572" s="996"/>
      <c r="S572" s="996"/>
      <c r="T572" s="996"/>
      <c r="U572" s="996"/>
      <c r="V572" s="996"/>
      <c r="W572" s="996"/>
      <c r="X572" s="996"/>
      <c r="Y572" s="996"/>
      <c r="Z572" s="996"/>
      <c r="AA572" s="996"/>
      <c r="AB572" s="996"/>
      <c r="AC572" s="996"/>
      <c r="AD572" s="996"/>
      <c r="AE572" s="996"/>
      <c r="AF572" s="996"/>
      <c r="AG572" s="996"/>
    </row>
    <row r="573" spans="1:42" ht="14.25" customHeight="1" x14ac:dyDescent="0.2">
      <c r="D573" s="1137" t="s">
        <v>1482</v>
      </c>
      <c r="E573" s="1137"/>
      <c r="F573" s="1137"/>
      <c r="G573" s="1137"/>
      <c r="H573" s="1137"/>
      <c r="I573" s="1137"/>
      <c r="J573" s="1137"/>
      <c r="K573" s="1137"/>
      <c r="L573" s="1137"/>
      <c r="M573" s="1137"/>
      <c r="N573" s="1137"/>
      <c r="O573" s="1137"/>
      <c r="P573" s="1137"/>
      <c r="Q573" s="1137"/>
      <c r="R573" s="1137"/>
      <c r="S573" s="1137"/>
      <c r="T573" s="1137"/>
      <c r="U573" s="1137"/>
      <c r="V573" s="1137"/>
      <c r="W573" s="1137"/>
      <c r="X573" s="1137"/>
      <c r="Y573" s="1137"/>
      <c r="Z573" s="1137"/>
      <c r="AA573" s="1137"/>
      <c r="AB573" s="1137"/>
      <c r="AC573" s="1137"/>
      <c r="AD573" s="1137"/>
      <c r="AE573" s="1137"/>
      <c r="AF573" s="1137"/>
      <c r="AG573" s="1137"/>
    </row>
    <row r="575" spans="1:42" ht="14.25" customHeight="1" x14ac:dyDescent="0.2">
      <c r="D575" s="1138" t="s">
        <v>1483</v>
      </c>
      <c r="E575" s="1138"/>
      <c r="F575" s="1138"/>
      <c r="G575" s="1138"/>
      <c r="H575" s="1138"/>
      <c r="I575" s="1138"/>
      <c r="J575" s="1138"/>
      <c r="K575" s="1138"/>
      <c r="L575" s="1138"/>
      <c r="M575" s="1138"/>
      <c r="N575" s="1138"/>
      <c r="O575" s="1138"/>
      <c r="P575" s="1138"/>
      <c r="Q575" s="1138"/>
      <c r="R575" s="1138"/>
      <c r="S575" s="1138"/>
      <c r="T575" s="1138"/>
      <c r="U575" s="1138"/>
      <c r="V575" s="1138"/>
      <c r="W575" s="1138"/>
      <c r="X575" s="1138"/>
      <c r="Y575" s="1138"/>
      <c r="Z575" s="1138"/>
      <c r="AA575" s="1138"/>
      <c r="AB575" s="1138"/>
      <c r="AC575" s="1138"/>
      <c r="AD575" s="1138"/>
      <c r="AE575" s="1138"/>
      <c r="AF575" s="1138"/>
      <c r="AG575" s="1138"/>
    </row>
    <row r="576" spans="1:42" ht="14.25" customHeight="1" thickBot="1" x14ac:dyDescent="0.25"/>
    <row r="577" spans="1:42" ht="28.5" customHeight="1" thickBot="1" x14ac:dyDescent="0.25">
      <c r="A577" s="933">
        <v>40</v>
      </c>
      <c r="D577" s="1059" t="s">
        <v>131</v>
      </c>
      <c r="E577" s="1059"/>
      <c r="F577" s="1059"/>
      <c r="G577" s="1059"/>
      <c r="H577" s="1059"/>
      <c r="I577" s="1059"/>
      <c r="J577" s="1059"/>
      <c r="K577" s="1059"/>
      <c r="L577" s="1059"/>
      <c r="M577" s="1059"/>
      <c r="N577" s="1059"/>
      <c r="O577" s="1059"/>
      <c r="P577" s="1059" t="s">
        <v>2</v>
      </c>
      <c r="Q577" s="1059"/>
      <c r="R577" s="1059"/>
      <c r="S577" s="1059"/>
      <c r="T577" s="1059"/>
      <c r="U577" s="1059"/>
      <c r="V577" s="1059"/>
      <c r="W577" s="1059"/>
      <c r="X577" s="1059"/>
      <c r="Y577" s="1059" t="s">
        <v>3</v>
      </c>
      <c r="Z577" s="1059"/>
      <c r="AA577" s="1059"/>
      <c r="AB577" s="1059"/>
      <c r="AC577" s="1059"/>
      <c r="AD577" s="1059"/>
      <c r="AE577" s="1059"/>
      <c r="AF577" s="1059"/>
      <c r="AG577" s="1059"/>
    </row>
    <row r="578" spans="1:42" ht="46.5" customHeight="1" x14ac:dyDescent="0.2">
      <c r="D578" s="1141" t="s">
        <v>320</v>
      </c>
      <c r="E578" s="1141"/>
      <c r="F578" s="1141"/>
      <c r="G578" s="1141"/>
      <c r="H578" s="1141"/>
      <c r="I578" s="1141"/>
      <c r="J578" s="1141"/>
      <c r="K578" s="1141"/>
      <c r="L578" s="1141"/>
      <c r="M578" s="1141"/>
      <c r="N578" s="1141"/>
      <c r="O578" s="1141"/>
      <c r="P578" s="1131">
        <v>-1163</v>
      </c>
      <c r="Q578" s="1131"/>
      <c r="R578" s="1131"/>
      <c r="S578" s="1131"/>
      <c r="T578" s="1131"/>
      <c r="U578" s="1131"/>
      <c r="V578" s="1131"/>
      <c r="W578" s="1131"/>
      <c r="X578" s="1131"/>
      <c r="Y578" s="1131">
        <v>3453</v>
      </c>
      <c r="Z578" s="1131"/>
      <c r="AA578" s="1131"/>
      <c r="AB578" s="1131"/>
      <c r="AC578" s="1131"/>
      <c r="AD578" s="1131"/>
      <c r="AE578" s="1131"/>
      <c r="AF578" s="1131"/>
      <c r="AG578" s="1131"/>
    </row>
    <row r="579" spans="1:42" ht="45.75" customHeight="1" x14ac:dyDescent="0.2">
      <c r="D579" s="1140" t="s">
        <v>321</v>
      </c>
      <c r="E579" s="1140"/>
      <c r="F579" s="1140"/>
      <c r="G579" s="1140"/>
      <c r="H579" s="1140"/>
      <c r="I579" s="1140"/>
      <c r="J579" s="1140"/>
      <c r="K579" s="1140"/>
      <c r="L579" s="1140"/>
      <c r="M579" s="1140"/>
      <c r="N579" s="1140"/>
      <c r="O579" s="1140"/>
      <c r="P579" s="1075"/>
      <c r="Q579" s="1075"/>
      <c r="R579" s="1075"/>
      <c r="S579" s="1075"/>
      <c r="T579" s="1075"/>
      <c r="U579" s="1075"/>
      <c r="V579" s="1075"/>
      <c r="W579" s="1075"/>
      <c r="X579" s="1075"/>
      <c r="Y579" s="1075"/>
      <c r="Z579" s="1075"/>
      <c r="AA579" s="1075"/>
      <c r="AB579" s="1075"/>
      <c r="AC579" s="1075"/>
      <c r="AD579" s="1075"/>
      <c r="AE579" s="1075"/>
      <c r="AF579" s="1075"/>
      <c r="AG579" s="1075"/>
    </row>
    <row r="580" spans="1:42" ht="72" customHeight="1" x14ac:dyDescent="0.2">
      <c r="D580" s="1140" t="s">
        <v>322</v>
      </c>
      <c r="E580" s="1140"/>
      <c r="F580" s="1140"/>
      <c r="G580" s="1140"/>
      <c r="H580" s="1140"/>
      <c r="I580" s="1140"/>
      <c r="J580" s="1140"/>
      <c r="K580" s="1140"/>
      <c r="L580" s="1140"/>
      <c r="M580" s="1140"/>
      <c r="N580" s="1140"/>
      <c r="O580" s="1140"/>
      <c r="P580" s="1075"/>
      <c r="Q580" s="1075"/>
      <c r="R580" s="1075"/>
      <c r="S580" s="1075"/>
      <c r="T580" s="1075"/>
      <c r="U580" s="1075"/>
      <c r="V580" s="1075"/>
      <c r="W580" s="1075"/>
      <c r="X580" s="1075"/>
      <c r="Y580" s="1075"/>
      <c r="Z580" s="1075"/>
      <c r="AA580" s="1075"/>
      <c r="AB580" s="1075"/>
      <c r="AC580" s="1075"/>
      <c r="AD580" s="1075"/>
      <c r="AE580" s="1075"/>
      <c r="AF580" s="1075"/>
      <c r="AG580" s="1075"/>
    </row>
    <row r="581" spans="1:42" ht="55.5" customHeight="1" x14ac:dyDescent="0.2">
      <c r="D581" s="1140" t="s">
        <v>323</v>
      </c>
      <c r="E581" s="1140"/>
      <c r="F581" s="1140"/>
      <c r="G581" s="1140"/>
      <c r="H581" s="1140"/>
      <c r="I581" s="1140"/>
      <c r="J581" s="1140"/>
      <c r="K581" s="1140"/>
      <c r="L581" s="1140"/>
      <c r="M581" s="1140"/>
      <c r="N581" s="1140"/>
      <c r="O581" s="1140"/>
      <c r="P581" s="1075"/>
      <c r="Q581" s="1075"/>
      <c r="R581" s="1075"/>
      <c r="S581" s="1075"/>
      <c r="T581" s="1075"/>
      <c r="U581" s="1075"/>
      <c r="V581" s="1075"/>
      <c r="W581" s="1075"/>
      <c r="X581" s="1075"/>
      <c r="Y581" s="1075"/>
      <c r="Z581" s="1075"/>
      <c r="AA581" s="1075"/>
      <c r="AB581" s="1075"/>
      <c r="AC581" s="1075"/>
      <c r="AD581" s="1075"/>
      <c r="AE581" s="1075"/>
      <c r="AF581" s="1075"/>
      <c r="AG581" s="1075"/>
    </row>
    <row r="582" spans="1:42" ht="55.5" customHeight="1" x14ac:dyDescent="0.2">
      <c r="D582" s="1140" t="s">
        <v>324</v>
      </c>
      <c r="E582" s="1140"/>
      <c r="F582" s="1140"/>
      <c r="G582" s="1140"/>
      <c r="H582" s="1140"/>
      <c r="I582" s="1140"/>
      <c r="J582" s="1140"/>
      <c r="K582" s="1140"/>
      <c r="L582" s="1140"/>
      <c r="M582" s="1140"/>
      <c r="N582" s="1140"/>
      <c r="O582" s="1140"/>
      <c r="P582" s="1075"/>
      <c r="Q582" s="1075"/>
      <c r="R582" s="1075"/>
      <c r="S582" s="1075"/>
      <c r="T582" s="1075"/>
      <c r="U582" s="1075"/>
      <c r="V582" s="1075"/>
      <c r="W582" s="1075"/>
      <c r="X582" s="1075"/>
      <c r="Y582" s="1075"/>
      <c r="Z582" s="1075"/>
      <c r="AA582" s="1075"/>
      <c r="AB582" s="1075"/>
      <c r="AC582" s="1075"/>
      <c r="AD582" s="1075"/>
      <c r="AE582" s="1075"/>
      <c r="AF582" s="1075"/>
      <c r="AG582" s="1075"/>
    </row>
    <row r="583" spans="1:42" ht="44.25" customHeight="1" thickBot="1" x14ac:dyDescent="0.25">
      <c r="D583" s="1139" t="s">
        <v>325</v>
      </c>
      <c r="E583" s="1139"/>
      <c r="F583" s="1139"/>
      <c r="G583" s="1139"/>
      <c r="H583" s="1139"/>
      <c r="I583" s="1139"/>
      <c r="J583" s="1139"/>
      <c r="K583" s="1139"/>
      <c r="L583" s="1139"/>
      <c r="M583" s="1139"/>
      <c r="N583" s="1139"/>
      <c r="O583" s="1139"/>
      <c r="P583" s="1142"/>
      <c r="Q583" s="1142"/>
      <c r="R583" s="1142"/>
      <c r="S583" s="1142"/>
      <c r="T583" s="1142"/>
      <c r="U583" s="1142"/>
      <c r="V583" s="1142"/>
      <c r="W583" s="1142"/>
      <c r="X583" s="1142"/>
      <c r="Y583" s="1142"/>
      <c r="Z583" s="1142"/>
      <c r="AA583" s="1142"/>
      <c r="AB583" s="1142"/>
      <c r="AC583" s="1142"/>
      <c r="AD583" s="1142"/>
      <c r="AE583" s="1142"/>
      <c r="AF583" s="1142"/>
      <c r="AG583" s="1142"/>
    </row>
    <row r="585" spans="1:42" ht="14.25" hidden="1" customHeight="1" x14ac:dyDescent="0.2"/>
    <row r="586" spans="1:42" ht="14.25" customHeight="1" x14ac:dyDescent="0.2">
      <c r="D586" s="1127" t="s">
        <v>1483</v>
      </c>
      <c r="E586" s="1127"/>
      <c r="F586" s="1127"/>
      <c r="G586" s="1127"/>
      <c r="H586" s="1127"/>
      <c r="I586" s="1127"/>
      <c r="J586" s="1127"/>
      <c r="K586" s="1127"/>
      <c r="L586" s="1127"/>
      <c r="M586" s="1127"/>
      <c r="N586" s="1127"/>
      <c r="O586" s="1127"/>
      <c r="P586" s="1127"/>
      <c r="Q586" s="1127"/>
      <c r="R586" s="1127"/>
      <c r="S586" s="1127"/>
      <c r="T586" s="1127"/>
      <c r="U586" s="1127"/>
      <c r="V586" s="1127"/>
      <c r="W586" s="1127"/>
      <c r="X586" s="1127"/>
      <c r="Y586" s="1127"/>
      <c r="Z586" s="1127"/>
      <c r="AA586" s="1127"/>
      <c r="AB586" s="1127"/>
      <c r="AC586" s="1127"/>
      <c r="AD586" s="1127"/>
      <c r="AE586" s="1127"/>
      <c r="AF586" s="1127"/>
      <c r="AG586" s="1127"/>
    </row>
    <row r="587" spans="1:42" ht="14.25" customHeight="1" thickBot="1" x14ac:dyDescent="0.25"/>
    <row r="588" spans="1:42" ht="14.25" customHeight="1" thickBot="1" x14ac:dyDescent="0.25">
      <c r="A588" s="933">
        <v>41</v>
      </c>
      <c r="D588" s="1058" t="s">
        <v>1</v>
      </c>
      <c r="E588" s="1058"/>
      <c r="F588" s="1058"/>
      <c r="G588" s="1058"/>
      <c r="H588" s="1058"/>
      <c r="I588" s="1058"/>
      <c r="J588" s="1109" t="s">
        <v>2</v>
      </c>
      <c r="K588" s="1110"/>
      <c r="L588" s="1110"/>
      <c r="M588" s="1110"/>
      <c r="N588" s="1110"/>
      <c r="O588" s="1110"/>
      <c r="P588" s="1110"/>
      <c r="Q588" s="1110"/>
      <c r="R588" s="1110"/>
      <c r="S588" s="1110"/>
      <c r="T588" s="1110"/>
      <c r="U588" s="1111"/>
      <c r="V588" s="1109" t="s">
        <v>3</v>
      </c>
      <c r="W588" s="1110"/>
      <c r="X588" s="1110"/>
      <c r="Y588" s="1110"/>
      <c r="Z588" s="1110"/>
      <c r="AA588" s="1110"/>
      <c r="AB588" s="1110"/>
      <c r="AC588" s="1110"/>
      <c r="AD588" s="1110"/>
      <c r="AE588" s="1110"/>
      <c r="AF588" s="1110"/>
      <c r="AG588" s="1111"/>
    </row>
    <row r="589" spans="1:42" ht="14.25" customHeight="1" thickTop="1" thickBot="1" x14ac:dyDescent="0.25">
      <c r="D589" s="1058"/>
      <c r="E589" s="1058"/>
      <c r="F589" s="1058"/>
      <c r="G589" s="1058"/>
      <c r="H589" s="1058"/>
      <c r="I589" s="1058"/>
      <c r="J589" s="1112"/>
      <c r="K589" s="1113"/>
      <c r="L589" s="1113"/>
      <c r="M589" s="1113"/>
      <c r="N589" s="1113"/>
      <c r="O589" s="1113"/>
      <c r="P589" s="1113"/>
      <c r="Q589" s="1113"/>
      <c r="R589" s="1113"/>
      <c r="S589" s="1113"/>
      <c r="T589" s="1113"/>
      <c r="U589" s="1114"/>
      <c r="V589" s="1112"/>
      <c r="W589" s="1113"/>
      <c r="X589" s="1113"/>
      <c r="Y589" s="1113"/>
      <c r="Z589" s="1113"/>
      <c r="AA589" s="1113"/>
      <c r="AB589" s="1113"/>
      <c r="AC589" s="1113"/>
      <c r="AD589" s="1113"/>
      <c r="AE589" s="1113"/>
      <c r="AF589" s="1113"/>
      <c r="AG589" s="1114"/>
      <c r="AO589" s="926" t="s">
        <v>2</v>
      </c>
      <c r="AP589" s="925" t="s">
        <v>3</v>
      </c>
    </row>
    <row r="590" spans="1:42" ht="14.25" customHeight="1" thickBot="1" x14ac:dyDescent="0.25">
      <c r="D590" s="1058"/>
      <c r="E590" s="1058"/>
      <c r="F590" s="1058"/>
      <c r="G590" s="1058"/>
      <c r="H590" s="1058"/>
      <c r="I590" s="1058"/>
      <c r="J590" s="1059" t="s">
        <v>327</v>
      </c>
      <c r="K590" s="1059"/>
      <c r="L590" s="1059"/>
      <c r="M590" s="1059"/>
      <c r="N590" s="1059" t="s">
        <v>328</v>
      </c>
      <c r="O590" s="1059"/>
      <c r="P590" s="1059"/>
      <c r="Q590" s="1059"/>
      <c r="R590" s="1059" t="s">
        <v>1484</v>
      </c>
      <c r="S590" s="1059"/>
      <c r="T590" s="1059"/>
      <c r="U590" s="1059"/>
      <c r="V590" s="1059" t="s">
        <v>327</v>
      </c>
      <c r="W590" s="1059"/>
      <c r="X590" s="1059"/>
      <c r="Y590" s="1059"/>
      <c r="Z590" s="1059" t="s">
        <v>328</v>
      </c>
      <c r="AA590" s="1059"/>
      <c r="AB590" s="1059"/>
      <c r="AC590" s="1059"/>
      <c r="AD590" s="1059" t="s">
        <v>1484</v>
      </c>
      <c r="AE590" s="1059"/>
      <c r="AF590" s="1059"/>
      <c r="AG590" s="1059"/>
      <c r="AO590" s="997"/>
      <c r="AP590" s="998"/>
    </row>
    <row r="591" spans="1:42" ht="34.5" customHeight="1" x14ac:dyDescent="0.2">
      <c r="D591" s="1128" t="s">
        <v>330</v>
      </c>
      <c r="E591" s="1129"/>
      <c r="F591" s="1129"/>
      <c r="G591" s="1129"/>
      <c r="H591" s="1129"/>
      <c r="I591" s="1130"/>
      <c r="J591" s="1131">
        <v>218531</v>
      </c>
      <c r="K591" s="1131"/>
      <c r="L591" s="1131"/>
      <c r="M591" s="1132"/>
      <c r="N591" s="1133" t="s">
        <v>18</v>
      </c>
      <c r="O591" s="1134"/>
      <c r="P591" s="1134"/>
      <c r="Q591" s="1135"/>
      <c r="R591" s="1136" t="s">
        <v>18</v>
      </c>
      <c r="S591" s="1134"/>
      <c r="T591" s="1134"/>
      <c r="U591" s="1134"/>
      <c r="V591" s="1131">
        <v>23125</v>
      </c>
      <c r="W591" s="1131"/>
      <c r="X591" s="1131"/>
      <c r="Y591" s="1132"/>
      <c r="Z591" s="1133" t="s">
        <v>18</v>
      </c>
      <c r="AA591" s="1134"/>
      <c r="AB591" s="1134"/>
      <c r="AC591" s="1135"/>
      <c r="AD591" s="1136" t="s">
        <v>18</v>
      </c>
      <c r="AE591" s="1134"/>
      <c r="AF591" s="1134"/>
      <c r="AG591" s="1134"/>
      <c r="AO591" s="946">
        <f>J591-'P&amp;L'!$D$55</f>
        <v>0</v>
      </c>
      <c r="AP591" s="945">
        <f>V591-'P&amp;L'!$E$55</f>
        <v>0</v>
      </c>
    </row>
    <row r="592" spans="1:42" ht="27.75" customHeight="1" x14ac:dyDescent="0.2">
      <c r="D592" s="1054" t="s">
        <v>331</v>
      </c>
      <c r="E592" s="1055"/>
      <c r="F592" s="1055"/>
      <c r="G592" s="1055"/>
      <c r="H592" s="1055"/>
      <c r="I592" s="1056"/>
      <c r="J592" s="1080" t="s">
        <v>18</v>
      </c>
      <c r="K592" s="1080"/>
      <c r="L592" s="1080"/>
      <c r="M592" s="1081"/>
      <c r="N592" s="1074">
        <v>50262</v>
      </c>
      <c r="O592" s="1075"/>
      <c r="P592" s="1075"/>
      <c r="Q592" s="1076"/>
      <c r="R592" s="1107">
        <v>23</v>
      </c>
      <c r="S592" s="1108"/>
      <c r="T592" s="1108"/>
      <c r="U592" s="1108"/>
      <c r="V592" s="1080" t="s">
        <v>18</v>
      </c>
      <c r="W592" s="1080"/>
      <c r="X592" s="1080"/>
      <c r="Y592" s="1081"/>
      <c r="Z592" s="1074">
        <v>4394</v>
      </c>
      <c r="AA592" s="1075"/>
      <c r="AB592" s="1075"/>
      <c r="AC592" s="1076"/>
      <c r="AD592" s="1107">
        <v>19</v>
      </c>
      <c r="AE592" s="1108"/>
      <c r="AF592" s="1108"/>
      <c r="AG592" s="1108"/>
      <c r="AO592" s="944"/>
      <c r="AP592" s="948"/>
    </row>
    <row r="593" spans="4:42" ht="27.75" customHeight="1" x14ac:dyDescent="0.2">
      <c r="D593" s="1054" t="s">
        <v>332</v>
      </c>
      <c r="E593" s="1055"/>
      <c r="F593" s="1055"/>
      <c r="G593" s="1055"/>
      <c r="H593" s="1055"/>
      <c r="I593" s="1056"/>
      <c r="J593" s="1121">
        <v>8425</v>
      </c>
      <c r="K593" s="1121"/>
      <c r="L593" s="1121"/>
      <c r="M593" s="1122"/>
      <c r="N593" s="1123">
        <v>1938</v>
      </c>
      <c r="O593" s="1121"/>
      <c r="P593" s="1121"/>
      <c r="Q593" s="1124"/>
      <c r="R593" s="1125">
        <f>N593/J591*100</f>
        <v>0.88683070136502373</v>
      </c>
      <c r="S593" s="1126"/>
      <c r="T593" s="1126"/>
      <c r="U593" s="1126"/>
      <c r="V593" s="1121">
        <v>12060</v>
      </c>
      <c r="W593" s="1121"/>
      <c r="X593" s="1121"/>
      <c r="Y593" s="1122"/>
      <c r="Z593" s="1123">
        <v>2291</v>
      </c>
      <c r="AA593" s="1121"/>
      <c r="AB593" s="1121"/>
      <c r="AC593" s="1124"/>
      <c r="AD593" s="1125">
        <f>Z593/V591*100</f>
        <v>9.9070270270270271</v>
      </c>
      <c r="AE593" s="1126"/>
      <c r="AF593" s="1126"/>
      <c r="AG593" s="1126"/>
      <c r="AO593" s="944"/>
      <c r="AP593" s="948"/>
    </row>
    <row r="594" spans="4:42" ht="27.75" customHeight="1" x14ac:dyDescent="0.2">
      <c r="D594" s="1054" t="s">
        <v>333</v>
      </c>
      <c r="E594" s="1055"/>
      <c r="F594" s="1055"/>
      <c r="G594" s="1055"/>
      <c r="H594" s="1055"/>
      <c r="I594" s="1056"/>
      <c r="J594" s="1075">
        <v>0</v>
      </c>
      <c r="K594" s="1075"/>
      <c r="L594" s="1075"/>
      <c r="M594" s="1079"/>
      <c r="N594" s="1074">
        <v>0</v>
      </c>
      <c r="O594" s="1075"/>
      <c r="P594" s="1075"/>
      <c r="Q594" s="1076"/>
      <c r="R594" s="1107"/>
      <c r="S594" s="1108"/>
      <c r="T594" s="1108"/>
      <c r="U594" s="1108"/>
      <c r="V594" s="1075"/>
      <c r="W594" s="1075"/>
      <c r="X594" s="1075"/>
      <c r="Y594" s="1079"/>
      <c r="Z594" s="1074"/>
      <c r="AA594" s="1075"/>
      <c r="AB594" s="1075"/>
      <c r="AC594" s="1076"/>
      <c r="AD594" s="1077"/>
      <c r="AE594" s="1078"/>
      <c r="AF594" s="1078"/>
      <c r="AG594" s="1078"/>
      <c r="AO594" s="944"/>
      <c r="AP594" s="948"/>
    </row>
    <row r="595" spans="4:42" ht="32.25" customHeight="1" x14ac:dyDescent="0.2">
      <c r="D595" s="1115" t="s">
        <v>1880</v>
      </c>
      <c r="E595" s="1116"/>
      <c r="F595" s="1116"/>
      <c r="G595" s="1116"/>
      <c r="H595" s="1116"/>
      <c r="I595" s="1117"/>
      <c r="J595" s="1075">
        <v>-50000</v>
      </c>
      <c r="K595" s="1075"/>
      <c r="L595" s="1075"/>
      <c r="M595" s="1079"/>
      <c r="N595" s="1074">
        <f>J595*0.23</f>
        <v>-11500</v>
      </c>
      <c r="O595" s="1075"/>
      <c r="P595" s="1075"/>
      <c r="Q595" s="1076"/>
      <c r="R595" s="1077">
        <f>N595/J591*100</f>
        <v>-5.26241128260979</v>
      </c>
      <c r="S595" s="1078"/>
      <c r="T595" s="1078"/>
      <c r="U595" s="1078"/>
      <c r="V595" s="1075">
        <v>91090</v>
      </c>
      <c r="W595" s="1075"/>
      <c r="X595" s="1075"/>
      <c r="Y595" s="1079"/>
      <c r="Z595" s="1074">
        <f>V595*0.23</f>
        <v>20950.7</v>
      </c>
      <c r="AA595" s="1075"/>
      <c r="AB595" s="1075"/>
      <c r="AC595" s="1076"/>
      <c r="AD595" s="1077">
        <f>Z595/V591*100</f>
        <v>90.597621621621627</v>
      </c>
      <c r="AE595" s="1078"/>
      <c r="AF595" s="1078"/>
      <c r="AG595" s="1078"/>
      <c r="AO595" s="944"/>
      <c r="AP595" s="948"/>
    </row>
    <row r="596" spans="4:42" ht="27.75" customHeight="1" x14ac:dyDescent="0.2">
      <c r="D596" s="1054" t="s">
        <v>334</v>
      </c>
      <c r="E596" s="1055"/>
      <c r="F596" s="1055"/>
      <c r="G596" s="1055"/>
      <c r="H596" s="1055"/>
      <c r="I596" s="1056"/>
      <c r="J596" s="1075">
        <f>-(V595+J595)</f>
        <v>-41090</v>
      </c>
      <c r="K596" s="1075"/>
      <c r="L596" s="1075"/>
      <c r="M596" s="1079"/>
      <c r="N596" s="1074">
        <f>J596*0.23</f>
        <v>-9450.7000000000007</v>
      </c>
      <c r="O596" s="1075"/>
      <c r="P596" s="1075"/>
      <c r="Q596" s="1076"/>
      <c r="R596" s="1077">
        <f>N596/J591*100</f>
        <v>-4.3246495920487256</v>
      </c>
      <c r="S596" s="1078"/>
      <c r="T596" s="1078"/>
      <c r="U596" s="1078"/>
      <c r="V596" s="1075"/>
      <c r="W596" s="1075"/>
      <c r="X596" s="1075"/>
      <c r="Y596" s="1079"/>
      <c r="Z596" s="1074"/>
      <c r="AA596" s="1075"/>
      <c r="AB596" s="1075"/>
      <c r="AC596" s="1076"/>
      <c r="AD596" s="1077"/>
      <c r="AE596" s="1078"/>
      <c r="AF596" s="1078"/>
      <c r="AG596" s="1078"/>
      <c r="AO596" s="944"/>
      <c r="AP596" s="948"/>
    </row>
    <row r="597" spans="4:42" ht="27.75" customHeight="1" x14ac:dyDescent="0.2">
      <c r="D597" s="1115" t="s">
        <v>1881</v>
      </c>
      <c r="E597" s="1116"/>
      <c r="F597" s="1116"/>
      <c r="G597" s="1116"/>
      <c r="H597" s="1116"/>
      <c r="I597" s="1117"/>
      <c r="J597" s="1075"/>
      <c r="K597" s="1075"/>
      <c r="L597" s="1075"/>
      <c r="M597" s="1079"/>
      <c r="N597" s="1074">
        <f>-P578-N595*0.01</f>
        <v>1278</v>
      </c>
      <c r="O597" s="1075"/>
      <c r="P597" s="1075"/>
      <c r="Q597" s="1076"/>
      <c r="R597" s="1077">
        <f>N597/J591*100</f>
        <v>0.58481405384133145</v>
      </c>
      <c r="S597" s="1078"/>
      <c r="T597" s="1078"/>
      <c r="U597" s="1078"/>
      <c r="V597" s="1075"/>
      <c r="W597" s="1075"/>
      <c r="X597" s="1075"/>
      <c r="Y597" s="1079"/>
      <c r="Z597" s="1074">
        <f>-Y578-V595*0.04</f>
        <v>-7096.6</v>
      </c>
      <c r="AA597" s="1075"/>
      <c r="AB597" s="1075"/>
      <c r="AC597" s="1076"/>
      <c r="AD597" s="1077">
        <f>Z597/V591*100</f>
        <v>-30.688000000000002</v>
      </c>
      <c r="AE597" s="1078"/>
      <c r="AF597" s="1078"/>
      <c r="AG597" s="1078"/>
      <c r="AO597" s="944"/>
      <c r="AP597" s="948"/>
    </row>
    <row r="598" spans="4:42" ht="27.75" customHeight="1" x14ac:dyDescent="0.2">
      <c r="D598" s="1115" t="s">
        <v>287</v>
      </c>
      <c r="E598" s="1116"/>
      <c r="F598" s="1116"/>
      <c r="G598" s="1116"/>
      <c r="H598" s="1116"/>
      <c r="I598" s="1117"/>
      <c r="J598" s="1075"/>
      <c r="K598" s="1075"/>
      <c r="L598" s="1075"/>
      <c r="M598" s="1079"/>
      <c r="N598" s="1074">
        <f>-(SUM(N592:Q597)-N599)</f>
        <v>1699.7000000000007</v>
      </c>
      <c r="O598" s="1075"/>
      <c r="P598" s="1075"/>
      <c r="Q598" s="1076"/>
      <c r="R598" s="1077">
        <f>N598/J591*100</f>
        <v>0.77778438756972734</v>
      </c>
      <c r="S598" s="1078"/>
      <c r="T598" s="1078"/>
      <c r="U598" s="1078"/>
      <c r="V598" s="1075"/>
      <c r="W598" s="1075"/>
      <c r="X598" s="1075"/>
      <c r="Y598" s="1079"/>
      <c r="Z598" s="1074">
        <f>-(SUM(Z592:AC597)-Z599)</f>
        <v>-338.09999999999854</v>
      </c>
      <c r="AA598" s="1075"/>
      <c r="AB598" s="1075"/>
      <c r="AC598" s="1076"/>
      <c r="AD598" s="1077">
        <f>Z598/V591*100</f>
        <v>-1.4620540540540479</v>
      </c>
      <c r="AE598" s="1078"/>
      <c r="AF598" s="1078"/>
      <c r="AG598" s="1078"/>
      <c r="AO598" s="944"/>
      <c r="AP598" s="948"/>
    </row>
    <row r="599" spans="4:42" ht="27.75" customHeight="1" x14ac:dyDescent="0.2">
      <c r="D599" s="1054" t="s">
        <v>14</v>
      </c>
      <c r="E599" s="1055"/>
      <c r="F599" s="1055"/>
      <c r="G599" s="1055"/>
      <c r="H599" s="1055"/>
      <c r="I599" s="1056"/>
      <c r="J599" s="1075"/>
      <c r="K599" s="1075"/>
      <c r="L599" s="1075"/>
      <c r="M599" s="1079"/>
      <c r="N599" s="1074">
        <v>34227</v>
      </c>
      <c r="O599" s="1075"/>
      <c r="P599" s="1075"/>
      <c r="Q599" s="1076"/>
      <c r="R599" s="1077">
        <f>N599/J591*100</f>
        <v>15.662308779990026</v>
      </c>
      <c r="S599" s="1078"/>
      <c r="T599" s="1078"/>
      <c r="U599" s="1078"/>
      <c r="V599" s="1075"/>
      <c r="W599" s="1075"/>
      <c r="X599" s="1075"/>
      <c r="Y599" s="1079"/>
      <c r="Z599" s="1074">
        <v>20201</v>
      </c>
      <c r="AA599" s="1075"/>
      <c r="AB599" s="1075"/>
      <c r="AC599" s="1076"/>
      <c r="AD599" s="1077">
        <f>Z599/V591*100</f>
        <v>87.35567567567567</v>
      </c>
      <c r="AE599" s="1078"/>
      <c r="AF599" s="1078"/>
      <c r="AG599" s="1078"/>
      <c r="AO599" s="944"/>
      <c r="AP599" s="948"/>
    </row>
    <row r="600" spans="4:42" ht="27.75" customHeight="1" x14ac:dyDescent="0.2">
      <c r="D600" s="1054" t="s">
        <v>335</v>
      </c>
      <c r="E600" s="1055"/>
      <c r="F600" s="1055"/>
      <c r="G600" s="1055"/>
      <c r="H600" s="1055"/>
      <c r="I600" s="1056"/>
      <c r="J600" s="1080" t="s">
        <v>18</v>
      </c>
      <c r="K600" s="1080"/>
      <c r="L600" s="1080"/>
      <c r="M600" s="1081"/>
      <c r="N600" s="1074">
        <v>39945</v>
      </c>
      <c r="O600" s="1075"/>
      <c r="P600" s="1075"/>
      <c r="Q600" s="1076"/>
      <c r="R600" s="1077">
        <f>N600/J591*100</f>
        <v>18.278871189899832</v>
      </c>
      <c r="S600" s="1078"/>
      <c r="T600" s="1078"/>
      <c r="U600" s="1078"/>
      <c r="V600" s="1080" t="s">
        <v>18</v>
      </c>
      <c r="W600" s="1080"/>
      <c r="X600" s="1080"/>
      <c r="Y600" s="1081"/>
      <c r="Z600" s="1074">
        <v>49</v>
      </c>
      <c r="AA600" s="1075"/>
      <c r="AB600" s="1075"/>
      <c r="AC600" s="1076"/>
      <c r="AD600" s="1105">
        <f>Z600/V591*100</f>
        <v>0.21189189189189189</v>
      </c>
      <c r="AE600" s="1106"/>
      <c r="AF600" s="1106"/>
      <c r="AG600" s="1106"/>
      <c r="AO600" s="946">
        <f>N600-'P&amp;L'!$D$57-'P&amp;L'!$D$64</f>
        <v>-1</v>
      </c>
      <c r="AP600" s="945">
        <f>Z600-'P&amp;L'!$E$57-'P&amp;L'!$E$64</f>
        <v>0</v>
      </c>
    </row>
    <row r="601" spans="4:42" ht="27.75" customHeight="1" x14ac:dyDescent="0.2">
      <c r="D601" s="1054" t="s">
        <v>336</v>
      </c>
      <c r="E601" s="1055"/>
      <c r="F601" s="1055"/>
      <c r="G601" s="1055"/>
      <c r="H601" s="1055"/>
      <c r="I601" s="1056"/>
      <c r="J601" s="1080" t="s">
        <v>18</v>
      </c>
      <c r="K601" s="1080"/>
      <c r="L601" s="1080"/>
      <c r="M601" s="1081"/>
      <c r="N601" s="1074">
        <v>-5719</v>
      </c>
      <c r="O601" s="1075"/>
      <c r="P601" s="1075"/>
      <c r="Q601" s="1076"/>
      <c r="R601" s="1107">
        <v>-2</v>
      </c>
      <c r="S601" s="1108"/>
      <c r="T601" s="1108"/>
      <c r="U601" s="1108"/>
      <c r="V601" s="1080" t="s">
        <v>18</v>
      </c>
      <c r="W601" s="1080"/>
      <c r="X601" s="1080"/>
      <c r="Y601" s="1081"/>
      <c r="Z601" s="1074">
        <v>20152</v>
      </c>
      <c r="AA601" s="1075"/>
      <c r="AB601" s="1075"/>
      <c r="AC601" s="1076"/>
      <c r="AD601" s="1077">
        <f>Z601/V591*100</f>
        <v>87.143783783783775</v>
      </c>
      <c r="AE601" s="1078"/>
      <c r="AF601" s="1078"/>
      <c r="AG601" s="1078"/>
      <c r="AO601" s="946">
        <f>N601-'P&amp;L'!$D$58-'P&amp;L'!$D$65</f>
        <v>0</v>
      </c>
      <c r="AP601" s="945">
        <f>Z601-'P&amp;L'!$E$58-'P&amp;L'!$E$65</f>
        <v>0</v>
      </c>
    </row>
    <row r="602" spans="4:42" ht="27.75" customHeight="1" thickBot="1" x14ac:dyDescent="0.25">
      <c r="D602" s="1118" t="s">
        <v>337</v>
      </c>
      <c r="E602" s="1119"/>
      <c r="F602" s="1119"/>
      <c r="G602" s="1119"/>
      <c r="H602" s="1119"/>
      <c r="I602" s="1120"/>
      <c r="J602" s="1067" t="s">
        <v>18</v>
      </c>
      <c r="K602" s="1067"/>
      <c r="L602" s="1067"/>
      <c r="M602" s="1068"/>
      <c r="N602" s="1069">
        <v>34227</v>
      </c>
      <c r="O602" s="1070"/>
      <c r="P602" s="1070"/>
      <c r="Q602" s="1071"/>
      <c r="R602" s="1072">
        <v>16</v>
      </c>
      <c r="S602" s="1073"/>
      <c r="T602" s="1073"/>
      <c r="U602" s="1073"/>
      <c r="V602" s="1067" t="s">
        <v>18</v>
      </c>
      <c r="W602" s="1067"/>
      <c r="X602" s="1067"/>
      <c r="Y602" s="1068"/>
      <c r="Z602" s="1069">
        <f>Z600+Z601</f>
        <v>20201</v>
      </c>
      <c r="AA602" s="1070"/>
      <c r="AB602" s="1070"/>
      <c r="AC602" s="1071"/>
      <c r="AD602" s="1072">
        <v>87</v>
      </c>
      <c r="AE602" s="1073"/>
      <c r="AF602" s="1073"/>
      <c r="AG602" s="1073"/>
      <c r="AO602" s="949">
        <f>N602-'P&amp;L'!$D$56-'P&amp;L'!$D$63</f>
        <v>0</v>
      </c>
      <c r="AP602" s="951">
        <f>Z602-'P&amp;L'!$E$56-'P&amp;L'!$E$63</f>
        <v>0</v>
      </c>
    </row>
    <row r="610" spans="1:33" ht="14.25" customHeight="1" x14ac:dyDescent="0.2">
      <c r="D610" s="634" t="s">
        <v>1961</v>
      </c>
      <c r="V610" s="999"/>
    </row>
    <row r="612" spans="1:33" ht="26.25" customHeight="1" thickBot="1" x14ac:dyDescent="0.25">
      <c r="D612" s="1057" t="s">
        <v>2008</v>
      </c>
      <c r="E612" s="1057"/>
      <c r="F612" s="1057"/>
      <c r="G612" s="1057"/>
      <c r="H612" s="1057"/>
      <c r="I612" s="1057"/>
      <c r="J612" s="1057"/>
      <c r="K612" s="1057"/>
      <c r="L612" s="1057"/>
      <c r="M612" s="1057"/>
      <c r="N612" s="1057"/>
      <c r="O612" s="1057"/>
      <c r="P612" s="1057"/>
      <c r="Q612" s="1057"/>
      <c r="R612" s="1057"/>
      <c r="S612" s="1057"/>
      <c r="T612" s="1057"/>
      <c r="U612" s="1057"/>
      <c r="V612" s="1057"/>
      <c r="W612" s="1057"/>
      <c r="X612" s="1057"/>
      <c r="Y612" s="1057"/>
      <c r="Z612" s="1057"/>
      <c r="AA612" s="1057"/>
      <c r="AB612" s="1057"/>
      <c r="AC612" s="1057"/>
      <c r="AD612" s="1057"/>
      <c r="AE612" s="1057"/>
      <c r="AF612" s="1057"/>
      <c r="AG612" s="1057"/>
    </row>
    <row r="613" spans="1:33" ht="14.25" customHeight="1" thickBot="1" x14ac:dyDescent="0.25">
      <c r="A613" s="933" t="s">
        <v>1485</v>
      </c>
      <c r="D613" s="1058" t="s">
        <v>387</v>
      </c>
      <c r="E613" s="1058"/>
      <c r="F613" s="1058"/>
      <c r="G613" s="1058"/>
      <c r="H613" s="1058"/>
      <c r="I613" s="1058"/>
      <c r="J613" s="1058"/>
      <c r="K613" s="1058"/>
      <c r="L613" s="1058"/>
      <c r="M613" s="1059" t="s">
        <v>388</v>
      </c>
      <c r="N613" s="1059"/>
      <c r="O613" s="1059"/>
      <c r="P613" s="1059"/>
      <c r="Q613" s="1059"/>
      <c r="R613" s="1059" t="s">
        <v>389</v>
      </c>
      <c r="S613" s="1059"/>
      <c r="T613" s="1059"/>
      <c r="U613" s="1059"/>
      <c r="V613" s="1059"/>
      <c r="W613" s="1059"/>
      <c r="X613" s="1059"/>
      <c r="Y613" s="1059"/>
      <c r="Z613" s="1059"/>
      <c r="AA613" s="1059"/>
      <c r="AB613" s="1059"/>
      <c r="AC613" s="1059"/>
      <c r="AD613" s="1059"/>
      <c r="AE613" s="1059"/>
      <c r="AF613" s="1059"/>
      <c r="AG613" s="1059"/>
    </row>
    <row r="614" spans="1:33" ht="26.25" customHeight="1" thickBot="1" x14ac:dyDescent="0.25">
      <c r="D614" s="1058"/>
      <c r="E614" s="1058"/>
      <c r="F614" s="1058"/>
      <c r="G614" s="1058"/>
      <c r="H614" s="1058"/>
      <c r="I614" s="1058"/>
      <c r="J614" s="1058"/>
      <c r="K614" s="1058"/>
      <c r="L614" s="1058"/>
      <c r="M614" s="1059"/>
      <c r="N614" s="1059"/>
      <c r="O614" s="1059"/>
      <c r="P614" s="1059"/>
      <c r="Q614" s="1059"/>
      <c r="R614" s="1059" t="s">
        <v>2</v>
      </c>
      <c r="S614" s="1059"/>
      <c r="T614" s="1059"/>
      <c r="U614" s="1059"/>
      <c r="V614" s="1059"/>
      <c r="W614" s="1059"/>
      <c r="X614" s="1059"/>
      <c r="Y614" s="1059"/>
      <c r="Z614" s="1059" t="s">
        <v>390</v>
      </c>
      <c r="AA614" s="1059"/>
      <c r="AB614" s="1059"/>
      <c r="AC614" s="1059"/>
      <c r="AD614" s="1059"/>
      <c r="AE614" s="1059"/>
      <c r="AF614" s="1059"/>
      <c r="AG614" s="1059"/>
    </row>
    <row r="615" spans="1:33" ht="18.75" customHeight="1" x14ac:dyDescent="0.2">
      <c r="D615" s="1060" t="s">
        <v>1919</v>
      </c>
      <c r="E615" s="1060"/>
      <c r="F615" s="1060"/>
      <c r="G615" s="1060"/>
      <c r="H615" s="1060"/>
      <c r="I615" s="1060"/>
      <c r="J615" s="1060"/>
      <c r="K615" s="1060"/>
      <c r="L615" s="1060"/>
      <c r="M615" s="1061">
        <v>3</v>
      </c>
      <c r="N615" s="1061"/>
      <c r="O615" s="1061"/>
      <c r="P615" s="1061"/>
      <c r="Q615" s="1061"/>
      <c r="R615" s="1062">
        <v>7121</v>
      </c>
      <c r="S615" s="1062"/>
      <c r="T615" s="1062"/>
      <c r="U615" s="1062"/>
      <c r="V615" s="1062"/>
      <c r="W615" s="1062"/>
      <c r="X615" s="1062"/>
      <c r="Y615" s="1062"/>
      <c r="Z615" s="1062">
        <v>23448</v>
      </c>
      <c r="AA615" s="1062"/>
      <c r="AB615" s="1062"/>
      <c r="AC615" s="1062"/>
      <c r="AD615" s="1062"/>
      <c r="AE615" s="1062"/>
      <c r="AF615" s="1062"/>
      <c r="AG615" s="1062"/>
    </row>
    <row r="616" spans="1:33" ht="18.75" customHeight="1" x14ac:dyDescent="0.2">
      <c r="D616" s="1063" t="s">
        <v>1919</v>
      </c>
      <c r="E616" s="1063"/>
      <c r="F616" s="1063"/>
      <c r="G616" s="1063"/>
      <c r="H616" s="1063"/>
      <c r="I616" s="1063"/>
      <c r="J616" s="1063"/>
      <c r="K616" s="1063"/>
      <c r="L616" s="1063"/>
      <c r="M616" s="1064">
        <v>4</v>
      </c>
      <c r="N616" s="1064"/>
      <c r="O616" s="1064"/>
      <c r="P616" s="1064"/>
      <c r="Q616" s="1064"/>
      <c r="R616" s="1065">
        <v>8253214</v>
      </c>
      <c r="S616" s="1065"/>
      <c r="T616" s="1065"/>
      <c r="U616" s="1065"/>
      <c r="V616" s="1065"/>
      <c r="W616" s="1065"/>
      <c r="X616" s="1065"/>
      <c r="Y616" s="1065"/>
      <c r="Z616" s="1066">
        <v>7080024</v>
      </c>
      <c r="AA616" s="1066"/>
      <c r="AB616" s="1066"/>
      <c r="AC616" s="1066"/>
      <c r="AD616" s="1066"/>
      <c r="AE616" s="1066"/>
      <c r="AF616" s="1066"/>
      <c r="AG616" s="1066"/>
    </row>
    <row r="617" spans="1:33" ht="18.75" customHeight="1" x14ac:dyDescent="0.2">
      <c r="D617" s="1082" t="s">
        <v>1995</v>
      </c>
      <c r="E617" s="1082"/>
      <c r="F617" s="1082"/>
      <c r="G617" s="1082"/>
      <c r="H617" s="1082"/>
      <c r="I617" s="1082"/>
      <c r="J617" s="1082"/>
      <c r="K617" s="1082"/>
      <c r="L617" s="1082"/>
      <c r="M617" s="1083">
        <v>3</v>
      </c>
      <c r="N617" s="1083"/>
      <c r="O617" s="1083"/>
      <c r="P617" s="1083"/>
      <c r="Q617" s="1083"/>
      <c r="R617" s="1084">
        <v>62655</v>
      </c>
      <c r="S617" s="1084"/>
      <c r="T617" s="1084"/>
      <c r="U617" s="1084"/>
      <c r="V617" s="1084"/>
      <c r="W617" s="1084"/>
      <c r="X617" s="1084"/>
      <c r="Y617" s="1084"/>
      <c r="Z617" s="1084">
        <v>621840</v>
      </c>
      <c r="AA617" s="1084"/>
      <c r="AB617" s="1084"/>
      <c r="AC617" s="1084"/>
      <c r="AD617" s="1084"/>
      <c r="AE617" s="1084"/>
      <c r="AF617" s="1084"/>
      <c r="AG617" s="1084"/>
    </row>
    <row r="618" spans="1:33" ht="18.75" customHeight="1" x14ac:dyDescent="0.2">
      <c r="D618" s="1041" t="s">
        <v>1920</v>
      </c>
      <c r="E618" s="1041"/>
      <c r="F618" s="1041"/>
      <c r="G618" s="1041"/>
      <c r="H618" s="1041"/>
      <c r="I618" s="1041"/>
      <c r="J618" s="1041"/>
      <c r="K618" s="1041"/>
      <c r="L618" s="1041"/>
      <c r="M618" s="1042">
        <v>3</v>
      </c>
      <c r="N618" s="1042"/>
      <c r="O618" s="1042"/>
      <c r="P618" s="1042"/>
      <c r="Q618" s="1042"/>
      <c r="R618" s="1043" t="s">
        <v>1433</v>
      </c>
      <c r="S618" s="1043"/>
      <c r="T618" s="1043"/>
      <c r="U618" s="1043"/>
      <c r="V618" s="1043"/>
      <c r="W618" s="1043"/>
      <c r="X618" s="1043"/>
      <c r="Y618" s="1043"/>
      <c r="Z618" s="1043">
        <v>5577</v>
      </c>
      <c r="AA618" s="1043"/>
      <c r="AB618" s="1043"/>
      <c r="AC618" s="1043"/>
      <c r="AD618" s="1043"/>
      <c r="AE618" s="1043"/>
      <c r="AF618" s="1043"/>
      <c r="AG618" s="1043"/>
    </row>
    <row r="619" spans="1:33" ht="18.75" customHeight="1" x14ac:dyDescent="0.2">
      <c r="A619" s="938"/>
      <c r="D619" s="1041" t="s">
        <v>1921</v>
      </c>
      <c r="E619" s="1041"/>
      <c r="F619" s="1041"/>
      <c r="G619" s="1041"/>
      <c r="H619" s="1041"/>
      <c r="I619" s="1041"/>
      <c r="J619" s="1041"/>
      <c r="K619" s="1041"/>
      <c r="L619" s="1041"/>
      <c r="M619" s="1042">
        <v>3</v>
      </c>
      <c r="N619" s="1042"/>
      <c r="O619" s="1042"/>
      <c r="P619" s="1042"/>
      <c r="Q619" s="1042"/>
      <c r="R619" s="1043">
        <v>1900</v>
      </c>
      <c r="S619" s="1043"/>
      <c r="T619" s="1043"/>
      <c r="U619" s="1043"/>
      <c r="V619" s="1043"/>
      <c r="W619" s="1043"/>
      <c r="X619" s="1043"/>
      <c r="Y619" s="1043"/>
      <c r="Z619" s="1043">
        <v>1438</v>
      </c>
      <c r="AA619" s="1043"/>
      <c r="AB619" s="1043"/>
      <c r="AC619" s="1043"/>
      <c r="AD619" s="1043"/>
      <c r="AE619" s="1043"/>
      <c r="AF619" s="1043"/>
      <c r="AG619" s="1043"/>
    </row>
    <row r="620" spans="1:33" ht="18.75" customHeight="1" x14ac:dyDescent="0.2">
      <c r="A620" s="938"/>
      <c r="D620" s="1044" t="s">
        <v>1922</v>
      </c>
      <c r="E620" s="1041"/>
      <c r="F620" s="1041"/>
      <c r="G620" s="1041"/>
      <c r="H620" s="1041"/>
      <c r="I620" s="1041"/>
      <c r="J620" s="1041"/>
      <c r="K620" s="1041"/>
      <c r="L620" s="1041"/>
      <c r="M620" s="1042">
        <v>3</v>
      </c>
      <c r="N620" s="1042"/>
      <c r="O620" s="1042"/>
      <c r="P620" s="1042"/>
      <c r="Q620" s="1042"/>
      <c r="R620" s="1043">
        <v>60685</v>
      </c>
      <c r="S620" s="1043"/>
      <c r="T620" s="1043"/>
      <c r="U620" s="1043"/>
      <c r="V620" s="1043"/>
      <c r="W620" s="1043"/>
      <c r="X620" s="1043"/>
      <c r="Y620" s="1043"/>
      <c r="Z620" s="1043">
        <v>13268</v>
      </c>
      <c r="AA620" s="1043"/>
      <c r="AB620" s="1043"/>
      <c r="AC620" s="1043"/>
      <c r="AD620" s="1043"/>
      <c r="AE620" s="1043"/>
      <c r="AF620" s="1043"/>
      <c r="AG620" s="1043"/>
    </row>
    <row r="621" spans="1:33" ht="18.75" customHeight="1" x14ac:dyDescent="0.2">
      <c r="A621" s="938"/>
      <c r="D621" s="1041" t="s">
        <v>1923</v>
      </c>
      <c r="E621" s="1041"/>
      <c r="F621" s="1041"/>
      <c r="G621" s="1041"/>
      <c r="H621" s="1041"/>
      <c r="I621" s="1041"/>
      <c r="J621" s="1041"/>
      <c r="K621" s="1041"/>
      <c r="L621" s="1041"/>
      <c r="M621" s="1042">
        <v>3</v>
      </c>
      <c r="N621" s="1042"/>
      <c r="O621" s="1042"/>
      <c r="P621" s="1042"/>
      <c r="Q621" s="1042"/>
      <c r="R621" s="1043" t="s">
        <v>1433</v>
      </c>
      <c r="S621" s="1043"/>
      <c r="T621" s="1043"/>
      <c r="U621" s="1043"/>
      <c r="V621" s="1043"/>
      <c r="W621" s="1043"/>
      <c r="X621" s="1043"/>
      <c r="Y621" s="1043"/>
      <c r="Z621" s="1043">
        <v>446</v>
      </c>
      <c r="AA621" s="1043"/>
      <c r="AB621" s="1043"/>
      <c r="AC621" s="1043"/>
      <c r="AD621" s="1043"/>
      <c r="AE621" s="1043"/>
      <c r="AF621" s="1043"/>
      <c r="AG621" s="1043"/>
    </row>
    <row r="622" spans="1:33" ht="18.75" customHeight="1" x14ac:dyDescent="0.2">
      <c r="A622" s="938"/>
      <c r="D622" s="1041" t="s">
        <v>1924</v>
      </c>
      <c r="E622" s="1041"/>
      <c r="F622" s="1041"/>
      <c r="G622" s="1041"/>
      <c r="H622" s="1041"/>
      <c r="I622" s="1041"/>
      <c r="J622" s="1041"/>
      <c r="K622" s="1041"/>
      <c r="L622" s="1041"/>
      <c r="M622" s="1042">
        <v>3</v>
      </c>
      <c r="N622" s="1042"/>
      <c r="O622" s="1042"/>
      <c r="P622" s="1042"/>
      <c r="Q622" s="1042"/>
      <c r="R622" s="1043" t="s">
        <v>1433</v>
      </c>
      <c r="S622" s="1043"/>
      <c r="T622" s="1043"/>
      <c r="U622" s="1043"/>
      <c r="V622" s="1043"/>
      <c r="W622" s="1043"/>
      <c r="X622" s="1043"/>
      <c r="Y622" s="1043"/>
      <c r="Z622" s="1043">
        <v>1835</v>
      </c>
      <c r="AA622" s="1043"/>
      <c r="AB622" s="1043"/>
      <c r="AC622" s="1043"/>
      <c r="AD622" s="1043"/>
      <c r="AE622" s="1043"/>
      <c r="AF622" s="1043"/>
      <c r="AG622" s="1043"/>
    </row>
    <row r="623" spans="1:33" ht="18.75" customHeight="1" x14ac:dyDescent="0.2">
      <c r="A623" s="938"/>
      <c r="D623" s="1041" t="s">
        <v>1925</v>
      </c>
      <c r="E623" s="1041"/>
      <c r="F623" s="1041"/>
      <c r="G623" s="1041"/>
      <c r="H623" s="1041"/>
      <c r="I623" s="1041"/>
      <c r="J623" s="1041"/>
      <c r="K623" s="1041"/>
      <c r="L623" s="1041"/>
      <c r="M623" s="1042">
        <v>3</v>
      </c>
      <c r="N623" s="1042"/>
      <c r="O623" s="1042"/>
      <c r="P623" s="1042"/>
      <c r="Q623" s="1042"/>
      <c r="R623" s="1043">
        <v>4973</v>
      </c>
      <c r="S623" s="1043"/>
      <c r="T623" s="1043"/>
      <c r="U623" s="1043"/>
      <c r="V623" s="1043"/>
      <c r="W623" s="1043"/>
      <c r="X623" s="1043"/>
      <c r="Y623" s="1043"/>
      <c r="Z623" s="1043" t="s">
        <v>1433</v>
      </c>
      <c r="AA623" s="1043"/>
      <c r="AB623" s="1043"/>
      <c r="AC623" s="1043"/>
      <c r="AD623" s="1043"/>
      <c r="AE623" s="1043"/>
      <c r="AF623" s="1043"/>
      <c r="AG623" s="1043"/>
    </row>
    <row r="624" spans="1:33" ht="18.75" customHeight="1" x14ac:dyDescent="0.2">
      <c r="D624" s="1095" t="s">
        <v>1962</v>
      </c>
      <c r="E624" s="1096"/>
      <c r="F624" s="1096"/>
      <c r="G624" s="1096"/>
      <c r="H624" s="1096"/>
      <c r="I624" s="1096"/>
      <c r="J624" s="1096"/>
      <c r="K624" s="1096"/>
      <c r="L624" s="1097"/>
      <c r="M624" s="1085">
        <v>4</v>
      </c>
      <c r="N624" s="1086"/>
      <c r="O624" s="1086"/>
      <c r="P624" s="1086"/>
      <c r="Q624" s="1087"/>
      <c r="R624" s="1088">
        <v>250</v>
      </c>
      <c r="S624" s="1089"/>
      <c r="T624" s="1089"/>
      <c r="U624" s="1089"/>
      <c r="V624" s="1089"/>
      <c r="W624" s="1089"/>
      <c r="X624" s="1089"/>
      <c r="Y624" s="1090"/>
      <c r="Z624" s="1088" t="s">
        <v>1433</v>
      </c>
      <c r="AA624" s="1089"/>
      <c r="AB624" s="1089"/>
      <c r="AC624" s="1089"/>
      <c r="AD624" s="1089"/>
      <c r="AE624" s="1089"/>
      <c r="AF624" s="1089"/>
      <c r="AG624" s="1090"/>
    </row>
    <row r="625" spans="1:33" ht="18.75" customHeight="1" x14ac:dyDescent="0.2">
      <c r="D625" s="1041" t="s">
        <v>1963</v>
      </c>
      <c r="E625" s="1041"/>
      <c r="F625" s="1041"/>
      <c r="G625" s="1041"/>
      <c r="H625" s="1041"/>
      <c r="I625" s="1041"/>
      <c r="J625" s="1041"/>
      <c r="K625" s="1041"/>
      <c r="L625" s="1041"/>
      <c r="M625" s="1042">
        <v>4</v>
      </c>
      <c r="N625" s="1042"/>
      <c r="O625" s="1042"/>
      <c r="P625" s="1042"/>
      <c r="Q625" s="1042"/>
      <c r="R625" s="1043">
        <v>111</v>
      </c>
      <c r="S625" s="1043"/>
      <c r="T625" s="1043"/>
      <c r="U625" s="1043"/>
      <c r="V625" s="1043"/>
      <c r="W625" s="1043"/>
      <c r="X625" s="1043"/>
      <c r="Y625" s="1043"/>
      <c r="Z625" s="1043">
        <v>120</v>
      </c>
      <c r="AA625" s="1043"/>
      <c r="AB625" s="1043"/>
      <c r="AC625" s="1043"/>
      <c r="AD625" s="1043"/>
      <c r="AE625" s="1043"/>
      <c r="AF625" s="1043"/>
      <c r="AG625" s="1043"/>
    </row>
    <row r="626" spans="1:33" ht="18.75" customHeight="1" x14ac:dyDescent="0.2">
      <c r="D626" s="1041" t="s">
        <v>1996</v>
      </c>
      <c r="E626" s="1041"/>
      <c r="F626" s="1041"/>
      <c r="G626" s="1041"/>
      <c r="H626" s="1041"/>
      <c r="I626" s="1041"/>
      <c r="J626" s="1041"/>
      <c r="K626" s="1041"/>
      <c r="L626" s="1041"/>
      <c r="M626" s="1042">
        <v>4</v>
      </c>
      <c r="N626" s="1042"/>
      <c r="O626" s="1042"/>
      <c r="P626" s="1042"/>
      <c r="Q626" s="1042"/>
      <c r="R626" s="1043" t="s">
        <v>1433</v>
      </c>
      <c r="S626" s="1043"/>
      <c r="T626" s="1043"/>
      <c r="U626" s="1043"/>
      <c r="V626" s="1043"/>
      <c r="W626" s="1043"/>
      <c r="X626" s="1043"/>
      <c r="Y626" s="1043"/>
      <c r="Z626" s="1043">
        <v>45496</v>
      </c>
      <c r="AA626" s="1043"/>
      <c r="AB626" s="1043"/>
      <c r="AC626" s="1043"/>
      <c r="AD626" s="1043"/>
      <c r="AE626" s="1043"/>
      <c r="AF626" s="1043"/>
      <c r="AG626" s="1043"/>
    </row>
    <row r="627" spans="1:33" ht="18.75" customHeight="1" x14ac:dyDescent="0.2">
      <c r="D627" s="1041" t="s">
        <v>1997</v>
      </c>
      <c r="E627" s="1041"/>
      <c r="F627" s="1041"/>
      <c r="G627" s="1041"/>
      <c r="H627" s="1041"/>
      <c r="I627" s="1041"/>
      <c r="J627" s="1041"/>
      <c r="K627" s="1041"/>
      <c r="L627" s="1041"/>
      <c r="M627" s="1042">
        <v>4</v>
      </c>
      <c r="N627" s="1042"/>
      <c r="O627" s="1042"/>
      <c r="P627" s="1042"/>
      <c r="Q627" s="1042"/>
      <c r="R627" s="1043" t="s">
        <v>1433</v>
      </c>
      <c r="S627" s="1043"/>
      <c r="T627" s="1043"/>
      <c r="U627" s="1043"/>
      <c r="V627" s="1043"/>
      <c r="W627" s="1043"/>
      <c r="X627" s="1043"/>
      <c r="Y627" s="1043"/>
      <c r="Z627" s="1043">
        <v>780</v>
      </c>
      <c r="AA627" s="1043"/>
      <c r="AB627" s="1043"/>
      <c r="AC627" s="1043"/>
      <c r="AD627" s="1043"/>
      <c r="AE627" s="1043"/>
      <c r="AF627" s="1043"/>
      <c r="AG627" s="1043"/>
    </row>
    <row r="628" spans="1:33" ht="18.75" customHeight="1" x14ac:dyDescent="0.2">
      <c r="D628" s="1041" t="s">
        <v>1998</v>
      </c>
      <c r="E628" s="1041"/>
      <c r="F628" s="1041"/>
      <c r="G628" s="1041"/>
      <c r="H628" s="1041"/>
      <c r="I628" s="1041"/>
      <c r="J628" s="1041"/>
      <c r="K628" s="1041"/>
      <c r="L628" s="1041"/>
      <c r="M628" s="1042">
        <v>3</v>
      </c>
      <c r="N628" s="1042"/>
      <c r="O628" s="1042"/>
      <c r="P628" s="1042"/>
      <c r="Q628" s="1042"/>
      <c r="R628" s="1043">
        <v>662</v>
      </c>
      <c r="S628" s="1043"/>
      <c r="T628" s="1043"/>
      <c r="U628" s="1043"/>
      <c r="V628" s="1043"/>
      <c r="W628" s="1043"/>
      <c r="X628" s="1043"/>
      <c r="Y628" s="1043"/>
      <c r="Z628" s="1043">
        <v>1102</v>
      </c>
      <c r="AA628" s="1043"/>
      <c r="AB628" s="1043"/>
      <c r="AC628" s="1043"/>
      <c r="AD628" s="1043"/>
      <c r="AE628" s="1043"/>
      <c r="AF628" s="1043"/>
      <c r="AG628" s="1043"/>
    </row>
    <row r="629" spans="1:33" ht="18.75" customHeight="1" x14ac:dyDescent="0.2">
      <c r="D629" s="1041" t="s">
        <v>1964</v>
      </c>
      <c r="E629" s="1041"/>
      <c r="F629" s="1041"/>
      <c r="G629" s="1041"/>
      <c r="H629" s="1041"/>
      <c r="I629" s="1041"/>
      <c r="J629" s="1041"/>
      <c r="K629" s="1041"/>
      <c r="L629" s="1041"/>
      <c r="M629" s="1085">
        <v>3</v>
      </c>
      <c r="N629" s="1086"/>
      <c r="O629" s="1086"/>
      <c r="P629" s="1086"/>
      <c r="Q629" s="1087"/>
      <c r="R629" s="1088">
        <v>150</v>
      </c>
      <c r="S629" s="1089"/>
      <c r="T629" s="1089"/>
      <c r="U629" s="1089"/>
      <c r="V629" s="1089"/>
      <c r="W629" s="1089"/>
      <c r="X629" s="1089"/>
      <c r="Y629" s="1090"/>
      <c r="Z629" s="1043">
        <v>111</v>
      </c>
      <c r="AA629" s="1043"/>
      <c r="AB629" s="1043"/>
      <c r="AC629" s="1043"/>
      <c r="AD629" s="1043"/>
      <c r="AE629" s="1043"/>
      <c r="AF629" s="1043"/>
      <c r="AG629" s="1043"/>
    </row>
    <row r="630" spans="1:33" ht="18.75" customHeight="1" x14ac:dyDescent="0.2">
      <c r="D630" s="1041" t="s">
        <v>1964</v>
      </c>
      <c r="E630" s="1041"/>
      <c r="F630" s="1041"/>
      <c r="G630" s="1041"/>
      <c r="H630" s="1041"/>
      <c r="I630" s="1041"/>
      <c r="J630" s="1041"/>
      <c r="K630" s="1041"/>
      <c r="L630" s="1041"/>
      <c r="M630" s="1042">
        <v>4</v>
      </c>
      <c r="N630" s="1042"/>
      <c r="O630" s="1042"/>
      <c r="P630" s="1042"/>
      <c r="Q630" s="1042"/>
      <c r="R630" s="1043">
        <v>2105</v>
      </c>
      <c r="S630" s="1043"/>
      <c r="T630" s="1043"/>
      <c r="U630" s="1043"/>
      <c r="V630" s="1043"/>
      <c r="W630" s="1043"/>
      <c r="X630" s="1043"/>
      <c r="Y630" s="1043"/>
      <c r="Z630" s="1043" t="s">
        <v>1433</v>
      </c>
      <c r="AA630" s="1043"/>
      <c r="AB630" s="1043"/>
      <c r="AC630" s="1043"/>
      <c r="AD630" s="1043"/>
      <c r="AE630" s="1043"/>
      <c r="AF630" s="1043"/>
      <c r="AG630" s="1043"/>
    </row>
    <row r="631" spans="1:33" ht="18.75" customHeight="1" thickBot="1" x14ac:dyDescent="0.25">
      <c r="D631" s="1098" t="s">
        <v>1921</v>
      </c>
      <c r="E631" s="1098"/>
      <c r="F631" s="1098"/>
      <c r="G631" s="1098"/>
      <c r="H631" s="1098"/>
      <c r="I631" s="1098"/>
      <c r="J631" s="1098"/>
      <c r="K631" s="1098"/>
      <c r="L631" s="1098"/>
      <c r="M631" s="1099">
        <v>4</v>
      </c>
      <c r="N631" s="1099"/>
      <c r="O631" s="1099"/>
      <c r="P631" s="1099"/>
      <c r="Q631" s="1099"/>
      <c r="R631" s="1100">
        <v>1405</v>
      </c>
      <c r="S631" s="1100"/>
      <c r="T631" s="1100"/>
      <c r="U631" s="1100"/>
      <c r="V631" s="1100"/>
      <c r="W631" s="1100"/>
      <c r="X631" s="1100"/>
      <c r="Y631" s="1100"/>
      <c r="Z631" s="1100">
        <v>2281</v>
      </c>
      <c r="AA631" s="1100"/>
      <c r="AB631" s="1100"/>
      <c r="AC631" s="1100"/>
      <c r="AD631" s="1100"/>
      <c r="AE631" s="1100"/>
      <c r="AF631" s="1100"/>
      <c r="AG631" s="1100"/>
    </row>
    <row r="632" spans="1:33" ht="18.75" customHeight="1" x14ac:dyDescent="0.2">
      <c r="A632" s="938"/>
      <c r="D632" s="1005"/>
      <c r="E632" s="1005"/>
      <c r="F632" s="1005"/>
      <c r="G632" s="1005"/>
      <c r="H632" s="1005"/>
      <c r="I632" s="1005"/>
      <c r="J632" s="1005"/>
      <c r="K632" s="1005"/>
      <c r="L632" s="1005"/>
      <c r="M632" s="1006"/>
      <c r="N632" s="1006"/>
      <c r="O632" s="1006"/>
      <c r="P632" s="1006"/>
      <c r="Q632" s="1006"/>
      <c r="R632" s="1007"/>
      <c r="S632" s="1007"/>
      <c r="T632" s="1007"/>
      <c r="U632" s="1007"/>
      <c r="V632" s="1007"/>
      <c r="W632" s="1007"/>
      <c r="X632" s="1007"/>
      <c r="Y632" s="1007"/>
      <c r="Z632" s="1007"/>
      <c r="AA632" s="1007"/>
      <c r="AB632" s="1007"/>
      <c r="AC632" s="1007"/>
      <c r="AD632" s="1007"/>
      <c r="AE632" s="1007"/>
      <c r="AF632" s="1007"/>
      <c r="AG632" s="1007"/>
    </row>
    <row r="633" spans="1:33" ht="18.75" customHeight="1" x14ac:dyDescent="0.2">
      <c r="A633" s="938"/>
      <c r="D633" s="1040" t="s">
        <v>1994</v>
      </c>
      <c r="E633" s="1040"/>
      <c r="F633" s="1040"/>
      <c r="G633" s="1040"/>
      <c r="H633" s="1040"/>
      <c r="I633" s="1040"/>
      <c r="J633" s="1040"/>
      <c r="K633" s="1040"/>
      <c r="L633" s="1040"/>
      <c r="M633" s="1040"/>
      <c r="N633" s="1040"/>
      <c r="O633" s="1040"/>
      <c r="P633" s="1040"/>
      <c r="Q633" s="1040"/>
      <c r="R633" s="1040"/>
      <c r="S633" s="1040"/>
      <c r="T633" s="1040"/>
      <c r="U633" s="1040"/>
      <c r="V633" s="1040"/>
      <c r="W633" s="1040"/>
      <c r="X633" s="1040"/>
      <c r="Y633" s="1040"/>
      <c r="Z633" s="1040"/>
      <c r="AA633" s="1040"/>
      <c r="AB633" s="1040"/>
      <c r="AC633" s="1040"/>
      <c r="AD633" s="1040"/>
      <c r="AE633" s="1040"/>
      <c r="AF633" s="1040"/>
      <c r="AG633" s="1040"/>
    </row>
    <row r="634" spans="1:33" ht="14.25" customHeight="1" thickBot="1" x14ac:dyDescent="0.25"/>
    <row r="635" spans="1:33" ht="18" customHeight="1" x14ac:dyDescent="0.2">
      <c r="D635" s="1103" t="s">
        <v>1989</v>
      </c>
      <c r="E635" s="1104"/>
      <c r="F635" s="1104"/>
      <c r="G635" s="1104"/>
      <c r="H635" s="1104"/>
      <c r="I635" s="1104"/>
      <c r="J635" s="1104"/>
      <c r="K635" s="1104"/>
      <c r="L635" s="1104"/>
      <c r="M635" s="1104"/>
      <c r="N635" s="1104"/>
      <c r="O635" s="1104"/>
      <c r="P635" s="1104"/>
      <c r="Q635" s="1104"/>
      <c r="R635" s="1104"/>
      <c r="S635" s="1104"/>
      <c r="T635" s="1104"/>
      <c r="U635" s="1104"/>
      <c r="V635" s="1104"/>
      <c r="W635" s="1104"/>
      <c r="X635" s="1104"/>
      <c r="Y635" s="1104"/>
      <c r="Z635" s="1101" t="s">
        <v>1990</v>
      </c>
      <c r="AA635" s="1101"/>
      <c r="AB635" s="1101"/>
      <c r="AC635" s="1101"/>
      <c r="AD635" s="1101"/>
      <c r="AE635" s="1101"/>
      <c r="AF635" s="1101"/>
      <c r="AG635" s="1102"/>
    </row>
    <row r="636" spans="1:33" ht="18" customHeight="1" x14ac:dyDescent="0.2">
      <c r="D636" s="1030" t="s">
        <v>1991</v>
      </c>
      <c r="E636" s="1031"/>
      <c r="F636" s="1031"/>
      <c r="G636" s="1031"/>
      <c r="H636" s="1031"/>
      <c r="I636" s="1031"/>
      <c r="J636" s="1031"/>
      <c r="K636" s="1031"/>
      <c r="L636" s="1031"/>
      <c r="M636" s="1031"/>
      <c r="N636" s="1031"/>
      <c r="O636" s="1031"/>
      <c r="P636" s="1031"/>
      <c r="Q636" s="1031"/>
      <c r="R636" s="1031"/>
      <c r="S636" s="1031"/>
      <c r="T636" s="1031"/>
      <c r="U636" s="1031"/>
      <c r="V636" s="1031"/>
      <c r="W636" s="1031"/>
      <c r="X636" s="1031"/>
      <c r="Y636" s="1031"/>
      <c r="Z636" s="1038">
        <v>1945</v>
      </c>
      <c r="AA636" s="1038"/>
      <c r="AB636" s="1038"/>
      <c r="AC636" s="1038"/>
      <c r="AD636" s="1038"/>
      <c r="AE636" s="1038"/>
      <c r="AF636" s="1038"/>
      <c r="AG636" s="1039"/>
    </row>
    <row r="637" spans="1:33" ht="18" customHeight="1" x14ac:dyDescent="0.2">
      <c r="D637" s="1030" t="s">
        <v>1925</v>
      </c>
      <c r="E637" s="1031"/>
      <c r="F637" s="1031"/>
      <c r="G637" s="1031"/>
      <c r="H637" s="1031"/>
      <c r="I637" s="1031"/>
      <c r="J637" s="1031"/>
      <c r="K637" s="1031"/>
      <c r="L637" s="1031"/>
      <c r="M637" s="1031"/>
      <c r="N637" s="1031"/>
      <c r="O637" s="1031"/>
      <c r="P637" s="1031"/>
      <c r="Q637" s="1031"/>
      <c r="R637" s="1031"/>
      <c r="S637" s="1031"/>
      <c r="T637" s="1031"/>
      <c r="U637" s="1031"/>
      <c r="V637" s="1031"/>
      <c r="W637" s="1031"/>
      <c r="X637" s="1031"/>
      <c r="Y637" s="1031"/>
      <c r="Z637" s="1038">
        <v>4973</v>
      </c>
      <c r="AA637" s="1038"/>
      <c r="AB637" s="1038"/>
      <c r="AC637" s="1038"/>
      <c r="AD637" s="1038"/>
      <c r="AE637" s="1038"/>
      <c r="AF637" s="1038"/>
      <c r="AG637" s="1039"/>
    </row>
    <row r="638" spans="1:33" ht="18" customHeight="1" x14ac:dyDescent="0.2">
      <c r="D638" s="1032" t="s">
        <v>1922</v>
      </c>
      <c r="E638" s="1033"/>
      <c r="F638" s="1033"/>
      <c r="G638" s="1033"/>
      <c r="H638" s="1033"/>
      <c r="I638" s="1033"/>
      <c r="J638" s="1033"/>
      <c r="K638" s="1033"/>
      <c r="L638" s="1033"/>
      <c r="M638" s="1033"/>
      <c r="N638" s="1033"/>
      <c r="O638" s="1033"/>
      <c r="P638" s="1033"/>
      <c r="Q638" s="1033"/>
      <c r="R638" s="1033"/>
      <c r="S638" s="1033"/>
      <c r="T638" s="1033"/>
      <c r="U638" s="1033"/>
      <c r="V638" s="1033"/>
      <c r="W638" s="1033"/>
      <c r="X638" s="1033"/>
      <c r="Y638" s="1033"/>
      <c r="Z638" s="1038">
        <v>59862</v>
      </c>
      <c r="AA638" s="1038"/>
      <c r="AB638" s="1038"/>
      <c r="AC638" s="1038"/>
      <c r="AD638" s="1038"/>
      <c r="AE638" s="1038"/>
      <c r="AF638" s="1038"/>
      <c r="AG638" s="1039"/>
    </row>
    <row r="639" spans="1:33" ht="18" customHeight="1" x14ac:dyDescent="0.2">
      <c r="D639" s="1034" t="s">
        <v>1992</v>
      </c>
      <c r="E639" s="1035"/>
      <c r="F639" s="1035"/>
      <c r="G639" s="1035"/>
      <c r="H639" s="1035"/>
      <c r="I639" s="1035"/>
      <c r="J639" s="1035"/>
      <c r="K639" s="1035"/>
      <c r="L639" s="1035"/>
      <c r="M639" s="1035"/>
      <c r="N639" s="1035"/>
      <c r="O639" s="1035"/>
      <c r="P639" s="1035"/>
      <c r="Q639" s="1035"/>
      <c r="R639" s="1035"/>
      <c r="S639" s="1035"/>
      <c r="T639" s="1035"/>
      <c r="U639" s="1035"/>
      <c r="V639" s="1035"/>
      <c r="W639" s="1035"/>
      <c r="X639" s="1035"/>
      <c r="Y639" s="1035"/>
      <c r="Z639" s="1093">
        <v>66780</v>
      </c>
      <c r="AA639" s="1093"/>
      <c r="AB639" s="1093"/>
      <c r="AC639" s="1093"/>
      <c r="AD639" s="1093"/>
      <c r="AE639" s="1093"/>
      <c r="AF639" s="1093"/>
      <c r="AG639" s="1094"/>
    </row>
    <row r="640" spans="1:33" ht="18" customHeight="1" x14ac:dyDescent="0.2">
      <c r="D640" s="1030" t="s">
        <v>1919</v>
      </c>
      <c r="E640" s="1031"/>
      <c r="F640" s="1031"/>
      <c r="G640" s="1031"/>
      <c r="H640" s="1031"/>
      <c r="I640" s="1031"/>
      <c r="J640" s="1031"/>
      <c r="K640" s="1031"/>
      <c r="L640" s="1031"/>
      <c r="M640" s="1031"/>
      <c r="N640" s="1031"/>
      <c r="O640" s="1031"/>
      <c r="P640" s="1031"/>
      <c r="Q640" s="1031"/>
      <c r="R640" s="1031"/>
      <c r="S640" s="1031"/>
      <c r="T640" s="1031"/>
      <c r="U640" s="1031"/>
      <c r="V640" s="1031"/>
      <c r="W640" s="1031"/>
      <c r="X640" s="1031"/>
      <c r="Y640" s="1031"/>
      <c r="Z640" s="1038">
        <v>-2337940</v>
      </c>
      <c r="AA640" s="1038"/>
      <c r="AB640" s="1038"/>
      <c r="AC640" s="1038"/>
      <c r="AD640" s="1038"/>
      <c r="AE640" s="1038"/>
      <c r="AF640" s="1038"/>
      <c r="AG640" s="1039"/>
    </row>
    <row r="641" spans="4:41" ht="18" customHeight="1" x14ac:dyDescent="0.2">
      <c r="D641" s="1030" t="s">
        <v>1964</v>
      </c>
      <c r="E641" s="1031"/>
      <c r="F641" s="1031"/>
      <c r="G641" s="1031"/>
      <c r="H641" s="1031"/>
      <c r="I641" s="1031"/>
      <c r="J641" s="1031"/>
      <c r="K641" s="1031"/>
      <c r="L641" s="1031"/>
      <c r="M641" s="1031"/>
      <c r="N641" s="1031"/>
      <c r="O641" s="1031"/>
      <c r="P641" s="1031"/>
      <c r="Q641" s="1031"/>
      <c r="R641" s="1031"/>
      <c r="S641" s="1031"/>
      <c r="T641" s="1031"/>
      <c r="U641" s="1031"/>
      <c r="V641" s="1031"/>
      <c r="W641" s="1031"/>
      <c r="X641" s="1031"/>
      <c r="Y641" s="1031"/>
      <c r="Z641" s="1038">
        <v>-1975</v>
      </c>
      <c r="AA641" s="1038"/>
      <c r="AB641" s="1038"/>
      <c r="AC641" s="1038"/>
      <c r="AD641" s="1038"/>
      <c r="AE641" s="1038"/>
      <c r="AF641" s="1038"/>
      <c r="AG641" s="1039"/>
    </row>
    <row r="642" spans="4:41" ht="18" customHeight="1" thickBot="1" x14ac:dyDescent="0.25">
      <c r="D642" s="1036" t="s">
        <v>1993</v>
      </c>
      <c r="E642" s="1037"/>
      <c r="F642" s="1037"/>
      <c r="G642" s="1037"/>
      <c r="H642" s="1037"/>
      <c r="I642" s="1037"/>
      <c r="J642" s="1037"/>
      <c r="K642" s="1037"/>
      <c r="L642" s="1037"/>
      <c r="M642" s="1037"/>
      <c r="N642" s="1037"/>
      <c r="O642" s="1037"/>
      <c r="P642" s="1037"/>
      <c r="Q642" s="1037"/>
      <c r="R642" s="1037"/>
      <c r="S642" s="1037"/>
      <c r="T642" s="1037"/>
      <c r="U642" s="1037"/>
      <c r="V642" s="1037"/>
      <c r="W642" s="1037"/>
      <c r="X642" s="1037"/>
      <c r="Y642" s="1037"/>
      <c r="Z642" s="1091">
        <v>-235769</v>
      </c>
      <c r="AA642" s="1091"/>
      <c r="AB642" s="1091"/>
      <c r="AC642" s="1091"/>
      <c r="AD642" s="1091"/>
      <c r="AE642" s="1091"/>
      <c r="AF642" s="1091"/>
      <c r="AG642" s="1092"/>
    </row>
    <row r="644" spans="4:41" ht="14.25" customHeight="1" x14ac:dyDescent="0.2">
      <c r="D644" s="921" t="s">
        <v>1965</v>
      </c>
      <c r="E644" s="976"/>
      <c r="F644" s="976"/>
      <c r="G644" s="976"/>
      <c r="H644" s="976"/>
      <c r="I644" s="976"/>
      <c r="J644" s="976"/>
      <c r="K644" s="976"/>
      <c r="L644" s="976"/>
      <c r="M644" s="976"/>
      <c r="N644" s="976"/>
      <c r="O644" s="976"/>
      <c r="P644" s="976"/>
      <c r="Q644" s="976"/>
    </row>
    <row r="645" spans="4:41" ht="14.25" customHeight="1" thickBot="1" x14ac:dyDescent="0.25"/>
    <row r="646" spans="4:41" ht="14.25" customHeight="1" thickBot="1" x14ac:dyDescent="0.25">
      <c r="D646" s="1058" t="s">
        <v>465</v>
      </c>
      <c r="E646" s="1058"/>
      <c r="F646" s="1058"/>
      <c r="G646" s="1058"/>
      <c r="H646" s="1058"/>
      <c r="I646" s="1058"/>
      <c r="J646" s="1058"/>
      <c r="K646" s="1058"/>
      <c r="L646" s="1058"/>
      <c r="M646" s="1058"/>
      <c r="N646" s="1058" t="s">
        <v>2</v>
      </c>
      <c r="O646" s="1058"/>
      <c r="P646" s="1058"/>
      <c r="Q646" s="1058"/>
      <c r="R646" s="1058"/>
      <c r="S646" s="1058"/>
      <c r="T646" s="1058"/>
      <c r="U646" s="1058"/>
      <c r="V646" s="1058"/>
      <c r="W646" s="1058"/>
      <c r="X646" s="1058"/>
      <c r="Y646" s="1058"/>
      <c r="Z646" s="1058"/>
      <c r="AA646" s="1058"/>
      <c r="AB646" s="1058"/>
      <c r="AC646" s="1058"/>
      <c r="AD646" s="1058"/>
      <c r="AE646" s="1058"/>
      <c r="AF646" s="1058"/>
      <c r="AG646" s="1058"/>
    </row>
    <row r="647" spans="4:41" ht="52.5" customHeight="1" thickTop="1" thickBot="1" x14ac:dyDescent="0.25">
      <c r="D647" s="1058"/>
      <c r="E647" s="1058"/>
      <c r="F647" s="1058"/>
      <c r="G647" s="1058"/>
      <c r="H647" s="1058"/>
      <c r="I647" s="1058"/>
      <c r="J647" s="1058"/>
      <c r="K647" s="1058"/>
      <c r="L647" s="1058"/>
      <c r="M647" s="1058"/>
      <c r="N647" s="1059" t="s">
        <v>472</v>
      </c>
      <c r="O647" s="1059"/>
      <c r="P647" s="1059"/>
      <c r="Q647" s="1059"/>
      <c r="R647" s="1059" t="s">
        <v>27</v>
      </c>
      <c r="S647" s="1059"/>
      <c r="T647" s="1059"/>
      <c r="U647" s="1059"/>
      <c r="V647" s="1059" t="s">
        <v>28</v>
      </c>
      <c r="W647" s="1059"/>
      <c r="X647" s="1059"/>
      <c r="Y647" s="1059"/>
      <c r="Z647" s="1059" t="s">
        <v>29</v>
      </c>
      <c r="AA647" s="1059"/>
      <c r="AB647" s="1059"/>
      <c r="AC647" s="1059"/>
      <c r="AD647" s="1059" t="s">
        <v>392</v>
      </c>
      <c r="AE647" s="1059"/>
      <c r="AF647" s="1059"/>
      <c r="AG647" s="1059"/>
      <c r="AL647" s="925" t="s">
        <v>472</v>
      </c>
      <c r="AM647" s="925" t="s">
        <v>392</v>
      </c>
      <c r="AO647" s="925" t="s">
        <v>392</v>
      </c>
    </row>
    <row r="648" spans="4:41" ht="14.25" customHeight="1" x14ac:dyDescent="0.2">
      <c r="D648" s="1164" t="s">
        <v>393</v>
      </c>
      <c r="E648" s="1164"/>
      <c r="F648" s="1164"/>
      <c r="G648" s="1164"/>
      <c r="H648" s="1164"/>
      <c r="I648" s="1164"/>
      <c r="J648" s="1164"/>
      <c r="K648" s="1164"/>
      <c r="L648" s="1164"/>
      <c r="M648" s="1164"/>
      <c r="N648" s="1165">
        <v>132776</v>
      </c>
      <c r="O648" s="1165"/>
      <c r="P648" s="1165"/>
      <c r="Q648" s="1165"/>
      <c r="R648" s="1165"/>
      <c r="S648" s="1165"/>
      <c r="T648" s="1165"/>
      <c r="U648" s="1165"/>
      <c r="V648" s="1165"/>
      <c r="W648" s="1165"/>
      <c r="X648" s="1165"/>
      <c r="Y648" s="1165"/>
      <c r="Z648" s="1165"/>
      <c r="AA648" s="1165"/>
      <c r="AB648" s="1165"/>
      <c r="AC648" s="1165"/>
      <c r="AD648" s="1316">
        <f>SUM(N648:AC648)</f>
        <v>132776</v>
      </c>
      <c r="AE648" s="1316"/>
      <c r="AF648" s="1316"/>
      <c r="AG648" s="1316"/>
      <c r="AL648" s="966">
        <f t="shared" ref="AL648:AL665" si="102">N648-AD672</f>
        <v>0</v>
      </c>
      <c r="AM648" s="984">
        <f>SUM(N648:AC648)-AD648</f>
        <v>0</v>
      </c>
      <c r="AO648" s="967">
        <f>AD648-BS!$D$84</f>
        <v>0</v>
      </c>
    </row>
    <row r="649" spans="4:41" ht="14.25" customHeight="1" x14ac:dyDescent="0.2">
      <c r="D649" s="1140" t="s">
        <v>394</v>
      </c>
      <c r="E649" s="1140"/>
      <c r="F649" s="1140"/>
      <c r="G649" s="1140"/>
      <c r="H649" s="1140"/>
      <c r="I649" s="1140"/>
      <c r="J649" s="1140"/>
      <c r="K649" s="1140"/>
      <c r="L649" s="1140"/>
      <c r="M649" s="1140"/>
      <c r="N649" s="1075"/>
      <c r="O649" s="1075"/>
      <c r="P649" s="1075"/>
      <c r="Q649" s="1075"/>
      <c r="R649" s="1075"/>
      <c r="S649" s="1075"/>
      <c r="T649" s="1075"/>
      <c r="U649" s="1075"/>
      <c r="V649" s="1075"/>
      <c r="W649" s="1075"/>
      <c r="X649" s="1075"/>
      <c r="Y649" s="1075"/>
      <c r="Z649" s="1075"/>
      <c r="AA649" s="1075"/>
      <c r="AB649" s="1075"/>
      <c r="AC649" s="1075"/>
      <c r="AD649" s="1216">
        <f t="shared" ref="AD649:AD665" si="103">SUM(N649:AC649)</f>
        <v>0</v>
      </c>
      <c r="AE649" s="1216"/>
      <c r="AF649" s="1216"/>
      <c r="AG649" s="1216"/>
      <c r="AL649" s="969">
        <f t="shared" si="102"/>
        <v>0</v>
      </c>
      <c r="AM649" s="985">
        <f t="shared" ref="AM649:AM665" si="104">SUM(N649:AC649)-AD649</f>
        <v>0</v>
      </c>
      <c r="AO649" s="970">
        <f>AD649-BS!$D$85</f>
        <v>0</v>
      </c>
    </row>
    <row r="650" spans="4:41" ht="14.25" customHeight="1" x14ac:dyDescent="0.2">
      <c r="D650" s="1140" t="s">
        <v>466</v>
      </c>
      <c r="E650" s="1140"/>
      <c r="F650" s="1140"/>
      <c r="G650" s="1140"/>
      <c r="H650" s="1140"/>
      <c r="I650" s="1140"/>
      <c r="J650" s="1140"/>
      <c r="K650" s="1140"/>
      <c r="L650" s="1140"/>
      <c r="M650" s="1140"/>
      <c r="N650" s="1075"/>
      <c r="O650" s="1075"/>
      <c r="P650" s="1075"/>
      <c r="Q650" s="1075"/>
      <c r="R650" s="1075"/>
      <c r="S650" s="1075"/>
      <c r="T650" s="1075"/>
      <c r="U650" s="1075"/>
      <c r="V650" s="1075"/>
      <c r="W650" s="1075"/>
      <c r="X650" s="1075"/>
      <c r="Y650" s="1075"/>
      <c r="Z650" s="1075"/>
      <c r="AA650" s="1075"/>
      <c r="AB650" s="1075"/>
      <c r="AC650" s="1075"/>
      <c r="AD650" s="1216">
        <f t="shared" si="103"/>
        <v>0</v>
      </c>
      <c r="AE650" s="1216"/>
      <c r="AF650" s="1216"/>
      <c r="AG650" s="1216"/>
      <c r="AL650" s="969">
        <f t="shared" si="102"/>
        <v>0</v>
      </c>
      <c r="AM650" s="985">
        <f t="shared" si="104"/>
        <v>0</v>
      </c>
      <c r="AO650" s="970">
        <f>AD650-BS!$D$86</f>
        <v>0</v>
      </c>
    </row>
    <row r="651" spans="4:41" ht="14.25" customHeight="1" x14ac:dyDescent="0.2">
      <c r="D651" s="1140" t="s">
        <v>467</v>
      </c>
      <c r="E651" s="1140"/>
      <c r="F651" s="1140"/>
      <c r="G651" s="1140"/>
      <c r="H651" s="1140"/>
      <c r="I651" s="1140"/>
      <c r="J651" s="1140"/>
      <c r="K651" s="1140"/>
      <c r="L651" s="1140"/>
      <c r="M651" s="1140"/>
      <c r="N651" s="1075"/>
      <c r="O651" s="1075"/>
      <c r="P651" s="1075"/>
      <c r="Q651" s="1075"/>
      <c r="R651" s="1075"/>
      <c r="S651" s="1075"/>
      <c r="T651" s="1075"/>
      <c r="U651" s="1075"/>
      <c r="V651" s="1075"/>
      <c r="W651" s="1075"/>
      <c r="X651" s="1075"/>
      <c r="Y651" s="1075"/>
      <c r="Z651" s="1075"/>
      <c r="AA651" s="1075"/>
      <c r="AB651" s="1075"/>
      <c r="AC651" s="1075"/>
      <c r="AD651" s="1216">
        <f t="shared" si="103"/>
        <v>0</v>
      </c>
      <c r="AE651" s="1216"/>
      <c r="AF651" s="1216"/>
      <c r="AG651" s="1216"/>
      <c r="AL651" s="969">
        <f t="shared" si="102"/>
        <v>0</v>
      </c>
      <c r="AM651" s="985">
        <f t="shared" si="104"/>
        <v>0</v>
      </c>
      <c r="AO651" s="969">
        <f>AD651-BS!$D$87</f>
        <v>0</v>
      </c>
    </row>
    <row r="652" spans="4:41" ht="14.25" customHeight="1" x14ac:dyDescent="0.2">
      <c r="D652" s="1140" t="s">
        <v>395</v>
      </c>
      <c r="E652" s="1140"/>
      <c r="F652" s="1140"/>
      <c r="G652" s="1140"/>
      <c r="H652" s="1140"/>
      <c r="I652" s="1140"/>
      <c r="J652" s="1140"/>
      <c r="K652" s="1140"/>
      <c r="L652" s="1140"/>
      <c r="M652" s="1140"/>
      <c r="N652" s="1075"/>
      <c r="O652" s="1075"/>
      <c r="P652" s="1075"/>
      <c r="Q652" s="1075"/>
      <c r="R652" s="1075"/>
      <c r="S652" s="1075"/>
      <c r="T652" s="1075"/>
      <c r="U652" s="1075"/>
      <c r="V652" s="1075"/>
      <c r="W652" s="1075"/>
      <c r="X652" s="1075"/>
      <c r="Y652" s="1075"/>
      <c r="Z652" s="1075"/>
      <c r="AA652" s="1075"/>
      <c r="AB652" s="1075"/>
      <c r="AC652" s="1075"/>
      <c r="AD652" s="1216">
        <f t="shared" si="103"/>
        <v>0</v>
      </c>
      <c r="AE652" s="1216"/>
      <c r="AF652" s="1216"/>
      <c r="AG652" s="1216"/>
      <c r="AL652" s="969">
        <f t="shared" si="102"/>
        <v>0</v>
      </c>
      <c r="AM652" s="985">
        <f t="shared" si="104"/>
        <v>0</v>
      </c>
      <c r="AO652" s="970">
        <f>AD652-BS!$D$89</f>
        <v>0</v>
      </c>
    </row>
    <row r="653" spans="4:41" ht="14.25" customHeight="1" x14ac:dyDescent="0.2">
      <c r="D653" s="1140" t="s">
        <v>396</v>
      </c>
      <c r="E653" s="1140"/>
      <c r="F653" s="1140"/>
      <c r="G653" s="1140"/>
      <c r="H653" s="1140"/>
      <c r="I653" s="1140"/>
      <c r="J653" s="1140"/>
      <c r="K653" s="1140"/>
      <c r="L653" s="1140"/>
      <c r="M653" s="1140"/>
      <c r="N653" s="1075">
        <v>1427</v>
      </c>
      <c r="O653" s="1075"/>
      <c r="P653" s="1075"/>
      <c r="Q653" s="1075"/>
      <c r="R653" s="1075"/>
      <c r="S653" s="1075"/>
      <c r="T653" s="1075"/>
      <c r="U653" s="1075"/>
      <c r="V653" s="1075"/>
      <c r="W653" s="1075"/>
      <c r="X653" s="1075"/>
      <c r="Y653" s="1075"/>
      <c r="Z653" s="1075"/>
      <c r="AA653" s="1075"/>
      <c r="AB653" s="1075"/>
      <c r="AC653" s="1075"/>
      <c r="AD653" s="1216">
        <f t="shared" si="103"/>
        <v>1427</v>
      </c>
      <c r="AE653" s="1216"/>
      <c r="AF653" s="1216"/>
      <c r="AG653" s="1216"/>
      <c r="AL653" s="969">
        <f t="shared" si="102"/>
        <v>0</v>
      </c>
      <c r="AM653" s="985">
        <f t="shared" si="104"/>
        <v>0</v>
      </c>
      <c r="AO653" s="970">
        <f>AD653-BS!$D$90</f>
        <v>0</v>
      </c>
    </row>
    <row r="654" spans="4:41" ht="20.25" customHeight="1" x14ac:dyDescent="0.2">
      <c r="D654" s="1140" t="s">
        <v>397</v>
      </c>
      <c r="E654" s="1140"/>
      <c r="F654" s="1140"/>
      <c r="G654" s="1140"/>
      <c r="H654" s="1140"/>
      <c r="I654" s="1140"/>
      <c r="J654" s="1140"/>
      <c r="K654" s="1140"/>
      <c r="L654" s="1140"/>
      <c r="M654" s="1140"/>
      <c r="N654" s="1075"/>
      <c r="O654" s="1075"/>
      <c r="P654" s="1075"/>
      <c r="Q654" s="1075"/>
      <c r="R654" s="1075"/>
      <c r="S654" s="1075"/>
      <c r="T654" s="1075"/>
      <c r="U654" s="1075"/>
      <c r="V654" s="1075"/>
      <c r="W654" s="1075"/>
      <c r="X654" s="1075"/>
      <c r="Y654" s="1075"/>
      <c r="Z654" s="1075"/>
      <c r="AA654" s="1075"/>
      <c r="AB654" s="1075"/>
      <c r="AC654" s="1075"/>
      <c r="AD654" s="1216">
        <f t="shared" si="103"/>
        <v>0</v>
      </c>
      <c r="AE654" s="1216"/>
      <c r="AF654" s="1216"/>
      <c r="AG654" s="1216"/>
      <c r="AL654" s="969">
        <f t="shared" si="102"/>
        <v>0</v>
      </c>
      <c r="AM654" s="985">
        <f t="shared" si="104"/>
        <v>0</v>
      </c>
      <c r="AO654" s="970">
        <f>AD654-BS!$D$91</f>
        <v>0</v>
      </c>
    </row>
    <row r="655" spans="4:41" ht="14.25" customHeight="1" x14ac:dyDescent="0.2">
      <c r="D655" s="1140" t="s">
        <v>398</v>
      </c>
      <c r="E655" s="1140"/>
      <c r="F655" s="1140"/>
      <c r="G655" s="1140"/>
      <c r="H655" s="1140"/>
      <c r="I655" s="1140"/>
      <c r="J655" s="1140"/>
      <c r="K655" s="1140"/>
      <c r="L655" s="1140"/>
      <c r="M655" s="1140"/>
      <c r="N655" s="1075"/>
      <c r="O655" s="1075"/>
      <c r="P655" s="1075"/>
      <c r="Q655" s="1075"/>
      <c r="R655" s="1075"/>
      <c r="S655" s="1075"/>
      <c r="T655" s="1075"/>
      <c r="U655" s="1075"/>
      <c r="V655" s="1075"/>
      <c r="W655" s="1075"/>
      <c r="X655" s="1075"/>
      <c r="Y655" s="1075"/>
      <c r="Z655" s="1075"/>
      <c r="AA655" s="1075"/>
      <c r="AB655" s="1075"/>
      <c r="AC655" s="1075"/>
      <c r="AD655" s="1216">
        <f t="shared" si="103"/>
        <v>0</v>
      </c>
      <c r="AE655" s="1216"/>
      <c r="AF655" s="1216"/>
      <c r="AG655" s="1216"/>
      <c r="AL655" s="969">
        <f t="shared" si="102"/>
        <v>0</v>
      </c>
      <c r="AM655" s="985">
        <f t="shared" si="104"/>
        <v>0</v>
      </c>
      <c r="AO655" s="970">
        <f>AD655-BS!$D$92-BS!$D$93</f>
        <v>0</v>
      </c>
    </row>
    <row r="656" spans="4:41" ht="21.75" customHeight="1" x14ac:dyDescent="0.2">
      <c r="D656" s="1140" t="s">
        <v>468</v>
      </c>
      <c r="E656" s="1140"/>
      <c r="F656" s="1140"/>
      <c r="G656" s="1140"/>
      <c r="H656" s="1140"/>
      <c r="I656" s="1140"/>
      <c r="J656" s="1140"/>
      <c r="K656" s="1140"/>
      <c r="L656" s="1140"/>
      <c r="M656" s="1140"/>
      <c r="N656" s="1075"/>
      <c r="O656" s="1075"/>
      <c r="P656" s="1075"/>
      <c r="Q656" s="1075"/>
      <c r="R656" s="1075"/>
      <c r="S656" s="1075"/>
      <c r="T656" s="1075"/>
      <c r="U656" s="1075"/>
      <c r="V656" s="1075"/>
      <c r="W656" s="1075"/>
      <c r="X656" s="1075"/>
      <c r="Y656" s="1075"/>
      <c r="Z656" s="1075"/>
      <c r="AA656" s="1075"/>
      <c r="AB656" s="1075"/>
      <c r="AC656" s="1075"/>
      <c r="AD656" s="1216">
        <f t="shared" si="103"/>
        <v>0</v>
      </c>
      <c r="AE656" s="1216"/>
      <c r="AF656" s="1216"/>
      <c r="AG656" s="1216"/>
      <c r="AL656" s="969">
        <f t="shared" si="102"/>
        <v>0</v>
      </c>
      <c r="AM656" s="985">
        <f t="shared" si="104"/>
        <v>0</v>
      </c>
      <c r="AO656" s="970">
        <f>AD656-BS!$D$94</f>
        <v>0</v>
      </c>
    </row>
    <row r="657" spans="4:41" ht="14.25" customHeight="1" x14ac:dyDescent="0.2">
      <c r="D657" s="1140" t="s">
        <v>399</v>
      </c>
      <c r="E657" s="1140"/>
      <c r="F657" s="1140"/>
      <c r="G657" s="1140"/>
      <c r="H657" s="1140"/>
      <c r="I657" s="1140"/>
      <c r="J657" s="1140"/>
      <c r="K657" s="1140"/>
      <c r="L657" s="1140"/>
      <c r="M657" s="1140"/>
      <c r="N657" s="1075">
        <v>13278</v>
      </c>
      <c r="O657" s="1075"/>
      <c r="P657" s="1075"/>
      <c r="Q657" s="1075"/>
      <c r="R657" s="1075"/>
      <c r="S657" s="1075"/>
      <c r="T657" s="1075"/>
      <c r="U657" s="1075"/>
      <c r="V657" s="1075"/>
      <c r="W657" s="1075"/>
      <c r="X657" s="1075"/>
      <c r="Y657" s="1075"/>
      <c r="Z657" s="1075"/>
      <c r="AA657" s="1075"/>
      <c r="AB657" s="1075"/>
      <c r="AC657" s="1075"/>
      <c r="AD657" s="1216">
        <f t="shared" si="103"/>
        <v>13278</v>
      </c>
      <c r="AE657" s="1216"/>
      <c r="AF657" s="1216"/>
      <c r="AG657" s="1216"/>
      <c r="AL657" s="969">
        <f t="shared" si="102"/>
        <v>0</v>
      </c>
      <c r="AM657" s="985">
        <f t="shared" si="104"/>
        <v>0</v>
      </c>
      <c r="AO657" s="970">
        <f>AD657-BS!$D$96</f>
        <v>0</v>
      </c>
    </row>
    <row r="658" spans="4:41" ht="14.25" customHeight="1" x14ac:dyDescent="0.2">
      <c r="D658" s="1140" t="s">
        <v>400</v>
      </c>
      <c r="E658" s="1140"/>
      <c r="F658" s="1140"/>
      <c r="G658" s="1140"/>
      <c r="H658" s="1140"/>
      <c r="I658" s="1140"/>
      <c r="J658" s="1140"/>
      <c r="K658" s="1140"/>
      <c r="L658" s="1140"/>
      <c r="M658" s="1140"/>
      <c r="N658" s="1075"/>
      <c r="O658" s="1075"/>
      <c r="P658" s="1075"/>
      <c r="Q658" s="1075"/>
      <c r="R658" s="1075"/>
      <c r="S658" s="1075"/>
      <c r="T658" s="1075"/>
      <c r="U658" s="1075"/>
      <c r="V658" s="1075"/>
      <c r="W658" s="1075"/>
      <c r="X658" s="1075"/>
      <c r="Y658" s="1075"/>
      <c r="Z658" s="1075"/>
      <c r="AA658" s="1075"/>
      <c r="AB658" s="1075"/>
      <c r="AC658" s="1075"/>
      <c r="AD658" s="1216">
        <f t="shared" si="103"/>
        <v>0</v>
      </c>
      <c r="AE658" s="1216"/>
      <c r="AF658" s="1216"/>
      <c r="AG658" s="1216"/>
      <c r="AL658" s="969">
        <f t="shared" si="102"/>
        <v>0</v>
      </c>
      <c r="AM658" s="985">
        <f t="shared" si="104"/>
        <v>0</v>
      </c>
      <c r="AO658" s="970">
        <f>AD658-BS!$D$97</f>
        <v>0</v>
      </c>
    </row>
    <row r="659" spans="4:41" ht="14.25" customHeight="1" x14ac:dyDescent="0.2">
      <c r="D659" s="1140" t="s">
        <v>401</v>
      </c>
      <c r="E659" s="1140"/>
      <c r="F659" s="1140"/>
      <c r="G659" s="1140"/>
      <c r="H659" s="1140"/>
      <c r="I659" s="1140"/>
      <c r="J659" s="1140"/>
      <c r="K659" s="1140"/>
      <c r="L659" s="1140"/>
      <c r="M659" s="1140"/>
      <c r="N659" s="1075"/>
      <c r="O659" s="1075"/>
      <c r="P659" s="1075"/>
      <c r="Q659" s="1075"/>
      <c r="R659" s="1075"/>
      <c r="S659" s="1075"/>
      <c r="T659" s="1075"/>
      <c r="U659" s="1075"/>
      <c r="V659" s="1075"/>
      <c r="W659" s="1075"/>
      <c r="X659" s="1075"/>
      <c r="Y659" s="1075"/>
      <c r="Z659" s="1075"/>
      <c r="AA659" s="1075"/>
      <c r="AB659" s="1075"/>
      <c r="AC659" s="1075"/>
      <c r="AD659" s="1216">
        <f t="shared" si="103"/>
        <v>0</v>
      </c>
      <c r="AE659" s="1216"/>
      <c r="AF659" s="1216"/>
      <c r="AG659" s="1216"/>
      <c r="AL659" s="969">
        <f t="shared" si="102"/>
        <v>0</v>
      </c>
      <c r="AM659" s="985">
        <f t="shared" si="104"/>
        <v>0</v>
      </c>
      <c r="AO659" s="970">
        <f>AD659-BS!$D$98</f>
        <v>0</v>
      </c>
    </row>
    <row r="660" spans="4:41" ht="14.25" customHeight="1" x14ac:dyDescent="0.2">
      <c r="D660" s="1140" t="s">
        <v>402</v>
      </c>
      <c r="E660" s="1140"/>
      <c r="F660" s="1140"/>
      <c r="G660" s="1140"/>
      <c r="H660" s="1140"/>
      <c r="I660" s="1140"/>
      <c r="J660" s="1140"/>
      <c r="K660" s="1140"/>
      <c r="L660" s="1140"/>
      <c r="M660" s="1140"/>
      <c r="N660" s="1075">
        <v>45858</v>
      </c>
      <c r="O660" s="1075"/>
      <c r="P660" s="1075"/>
      <c r="Q660" s="1075"/>
      <c r="R660" s="1075"/>
      <c r="S660" s="1075"/>
      <c r="T660" s="1075"/>
      <c r="U660" s="1075"/>
      <c r="V660" s="1075"/>
      <c r="W660" s="1075"/>
      <c r="X660" s="1075"/>
      <c r="Y660" s="1075"/>
      <c r="Z660" s="1075">
        <v>-45857</v>
      </c>
      <c r="AA660" s="1075"/>
      <c r="AB660" s="1075"/>
      <c r="AC660" s="1075"/>
      <c r="AD660" s="1216">
        <v>0</v>
      </c>
      <c r="AE660" s="1216"/>
      <c r="AF660" s="1216"/>
      <c r="AG660" s="1216"/>
      <c r="AL660" s="969">
        <f t="shared" si="102"/>
        <v>1</v>
      </c>
      <c r="AM660" s="985">
        <f t="shared" si="104"/>
        <v>1</v>
      </c>
      <c r="AO660" s="970">
        <f>AD660-BS!$D$100</f>
        <v>0</v>
      </c>
    </row>
    <row r="661" spans="4:41" ht="14.25" customHeight="1" x14ac:dyDescent="0.2">
      <c r="D661" s="1140" t="s">
        <v>469</v>
      </c>
      <c r="E661" s="1140"/>
      <c r="F661" s="1140"/>
      <c r="G661" s="1140"/>
      <c r="H661" s="1140"/>
      <c r="I661" s="1140"/>
      <c r="J661" s="1140"/>
      <c r="K661" s="1140"/>
      <c r="L661" s="1140"/>
      <c r="M661" s="1140"/>
      <c r="N661" s="1075"/>
      <c r="O661" s="1075"/>
      <c r="P661" s="1075"/>
      <c r="Q661" s="1075"/>
      <c r="R661" s="1075"/>
      <c r="S661" s="1075"/>
      <c r="T661" s="1075"/>
      <c r="U661" s="1075"/>
      <c r="V661" s="1075"/>
      <c r="W661" s="1075"/>
      <c r="X661" s="1075"/>
      <c r="Y661" s="1075"/>
      <c r="Z661" s="1075"/>
      <c r="AA661" s="1075"/>
      <c r="AB661" s="1075"/>
      <c r="AC661" s="1075"/>
      <c r="AD661" s="1216">
        <f t="shared" si="103"/>
        <v>0</v>
      </c>
      <c r="AE661" s="1216"/>
      <c r="AF661" s="1216"/>
      <c r="AG661" s="1216"/>
      <c r="AL661" s="969">
        <f t="shared" si="102"/>
        <v>0</v>
      </c>
      <c r="AM661" s="985">
        <f t="shared" si="104"/>
        <v>0</v>
      </c>
      <c r="AO661" s="970">
        <f>AD661-BS!$D$101</f>
        <v>0</v>
      </c>
    </row>
    <row r="662" spans="4:41" ht="21" customHeight="1" x14ac:dyDescent="0.2">
      <c r="D662" s="1140" t="s">
        <v>470</v>
      </c>
      <c r="E662" s="1140"/>
      <c r="F662" s="1140"/>
      <c r="G662" s="1140"/>
      <c r="H662" s="1140"/>
      <c r="I662" s="1140"/>
      <c r="J662" s="1140"/>
      <c r="K662" s="1140"/>
      <c r="L662" s="1140"/>
      <c r="M662" s="1140"/>
      <c r="N662" s="1163">
        <v>2924</v>
      </c>
      <c r="O662" s="1163"/>
      <c r="P662" s="1163"/>
      <c r="Q662" s="1163"/>
      <c r="R662" s="1163">
        <v>184304</v>
      </c>
      <c r="S662" s="1163"/>
      <c r="T662" s="1163"/>
      <c r="U662" s="1163"/>
      <c r="V662" s="1163"/>
      <c r="W662" s="1163"/>
      <c r="X662" s="1163"/>
      <c r="Y662" s="1163"/>
      <c r="Z662" s="1163">
        <v>-2294</v>
      </c>
      <c r="AA662" s="1163"/>
      <c r="AB662" s="1163"/>
      <c r="AC662" s="1163"/>
      <c r="AD662" s="1216">
        <f t="shared" si="103"/>
        <v>184934</v>
      </c>
      <c r="AE662" s="1216"/>
      <c r="AF662" s="1216"/>
      <c r="AG662" s="1216"/>
      <c r="AL662" s="969">
        <f t="shared" si="102"/>
        <v>0</v>
      </c>
      <c r="AM662" s="985">
        <f t="shared" si="104"/>
        <v>0</v>
      </c>
      <c r="AO662" s="970">
        <f>AD662-BS!$D$102</f>
        <v>630</v>
      </c>
    </row>
    <row r="663" spans="4:41" ht="14.25" customHeight="1" x14ac:dyDescent="0.2">
      <c r="D663" s="1140" t="s">
        <v>403</v>
      </c>
      <c r="E663" s="1140"/>
      <c r="F663" s="1140"/>
      <c r="G663" s="1140"/>
      <c r="H663" s="1140"/>
      <c r="I663" s="1140"/>
      <c r="J663" s="1140"/>
      <c r="K663" s="1140"/>
      <c r="L663" s="1140"/>
      <c r="M663" s="1140"/>
      <c r="N663" s="1075"/>
      <c r="O663" s="1075"/>
      <c r="P663" s="1075"/>
      <c r="Q663" s="1075"/>
      <c r="R663" s="1075"/>
      <c r="S663" s="1075"/>
      <c r="T663" s="1075"/>
      <c r="U663" s="1075"/>
      <c r="V663" s="1075">
        <v>-48151</v>
      </c>
      <c r="W663" s="1075"/>
      <c r="X663" s="1075"/>
      <c r="Y663" s="1075"/>
      <c r="Z663" s="1075">
        <v>48151</v>
      </c>
      <c r="AA663" s="1075"/>
      <c r="AB663" s="1075"/>
      <c r="AC663" s="1075"/>
      <c r="AD663" s="1216">
        <f t="shared" si="103"/>
        <v>0</v>
      </c>
      <c r="AE663" s="1216"/>
      <c r="AF663" s="1216"/>
      <c r="AG663" s="1216"/>
      <c r="AL663" s="969">
        <f t="shared" si="102"/>
        <v>0</v>
      </c>
      <c r="AM663" s="985">
        <f>SUM(N663:AC663)-AD663</f>
        <v>0</v>
      </c>
      <c r="AO663" s="1000"/>
    </row>
    <row r="664" spans="4:41" ht="14.25" customHeight="1" x14ac:dyDescent="0.2">
      <c r="D664" s="1140" t="s">
        <v>404</v>
      </c>
      <c r="E664" s="1140"/>
      <c r="F664" s="1140"/>
      <c r="G664" s="1140"/>
      <c r="H664" s="1140"/>
      <c r="I664" s="1140"/>
      <c r="J664" s="1140"/>
      <c r="K664" s="1140"/>
      <c r="L664" s="1140"/>
      <c r="M664" s="1140"/>
      <c r="N664" s="1075"/>
      <c r="O664" s="1075"/>
      <c r="P664" s="1075"/>
      <c r="Q664" s="1075"/>
      <c r="R664" s="1075"/>
      <c r="S664" s="1075"/>
      <c r="T664" s="1075"/>
      <c r="U664" s="1075"/>
      <c r="V664" s="1075"/>
      <c r="W664" s="1075"/>
      <c r="X664" s="1075"/>
      <c r="Y664" s="1075"/>
      <c r="Z664" s="1075"/>
      <c r="AA664" s="1075"/>
      <c r="AB664" s="1075"/>
      <c r="AC664" s="1075"/>
      <c r="AD664" s="1216">
        <f t="shared" si="103"/>
        <v>0</v>
      </c>
      <c r="AE664" s="1216"/>
      <c r="AF664" s="1216"/>
      <c r="AG664" s="1216"/>
      <c r="AL664" s="969">
        <f t="shared" si="102"/>
        <v>0</v>
      </c>
      <c r="AM664" s="985">
        <f t="shared" si="104"/>
        <v>0</v>
      </c>
      <c r="AO664" s="1000"/>
    </row>
    <row r="665" spans="4:41" ht="21" customHeight="1" thickBot="1" x14ac:dyDescent="0.25">
      <c r="D665" s="1315" t="s">
        <v>471</v>
      </c>
      <c r="E665" s="1315"/>
      <c r="F665" s="1315"/>
      <c r="G665" s="1315"/>
      <c r="H665" s="1315"/>
      <c r="I665" s="1315"/>
      <c r="J665" s="1315"/>
      <c r="K665" s="1315"/>
      <c r="L665" s="1315"/>
      <c r="M665" s="1315"/>
      <c r="N665" s="1317"/>
      <c r="O665" s="1317"/>
      <c r="P665" s="1317"/>
      <c r="Q665" s="1317"/>
      <c r="R665" s="1317"/>
      <c r="S665" s="1317"/>
      <c r="T665" s="1317"/>
      <c r="U665" s="1317"/>
      <c r="V665" s="1317"/>
      <c r="W665" s="1317"/>
      <c r="X665" s="1317"/>
      <c r="Y665" s="1317"/>
      <c r="Z665" s="1317"/>
      <c r="AA665" s="1317"/>
      <c r="AB665" s="1317"/>
      <c r="AC665" s="1317"/>
      <c r="AD665" s="1070">
        <f t="shared" si="103"/>
        <v>0</v>
      </c>
      <c r="AE665" s="1070"/>
      <c r="AF665" s="1070"/>
      <c r="AG665" s="1070"/>
      <c r="AL665" s="972">
        <f t="shared" si="102"/>
        <v>0</v>
      </c>
      <c r="AM665" s="987">
        <f t="shared" si="104"/>
        <v>0</v>
      </c>
      <c r="AO665" s="1001"/>
    </row>
    <row r="666" spans="4:41" ht="14.25" customHeight="1" thickBot="1" x14ac:dyDescent="0.25"/>
    <row r="667" spans="4:41" ht="14.25" hidden="1" customHeight="1" x14ac:dyDescent="0.2"/>
    <row r="668" spans="4:41" ht="14.25" hidden="1" customHeight="1" x14ac:dyDescent="0.2"/>
    <row r="669" spans="4:41" ht="14.25" hidden="1" customHeight="1" thickBot="1" x14ac:dyDescent="0.25"/>
    <row r="670" spans="4:41" ht="14.25" customHeight="1" thickBot="1" x14ac:dyDescent="0.25">
      <c r="D670" s="1058" t="s">
        <v>465</v>
      </c>
      <c r="E670" s="1058"/>
      <c r="F670" s="1058"/>
      <c r="G670" s="1058"/>
      <c r="H670" s="1058"/>
      <c r="I670" s="1058"/>
      <c r="J670" s="1058"/>
      <c r="K670" s="1058"/>
      <c r="L670" s="1058"/>
      <c r="M670" s="1058"/>
      <c r="N670" s="1058" t="s">
        <v>3</v>
      </c>
      <c r="O670" s="1058"/>
      <c r="P670" s="1058"/>
      <c r="Q670" s="1058"/>
      <c r="R670" s="1058"/>
      <c r="S670" s="1058"/>
      <c r="T670" s="1058"/>
      <c r="U670" s="1058"/>
      <c r="V670" s="1058"/>
      <c r="W670" s="1058"/>
      <c r="X670" s="1058"/>
      <c r="Y670" s="1058"/>
      <c r="Z670" s="1058"/>
      <c r="AA670" s="1058"/>
      <c r="AB670" s="1058"/>
      <c r="AC670" s="1058"/>
      <c r="AD670" s="1058"/>
      <c r="AE670" s="1058"/>
      <c r="AF670" s="1058"/>
      <c r="AG670" s="1058"/>
    </row>
    <row r="671" spans="4:41" ht="43.5" customHeight="1" thickTop="1" thickBot="1" x14ac:dyDescent="0.25">
      <c r="D671" s="1058"/>
      <c r="E671" s="1058"/>
      <c r="F671" s="1058"/>
      <c r="G671" s="1058"/>
      <c r="H671" s="1058"/>
      <c r="I671" s="1058"/>
      <c r="J671" s="1058"/>
      <c r="K671" s="1058"/>
      <c r="L671" s="1058"/>
      <c r="M671" s="1058"/>
      <c r="N671" s="1059" t="s">
        <v>472</v>
      </c>
      <c r="O671" s="1059"/>
      <c r="P671" s="1059"/>
      <c r="Q671" s="1059"/>
      <c r="R671" s="1059" t="s">
        <v>27</v>
      </c>
      <c r="S671" s="1059"/>
      <c r="T671" s="1059"/>
      <c r="U671" s="1059"/>
      <c r="V671" s="1059" t="s">
        <v>28</v>
      </c>
      <c r="W671" s="1059"/>
      <c r="X671" s="1059"/>
      <c r="Y671" s="1059"/>
      <c r="Z671" s="1059" t="s">
        <v>29</v>
      </c>
      <c r="AA671" s="1059"/>
      <c r="AB671" s="1059"/>
      <c r="AC671" s="1059"/>
      <c r="AD671" s="1059" t="s">
        <v>392</v>
      </c>
      <c r="AE671" s="1059"/>
      <c r="AF671" s="1059"/>
      <c r="AG671" s="1059"/>
      <c r="AM671" s="925" t="s">
        <v>392</v>
      </c>
      <c r="AO671" s="925" t="s">
        <v>392</v>
      </c>
    </row>
    <row r="672" spans="4:41" ht="14.25" customHeight="1" x14ac:dyDescent="0.2">
      <c r="D672" s="1164" t="s">
        <v>393</v>
      </c>
      <c r="E672" s="1164"/>
      <c r="F672" s="1164"/>
      <c r="G672" s="1164"/>
      <c r="H672" s="1164"/>
      <c r="I672" s="1164"/>
      <c r="J672" s="1164"/>
      <c r="K672" s="1164"/>
      <c r="L672" s="1164"/>
      <c r="M672" s="1164"/>
      <c r="N672" s="1165">
        <v>132776</v>
      </c>
      <c r="O672" s="1165"/>
      <c r="P672" s="1165"/>
      <c r="Q672" s="1165"/>
      <c r="R672" s="1165"/>
      <c r="S672" s="1165"/>
      <c r="T672" s="1165"/>
      <c r="U672" s="1165"/>
      <c r="V672" s="1165"/>
      <c r="W672" s="1165"/>
      <c r="X672" s="1165"/>
      <c r="Y672" s="1165"/>
      <c r="Z672" s="1165"/>
      <c r="AA672" s="1165"/>
      <c r="AB672" s="1165"/>
      <c r="AC672" s="1165"/>
      <c r="AD672" s="1316">
        <f>SUM(N672:AC672)</f>
        <v>132776</v>
      </c>
      <c r="AE672" s="1316"/>
      <c r="AF672" s="1316"/>
      <c r="AG672" s="1316"/>
      <c r="AM672" s="966">
        <f>SUM(N672:AC672)-AD672</f>
        <v>0</v>
      </c>
      <c r="AO672" s="967">
        <f>AD672-BS!$E$84</f>
        <v>0</v>
      </c>
    </row>
    <row r="673" spans="4:41" ht="14.25" customHeight="1" x14ac:dyDescent="0.2">
      <c r="D673" s="1140" t="s">
        <v>394</v>
      </c>
      <c r="E673" s="1140"/>
      <c r="F673" s="1140"/>
      <c r="G673" s="1140"/>
      <c r="H673" s="1140"/>
      <c r="I673" s="1140"/>
      <c r="J673" s="1140"/>
      <c r="K673" s="1140"/>
      <c r="L673" s="1140"/>
      <c r="M673" s="1140"/>
      <c r="N673" s="1075"/>
      <c r="O673" s="1075"/>
      <c r="P673" s="1075"/>
      <c r="Q673" s="1075"/>
      <c r="R673" s="1075"/>
      <c r="S673" s="1075"/>
      <c r="T673" s="1075"/>
      <c r="U673" s="1075"/>
      <c r="V673" s="1075"/>
      <c r="W673" s="1075"/>
      <c r="X673" s="1075"/>
      <c r="Y673" s="1075"/>
      <c r="Z673" s="1075"/>
      <c r="AA673" s="1075"/>
      <c r="AB673" s="1075"/>
      <c r="AC673" s="1075"/>
      <c r="AD673" s="1216">
        <f>SUM(N673:AC673)</f>
        <v>0</v>
      </c>
      <c r="AE673" s="1216"/>
      <c r="AF673" s="1216"/>
      <c r="AG673" s="1216"/>
      <c r="AM673" s="969">
        <f t="shared" ref="AM673:AM686" si="105">SUM(N673:AC673)-AD673</f>
        <v>0</v>
      </c>
      <c r="AO673" s="970">
        <f>AD673-BS!$E$85</f>
        <v>0</v>
      </c>
    </row>
    <row r="674" spans="4:41" ht="14.25" customHeight="1" x14ac:dyDescent="0.2">
      <c r="D674" s="1140" t="s">
        <v>466</v>
      </c>
      <c r="E674" s="1140"/>
      <c r="F674" s="1140"/>
      <c r="G674" s="1140"/>
      <c r="H674" s="1140"/>
      <c r="I674" s="1140"/>
      <c r="J674" s="1140"/>
      <c r="K674" s="1140"/>
      <c r="L674" s="1140"/>
      <c r="M674" s="1140"/>
      <c r="N674" s="1075"/>
      <c r="O674" s="1075"/>
      <c r="P674" s="1075"/>
      <c r="Q674" s="1075"/>
      <c r="R674" s="1075"/>
      <c r="S674" s="1075"/>
      <c r="T674" s="1075"/>
      <c r="U674" s="1075"/>
      <c r="V674" s="1075"/>
      <c r="W674" s="1075"/>
      <c r="X674" s="1075"/>
      <c r="Y674" s="1075"/>
      <c r="Z674" s="1075"/>
      <c r="AA674" s="1075"/>
      <c r="AB674" s="1075"/>
      <c r="AC674" s="1075"/>
      <c r="AD674" s="1216">
        <f t="shared" ref="AD674:AD689" si="106">SUM(N674:AC674)</f>
        <v>0</v>
      </c>
      <c r="AE674" s="1216"/>
      <c r="AF674" s="1216"/>
      <c r="AG674" s="1216"/>
      <c r="AM674" s="969">
        <f t="shared" si="105"/>
        <v>0</v>
      </c>
      <c r="AO674" s="970">
        <f>AD674-BS!$E$86</f>
        <v>0</v>
      </c>
    </row>
    <row r="675" spans="4:41" ht="14.25" customHeight="1" x14ac:dyDescent="0.2">
      <c r="D675" s="1140" t="s">
        <v>467</v>
      </c>
      <c r="E675" s="1140"/>
      <c r="F675" s="1140"/>
      <c r="G675" s="1140"/>
      <c r="H675" s="1140"/>
      <c r="I675" s="1140"/>
      <c r="J675" s="1140"/>
      <c r="K675" s="1140"/>
      <c r="L675" s="1140"/>
      <c r="M675" s="1140"/>
      <c r="N675" s="1075"/>
      <c r="O675" s="1075"/>
      <c r="P675" s="1075"/>
      <c r="Q675" s="1075"/>
      <c r="R675" s="1075"/>
      <c r="S675" s="1075"/>
      <c r="T675" s="1075"/>
      <c r="U675" s="1075"/>
      <c r="V675" s="1075"/>
      <c r="W675" s="1075"/>
      <c r="X675" s="1075"/>
      <c r="Y675" s="1075"/>
      <c r="Z675" s="1075"/>
      <c r="AA675" s="1075"/>
      <c r="AB675" s="1075"/>
      <c r="AC675" s="1075"/>
      <c r="AD675" s="1216">
        <f t="shared" si="106"/>
        <v>0</v>
      </c>
      <c r="AE675" s="1216"/>
      <c r="AF675" s="1216"/>
      <c r="AG675" s="1216"/>
      <c r="AM675" s="969">
        <f t="shared" si="105"/>
        <v>0</v>
      </c>
      <c r="AO675" s="970">
        <f>AD675-BS!$E$87</f>
        <v>0</v>
      </c>
    </row>
    <row r="676" spans="4:41" ht="14.25" customHeight="1" x14ac:dyDescent="0.2">
      <c r="D676" s="1140" t="s">
        <v>395</v>
      </c>
      <c r="E676" s="1140"/>
      <c r="F676" s="1140"/>
      <c r="G676" s="1140"/>
      <c r="H676" s="1140"/>
      <c r="I676" s="1140"/>
      <c r="J676" s="1140"/>
      <c r="K676" s="1140"/>
      <c r="L676" s="1140"/>
      <c r="M676" s="1140"/>
      <c r="N676" s="1075"/>
      <c r="O676" s="1075"/>
      <c r="P676" s="1075"/>
      <c r="Q676" s="1075"/>
      <c r="R676" s="1075"/>
      <c r="S676" s="1075"/>
      <c r="T676" s="1075"/>
      <c r="U676" s="1075"/>
      <c r="V676" s="1075"/>
      <c r="W676" s="1075"/>
      <c r="X676" s="1075"/>
      <c r="Y676" s="1075"/>
      <c r="Z676" s="1075"/>
      <c r="AA676" s="1075"/>
      <c r="AB676" s="1075"/>
      <c r="AC676" s="1075"/>
      <c r="AD676" s="1216">
        <f t="shared" si="106"/>
        <v>0</v>
      </c>
      <c r="AE676" s="1216"/>
      <c r="AF676" s="1216"/>
      <c r="AG676" s="1216"/>
      <c r="AM676" s="969">
        <f t="shared" si="105"/>
        <v>0</v>
      </c>
      <c r="AO676" s="970">
        <f>AD676-BS!$E$89</f>
        <v>0</v>
      </c>
    </row>
    <row r="677" spans="4:41" ht="14.25" customHeight="1" x14ac:dyDescent="0.2">
      <c r="D677" s="1140" t="s">
        <v>396</v>
      </c>
      <c r="E677" s="1140"/>
      <c r="F677" s="1140"/>
      <c r="G677" s="1140"/>
      <c r="H677" s="1140"/>
      <c r="I677" s="1140"/>
      <c r="J677" s="1140"/>
      <c r="K677" s="1140"/>
      <c r="L677" s="1140"/>
      <c r="M677" s="1140"/>
      <c r="N677" s="1075">
        <v>1427</v>
      </c>
      <c r="O677" s="1075"/>
      <c r="P677" s="1075"/>
      <c r="Q677" s="1075"/>
      <c r="R677" s="1075"/>
      <c r="S677" s="1075"/>
      <c r="T677" s="1075"/>
      <c r="U677" s="1075"/>
      <c r="V677" s="1075"/>
      <c r="W677" s="1075"/>
      <c r="X677" s="1075"/>
      <c r="Y677" s="1075"/>
      <c r="Z677" s="1075"/>
      <c r="AA677" s="1075"/>
      <c r="AB677" s="1075"/>
      <c r="AC677" s="1075"/>
      <c r="AD677" s="1216">
        <f t="shared" si="106"/>
        <v>1427</v>
      </c>
      <c r="AE677" s="1216"/>
      <c r="AF677" s="1216"/>
      <c r="AG677" s="1216"/>
      <c r="AM677" s="969">
        <f t="shared" si="105"/>
        <v>0</v>
      </c>
      <c r="AO677" s="970">
        <f>AD677-BS!$E$90</f>
        <v>0</v>
      </c>
    </row>
    <row r="678" spans="4:41" ht="19.5" customHeight="1" x14ac:dyDescent="0.2">
      <c r="D678" s="1140" t="s">
        <v>397</v>
      </c>
      <c r="E678" s="1140"/>
      <c r="F678" s="1140"/>
      <c r="G678" s="1140"/>
      <c r="H678" s="1140"/>
      <c r="I678" s="1140"/>
      <c r="J678" s="1140"/>
      <c r="K678" s="1140"/>
      <c r="L678" s="1140"/>
      <c r="M678" s="1140"/>
      <c r="N678" s="1075"/>
      <c r="O678" s="1075"/>
      <c r="P678" s="1075"/>
      <c r="Q678" s="1075"/>
      <c r="R678" s="1075"/>
      <c r="S678" s="1075"/>
      <c r="T678" s="1075"/>
      <c r="U678" s="1075"/>
      <c r="V678" s="1075"/>
      <c r="W678" s="1075"/>
      <c r="X678" s="1075"/>
      <c r="Y678" s="1075"/>
      <c r="Z678" s="1075"/>
      <c r="AA678" s="1075"/>
      <c r="AB678" s="1075"/>
      <c r="AC678" s="1075"/>
      <c r="AD678" s="1216">
        <f t="shared" si="106"/>
        <v>0</v>
      </c>
      <c r="AE678" s="1216"/>
      <c r="AF678" s="1216"/>
      <c r="AG678" s="1216"/>
      <c r="AM678" s="969">
        <f t="shared" si="105"/>
        <v>0</v>
      </c>
      <c r="AO678" s="970">
        <f>AD678-BS!$E$91</f>
        <v>0</v>
      </c>
    </row>
    <row r="679" spans="4:41" ht="14.25" customHeight="1" x14ac:dyDescent="0.2">
      <c r="D679" s="1140" t="s">
        <v>398</v>
      </c>
      <c r="E679" s="1140"/>
      <c r="F679" s="1140"/>
      <c r="G679" s="1140"/>
      <c r="H679" s="1140"/>
      <c r="I679" s="1140"/>
      <c r="J679" s="1140"/>
      <c r="K679" s="1140"/>
      <c r="L679" s="1140"/>
      <c r="M679" s="1140"/>
      <c r="N679" s="1075"/>
      <c r="O679" s="1075"/>
      <c r="P679" s="1075"/>
      <c r="Q679" s="1075"/>
      <c r="R679" s="1075"/>
      <c r="S679" s="1075"/>
      <c r="T679" s="1075"/>
      <c r="U679" s="1075"/>
      <c r="V679" s="1075"/>
      <c r="W679" s="1075"/>
      <c r="X679" s="1075"/>
      <c r="Y679" s="1075"/>
      <c r="Z679" s="1075"/>
      <c r="AA679" s="1075"/>
      <c r="AB679" s="1075"/>
      <c r="AC679" s="1075"/>
      <c r="AD679" s="1216">
        <f t="shared" si="106"/>
        <v>0</v>
      </c>
      <c r="AE679" s="1216"/>
      <c r="AF679" s="1216"/>
      <c r="AG679" s="1216"/>
      <c r="AM679" s="969">
        <f t="shared" si="105"/>
        <v>0</v>
      </c>
      <c r="AO679" s="970">
        <f>AD679-BS!$E$92-BS!$E$93</f>
        <v>0</v>
      </c>
    </row>
    <row r="680" spans="4:41" ht="23.25" customHeight="1" x14ac:dyDescent="0.2">
      <c r="D680" s="1140" t="s">
        <v>468</v>
      </c>
      <c r="E680" s="1140"/>
      <c r="F680" s="1140"/>
      <c r="G680" s="1140"/>
      <c r="H680" s="1140"/>
      <c r="I680" s="1140"/>
      <c r="J680" s="1140"/>
      <c r="K680" s="1140"/>
      <c r="L680" s="1140"/>
      <c r="M680" s="1140"/>
      <c r="N680" s="1075"/>
      <c r="O680" s="1075"/>
      <c r="P680" s="1075"/>
      <c r="Q680" s="1075"/>
      <c r="R680" s="1075"/>
      <c r="S680" s="1075"/>
      <c r="T680" s="1075"/>
      <c r="U680" s="1075"/>
      <c r="V680" s="1075"/>
      <c r="W680" s="1075"/>
      <c r="X680" s="1075"/>
      <c r="Y680" s="1075"/>
      <c r="Z680" s="1075"/>
      <c r="AA680" s="1075"/>
      <c r="AB680" s="1075"/>
      <c r="AC680" s="1075"/>
      <c r="AD680" s="1216">
        <f t="shared" si="106"/>
        <v>0</v>
      </c>
      <c r="AE680" s="1216"/>
      <c r="AF680" s="1216"/>
      <c r="AG680" s="1216"/>
      <c r="AM680" s="969">
        <f t="shared" si="105"/>
        <v>0</v>
      </c>
      <c r="AO680" s="970">
        <f>AD680-BS!$E$94</f>
        <v>0</v>
      </c>
    </row>
    <row r="681" spans="4:41" ht="14.25" customHeight="1" x14ac:dyDescent="0.2">
      <c r="D681" s="1140" t="s">
        <v>399</v>
      </c>
      <c r="E681" s="1140"/>
      <c r="F681" s="1140"/>
      <c r="G681" s="1140"/>
      <c r="H681" s="1140"/>
      <c r="I681" s="1140"/>
      <c r="J681" s="1140"/>
      <c r="K681" s="1140"/>
      <c r="L681" s="1140"/>
      <c r="M681" s="1140"/>
      <c r="N681" s="1075">
        <v>13278</v>
      </c>
      <c r="O681" s="1075"/>
      <c r="P681" s="1075"/>
      <c r="Q681" s="1075"/>
      <c r="R681" s="1075"/>
      <c r="S681" s="1075"/>
      <c r="T681" s="1075"/>
      <c r="U681" s="1075"/>
      <c r="V681" s="1075"/>
      <c r="W681" s="1075"/>
      <c r="X681" s="1075"/>
      <c r="Y681" s="1075"/>
      <c r="Z681" s="1075"/>
      <c r="AA681" s="1075"/>
      <c r="AB681" s="1075"/>
      <c r="AC681" s="1075"/>
      <c r="AD681" s="1216">
        <f t="shared" si="106"/>
        <v>13278</v>
      </c>
      <c r="AE681" s="1216"/>
      <c r="AF681" s="1216"/>
      <c r="AG681" s="1216"/>
      <c r="AM681" s="969">
        <f t="shared" si="105"/>
        <v>0</v>
      </c>
      <c r="AO681" s="970">
        <f>AD681-BS!$E$96</f>
        <v>0</v>
      </c>
    </row>
    <row r="682" spans="4:41" ht="14.25" customHeight="1" x14ac:dyDescent="0.2">
      <c r="D682" s="1140" t="s">
        <v>400</v>
      </c>
      <c r="E682" s="1140"/>
      <c r="F682" s="1140"/>
      <c r="G682" s="1140"/>
      <c r="H682" s="1140"/>
      <c r="I682" s="1140"/>
      <c r="J682" s="1140"/>
      <c r="K682" s="1140"/>
      <c r="L682" s="1140"/>
      <c r="M682" s="1140"/>
      <c r="N682" s="1075"/>
      <c r="O682" s="1075"/>
      <c r="P682" s="1075"/>
      <c r="Q682" s="1075"/>
      <c r="R682" s="1075"/>
      <c r="S682" s="1075"/>
      <c r="T682" s="1075"/>
      <c r="U682" s="1075"/>
      <c r="V682" s="1075"/>
      <c r="W682" s="1075"/>
      <c r="X682" s="1075"/>
      <c r="Y682" s="1075"/>
      <c r="Z682" s="1075"/>
      <c r="AA682" s="1075"/>
      <c r="AB682" s="1075"/>
      <c r="AC682" s="1075"/>
      <c r="AD682" s="1216">
        <f t="shared" si="106"/>
        <v>0</v>
      </c>
      <c r="AE682" s="1216"/>
      <c r="AF682" s="1216"/>
      <c r="AG682" s="1216"/>
      <c r="AM682" s="969">
        <f t="shared" si="105"/>
        <v>0</v>
      </c>
      <c r="AO682" s="970">
        <f>AD682-BS!$E$97</f>
        <v>0</v>
      </c>
    </row>
    <row r="683" spans="4:41" ht="14.25" customHeight="1" x14ac:dyDescent="0.2">
      <c r="D683" s="1140" t="s">
        <v>401</v>
      </c>
      <c r="E683" s="1140"/>
      <c r="F683" s="1140"/>
      <c r="G683" s="1140"/>
      <c r="H683" s="1140"/>
      <c r="I683" s="1140"/>
      <c r="J683" s="1140"/>
      <c r="K683" s="1140"/>
      <c r="L683" s="1140"/>
      <c r="M683" s="1140"/>
      <c r="N683" s="1075"/>
      <c r="O683" s="1075"/>
      <c r="P683" s="1075"/>
      <c r="Q683" s="1075"/>
      <c r="R683" s="1075"/>
      <c r="S683" s="1075"/>
      <c r="T683" s="1075"/>
      <c r="U683" s="1075"/>
      <c r="V683" s="1075"/>
      <c r="W683" s="1075"/>
      <c r="X683" s="1075"/>
      <c r="Y683" s="1075"/>
      <c r="Z683" s="1075"/>
      <c r="AA683" s="1075"/>
      <c r="AB683" s="1075"/>
      <c r="AC683" s="1075"/>
      <c r="AD683" s="1216">
        <f t="shared" si="106"/>
        <v>0</v>
      </c>
      <c r="AE683" s="1216"/>
      <c r="AF683" s="1216"/>
      <c r="AG683" s="1216"/>
      <c r="AM683" s="969">
        <f t="shared" si="105"/>
        <v>0</v>
      </c>
      <c r="AO683" s="970">
        <f>AD683-BS!$E$98</f>
        <v>0</v>
      </c>
    </row>
    <row r="684" spans="4:41" ht="14.25" customHeight="1" x14ac:dyDescent="0.2">
      <c r="D684" s="1140" t="s">
        <v>402</v>
      </c>
      <c r="E684" s="1140"/>
      <c r="F684" s="1140"/>
      <c r="G684" s="1140"/>
      <c r="H684" s="1140"/>
      <c r="I684" s="1140"/>
      <c r="J684" s="1140"/>
      <c r="K684" s="1140"/>
      <c r="L684" s="1140"/>
      <c r="M684" s="1140"/>
      <c r="N684" s="1075"/>
      <c r="O684" s="1075"/>
      <c r="P684" s="1075"/>
      <c r="Q684" s="1075"/>
      <c r="R684" s="1075"/>
      <c r="S684" s="1075"/>
      <c r="T684" s="1075"/>
      <c r="U684" s="1075"/>
      <c r="V684" s="1075"/>
      <c r="W684" s="1075"/>
      <c r="X684" s="1075"/>
      <c r="Y684" s="1075"/>
      <c r="Z684" s="1075">
        <v>45857</v>
      </c>
      <c r="AA684" s="1075"/>
      <c r="AB684" s="1075"/>
      <c r="AC684" s="1075"/>
      <c r="AD684" s="1216">
        <f t="shared" si="106"/>
        <v>45857</v>
      </c>
      <c r="AE684" s="1216"/>
      <c r="AF684" s="1216"/>
      <c r="AG684" s="1216"/>
      <c r="AM684" s="969">
        <f t="shared" si="105"/>
        <v>0</v>
      </c>
      <c r="AO684" s="970">
        <f>AD684-BS!$E$100</f>
        <v>0</v>
      </c>
    </row>
    <row r="685" spans="4:41" ht="14.25" customHeight="1" x14ac:dyDescent="0.2">
      <c r="D685" s="1140" t="s">
        <v>469</v>
      </c>
      <c r="E685" s="1140"/>
      <c r="F685" s="1140"/>
      <c r="G685" s="1140"/>
      <c r="H685" s="1140"/>
      <c r="I685" s="1140"/>
      <c r="J685" s="1140"/>
      <c r="K685" s="1140"/>
      <c r="L685" s="1140"/>
      <c r="M685" s="1140"/>
      <c r="N685" s="1075"/>
      <c r="O685" s="1075"/>
      <c r="P685" s="1075"/>
      <c r="Q685" s="1075"/>
      <c r="R685" s="1075"/>
      <c r="S685" s="1075"/>
      <c r="T685" s="1075"/>
      <c r="U685" s="1075"/>
      <c r="V685" s="1075"/>
      <c r="W685" s="1075"/>
      <c r="X685" s="1075"/>
      <c r="Y685" s="1075"/>
      <c r="Z685" s="1075"/>
      <c r="AA685" s="1075"/>
      <c r="AB685" s="1075"/>
      <c r="AC685" s="1075"/>
      <c r="AD685" s="1216">
        <f t="shared" si="106"/>
        <v>0</v>
      </c>
      <c r="AE685" s="1216"/>
      <c r="AF685" s="1216"/>
      <c r="AG685" s="1216"/>
      <c r="AM685" s="969">
        <f t="shared" si="105"/>
        <v>0</v>
      </c>
      <c r="AO685" s="970">
        <f>AD685-BS!$E$101</f>
        <v>0</v>
      </c>
    </row>
    <row r="686" spans="4:41" ht="23.25" customHeight="1" x14ac:dyDescent="0.2">
      <c r="D686" s="1140" t="s">
        <v>470</v>
      </c>
      <c r="E686" s="1140"/>
      <c r="F686" s="1140"/>
      <c r="G686" s="1140"/>
      <c r="H686" s="1140"/>
      <c r="I686" s="1140"/>
      <c r="J686" s="1140"/>
      <c r="K686" s="1140"/>
      <c r="L686" s="1140"/>
      <c r="M686" s="1140"/>
      <c r="N686" s="1163">
        <v>45857</v>
      </c>
      <c r="O686" s="1163"/>
      <c r="P686" s="1163"/>
      <c r="Q686" s="1163"/>
      <c r="R686" s="1163">
        <v>2924</v>
      </c>
      <c r="S686" s="1163"/>
      <c r="T686" s="1163"/>
      <c r="U686" s="1163"/>
      <c r="V686" s="1163"/>
      <c r="W686" s="1163"/>
      <c r="X686" s="1163"/>
      <c r="Y686" s="1163"/>
      <c r="Z686" s="1163">
        <v>-45857</v>
      </c>
      <c r="AA686" s="1163"/>
      <c r="AB686" s="1163"/>
      <c r="AC686" s="1163"/>
      <c r="AD686" s="1216">
        <f t="shared" si="106"/>
        <v>2924</v>
      </c>
      <c r="AE686" s="1216"/>
      <c r="AF686" s="1216"/>
      <c r="AG686" s="1216"/>
      <c r="AM686" s="969">
        <f t="shared" si="105"/>
        <v>0</v>
      </c>
      <c r="AO686" s="970">
        <f>AD686-BS!$E$102</f>
        <v>0</v>
      </c>
    </row>
    <row r="687" spans="4:41" ht="14.25" customHeight="1" x14ac:dyDescent="0.2">
      <c r="D687" s="1140" t="s">
        <v>403</v>
      </c>
      <c r="E687" s="1140"/>
      <c r="F687" s="1140"/>
      <c r="G687" s="1140"/>
      <c r="H687" s="1140"/>
      <c r="I687" s="1140"/>
      <c r="J687" s="1140"/>
      <c r="K687" s="1140"/>
      <c r="L687" s="1140"/>
      <c r="M687" s="1140"/>
      <c r="N687" s="1075"/>
      <c r="O687" s="1075"/>
      <c r="P687" s="1075"/>
      <c r="Q687" s="1075"/>
      <c r="R687" s="1075"/>
      <c r="S687" s="1075"/>
      <c r="T687" s="1075"/>
      <c r="U687" s="1075"/>
      <c r="V687" s="1075"/>
      <c r="W687" s="1075"/>
      <c r="X687" s="1075"/>
      <c r="Y687" s="1075"/>
      <c r="Z687" s="1075"/>
      <c r="AA687" s="1075"/>
      <c r="AB687" s="1075"/>
      <c r="AC687" s="1075"/>
      <c r="AD687" s="1216">
        <f t="shared" si="106"/>
        <v>0</v>
      </c>
      <c r="AE687" s="1216"/>
      <c r="AF687" s="1216"/>
      <c r="AG687" s="1216"/>
      <c r="AM687" s="969">
        <f>SUM(N687:AC687)-AD687</f>
        <v>0</v>
      </c>
      <c r="AO687" s="1000"/>
    </row>
    <row r="688" spans="4:41" ht="14.25" customHeight="1" x14ac:dyDescent="0.2">
      <c r="D688" s="1140" t="s">
        <v>404</v>
      </c>
      <c r="E688" s="1140"/>
      <c r="F688" s="1140"/>
      <c r="G688" s="1140"/>
      <c r="H688" s="1140"/>
      <c r="I688" s="1140"/>
      <c r="J688" s="1140"/>
      <c r="K688" s="1140"/>
      <c r="L688" s="1140"/>
      <c r="M688" s="1140"/>
      <c r="N688" s="1075"/>
      <c r="O688" s="1075"/>
      <c r="P688" s="1075"/>
      <c r="Q688" s="1075"/>
      <c r="R688" s="1075"/>
      <c r="S688" s="1075"/>
      <c r="T688" s="1075"/>
      <c r="U688" s="1075"/>
      <c r="V688" s="1075"/>
      <c r="W688" s="1075"/>
      <c r="X688" s="1075"/>
      <c r="Y688" s="1075"/>
      <c r="Z688" s="1075"/>
      <c r="AA688" s="1075"/>
      <c r="AB688" s="1075"/>
      <c r="AC688" s="1075"/>
      <c r="AD688" s="1216">
        <f t="shared" si="106"/>
        <v>0</v>
      </c>
      <c r="AE688" s="1216"/>
      <c r="AF688" s="1216"/>
      <c r="AG688" s="1216"/>
      <c r="AM688" s="969">
        <f t="shared" ref="AM688:AM689" si="107">SUM(N688:AC688)-AD688</f>
        <v>0</v>
      </c>
      <c r="AO688" s="1000"/>
    </row>
    <row r="689" spans="1:41" ht="23.25" customHeight="1" thickBot="1" x14ac:dyDescent="0.25">
      <c r="D689" s="1315" t="s">
        <v>471</v>
      </c>
      <c r="E689" s="1315"/>
      <c r="F689" s="1315"/>
      <c r="G689" s="1315"/>
      <c r="H689" s="1315"/>
      <c r="I689" s="1315"/>
      <c r="J689" s="1315"/>
      <c r="K689" s="1315"/>
      <c r="L689" s="1315"/>
      <c r="M689" s="1315"/>
      <c r="N689" s="1317"/>
      <c r="O689" s="1317"/>
      <c r="P689" s="1317"/>
      <c r="Q689" s="1317"/>
      <c r="R689" s="1317"/>
      <c r="S689" s="1317"/>
      <c r="T689" s="1317"/>
      <c r="U689" s="1317"/>
      <c r="V689" s="1317"/>
      <c r="W689" s="1317"/>
      <c r="X689" s="1317"/>
      <c r="Y689" s="1317"/>
      <c r="Z689" s="1317"/>
      <c r="AA689" s="1317"/>
      <c r="AB689" s="1317"/>
      <c r="AC689" s="1317"/>
      <c r="AD689" s="1070">
        <f t="shared" si="106"/>
        <v>0</v>
      </c>
      <c r="AE689" s="1070"/>
      <c r="AF689" s="1070"/>
      <c r="AG689" s="1070"/>
      <c r="AM689" s="972">
        <f t="shared" si="107"/>
        <v>0</v>
      </c>
      <c r="AO689" s="1001"/>
    </row>
    <row r="691" spans="1:41" ht="14.25" customHeight="1" x14ac:dyDescent="0.2">
      <c r="D691" s="1168" t="s">
        <v>1988</v>
      </c>
      <c r="E691" s="1168"/>
      <c r="F691" s="1168"/>
      <c r="G691" s="1168"/>
      <c r="H691" s="1168"/>
      <c r="I691" s="1168"/>
      <c r="J691" s="1168"/>
      <c r="K691" s="1168"/>
      <c r="L691" s="1168"/>
      <c r="M691" s="1168"/>
      <c r="N691" s="1168"/>
      <c r="O691" s="1168"/>
      <c r="P691" s="1168"/>
      <c r="Q691" s="1168"/>
      <c r="R691" s="1168"/>
      <c r="S691" s="1168"/>
      <c r="T691" s="1168"/>
      <c r="U691" s="1168"/>
      <c r="V691" s="1168"/>
      <c r="W691" s="1168"/>
      <c r="X691" s="1168"/>
      <c r="Y691" s="1168"/>
      <c r="Z691" s="1168"/>
      <c r="AA691" s="1168"/>
      <c r="AB691" s="1168"/>
      <c r="AC691" s="1168"/>
      <c r="AD691" s="1168"/>
      <c r="AE691" s="1168"/>
      <c r="AF691" s="1168"/>
      <c r="AG691" s="1168"/>
    </row>
    <row r="692" spans="1:41" ht="14.25" customHeight="1" x14ac:dyDescent="0.2">
      <c r="D692" s="1168"/>
      <c r="E692" s="1168"/>
      <c r="F692" s="1168"/>
      <c r="G692" s="1168"/>
      <c r="H692" s="1168"/>
      <c r="I692" s="1168"/>
      <c r="J692" s="1168"/>
      <c r="K692" s="1168"/>
      <c r="L692" s="1168"/>
      <c r="M692" s="1168"/>
      <c r="N692" s="1168"/>
      <c r="O692" s="1168"/>
      <c r="P692" s="1168"/>
      <c r="Q692" s="1168"/>
      <c r="R692" s="1168"/>
      <c r="S692" s="1168"/>
      <c r="T692" s="1168"/>
      <c r="U692" s="1168"/>
      <c r="V692" s="1168"/>
      <c r="W692" s="1168"/>
      <c r="X692" s="1168"/>
      <c r="Y692" s="1168"/>
      <c r="Z692" s="1168"/>
      <c r="AA692" s="1168"/>
      <c r="AB692" s="1168"/>
      <c r="AC692" s="1168"/>
      <c r="AD692" s="1168"/>
      <c r="AE692" s="1168"/>
      <c r="AF692" s="1168"/>
      <c r="AG692" s="1168"/>
    </row>
    <row r="693" spans="1:41" ht="14.25" customHeight="1" x14ac:dyDescent="0.2">
      <c r="A693" s="1004"/>
      <c r="D693" s="1002"/>
      <c r="E693" s="1002"/>
      <c r="F693" s="1002"/>
      <c r="G693" s="1002"/>
      <c r="H693" s="1002"/>
      <c r="I693" s="1002"/>
      <c r="J693" s="1002"/>
      <c r="K693" s="1002"/>
      <c r="L693" s="1002"/>
      <c r="M693" s="1002"/>
      <c r="N693" s="1002"/>
      <c r="O693" s="1002"/>
      <c r="P693" s="1002"/>
      <c r="Q693" s="1002"/>
      <c r="R693" s="1002"/>
      <c r="S693" s="1002"/>
      <c r="T693" s="1002"/>
      <c r="U693" s="1002"/>
      <c r="V693" s="1002"/>
      <c r="W693" s="1002"/>
      <c r="X693" s="1002"/>
      <c r="Y693" s="1002"/>
      <c r="Z693" s="1002"/>
      <c r="AA693" s="1002"/>
      <c r="AB693" s="1002"/>
      <c r="AC693" s="1002"/>
      <c r="AD693" s="1002"/>
      <c r="AE693" s="1002"/>
      <c r="AF693" s="1002"/>
      <c r="AG693" s="1002"/>
    </row>
    <row r="694" spans="1:41" ht="14.25" customHeight="1" x14ac:dyDescent="0.2">
      <c r="D694" s="1174" t="s">
        <v>2005</v>
      </c>
      <c r="E694" s="1174"/>
      <c r="F694" s="1174"/>
      <c r="G694" s="1174"/>
      <c r="H694" s="1174"/>
      <c r="I694" s="1174"/>
      <c r="J694" s="1174"/>
      <c r="K694" s="1174"/>
      <c r="L694" s="1174"/>
      <c r="M694" s="1174"/>
      <c r="N694" s="1174"/>
      <c r="O694" s="1174"/>
      <c r="P694" s="1174"/>
      <c r="Q694" s="1174"/>
      <c r="R694" s="1174"/>
      <c r="S694" s="1174"/>
      <c r="T694" s="1174"/>
      <c r="U694" s="1174"/>
      <c r="V694" s="1174"/>
      <c r="W694" s="1174"/>
      <c r="X694" s="1174"/>
      <c r="Y694" s="1174"/>
      <c r="Z694" s="1174"/>
      <c r="AA694" s="1174"/>
      <c r="AB694" s="1174"/>
      <c r="AC694" s="1174"/>
      <c r="AD694" s="1174"/>
      <c r="AE694" s="1174"/>
      <c r="AF694" s="1174"/>
      <c r="AG694" s="1174"/>
    </row>
    <row r="695" spans="1:41" ht="14.25" customHeight="1" x14ac:dyDescent="0.2">
      <c r="A695" s="1004"/>
      <c r="D695" s="1003"/>
      <c r="E695" s="1003"/>
      <c r="F695" s="1003"/>
      <c r="G695" s="1003"/>
      <c r="H695" s="1003"/>
      <c r="I695" s="1003"/>
      <c r="J695" s="1003"/>
      <c r="K695" s="1003"/>
      <c r="L695" s="1003"/>
      <c r="M695" s="1003"/>
      <c r="N695" s="1003"/>
      <c r="O695" s="1003"/>
      <c r="P695" s="1003"/>
      <c r="Q695" s="1003"/>
      <c r="R695" s="1003"/>
      <c r="S695" s="1003"/>
      <c r="T695" s="1003"/>
      <c r="U695" s="1003"/>
      <c r="V695" s="1003"/>
      <c r="W695" s="1003"/>
      <c r="X695" s="1003"/>
      <c r="Y695" s="1003"/>
      <c r="Z695" s="1003"/>
      <c r="AA695" s="1003"/>
      <c r="AB695" s="1003"/>
      <c r="AC695" s="1003"/>
      <c r="AD695" s="1003"/>
      <c r="AE695" s="1003"/>
      <c r="AF695" s="1003"/>
      <c r="AG695" s="1003"/>
    </row>
    <row r="696" spans="1:41" ht="14.25" customHeight="1" x14ac:dyDescent="0.2">
      <c r="A696" s="1004"/>
      <c r="D696" s="1174" t="s">
        <v>2006</v>
      </c>
      <c r="E696" s="1174"/>
      <c r="F696" s="1174"/>
      <c r="G696" s="1174"/>
      <c r="H696" s="1174"/>
      <c r="I696" s="1174"/>
      <c r="J696" s="1174"/>
      <c r="K696" s="1174"/>
      <c r="L696" s="1174"/>
      <c r="M696" s="1174"/>
      <c r="N696" s="1174"/>
      <c r="O696" s="1174"/>
      <c r="P696" s="1174"/>
      <c r="Q696" s="1174"/>
      <c r="R696" s="1174"/>
      <c r="S696" s="1174"/>
      <c r="T696" s="1174"/>
      <c r="U696" s="1174"/>
      <c r="V696" s="1174"/>
      <c r="W696" s="1174"/>
      <c r="X696" s="1174"/>
      <c r="Y696" s="1174"/>
      <c r="Z696" s="1174"/>
      <c r="AA696" s="1174"/>
      <c r="AB696" s="1174"/>
      <c r="AC696" s="1174"/>
      <c r="AD696" s="1174"/>
      <c r="AE696" s="1174"/>
      <c r="AF696" s="1174"/>
      <c r="AG696" s="1174"/>
    </row>
    <row r="697" spans="1:41" ht="14.25" customHeight="1" x14ac:dyDescent="0.2">
      <c r="A697" s="1004"/>
      <c r="D697" s="1003"/>
      <c r="E697" s="1003"/>
      <c r="F697" s="1003"/>
      <c r="G697" s="1003"/>
      <c r="H697" s="1003"/>
      <c r="I697" s="1003"/>
      <c r="J697" s="1003"/>
      <c r="K697" s="1003"/>
      <c r="L697" s="1003"/>
      <c r="M697" s="1003"/>
      <c r="N697" s="1003"/>
      <c r="O697" s="1003"/>
      <c r="P697" s="1003"/>
      <c r="Q697" s="1003"/>
      <c r="R697" s="1003"/>
      <c r="S697" s="1003"/>
      <c r="T697" s="1003"/>
      <c r="U697" s="1003"/>
      <c r="V697" s="1003"/>
      <c r="W697" s="1003"/>
      <c r="X697" s="1003"/>
      <c r="Y697" s="1003"/>
      <c r="Z697" s="1003"/>
      <c r="AA697" s="1003"/>
      <c r="AB697" s="1003"/>
      <c r="AC697" s="1003"/>
      <c r="AD697" s="1003"/>
      <c r="AE697" s="1003"/>
      <c r="AF697" s="1003"/>
      <c r="AG697" s="1003"/>
    </row>
    <row r="698" spans="1:41" ht="14.25" customHeight="1" x14ac:dyDescent="0.2">
      <c r="D698" s="634" t="s">
        <v>1966</v>
      </c>
    </row>
    <row r="700" spans="1:41" ht="14.25" customHeight="1" x14ac:dyDescent="0.2">
      <c r="D700" s="1138" t="s">
        <v>1970</v>
      </c>
      <c r="E700" s="1138"/>
      <c r="F700" s="1138"/>
      <c r="G700" s="1138"/>
      <c r="H700" s="1138"/>
      <c r="I700" s="1138"/>
      <c r="J700" s="1138"/>
      <c r="K700" s="1138"/>
      <c r="L700" s="1138"/>
      <c r="M700" s="1138"/>
      <c r="N700" s="1138"/>
      <c r="O700" s="1138"/>
      <c r="P700" s="1138"/>
      <c r="Q700" s="1138"/>
      <c r="R700" s="1138"/>
      <c r="S700" s="1138"/>
      <c r="T700" s="1138"/>
      <c r="U700" s="1138"/>
      <c r="V700" s="1138"/>
      <c r="W700" s="1138"/>
      <c r="X700" s="1138"/>
      <c r="Y700" s="1138"/>
      <c r="Z700" s="1138"/>
      <c r="AA700" s="1138"/>
      <c r="AB700" s="1138"/>
      <c r="AC700" s="1138"/>
      <c r="AD700" s="1138"/>
      <c r="AE700" s="1138"/>
      <c r="AF700" s="1138"/>
      <c r="AG700" s="1138"/>
    </row>
    <row r="703" spans="1:41" ht="14.25" customHeight="1" x14ac:dyDescent="0.2">
      <c r="D703" s="634" t="s">
        <v>1967</v>
      </c>
    </row>
    <row r="705" spans="4:33" ht="14.25" customHeight="1" x14ac:dyDescent="0.2">
      <c r="D705" s="1168" t="s">
        <v>1926</v>
      </c>
      <c r="E705" s="1168"/>
      <c r="F705" s="1168"/>
      <c r="G705" s="1168"/>
      <c r="H705" s="1168"/>
      <c r="I705" s="1168"/>
      <c r="J705" s="1168"/>
      <c r="K705" s="1168"/>
      <c r="L705" s="1168"/>
      <c r="M705" s="1168"/>
      <c r="N705" s="1168"/>
      <c r="O705" s="1168"/>
      <c r="P705" s="1168"/>
      <c r="Q705" s="1168"/>
      <c r="R705" s="1168"/>
      <c r="S705" s="1168"/>
      <c r="T705" s="1168"/>
      <c r="U705" s="1168"/>
      <c r="V705" s="1168"/>
      <c r="W705" s="1168"/>
      <c r="X705" s="1168"/>
      <c r="Y705" s="1168"/>
      <c r="Z705" s="1168"/>
      <c r="AA705" s="1168"/>
      <c r="AB705" s="1168"/>
      <c r="AC705" s="1168"/>
      <c r="AD705" s="1168"/>
      <c r="AE705" s="1168"/>
      <c r="AF705" s="1168"/>
      <c r="AG705" s="1168"/>
    </row>
    <row r="706" spans="4:33" ht="14.25" customHeight="1" x14ac:dyDescent="0.2">
      <c r="D706" s="1168"/>
      <c r="E706" s="1168"/>
      <c r="F706" s="1168"/>
      <c r="G706" s="1168"/>
      <c r="H706" s="1168"/>
      <c r="I706" s="1168"/>
      <c r="J706" s="1168"/>
      <c r="K706" s="1168"/>
      <c r="L706" s="1168"/>
      <c r="M706" s="1168"/>
      <c r="N706" s="1168"/>
      <c r="O706" s="1168"/>
      <c r="P706" s="1168"/>
      <c r="Q706" s="1168"/>
      <c r="R706" s="1168"/>
      <c r="S706" s="1168"/>
      <c r="T706" s="1168"/>
      <c r="U706" s="1168"/>
      <c r="V706" s="1168"/>
      <c r="W706" s="1168"/>
      <c r="X706" s="1168"/>
      <c r="Y706" s="1168"/>
      <c r="Z706" s="1168"/>
      <c r="AA706" s="1168"/>
      <c r="AB706" s="1168"/>
      <c r="AC706" s="1168"/>
      <c r="AD706" s="1168"/>
      <c r="AE706" s="1168"/>
      <c r="AF706" s="1168"/>
      <c r="AG706" s="1168"/>
    </row>
    <row r="708" spans="4:33" ht="14.25" customHeight="1" x14ac:dyDescent="0.2">
      <c r="D708" s="1138"/>
      <c r="E708" s="1138"/>
      <c r="F708" s="1138"/>
      <c r="G708" s="1138"/>
      <c r="H708" s="1138"/>
      <c r="I708" s="1138"/>
      <c r="J708" s="1138"/>
      <c r="K708" s="1138"/>
      <c r="L708" s="1138"/>
      <c r="M708" s="1138"/>
      <c r="N708" s="1138"/>
      <c r="O708" s="1138"/>
      <c r="P708" s="1138"/>
      <c r="Q708" s="1138"/>
      <c r="R708" s="1138"/>
      <c r="S708" s="1138"/>
      <c r="T708" s="1138"/>
      <c r="U708" s="1138"/>
      <c r="V708" s="1138"/>
      <c r="W708" s="1138"/>
      <c r="X708" s="1138"/>
      <c r="Y708" s="1138"/>
      <c r="Z708" s="1138"/>
      <c r="AA708" s="1138"/>
      <c r="AB708" s="1138"/>
      <c r="AC708" s="1138"/>
      <c r="AD708" s="1138"/>
      <c r="AE708" s="1138"/>
      <c r="AF708" s="1138"/>
      <c r="AG708" s="1138"/>
    </row>
  </sheetData>
  <mergeCells count="1579">
    <mergeCell ref="D306:AG308"/>
    <mergeCell ref="D694:AG694"/>
    <mergeCell ref="D696:AG696"/>
    <mergeCell ref="D548:M548"/>
    <mergeCell ref="N548:W548"/>
    <mergeCell ref="X548:AG548"/>
    <mergeCell ref="N515:W515"/>
    <mergeCell ref="X515:AG515"/>
    <mergeCell ref="D239:G239"/>
    <mergeCell ref="H239:J239"/>
    <mergeCell ref="K239:M239"/>
    <mergeCell ref="N239:P239"/>
    <mergeCell ref="Q239:S239"/>
    <mergeCell ref="T239:V239"/>
    <mergeCell ref="W239:Y239"/>
    <mergeCell ref="Z239:AB239"/>
    <mergeCell ref="AC239:AE239"/>
    <mergeCell ref="AF239:AH239"/>
    <mergeCell ref="X530:AG530"/>
    <mergeCell ref="D533:M533"/>
    <mergeCell ref="N521:W521"/>
    <mergeCell ref="X521:AG521"/>
    <mergeCell ref="D531:M531"/>
    <mergeCell ref="N517:W517"/>
    <mergeCell ref="X517:AG517"/>
    <mergeCell ref="N518:W518"/>
    <mergeCell ref="X518:AG518"/>
    <mergeCell ref="N519:W519"/>
    <mergeCell ref="X519:AG519"/>
    <mergeCell ref="N520:W520"/>
    <mergeCell ref="X516:AG516"/>
    <mergeCell ref="D502:I502"/>
    <mergeCell ref="AI195:AQ195"/>
    <mergeCell ref="AS195:BA195"/>
    <mergeCell ref="BC195:BK195"/>
    <mergeCell ref="D236:G236"/>
    <mergeCell ref="H236:J236"/>
    <mergeCell ref="K236:M236"/>
    <mergeCell ref="N236:P236"/>
    <mergeCell ref="Q236:S236"/>
    <mergeCell ref="T236:V236"/>
    <mergeCell ref="W236:Y236"/>
    <mergeCell ref="Z236:AB236"/>
    <mergeCell ref="AC236:AE236"/>
    <mergeCell ref="AF236:AH236"/>
    <mergeCell ref="D237:AH237"/>
    <mergeCell ref="D238:G238"/>
    <mergeCell ref="H238:J238"/>
    <mergeCell ref="K238:M238"/>
    <mergeCell ref="N238:P238"/>
    <mergeCell ref="Q238:S238"/>
    <mergeCell ref="T238:V238"/>
    <mergeCell ref="W238:Y238"/>
    <mergeCell ref="Z238:AB238"/>
    <mergeCell ref="AC238:AE238"/>
    <mergeCell ref="AF238:AH238"/>
    <mergeCell ref="D234:G234"/>
    <mergeCell ref="H234:J234"/>
    <mergeCell ref="K234:M234"/>
    <mergeCell ref="N234:P234"/>
    <mergeCell ref="Q234:S234"/>
    <mergeCell ref="T234:V234"/>
    <mergeCell ref="W234:Y234"/>
    <mergeCell ref="Z234:AB234"/>
    <mergeCell ref="AC234:AE234"/>
    <mergeCell ref="AF234:AH234"/>
    <mergeCell ref="D235:G235"/>
    <mergeCell ref="H235:J235"/>
    <mergeCell ref="K235:M235"/>
    <mergeCell ref="N235:P235"/>
    <mergeCell ref="Q235:S235"/>
    <mergeCell ref="T235:V235"/>
    <mergeCell ref="W235:Y235"/>
    <mergeCell ref="Z235:AB235"/>
    <mergeCell ref="AC235:AE235"/>
    <mergeCell ref="AF235:AH235"/>
    <mergeCell ref="D231:G231"/>
    <mergeCell ref="H231:J231"/>
    <mergeCell ref="K231:M231"/>
    <mergeCell ref="N231:P231"/>
    <mergeCell ref="Q231:S231"/>
    <mergeCell ref="T231:V231"/>
    <mergeCell ref="W231:Y231"/>
    <mergeCell ref="Z231:AB231"/>
    <mergeCell ref="AC231:AE231"/>
    <mergeCell ref="AF231:AH231"/>
    <mergeCell ref="D232:AH232"/>
    <mergeCell ref="D233:G233"/>
    <mergeCell ref="H233:J233"/>
    <mergeCell ref="K233:M233"/>
    <mergeCell ref="N233:P233"/>
    <mergeCell ref="Q233:S233"/>
    <mergeCell ref="T233:V233"/>
    <mergeCell ref="W233:Y233"/>
    <mergeCell ref="Z233:AB233"/>
    <mergeCell ref="AC233:AE233"/>
    <mergeCell ref="AF233:AH233"/>
    <mergeCell ref="D229:G229"/>
    <mergeCell ref="H229:J229"/>
    <mergeCell ref="K229:M229"/>
    <mergeCell ref="N229:P229"/>
    <mergeCell ref="Q229:S229"/>
    <mergeCell ref="T229:V229"/>
    <mergeCell ref="W229:Y229"/>
    <mergeCell ref="Z229:AB229"/>
    <mergeCell ref="AC229:AE229"/>
    <mergeCell ref="AF229:AH229"/>
    <mergeCell ref="D230:G230"/>
    <mergeCell ref="H230:J230"/>
    <mergeCell ref="K230:M230"/>
    <mergeCell ref="N230:P230"/>
    <mergeCell ref="Q230:S230"/>
    <mergeCell ref="T230:V230"/>
    <mergeCell ref="W230:Y230"/>
    <mergeCell ref="Z230:AB230"/>
    <mergeCell ref="AC230:AE230"/>
    <mergeCell ref="AF230:AH230"/>
    <mergeCell ref="D226:G226"/>
    <mergeCell ref="H226:J226"/>
    <mergeCell ref="K226:M226"/>
    <mergeCell ref="N226:P226"/>
    <mergeCell ref="Q226:S226"/>
    <mergeCell ref="T226:V226"/>
    <mergeCell ref="W226:Y226"/>
    <mergeCell ref="Z226:AB226"/>
    <mergeCell ref="AC226:AE226"/>
    <mergeCell ref="AF226:AH226"/>
    <mergeCell ref="D227:AH227"/>
    <mergeCell ref="D228:G228"/>
    <mergeCell ref="H228:J228"/>
    <mergeCell ref="K228:M228"/>
    <mergeCell ref="N228:P228"/>
    <mergeCell ref="Q228:S228"/>
    <mergeCell ref="T228:V228"/>
    <mergeCell ref="W228:Y228"/>
    <mergeCell ref="Z228:AB228"/>
    <mergeCell ref="AC228:AE228"/>
    <mergeCell ref="AF228:AH228"/>
    <mergeCell ref="D224:G224"/>
    <mergeCell ref="H224:J224"/>
    <mergeCell ref="K224:M224"/>
    <mergeCell ref="N224:P224"/>
    <mergeCell ref="Q224:S224"/>
    <mergeCell ref="T224:V224"/>
    <mergeCell ref="W224:Y224"/>
    <mergeCell ref="Z224:AB224"/>
    <mergeCell ref="AC224:AE224"/>
    <mergeCell ref="AF224:AH224"/>
    <mergeCell ref="D225:G225"/>
    <mergeCell ref="H225:J225"/>
    <mergeCell ref="K225:M225"/>
    <mergeCell ref="N225:P225"/>
    <mergeCell ref="Q225:S225"/>
    <mergeCell ref="T225:V225"/>
    <mergeCell ref="W225:Y225"/>
    <mergeCell ref="Z225:AB225"/>
    <mergeCell ref="AC225:AE225"/>
    <mergeCell ref="AF225:AH225"/>
    <mergeCell ref="D222:G222"/>
    <mergeCell ref="H222:J222"/>
    <mergeCell ref="K222:M222"/>
    <mergeCell ref="N222:P222"/>
    <mergeCell ref="Q222:S222"/>
    <mergeCell ref="T222:V222"/>
    <mergeCell ref="W222:Y222"/>
    <mergeCell ref="Z222:AB222"/>
    <mergeCell ref="AC222:AE222"/>
    <mergeCell ref="AF222:AH222"/>
    <mergeCell ref="D223:G223"/>
    <mergeCell ref="H223:J223"/>
    <mergeCell ref="K223:M223"/>
    <mergeCell ref="N223:P223"/>
    <mergeCell ref="Q223:S223"/>
    <mergeCell ref="T223:V223"/>
    <mergeCell ref="W223:Y223"/>
    <mergeCell ref="Z223:AB223"/>
    <mergeCell ref="AC223:AE223"/>
    <mergeCell ref="AF223:AH223"/>
    <mergeCell ref="D196:G197"/>
    <mergeCell ref="D214:AH214"/>
    <mergeCell ref="D209:AH209"/>
    <mergeCell ref="D204:AH204"/>
    <mergeCell ref="D198:AH198"/>
    <mergeCell ref="D219:G220"/>
    <mergeCell ref="H219:AH219"/>
    <mergeCell ref="H220:J220"/>
    <mergeCell ref="K220:M220"/>
    <mergeCell ref="N220:P220"/>
    <mergeCell ref="Q220:S220"/>
    <mergeCell ref="T220:V220"/>
    <mergeCell ref="W220:Y220"/>
    <mergeCell ref="Z220:AB220"/>
    <mergeCell ref="AC220:AE220"/>
    <mergeCell ref="AF220:AH220"/>
    <mergeCell ref="D221:AH221"/>
    <mergeCell ref="H213:J213"/>
    <mergeCell ref="K213:M213"/>
    <mergeCell ref="N213:P213"/>
    <mergeCell ref="Q213:S213"/>
    <mergeCell ref="T213:V213"/>
    <mergeCell ref="W213:Y213"/>
    <mergeCell ref="Z213:AB213"/>
    <mergeCell ref="AC213:AE213"/>
    <mergeCell ref="AF213:AH213"/>
    <mergeCell ref="H215:J215"/>
    <mergeCell ref="K215:M215"/>
    <mergeCell ref="N215:P215"/>
    <mergeCell ref="Q215:S215"/>
    <mergeCell ref="T215:V215"/>
    <mergeCell ref="W215:Y215"/>
    <mergeCell ref="AC205:AE205"/>
    <mergeCell ref="AF205:AH205"/>
    <mergeCell ref="Z215:AB215"/>
    <mergeCell ref="AC215:AE215"/>
    <mergeCell ref="AF215:AH215"/>
    <mergeCell ref="Q208:S208"/>
    <mergeCell ref="T208:V208"/>
    <mergeCell ref="W208:Y208"/>
    <mergeCell ref="Z208:AB208"/>
    <mergeCell ref="AC208:AE208"/>
    <mergeCell ref="AF208:AH208"/>
    <mergeCell ref="H210:J210"/>
    <mergeCell ref="K210:M210"/>
    <mergeCell ref="N210:P210"/>
    <mergeCell ref="Q210:S210"/>
    <mergeCell ref="T210:V210"/>
    <mergeCell ref="W210:Y210"/>
    <mergeCell ref="Z210:AB210"/>
    <mergeCell ref="AC210:AE210"/>
    <mergeCell ref="AF210:AH210"/>
    <mergeCell ref="H211:J211"/>
    <mergeCell ref="K211:M211"/>
    <mergeCell ref="N211:P211"/>
    <mergeCell ref="Q211:S211"/>
    <mergeCell ref="T211:V211"/>
    <mergeCell ref="W211:Y211"/>
    <mergeCell ref="Z211:AB211"/>
    <mergeCell ref="AC211:AE211"/>
    <mergeCell ref="AF211:AH211"/>
    <mergeCell ref="Z197:AB197"/>
    <mergeCell ref="W197:Y197"/>
    <mergeCell ref="T197:V197"/>
    <mergeCell ref="H196:AH196"/>
    <mergeCell ref="AF199:AH199"/>
    <mergeCell ref="AC199:AE199"/>
    <mergeCell ref="Z199:AB199"/>
    <mergeCell ref="W199:Y199"/>
    <mergeCell ref="T199:V199"/>
    <mergeCell ref="Q199:S199"/>
    <mergeCell ref="N199:P199"/>
    <mergeCell ref="K199:M199"/>
    <mergeCell ref="H199:J199"/>
    <mergeCell ref="H200:J200"/>
    <mergeCell ref="K200:M200"/>
    <mergeCell ref="N200:P200"/>
    <mergeCell ref="Q200:S200"/>
    <mergeCell ref="T200:V200"/>
    <mergeCell ref="W200:Y200"/>
    <mergeCell ref="Z200:AB200"/>
    <mergeCell ref="AC200:AE200"/>
    <mergeCell ref="AF200:AH200"/>
    <mergeCell ref="D216:G216"/>
    <mergeCell ref="D215:G215"/>
    <mergeCell ref="H216:J216"/>
    <mergeCell ref="K216:M216"/>
    <mergeCell ref="N216:P216"/>
    <mergeCell ref="Q216:S216"/>
    <mergeCell ref="T216:V216"/>
    <mergeCell ref="W216:Y216"/>
    <mergeCell ref="Z216:AB216"/>
    <mergeCell ref="AC216:AE216"/>
    <mergeCell ref="AF216:AH216"/>
    <mergeCell ref="D212:G212"/>
    <mergeCell ref="D211:G211"/>
    <mergeCell ref="D210:G210"/>
    <mergeCell ref="D213:G213"/>
    <mergeCell ref="H212:J212"/>
    <mergeCell ref="K212:M212"/>
    <mergeCell ref="N212:P212"/>
    <mergeCell ref="Q212:S212"/>
    <mergeCell ref="T212:V212"/>
    <mergeCell ref="W212:Y212"/>
    <mergeCell ref="Z212:AB212"/>
    <mergeCell ref="AC212:AE212"/>
    <mergeCell ref="AF212:AH212"/>
    <mergeCell ref="D208:G208"/>
    <mergeCell ref="D207:G207"/>
    <mergeCell ref="H207:J207"/>
    <mergeCell ref="K207:M207"/>
    <mergeCell ref="N207:P207"/>
    <mergeCell ref="Q207:S207"/>
    <mergeCell ref="T207:V207"/>
    <mergeCell ref="W207:Y207"/>
    <mergeCell ref="Z207:AB207"/>
    <mergeCell ref="AC207:AE207"/>
    <mergeCell ref="AF207:AH207"/>
    <mergeCell ref="H208:J208"/>
    <mergeCell ref="K208:M208"/>
    <mergeCell ref="N208:P208"/>
    <mergeCell ref="D206:G206"/>
    <mergeCell ref="D205:G205"/>
    <mergeCell ref="H206:J206"/>
    <mergeCell ref="K206:M206"/>
    <mergeCell ref="N206:P206"/>
    <mergeCell ref="Q206:S206"/>
    <mergeCell ref="T206:V206"/>
    <mergeCell ref="W206:Y206"/>
    <mergeCell ref="Z206:AB206"/>
    <mergeCell ref="AC206:AE206"/>
    <mergeCell ref="AF206:AH206"/>
    <mergeCell ref="H205:J205"/>
    <mergeCell ref="K205:M205"/>
    <mergeCell ref="N205:P205"/>
    <mergeCell ref="Q205:S205"/>
    <mergeCell ref="T205:V205"/>
    <mergeCell ref="W205:Y205"/>
    <mergeCell ref="Z205:AB205"/>
    <mergeCell ref="AC202:AE202"/>
    <mergeCell ref="AF202:AH202"/>
    <mergeCell ref="H203:J203"/>
    <mergeCell ref="D201:G201"/>
    <mergeCell ref="D200:G200"/>
    <mergeCell ref="H201:J201"/>
    <mergeCell ref="K201:M201"/>
    <mergeCell ref="N201:P201"/>
    <mergeCell ref="Q201:S201"/>
    <mergeCell ref="T201:V201"/>
    <mergeCell ref="W201:Y201"/>
    <mergeCell ref="Z201:AB201"/>
    <mergeCell ref="AC201:AE201"/>
    <mergeCell ref="AF201:AH201"/>
    <mergeCell ref="K203:M203"/>
    <mergeCell ref="N203:P203"/>
    <mergeCell ref="Q203:S203"/>
    <mergeCell ref="T203:V203"/>
    <mergeCell ref="W203:Y203"/>
    <mergeCell ref="Z203:AB203"/>
    <mergeCell ref="AC203:AE203"/>
    <mergeCell ref="AF203:AH203"/>
    <mergeCell ref="D700:AG700"/>
    <mergeCell ref="N531:W531"/>
    <mergeCell ref="X531:AG531"/>
    <mergeCell ref="D532:M532"/>
    <mergeCell ref="N532:W532"/>
    <mergeCell ref="X532:AG532"/>
    <mergeCell ref="N533:W533"/>
    <mergeCell ref="X533:AG533"/>
    <mergeCell ref="D536:AG536"/>
    <mergeCell ref="D513:M513"/>
    <mergeCell ref="N513:W513"/>
    <mergeCell ref="X513:AG513"/>
    <mergeCell ref="D514:M514"/>
    <mergeCell ref="N514:W514"/>
    <mergeCell ref="X514:AG514"/>
    <mergeCell ref="D515:M515"/>
    <mergeCell ref="Z595:AC595"/>
    <mergeCell ref="AD595:AG595"/>
    <mergeCell ref="D596:I596"/>
    <mergeCell ref="J596:M596"/>
    <mergeCell ref="N596:Q596"/>
    <mergeCell ref="R596:U596"/>
    <mergeCell ref="V596:Y596"/>
    <mergeCell ref="Z596:AC596"/>
    <mergeCell ref="AD596:AG596"/>
    <mergeCell ref="D597:I597"/>
    <mergeCell ref="D521:M521"/>
    <mergeCell ref="D520:M520"/>
    <mergeCell ref="D519:M519"/>
    <mergeCell ref="D518:M518"/>
    <mergeCell ref="D517:M517"/>
    <mergeCell ref="X520:AG520"/>
    <mergeCell ref="D705:AG706"/>
    <mergeCell ref="D708:AG708"/>
    <mergeCell ref="B1:AH1"/>
    <mergeCell ref="D538:AG538"/>
    <mergeCell ref="D523:AG523"/>
    <mergeCell ref="D525:M526"/>
    <mergeCell ref="N525:W526"/>
    <mergeCell ref="X525:AG526"/>
    <mergeCell ref="D527:M527"/>
    <mergeCell ref="N527:W527"/>
    <mergeCell ref="X527:AG527"/>
    <mergeCell ref="D528:M528"/>
    <mergeCell ref="N528:W528"/>
    <mergeCell ref="X528:AG528"/>
    <mergeCell ref="D529:M529"/>
    <mergeCell ref="N529:W529"/>
    <mergeCell ref="X529:AG529"/>
    <mergeCell ref="D530:M530"/>
    <mergeCell ref="N530:W530"/>
    <mergeCell ref="D504:AG504"/>
    <mergeCell ref="D506:AG507"/>
    <mergeCell ref="D509:M510"/>
    <mergeCell ref="N509:W510"/>
    <mergeCell ref="X509:AG510"/>
    <mergeCell ref="D511:M511"/>
    <mergeCell ref="N511:W511"/>
    <mergeCell ref="X511:AG511"/>
    <mergeCell ref="D512:M512"/>
    <mergeCell ref="N512:W512"/>
    <mergeCell ref="X512:AG512"/>
    <mergeCell ref="D516:M516"/>
    <mergeCell ref="N516:W516"/>
    <mergeCell ref="D498:I498"/>
    <mergeCell ref="J502:M502"/>
    <mergeCell ref="J501:M501"/>
    <mergeCell ref="J500:M500"/>
    <mergeCell ref="J499:M499"/>
    <mergeCell ref="J498:M498"/>
    <mergeCell ref="N498:Q498"/>
    <mergeCell ref="N499:Q499"/>
    <mergeCell ref="N500:Q500"/>
    <mergeCell ref="N501:Q501"/>
    <mergeCell ref="N502:Q502"/>
    <mergeCell ref="D488:I488"/>
    <mergeCell ref="J488:M488"/>
    <mergeCell ref="N488:Q488"/>
    <mergeCell ref="R488:U488"/>
    <mergeCell ref="V488:Y488"/>
    <mergeCell ref="Z488:AC488"/>
    <mergeCell ref="D501:I501"/>
    <mergeCell ref="D500:I500"/>
    <mergeCell ref="D499:I499"/>
    <mergeCell ref="AD488:AG488"/>
    <mergeCell ref="D492:AG492"/>
    <mergeCell ref="D494:AG494"/>
    <mergeCell ref="D496:I497"/>
    <mergeCell ref="N497:Q497"/>
    <mergeCell ref="J497:M497"/>
    <mergeCell ref="J496:Q496"/>
    <mergeCell ref="D486:I486"/>
    <mergeCell ref="J486:M486"/>
    <mergeCell ref="N486:Q486"/>
    <mergeCell ref="R486:U486"/>
    <mergeCell ref="V486:Y486"/>
    <mergeCell ref="Z486:AC486"/>
    <mergeCell ref="AD486:AG486"/>
    <mergeCell ref="D487:I487"/>
    <mergeCell ref="J487:M487"/>
    <mergeCell ref="N487:Q487"/>
    <mergeCell ref="R487:U487"/>
    <mergeCell ref="V487:Y487"/>
    <mergeCell ref="Z487:AC487"/>
    <mergeCell ref="AD487:AG487"/>
    <mergeCell ref="D483:I485"/>
    <mergeCell ref="J483:U483"/>
    <mergeCell ref="V483:AG483"/>
    <mergeCell ref="D477:M477"/>
    <mergeCell ref="N477:W477"/>
    <mergeCell ref="X477:AG477"/>
    <mergeCell ref="D476:M476"/>
    <mergeCell ref="N476:W476"/>
    <mergeCell ref="X476:AG476"/>
    <mergeCell ref="AI483:AK483"/>
    <mergeCell ref="AL483:AN483"/>
    <mergeCell ref="J484:U484"/>
    <mergeCell ref="V484:AG484"/>
    <mergeCell ref="AI484:AK484"/>
    <mergeCell ref="AL484:AN484"/>
    <mergeCell ref="J485:M485"/>
    <mergeCell ref="N485:Q485"/>
    <mergeCell ref="R485:U485"/>
    <mergeCell ref="V485:Y485"/>
    <mergeCell ref="Z485:AC485"/>
    <mergeCell ref="AD485:AG485"/>
    <mergeCell ref="D481:AG481"/>
    <mergeCell ref="D475:M475"/>
    <mergeCell ref="N475:W475"/>
    <mergeCell ref="X475:AG475"/>
    <mergeCell ref="D444:M444"/>
    <mergeCell ref="D443:M443"/>
    <mergeCell ref="D442:M442"/>
    <mergeCell ref="D441:M441"/>
    <mergeCell ref="X433:AG433"/>
    <mergeCell ref="X434:AG434"/>
    <mergeCell ref="X435:AG435"/>
    <mergeCell ref="X436:AG436"/>
    <mergeCell ref="X437:AG437"/>
    <mergeCell ref="X438:AG438"/>
    <mergeCell ref="X439:AG439"/>
    <mergeCell ref="X440:AG440"/>
    <mergeCell ref="X441:AG441"/>
    <mergeCell ref="X442:AG442"/>
    <mergeCell ref="N442:W442"/>
    <mergeCell ref="N443:W443"/>
    <mergeCell ref="N444:W444"/>
    <mergeCell ref="N445:W445"/>
    <mergeCell ref="N446:W446"/>
    <mergeCell ref="N447:W447"/>
    <mergeCell ref="N448:W448"/>
    <mergeCell ref="N449:W449"/>
    <mergeCell ref="D464:M464"/>
    <mergeCell ref="N464:W464"/>
    <mergeCell ref="X464:AG464"/>
    <mergeCell ref="N432:W432"/>
    <mergeCell ref="X432:AG432"/>
    <mergeCell ref="X446:AG446"/>
    <mergeCell ref="X447:AG447"/>
    <mergeCell ref="X448:AG448"/>
    <mergeCell ref="N433:W433"/>
    <mergeCell ref="N434:W434"/>
    <mergeCell ref="N435:W435"/>
    <mergeCell ref="N436:W436"/>
    <mergeCell ref="N437:W437"/>
    <mergeCell ref="N438:W438"/>
    <mergeCell ref="N439:W439"/>
    <mergeCell ref="N440:W440"/>
    <mergeCell ref="N441:W441"/>
    <mergeCell ref="X449:AG449"/>
    <mergeCell ref="D451:AG453"/>
    <mergeCell ref="D473:AG473"/>
    <mergeCell ref="D459:M459"/>
    <mergeCell ref="N459:W459"/>
    <mergeCell ref="X459:AG459"/>
    <mergeCell ref="D462:M462"/>
    <mergeCell ref="N462:W462"/>
    <mergeCell ref="X462:AG462"/>
    <mergeCell ref="D461:M461"/>
    <mergeCell ref="N461:W461"/>
    <mergeCell ref="X461:AG461"/>
    <mergeCell ref="D460:M460"/>
    <mergeCell ref="N460:W460"/>
    <mergeCell ref="X460:AG460"/>
    <mergeCell ref="D463:M463"/>
    <mergeCell ref="N463:W463"/>
    <mergeCell ref="X463:AG463"/>
    <mergeCell ref="D426:AG426"/>
    <mergeCell ref="D455:AG455"/>
    <mergeCell ref="D457:M457"/>
    <mergeCell ref="N457:W457"/>
    <mergeCell ref="X457:AG457"/>
    <mergeCell ref="D458:M458"/>
    <mergeCell ref="N458:W458"/>
    <mergeCell ref="X458:AG458"/>
    <mergeCell ref="D422:M422"/>
    <mergeCell ref="N422:W422"/>
    <mergeCell ref="X422:AG422"/>
    <mergeCell ref="D420:M420"/>
    <mergeCell ref="N420:W420"/>
    <mergeCell ref="X420:AG420"/>
    <mergeCell ref="D440:M440"/>
    <mergeCell ref="D439:M439"/>
    <mergeCell ref="D438:M438"/>
    <mergeCell ref="D437:M437"/>
    <mergeCell ref="D436:M436"/>
    <mergeCell ref="D435:M435"/>
    <mergeCell ref="D434:M434"/>
    <mergeCell ref="D433:M433"/>
    <mergeCell ref="D448:M448"/>
    <mergeCell ref="D449:M449"/>
    <mergeCell ref="D447:M447"/>
    <mergeCell ref="D446:M446"/>
    <mergeCell ref="D445:M445"/>
    <mergeCell ref="X443:AG443"/>
    <mergeCell ref="X444:AG444"/>
    <mergeCell ref="X445:AG445"/>
    <mergeCell ref="D430:AG430"/>
    <mergeCell ref="D432:M432"/>
    <mergeCell ref="D419:M419"/>
    <mergeCell ref="N419:W419"/>
    <mergeCell ref="X419:AG419"/>
    <mergeCell ref="D421:M421"/>
    <mergeCell ref="N421:W421"/>
    <mergeCell ref="X421:AG421"/>
    <mergeCell ref="D406:AG406"/>
    <mergeCell ref="D414:AG414"/>
    <mergeCell ref="D418:M418"/>
    <mergeCell ref="N418:W418"/>
    <mergeCell ref="X418:AG418"/>
    <mergeCell ref="D424:M424"/>
    <mergeCell ref="N424:W424"/>
    <mergeCell ref="X424:AG424"/>
    <mergeCell ref="D423:M423"/>
    <mergeCell ref="N423:W423"/>
    <mergeCell ref="X423:AG423"/>
    <mergeCell ref="D402:H402"/>
    <mergeCell ref="I402:M402"/>
    <mergeCell ref="N402:R402"/>
    <mergeCell ref="S402:W402"/>
    <mergeCell ref="X402:AB402"/>
    <mergeCell ref="AC402:AG402"/>
    <mergeCell ref="D403:H403"/>
    <mergeCell ref="I403:M403"/>
    <mergeCell ref="N403:R403"/>
    <mergeCell ref="S403:W403"/>
    <mergeCell ref="X403:AB403"/>
    <mergeCell ref="AC403:AG403"/>
    <mergeCell ref="D398:H398"/>
    <mergeCell ref="I398:M398"/>
    <mergeCell ref="N398:R398"/>
    <mergeCell ref="S398:W398"/>
    <mergeCell ref="X398:AB398"/>
    <mergeCell ref="AC398:AG398"/>
    <mergeCell ref="D400:H400"/>
    <mergeCell ref="I400:M400"/>
    <mergeCell ref="N400:R400"/>
    <mergeCell ref="S400:W400"/>
    <mergeCell ref="X400:AB400"/>
    <mergeCell ref="AC400:AG400"/>
    <mergeCell ref="D399:H399"/>
    <mergeCell ref="I399:M399"/>
    <mergeCell ref="N399:R399"/>
    <mergeCell ref="S399:W399"/>
    <mergeCell ref="X399:AB399"/>
    <mergeCell ref="AC399:AG399"/>
    <mergeCell ref="I401:M401"/>
    <mergeCell ref="N401:R401"/>
    <mergeCell ref="D395:H395"/>
    <mergeCell ref="I395:M395"/>
    <mergeCell ref="N395:R395"/>
    <mergeCell ref="S395:W395"/>
    <mergeCell ref="X395:AB395"/>
    <mergeCell ref="AC395:AG395"/>
    <mergeCell ref="D396:H396"/>
    <mergeCell ref="I396:M396"/>
    <mergeCell ref="N396:R396"/>
    <mergeCell ref="S396:W396"/>
    <mergeCell ref="X396:AB396"/>
    <mergeCell ref="AC396:AG396"/>
    <mergeCell ref="D397:H397"/>
    <mergeCell ref="I397:M397"/>
    <mergeCell ref="N397:R397"/>
    <mergeCell ref="S397:W397"/>
    <mergeCell ref="X397:AB397"/>
    <mergeCell ref="AC397:AG397"/>
    <mergeCell ref="D382:H382"/>
    <mergeCell ref="I382:M382"/>
    <mergeCell ref="N382:R382"/>
    <mergeCell ref="S382:W382"/>
    <mergeCell ref="X382:AB382"/>
    <mergeCell ref="AC382:AG382"/>
    <mergeCell ref="I384:M384"/>
    <mergeCell ref="N384:R384"/>
    <mergeCell ref="S384:W384"/>
    <mergeCell ref="X384:AB384"/>
    <mergeCell ref="AC384:AG384"/>
    <mergeCell ref="AC386:AG386"/>
    <mergeCell ref="D388:H388"/>
    <mergeCell ref="I388:M388"/>
    <mergeCell ref="N388:R388"/>
    <mergeCell ref="S388:W388"/>
    <mergeCell ref="X388:AB388"/>
    <mergeCell ref="AC388:AG388"/>
    <mergeCell ref="I387:M387"/>
    <mergeCell ref="N387:R387"/>
    <mergeCell ref="S387:W387"/>
    <mergeCell ref="X387:AB387"/>
    <mergeCell ref="AC387:AG387"/>
    <mergeCell ref="D387:H387"/>
    <mergeCell ref="AC385:AG385"/>
    <mergeCell ref="D393:H394"/>
    <mergeCell ref="I393:AG393"/>
    <mergeCell ref="I394:M394"/>
    <mergeCell ref="N394:R394"/>
    <mergeCell ref="S394:W394"/>
    <mergeCell ref="X394:AB394"/>
    <mergeCell ref="AC394:AG394"/>
    <mergeCell ref="D386:H386"/>
    <mergeCell ref="I386:M386"/>
    <mergeCell ref="N386:R386"/>
    <mergeCell ref="S386:W386"/>
    <mergeCell ref="X386:AB386"/>
    <mergeCell ref="D383:H383"/>
    <mergeCell ref="I383:M383"/>
    <mergeCell ref="N383:R383"/>
    <mergeCell ref="S383:W383"/>
    <mergeCell ref="X383:AB383"/>
    <mergeCell ref="AC383:AG383"/>
    <mergeCell ref="D384:H384"/>
    <mergeCell ref="D390:H390"/>
    <mergeCell ref="I390:M390"/>
    <mergeCell ref="N390:R390"/>
    <mergeCell ref="S390:W390"/>
    <mergeCell ref="X390:AB390"/>
    <mergeCell ref="AC390:AG390"/>
    <mergeCell ref="D389:H389"/>
    <mergeCell ref="I389:M389"/>
    <mergeCell ref="N389:R389"/>
    <mergeCell ref="S389:W389"/>
    <mergeCell ref="X389:AB389"/>
    <mergeCell ref="AC389:AG389"/>
    <mergeCell ref="D691:AG692"/>
    <mergeCell ref="R688:U688"/>
    <mergeCell ref="V688:Y688"/>
    <mergeCell ref="Z688:AC688"/>
    <mergeCell ref="AD688:AG688"/>
    <mergeCell ref="D685:M685"/>
    <mergeCell ref="N685:Q685"/>
    <mergeCell ref="R685:U685"/>
    <mergeCell ref="V685:Y685"/>
    <mergeCell ref="Z685:AC685"/>
    <mergeCell ref="AD685:AG685"/>
    <mergeCell ref="D686:M686"/>
    <mergeCell ref="N686:Q686"/>
    <mergeCell ref="R686:U686"/>
    <mergeCell ref="V686:Y686"/>
    <mergeCell ref="Z686:AC686"/>
    <mergeCell ref="AD686:AG686"/>
    <mergeCell ref="D378:AG378"/>
    <mergeCell ref="D380:H381"/>
    <mergeCell ref="I380:AG380"/>
    <mergeCell ref="I381:M381"/>
    <mergeCell ref="N381:R381"/>
    <mergeCell ref="S381:W381"/>
    <mergeCell ref="X381:AB381"/>
    <mergeCell ref="AC381:AG381"/>
    <mergeCell ref="D595:I595"/>
    <mergeCell ref="J595:M595"/>
    <mergeCell ref="N595:Q595"/>
    <mergeCell ref="R595:U595"/>
    <mergeCell ref="V595:Y595"/>
    <mergeCell ref="D689:M689"/>
    <mergeCell ref="N689:Q689"/>
    <mergeCell ref="R689:U689"/>
    <mergeCell ref="V689:Y689"/>
    <mergeCell ref="Z689:AC689"/>
    <mergeCell ref="AD689:AG689"/>
    <mergeCell ref="D687:M687"/>
    <mergeCell ref="N687:Q687"/>
    <mergeCell ref="R687:U687"/>
    <mergeCell ref="V687:Y687"/>
    <mergeCell ref="Z687:AC687"/>
    <mergeCell ref="AD687:AG687"/>
    <mergeCell ref="D688:M688"/>
    <mergeCell ref="N688:Q688"/>
    <mergeCell ref="D385:H385"/>
    <mergeCell ref="I385:M385"/>
    <mergeCell ref="N385:R385"/>
    <mergeCell ref="S385:W385"/>
    <mergeCell ref="X385:AB385"/>
    <mergeCell ref="D683:M683"/>
    <mergeCell ref="N683:Q683"/>
    <mergeCell ref="R683:U683"/>
    <mergeCell ref="V683:Y683"/>
    <mergeCell ref="Z683:AC683"/>
    <mergeCell ref="AD683:AG683"/>
    <mergeCell ref="D684:M684"/>
    <mergeCell ref="N684:Q684"/>
    <mergeCell ref="R684:U684"/>
    <mergeCell ref="V684:Y684"/>
    <mergeCell ref="Z684:AC684"/>
    <mergeCell ref="AD684:AG684"/>
    <mergeCell ref="D681:M681"/>
    <mergeCell ref="N681:Q681"/>
    <mergeCell ref="R681:U681"/>
    <mergeCell ref="V681:Y681"/>
    <mergeCell ref="Z681:AC681"/>
    <mergeCell ref="AD681:AG681"/>
    <mergeCell ref="D682:M682"/>
    <mergeCell ref="N682:Q682"/>
    <mergeCell ref="R682:U682"/>
    <mergeCell ref="V682:Y682"/>
    <mergeCell ref="Z682:AC682"/>
    <mergeCell ref="AD682:AG682"/>
    <mergeCell ref="D679:M679"/>
    <mergeCell ref="N679:Q679"/>
    <mergeCell ref="R679:U679"/>
    <mergeCell ref="V679:Y679"/>
    <mergeCell ref="Z679:AC679"/>
    <mergeCell ref="AD679:AG679"/>
    <mergeCell ref="D680:M680"/>
    <mergeCell ref="N680:Q680"/>
    <mergeCell ref="R680:U680"/>
    <mergeCell ref="V680:Y680"/>
    <mergeCell ref="Z680:AC680"/>
    <mergeCell ref="AD680:AG680"/>
    <mergeCell ref="D677:M677"/>
    <mergeCell ref="N677:Q677"/>
    <mergeCell ref="R677:U677"/>
    <mergeCell ref="V677:Y677"/>
    <mergeCell ref="Z677:AC677"/>
    <mergeCell ref="AD677:AG677"/>
    <mergeCell ref="D678:M678"/>
    <mergeCell ref="N678:Q678"/>
    <mergeCell ref="R678:U678"/>
    <mergeCell ref="V678:Y678"/>
    <mergeCell ref="Z678:AC678"/>
    <mergeCell ref="AD678:AG678"/>
    <mergeCell ref="D675:M675"/>
    <mergeCell ref="N675:Q675"/>
    <mergeCell ref="R675:U675"/>
    <mergeCell ref="V675:Y675"/>
    <mergeCell ref="Z675:AC675"/>
    <mergeCell ref="AD675:AG675"/>
    <mergeCell ref="D676:M676"/>
    <mergeCell ref="N676:Q676"/>
    <mergeCell ref="R676:U676"/>
    <mergeCell ref="V676:Y676"/>
    <mergeCell ref="Z676:AC676"/>
    <mergeCell ref="AD676:AG676"/>
    <mergeCell ref="D673:M673"/>
    <mergeCell ref="N673:Q673"/>
    <mergeCell ref="R673:U673"/>
    <mergeCell ref="V673:Y673"/>
    <mergeCell ref="Z673:AC673"/>
    <mergeCell ref="AD673:AG673"/>
    <mergeCell ref="D674:M674"/>
    <mergeCell ref="N674:Q674"/>
    <mergeCell ref="R674:U674"/>
    <mergeCell ref="V674:Y674"/>
    <mergeCell ref="Z674:AC674"/>
    <mergeCell ref="AD674:AG674"/>
    <mergeCell ref="D670:M671"/>
    <mergeCell ref="N670:AG670"/>
    <mergeCell ref="N671:Q671"/>
    <mergeCell ref="R671:U671"/>
    <mergeCell ref="V671:Y671"/>
    <mergeCell ref="Z671:AC671"/>
    <mergeCell ref="AD671:AG671"/>
    <mergeCell ref="D672:M672"/>
    <mergeCell ref="N672:Q672"/>
    <mergeCell ref="R672:U672"/>
    <mergeCell ref="V672:Y672"/>
    <mergeCell ref="Z672:AC672"/>
    <mergeCell ref="AD672:AG672"/>
    <mergeCell ref="V657:Y657"/>
    <mergeCell ref="V658:Y658"/>
    <mergeCell ref="AD657:AG657"/>
    <mergeCell ref="AD658:AG658"/>
    <mergeCell ref="AD659:AG659"/>
    <mergeCell ref="AD660:AG660"/>
    <mergeCell ref="AD661:AG661"/>
    <mergeCell ref="AD662:AG662"/>
    <mergeCell ref="AD663:AG663"/>
    <mergeCell ref="AD664:AG664"/>
    <mergeCell ref="AD665:AG665"/>
    <mergeCell ref="Z663:AC663"/>
    <mergeCell ref="Z664:AC664"/>
    <mergeCell ref="Z665:AC665"/>
    <mergeCell ref="V659:Y659"/>
    <mergeCell ref="N665:Q665"/>
    <mergeCell ref="N664:Q664"/>
    <mergeCell ref="N663:Q663"/>
    <mergeCell ref="N662:Q662"/>
    <mergeCell ref="AD653:AG653"/>
    <mergeCell ref="AD654:AG654"/>
    <mergeCell ref="AD655:AG655"/>
    <mergeCell ref="AD656:AG656"/>
    <mergeCell ref="R664:U664"/>
    <mergeCell ref="R665:U665"/>
    <mergeCell ref="V660:Y660"/>
    <mergeCell ref="V661:Y661"/>
    <mergeCell ref="V662:Y662"/>
    <mergeCell ref="V663:Y663"/>
    <mergeCell ref="V664:Y664"/>
    <mergeCell ref="V665:Y665"/>
    <mergeCell ref="Z648:AC648"/>
    <mergeCell ref="Z649:AC649"/>
    <mergeCell ref="Z650:AC650"/>
    <mergeCell ref="Z651:AC651"/>
    <mergeCell ref="Z652:AC652"/>
    <mergeCell ref="Z653:AC653"/>
    <mergeCell ref="Z654:AC654"/>
    <mergeCell ref="Z655:AC655"/>
    <mergeCell ref="Z656:AC656"/>
    <mergeCell ref="Z657:AC657"/>
    <mergeCell ref="Z658:AC658"/>
    <mergeCell ref="Z659:AC659"/>
    <mergeCell ref="Z660:AC660"/>
    <mergeCell ref="Z661:AC661"/>
    <mergeCell ref="Z662:AC662"/>
    <mergeCell ref="AD647:AG647"/>
    <mergeCell ref="V651:Y651"/>
    <mergeCell ref="V652:Y652"/>
    <mergeCell ref="V653:Y653"/>
    <mergeCell ref="V654:Y654"/>
    <mergeCell ref="V655:Y655"/>
    <mergeCell ref="V656:Y656"/>
    <mergeCell ref="N655:Q655"/>
    <mergeCell ref="N654:Q654"/>
    <mergeCell ref="N653:Q653"/>
    <mergeCell ref="N652:Q652"/>
    <mergeCell ref="N651:Q651"/>
    <mergeCell ref="N650:Q650"/>
    <mergeCell ref="N649:Q649"/>
    <mergeCell ref="N648:Q648"/>
    <mergeCell ref="V648:Y648"/>
    <mergeCell ref="V649:Y649"/>
    <mergeCell ref="V650:Y650"/>
    <mergeCell ref="R648:U648"/>
    <mergeCell ref="R649:U649"/>
    <mergeCell ref="R650:U650"/>
    <mergeCell ref="R651:U651"/>
    <mergeCell ref="R652:U652"/>
    <mergeCell ref="R653:U653"/>
    <mergeCell ref="R654:U654"/>
    <mergeCell ref="R655:U655"/>
    <mergeCell ref="R656:U656"/>
    <mergeCell ref="AD648:AG648"/>
    <mergeCell ref="AD649:AG649"/>
    <mergeCell ref="AD650:AG650"/>
    <mergeCell ref="AD651:AG651"/>
    <mergeCell ref="AD652:AG652"/>
    <mergeCell ref="X542:AG542"/>
    <mergeCell ref="R657:U657"/>
    <mergeCell ref="R658:U658"/>
    <mergeCell ref="R659:U659"/>
    <mergeCell ref="R660:U660"/>
    <mergeCell ref="R661:U661"/>
    <mergeCell ref="R662:U662"/>
    <mergeCell ref="R663:U663"/>
    <mergeCell ref="D649:M649"/>
    <mergeCell ref="D648:M648"/>
    <mergeCell ref="D646:M647"/>
    <mergeCell ref="D665:M665"/>
    <mergeCell ref="D664:M664"/>
    <mergeCell ref="D663:M663"/>
    <mergeCell ref="D662:M662"/>
    <mergeCell ref="D661:M661"/>
    <mergeCell ref="D660:M660"/>
    <mergeCell ref="D659:M659"/>
    <mergeCell ref="D658:M658"/>
    <mergeCell ref="D657:M657"/>
    <mergeCell ref="D656:M656"/>
    <mergeCell ref="D655:M655"/>
    <mergeCell ref="D654:M654"/>
    <mergeCell ref="D653:M653"/>
    <mergeCell ref="D652:M652"/>
    <mergeCell ref="D651:M651"/>
    <mergeCell ref="D650:M650"/>
    <mergeCell ref="N646:AG646"/>
    <mergeCell ref="N647:Q647"/>
    <mergeCell ref="R647:U647"/>
    <mergeCell ref="V647:Y647"/>
    <mergeCell ref="Z647:AC647"/>
    <mergeCell ref="R360:AG360"/>
    <mergeCell ref="N661:Q661"/>
    <mergeCell ref="N660:Q660"/>
    <mergeCell ref="N659:Q659"/>
    <mergeCell ref="N658:Q658"/>
    <mergeCell ref="N657:Q657"/>
    <mergeCell ref="N656:Q656"/>
    <mergeCell ref="D374:Q374"/>
    <mergeCell ref="D373:Q373"/>
    <mergeCell ref="D372:Q372"/>
    <mergeCell ref="D371:Q371"/>
    <mergeCell ref="D370:Q370"/>
    <mergeCell ref="D369:Q369"/>
    <mergeCell ref="D368:Q368"/>
    <mergeCell ref="D367:Q367"/>
    <mergeCell ref="D366:Q366"/>
    <mergeCell ref="D365:Q365"/>
    <mergeCell ref="R374:AG374"/>
    <mergeCell ref="R365:AG365"/>
    <mergeCell ref="R366:AG366"/>
    <mergeCell ref="R367:AG367"/>
    <mergeCell ref="R368:AG368"/>
    <mergeCell ref="R369:AG369"/>
    <mergeCell ref="R370:AG370"/>
    <mergeCell ref="R371:AG371"/>
    <mergeCell ref="R372:AG372"/>
    <mergeCell ref="R373:AG373"/>
    <mergeCell ref="D540:M541"/>
    <mergeCell ref="N540:W541"/>
    <mergeCell ref="X540:AG541"/>
    <mergeCell ref="D542:M542"/>
    <mergeCell ref="N542:W542"/>
    <mergeCell ref="D325:O325"/>
    <mergeCell ref="P325:X325"/>
    <mergeCell ref="Y325:AG325"/>
    <mergeCell ref="D326:O326"/>
    <mergeCell ref="P326:X326"/>
    <mergeCell ref="Y326:AG326"/>
    <mergeCell ref="D335:AG336"/>
    <mergeCell ref="D338:AG339"/>
    <mergeCell ref="D350:AG350"/>
    <mergeCell ref="D363:Q363"/>
    <mergeCell ref="D362:Q362"/>
    <mergeCell ref="D361:Q361"/>
    <mergeCell ref="D360:Q360"/>
    <mergeCell ref="D359:Q359"/>
    <mergeCell ref="D358:Q358"/>
    <mergeCell ref="D357:Q357"/>
    <mergeCell ref="D356:Q356"/>
    <mergeCell ref="D355:Q355"/>
    <mergeCell ref="D354:Q354"/>
    <mergeCell ref="D353:Q353"/>
    <mergeCell ref="D352:Q352"/>
    <mergeCell ref="R362:AG362"/>
    <mergeCell ref="R361:AG361"/>
    <mergeCell ref="R359:AG359"/>
    <mergeCell ref="R358:AG358"/>
    <mergeCell ref="R357:AG357"/>
    <mergeCell ref="R356:AG356"/>
    <mergeCell ref="R355:AG355"/>
    <mergeCell ref="R354:AG354"/>
    <mergeCell ref="R353:AG353"/>
    <mergeCell ref="R352:AG352"/>
    <mergeCell ref="R363:AG363"/>
    <mergeCell ref="D323:O323"/>
    <mergeCell ref="P323:X323"/>
    <mergeCell ref="Y323:AG323"/>
    <mergeCell ref="D324:O324"/>
    <mergeCell ref="P324:X324"/>
    <mergeCell ref="Y324:AG324"/>
    <mergeCell ref="D318:O318"/>
    <mergeCell ref="P318:X318"/>
    <mergeCell ref="Y318:AG318"/>
    <mergeCell ref="D320:O320"/>
    <mergeCell ref="P320:X320"/>
    <mergeCell ref="Y320:AG320"/>
    <mergeCell ref="D321:O321"/>
    <mergeCell ref="P321:X321"/>
    <mergeCell ref="Y321:AG321"/>
    <mergeCell ref="D319:O319"/>
    <mergeCell ref="P319:X319"/>
    <mergeCell ref="Y319:AG319"/>
    <mergeCell ref="D315:O315"/>
    <mergeCell ref="P315:X315"/>
    <mergeCell ref="Y315:AG315"/>
    <mergeCell ref="D316:O316"/>
    <mergeCell ref="P316:X316"/>
    <mergeCell ref="Y316:AG316"/>
    <mergeCell ref="D317:O317"/>
    <mergeCell ref="P317:X317"/>
    <mergeCell ref="Y317:AG317"/>
    <mergeCell ref="D314:O314"/>
    <mergeCell ref="P314:X314"/>
    <mergeCell ref="Y314:AG314"/>
    <mergeCell ref="D311:AG311"/>
    <mergeCell ref="D313:O313"/>
    <mergeCell ref="P313:X313"/>
    <mergeCell ref="Y313:AG313"/>
    <mergeCell ref="D322:O322"/>
    <mergeCell ref="P322:X322"/>
    <mergeCell ref="Y322:AG322"/>
    <mergeCell ref="N301:W301"/>
    <mergeCell ref="X301:AG301"/>
    <mergeCell ref="D297:AG297"/>
    <mergeCell ref="D299:M299"/>
    <mergeCell ref="N299:W299"/>
    <mergeCell ref="X299:AG299"/>
    <mergeCell ref="D303:M303"/>
    <mergeCell ref="N303:W303"/>
    <mergeCell ref="X303:AG303"/>
    <mergeCell ref="D304:M304"/>
    <mergeCell ref="N304:W304"/>
    <mergeCell ref="X304:AG304"/>
    <mergeCell ref="D300:M300"/>
    <mergeCell ref="N300:W300"/>
    <mergeCell ref="X300:AG300"/>
    <mergeCell ref="D302:M302"/>
    <mergeCell ref="N302:W302"/>
    <mergeCell ref="X302:AG302"/>
    <mergeCell ref="D301:M301"/>
    <mergeCell ref="T280:Z280"/>
    <mergeCell ref="AA280:AG280"/>
    <mergeCell ref="M281:S281"/>
    <mergeCell ref="T281:Z281"/>
    <mergeCell ref="AA281:AG281"/>
    <mergeCell ref="Y293:AG293"/>
    <mergeCell ref="M285:S285"/>
    <mergeCell ref="T285:Z285"/>
    <mergeCell ref="AA285:AG285"/>
    <mergeCell ref="D287:O287"/>
    <mergeCell ref="Y287:AG287"/>
    <mergeCell ref="P287:X287"/>
    <mergeCell ref="D293:O293"/>
    <mergeCell ref="D292:O292"/>
    <mergeCell ref="D291:O291"/>
    <mergeCell ref="D290:O290"/>
    <mergeCell ref="D289:O289"/>
    <mergeCell ref="D288:O288"/>
    <mergeCell ref="P293:X293"/>
    <mergeCell ref="P292:X292"/>
    <mergeCell ref="P291:X291"/>
    <mergeCell ref="P290:X290"/>
    <mergeCell ref="P289:X289"/>
    <mergeCell ref="P288:X288"/>
    <mergeCell ref="Y288:AG288"/>
    <mergeCell ref="Y289:AG289"/>
    <mergeCell ref="Y290:AG290"/>
    <mergeCell ref="Y291:AG291"/>
    <mergeCell ref="Y292:AG292"/>
    <mergeCell ref="D279:L279"/>
    <mergeCell ref="D280:L280"/>
    <mergeCell ref="D281:L281"/>
    <mergeCell ref="D282:L282"/>
    <mergeCell ref="D283:L283"/>
    <mergeCell ref="D284:L284"/>
    <mergeCell ref="D285:L285"/>
    <mergeCell ref="M271:S271"/>
    <mergeCell ref="AA276:AG276"/>
    <mergeCell ref="AA275:AG275"/>
    <mergeCell ref="AA274:AG274"/>
    <mergeCell ref="AA273:AG273"/>
    <mergeCell ref="AA272:AG272"/>
    <mergeCell ref="AA271:AG271"/>
    <mergeCell ref="D277:AG277"/>
    <mergeCell ref="D278:L278"/>
    <mergeCell ref="M278:S278"/>
    <mergeCell ref="T278:Z278"/>
    <mergeCell ref="AA278:AG278"/>
    <mergeCell ref="M282:S282"/>
    <mergeCell ref="T282:Z282"/>
    <mergeCell ref="AA282:AG282"/>
    <mergeCell ref="M283:S283"/>
    <mergeCell ref="T283:Z283"/>
    <mergeCell ref="AA283:AG283"/>
    <mergeCell ref="M284:S284"/>
    <mergeCell ref="T284:Z284"/>
    <mergeCell ref="AA284:AG284"/>
    <mergeCell ref="M279:S279"/>
    <mergeCell ref="T279:Z279"/>
    <mergeCell ref="AA279:AG279"/>
    <mergeCell ref="M280:S280"/>
    <mergeCell ref="D265:AG265"/>
    <mergeCell ref="D267:AG267"/>
    <mergeCell ref="AA269:AG269"/>
    <mergeCell ref="T269:Z269"/>
    <mergeCell ref="M269:S269"/>
    <mergeCell ref="D269:L269"/>
    <mergeCell ref="D270:AG270"/>
    <mergeCell ref="D276:L276"/>
    <mergeCell ref="D275:L275"/>
    <mergeCell ref="D274:L274"/>
    <mergeCell ref="D273:L273"/>
    <mergeCell ref="D272:L272"/>
    <mergeCell ref="D271:L271"/>
    <mergeCell ref="T276:Z276"/>
    <mergeCell ref="T275:Z275"/>
    <mergeCell ref="T274:Z274"/>
    <mergeCell ref="T273:Z273"/>
    <mergeCell ref="T272:Z272"/>
    <mergeCell ref="T271:Z271"/>
    <mergeCell ref="M276:S276"/>
    <mergeCell ref="M275:S275"/>
    <mergeCell ref="M274:S274"/>
    <mergeCell ref="M273:S273"/>
    <mergeCell ref="M272:S272"/>
    <mergeCell ref="D263:H263"/>
    <mergeCell ref="I263:M263"/>
    <mergeCell ref="N263:R263"/>
    <mergeCell ref="S263:W263"/>
    <mergeCell ref="X263:AB263"/>
    <mergeCell ref="AC263:AG263"/>
    <mergeCell ref="D261:H261"/>
    <mergeCell ref="I261:M261"/>
    <mergeCell ref="N261:R261"/>
    <mergeCell ref="S261:W261"/>
    <mergeCell ref="X261:AB261"/>
    <mergeCell ref="AC261:AG261"/>
    <mergeCell ref="D262:H262"/>
    <mergeCell ref="I262:M262"/>
    <mergeCell ref="N262:R262"/>
    <mergeCell ref="S262:W262"/>
    <mergeCell ref="X262:AB262"/>
    <mergeCell ref="AC262:AG262"/>
    <mergeCell ref="D259:H259"/>
    <mergeCell ref="I259:M259"/>
    <mergeCell ref="N259:R259"/>
    <mergeCell ref="S259:W259"/>
    <mergeCell ref="X259:AB259"/>
    <mergeCell ref="AC259:AG259"/>
    <mergeCell ref="D260:H260"/>
    <mergeCell ref="I260:M260"/>
    <mergeCell ref="N260:R260"/>
    <mergeCell ref="S260:W260"/>
    <mergeCell ref="X260:AB260"/>
    <mergeCell ref="AC260:AG260"/>
    <mergeCell ref="D254:AG254"/>
    <mergeCell ref="D256:H257"/>
    <mergeCell ref="I256:AG256"/>
    <mergeCell ref="I257:M257"/>
    <mergeCell ref="N257:R257"/>
    <mergeCell ref="S257:W257"/>
    <mergeCell ref="X257:AB257"/>
    <mergeCell ref="AC257:AG257"/>
    <mergeCell ref="D258:H258"/>
    <mergeCell ref="I258:M258"/>
    <mergeCell ref="N258:R258"/>
    <mergeCell ref="S258:W258"/>
    <mergeCell ref="X258:AB258"/>
    <mergeCell ref="AC258:AG258"/>
    <mergeCell ref="D5:AG8"/>
    <mergeCell ref="D10:AG11"/>
    <mergeCell ref="AI1:AM1"/>
    <mergeCell ref="D25:AG26"/>
    <mergeCell ref="D32:M32"/>
    <mergeCell ref="D31:M31"/>
    <mergeCell ref="D30:M30"/>
    <mergeCell ref="D28:M29"/>
    <mergeCell ref="Y22:AG22"/>
    <mergeCell ref="Y21:AG21"/>
    <mergeCell ref="Y20:AG20"/>
    <mergeCell ref="Y19:AG19"/>
    <mergeCell ref="P19:X19"/>
    <mergeCell ref="P22:X22"/>
    <mergeCell ref="P21:X21"/>
    <mergeCell ref="P20:X20"/>
    <mergeCell ref="D19:O19"/>
    <mergeCell ref="D22:O22"/>
    <mergeCell ref="D21:O21"/>
    <mergeCell ref="D20:O20"/>
    <mergeCell ref="X28:AB29"/>
    <mergeCell ref="AC28:AG29"/>
    <mergeCell ref="N32:R32"/>
    <mergeCell ref="N31:R31"/>
    <mergeCell ref="N30:R30"/>
    <mergeCell ref="N28:W28"/>
    <mergeCell ref="N29:R29"/>
    <mergeCell ref="S29:W29"/>
    <mergeCell ref="D67:AG68"/>
    <mergeCell ref="D48:O48"/>
    <mergeCell ref="D52:O52"/>
    <mergeCell ref="D37:AG41"/>
    <mergeCell ref="D43:AG44"/>
    <mergeCell ref="D55:AG55"/>
    <mergeCell ref="D59:AG60"/>
    <mergeCell ref="D62:AG63"/>
    <mergeCell ref="AC30:AG30"/>
    <mergeCell ref="X35:AB35"/>
    <mergeCell ref="X34:AB34"/>
    <mergeCell ref="X33:AB33"/>
    <mergeCell ref="X32:AB32"/>
    <mergeCell ref="X31:AB31"/>
    <mergeCell ref="X30:AB30"/>
    <mergeCell ref="S35:W35"/>
    <mergeCell ref="S34:W34"/>
    <mergeCell ref="S33:W33"/>
    <mergeCell ref="S32:W32"/>
    <mergeCell ref="S31:W31"/>
    <mergeCell ref="S30:W30"/>
    <mergeCell ref="AC35:AG35"/>
    <mergeCell ref="AC34:AG34"/>
    <mergeCell ref="AC33:AG33"/>
    <mergeCell ref="AC32:AG32"/>
    <mergeCell ref="AC31:AG31"/>
    <mergeCell ref="D35:M35"/>
    <mergeCell ref="D34:M34"/>
    <mergeCell ref="D33:M33"/>
    <mergeCell ref="N35:R35"/>
    <mergeCell ref="N34:R34"/>
    <mergeCell ref="N33:R33"/>
    <mergeCell ref="D84:N84"/>
    <mergeCell ref="O84:S84"/>
    <mergeCell ref="T84:X84"/>
    <mergeCell ref="Y84:AC84"/>
    <mergeCell ref="D85:N85"/>
    <mergeCell ref="O85:S85"/>
    <mergeCell ref="T85:X85"/>
    <mergeCell ref="Y85:AC85"/>
    <mergeCell ref="O83:S83"/>
    <mergeCell ref="T83:X83"/>
    <mergeCell ref="Y83:AC83"/>
    <mergeCell ref="D71:AG72"/>
    <mergeCell ref="D74:AG75"/>
    <mergeCell ref="D88:N88"/>
    <mergeCell ref="O88:S88"/>
    <mergeCell ref="T88:X88"/>
    <mergeCell ref="Y88:AC88"/>
    <mergeCell ref="D79:AG81"/>
    <mergeCell ref="D125:AG126"/>
    <mergeCell ref="D130:AG131"/>
    <mergeCell ref="D133:AG135"/>
    <mergeCell ref="D137:AG137"/>
    <mergeCell ref="D141:AG142"/>
    <mergeCell ref="D144:AG145"/>
    <mergeCell ref="D106:AG107"/>
    <mergeCell ref="D111:AG112"/>
    <mergeCell ref="D115:AG116"/>
    <mergeCell ref="D96:AG96"/>
    <mergeCell ref="D100:AG102"/>
    <mergeCell ref="D90:AG91"/>
    <mergeCell ref="D86:N86"/>
    <mergeCell ref="O86:S86"/>
    <mergeCell ref="T86:X86"/>
    <mergeCell ref="Y86:AC86"/>
    <mergeCell ref="D87:N87"/>
    <mergeCell ref="O87:S87"/>
    <mergeCell ref="T87:X87"/>
    <mergeCell ref="Y87:AC87"/>
    <mergeCell ref="D243:R243"/>
    <mergeCell ref="S243:AG243"/>
    <mergeCell ref="D244:R244"/>
    <mergeCell ref="S244:AG244"/>
    <mergeCell ref="D242:R242"/>
    <mergeCell ref="S242:AG242"/>
    <mergeCell ref="D249:AG250"/>
    <mergeCell ref="D147:AG147"/>
    <mergeCell ref="D151:AG152"/>
    <mergeCell ref="D158:AG160"/>
    <mergeCell ref="D164:AG166"/>
    <mergeCell ref="E168:AG169"/>
    <mergeCell ref="E171:AG172"/>
    <mergeCell ref="E174:AG174"/>
    <mergeCell ref="D176:AG176"/>
    <mergeCell ref="D156:AG156"/>
    <mergeCell ref="D199:G199"/>
    <mergeCell ref="H197:J197"/>
    <mergeCell ref="K197:M197"/>
    <mergeCell ref="N197:P197"/>
    <mergeCell ref="Q197:S197"/>
    <mergeCell ref="AF197:AH197"/>
    <mergeCell ref="AC197:AE197"/>
    <mergeCell ref="D203:G203"/>
    <mergeCell ref="D202:G202"/>
    <mergeCell ref="H202:J202"/>
    <mergeCell ref="K202:M202"/>
    <mergeCell ref="N202:P202"/>
    <mergeCell ref="Q202:S202"/>
    <mergeCell ref="T202:V202"/>
    <mergeCell ref="W202:Y202"/>
    <mergeCell ref="Z202:AB202"/>
    <mergeCell ref="D543:M543"/>
    <mergeCell ref="N543:W543"/>
    <mergeCell ref="X543:AG543"/>
    <mergeCell ref="D544:M544"/>
    <mergeCell ref="N544:W544"/>
    <mergeCell ref="X544:AG544"/>
    <mergeCell ref="D560:M560"/>
    <mergeCell ref="N560:W560"/>
    <mergeCell ref="X560:AG560"/>
    <mergeCell ref="D549:M549"/>
    <mergeCell ref="N549:W549"/>
    <mergeCell ref="X549:AG549"/>
    <mergeCell ref="D550:M550"/>
    <mergeCell ref="N550:W550"/>
    <mergeCell ref="X550:AG550"/>
    <mergeCell ref="D551:M551"/>
    <mergeCell ref="N551:W551"/>
    <mergeCell ref="X551:AG551"/>
    <mergeCell ref="D552:M552"/>
    <mergeCell ref="N552:W552"/>
    <mergeCell ref="X552:AG552"/>
    <mergeCell ref="D553:M553"/>
    <mergeCell ref="N553:W553"/>
    <mergeCell ref="D545:M545"/>
    <mergeCell ref="N545:W545"/>
    <mergeCell ref="X545:AG545"/>
    <mergeCell ref="D546:M546"/>
    <mergeCell ref="N546:W546"/>
    <mergeCell ref="X546:AG546"/>
    <mergeCell ref="D547:M547"/>
    <mergeCell ref="N547:W547"/>
    <mergeCell ref="X547:AG547"/>
    <mergeCell ref="D567:M567"/>
    <mergeCell ref="N567:W567"/>
    <mergeCell ref="X567:AG567"/>
    <mergeCell ref="D568:M568"/>
    <mergeCell ref="N568:W568"/>
    <mergeCell ref="X568:AG568"/>
    <mergeCell ref="D569:M569"/>
    <mergeCell ref="N569:W569"/>
    <mergeCell ref="X569:AG569"/>
    <mergeCell ref="D561:M561"/>
    <mergeCell ref="N561:W561"/>
    <mergeCell ref="X561:AG561"/>
    <mergeCell ref="D562:M562"/>
    <mergeCell ref="N562:W562"/>
    <mergeCell ref="X562:AG562"/>
    <mergeCell ref="D563:M563"/>
    <mergeCell ref="N563:W563"/>
    <mergeCell ref="X563:AG563"/>
    <mergeCell ref="D564:M564"/>
    <mergeCell ref="N564:W564"/>
    <mergeCell ref="X564:AG564"/>
    <mergeCell ref="D565:M565"/>
    <mergeCell ref="N565:W565"/>
    <mergeCell ref="X565:AG565"/>
    <mergeCell ref="D566:M566"/>
    <mergeCell ref="N566:W566"/>
    <mergeCell ref="X566:AG566"/>
    <mergeCell ref="X553:AG553"/>
    <mergeCell ref="D554:M554"/>
    <mergeCell ref="N554:W554"/>
    <mergeCell ref="X554:AG554"/>
    <mergeCell ref="D555:M555"/>
    <mergeCell ref="N555:W555"/>
    <mergeCell ref="X555:AG555"/>
    <mergeCell ref="D556:M556"/>
    <mergeCell ref="N556:W556"/>
    <mergeCell ref="X556:AG556"/>
    <mergeCell ref="D557:M557"/>
    <mergeCell ref="N557:W557"/>
    <mergeCell ref="X557:AG557"/>
    <mergeCell ref="D558:M558"/>
    <mergeCell ref="N558:W558"/>
    <mergeCell ref="X558:AG558"/>
    <mergeCell ref="D559:M559"/>
    <mergeCell ref="N559:W559"/>
    <mergeCell ref="X559:AG559"/>
    <mergeCell ref="D573:AG573"/>
    <mergeCell ref="D575:AG575"/>
    <mergeCell ref="D577:O577"/>
    <mergeCell ref="P577:X577"/>
    <mergeCell ref="Y577:AG577"/>
    <mergeCell ref="D583:O583"/>
    <mergeCell ref="D582:O582"/>
    <mergeCell ref="D581:O581"/>
    <mergeCell ref="D580:O580"/>
    <mergeCell ref="D579:O579"/>
    <mergeCell ref="D578:O578"/>
    <mergeCell ref="P580:X580"/>
    <mergeCell ref="P579:X579"/>
    <mergeCell ref="P578:X578"/>
    <mergeCell ref="P581:X581"/>
    <mergeCell ref="P582:X582"/>
    <mergeCell ref="P583:X583"/>
    <mergeCell ref="Y578:AG578"/>
    <mergeCell ref="Y579:AG579"/>
    <mergeCell ref="Y580:AG580"/>
    <mergeCell ref="Y581:AG581"/>
    <mergeCell ref="Y582:AG582"/>
    <mergeCell ref="Y583:AG583"/>
    <mergeCell ref="J597:M597"/>
    <mergeCell ref="N597:Q597"/>
    <mergeCell ref="R597:U597"/>
    <mergeCell ref="V597:Y597"/>
    <mergeCell ref="Z597:AC597"/>
    <mergeCell ref="AD597:AG597"/>
    <mergeCell ref="AD599:AG599"/>
    <mergeCell ref="D586:AG586"/>
    <mergeCell ref="D588:I590"/>
    <mergeCell ref="J590:M590"/>
    <mergeCell ref="N590:Q590"/>
    <mergeCell ref="R590:U590"/>
    <mergeCell ref="V590:Y590"/>
    <mergeCell ref="Z590:AC590"/>
    <mergeCell ref="AD590:AG590"/>
    <mergeCell ref="D591:I591"/>
    <mergeCell ref="J591:M591"/>
    <mergeCell ref="N591:Q591"/>
    <mergeCell ref="R591:U591"/>
    <mergeCell ref="V591:Y591"/>
    <mergeCell ref="Z591:AC591"/>
    <mergeCell ref="AD591:AG591"/>
    <mergeCell ref="D592:I592"/>
    <mergeCell ref="J592:M592"/>
    <mergeCell ref="N592:Q592"/>
    <mergeCell ref="R592:U592"/>
    <mergeCell ref="V592:Y592"/>
    <mergeCell ref="Z592:AC592"/>
    <mergeCell ref="AD592:AG592"/>
    <mergeCell ref="V588:AG589"/>
    <mergeCell ref="J588:U589"/>
    <mergeCell ref="D593:I593"/>
    <mergeCell ref="D594:I594"/>
    <mergeCell ref="D598:I598"/>
    <mergeCell ref="D599:I599"/>
    <mergeCell ref="D600:I600"/>
    <mergeCell ref="D601:I601"/>
    <mergeCell ref="D602:I602"/>
    <mergeCell ref="J593:M593"/>
    <mergeCell ref="N593:Q593"/>
    <mergeCell ref="R593:U593"/>
    <mergeCell ref="V593:Y593"/>
    <mergeCell ref="Z593:AC593"/>
    <mergeCell ref="AD593:AG593"/>
    <mergeCell ref="J594:M594"/>
    <mergeCell ref="N594:Q594"/>
    <mergeCell ref="R594:U594"/>
    <mergeCell ref="V594:Y594"/>
    <mergeCell ref="Z594:AC594"/>
    <mergeCell ref="AD594:AG594"/>
    <mergeCell ref="J598:M598"/>
    <mergeCell ref="N598:Q598"/>
    <mergeCell ref="R598:U598"/>
    <mergeCell ref="V598:Y598"/>
    <mergeCell ref="Z628:AG628"/>
    <mergeCell ref="D631:L631"/>
    <mergeCell ref="M631:Q631"/>
    <mergeCell ref="R631:Y631"/>
    <mergeCell ref="Z631:AG631"/>
    <mergeCell ref="Z630:AG630"/>
    <mergeCell ref="D630:L630"/>
    <mergeCell ref="M630:Q630"/>
    <mergeCell ref="R630:Y630"/>
    <mergeCell ref="Z641:AG641"/>
    <mergeCell ref="Z635:AG635"/>
    <mergeCell ref="Z636:AG636"/>
    <mergeCell ref="D635:Y635"/>
    <mergeCell ref="N600:Q600"/>
    <mergeCell ref="R600:U600"/>
    <mergeCell ref="V600:Y600"/>
    <mergeCell ref="Z600:AC600"/>
    <mergeCell ref="AD600:AG600"/>
    <mergeCell ref="J601:M601"/>
    <mergeCell ref="N601:Q601"/>
    <mergeCell ref="R601:U601"/>
    <mergeCell ref="V601:Y601"/>
    <mergeCell ref="Z601:AC601"/>
    <mergeCell ref="AD601:AG601"/>
    <mergeCell ref="D617:L617"/>
    <mergeCell ref="M617:Q617"/>
    <mergeCell ref="R617:Y617"/>
    <mergeCell ref="Z617:AG617"/>
    <mergeCell ref="D618:L618"/>
    <mergeCell ref="M618:Q618"/>
    <mergeCell ref="R618:Y618"/>
    <mergeCell ref="Z618:AG618"/>
    <mergeCell ref="D627:L627"/>
    <mergeCell ref="M627:Q627"/>
    <mergeCell ref="R627:Y627"/>
    <mergeCell ref="Z627:AG627"/>
    <mergeCell ref="D629:L629"/>
    <mergeCell ref="M629:Q629"/>
    <mergeCell ref="R629:Y629"/>
    <mergeCell ref="Z629:AG629"/>
    <mergeCell ref="Z623:AG623"/>
    <mergeCell ref="D624:L624"/>
    <mergeCell ref="M624:Q624"/>
    <mergeCell ref="R624:Y624"/>
    <mergeCell ref="Z624:AG624"/>
    <mergeCell ref="D625:L625"/>
    <mergeCell ref="M625:Q625"/>
    <mergeCell ref="R625:Y625"/>
    <mergeCell ref="Z625:AG625"/>
    <mergeCell ref="D626:L626"/>
    <mergeCell ref="M626:Q626"/>
    <mergeCell ref="R626:Y626"/>
    <mergeCell ref="Z626:AG626"/>
    <mergeCell ref="D628:L628"/>
    <mergeCell ref="M628:Q628"/>
    <mergeCell ref="R628:Y628"/>
    <mergeCell ref="S401:W401"/>
    <mergeCell ref="X401:AB401"/>
    <mergeCell ref="AC401:AG401"/>
    <mergeCell ref="D401:H401"/>
    <mergeCell ref="D612:AG612"/>
    <mergeCell ref="D613:L614"/>
    <mergeCell ref="M613:Q614"/>
    <mergeCell ref="R613:AG613"/>
    <mergeCell ref="R614:Y614"/>
    <mergeCell ref="Z614:AG614"/>
    <mergeCell ref="D615:L615"/>
    <mergeCell ref="M615:Q615"/>
    <mergeCell ref="R615:Y615"/>
    <mergeCell ref="Z615:AG615"/>
    <mergeCell ref="D616:L616"/>
    <mergeCell ref="M616:Q616"/>
    <mergeCell ref="R616:Y616"/>
    <mergeCell ref="Z616:AG616"/>
    <mergeCell ref="J602:M602"/>
    <mergeCell ref="N602:Q602"/>
    <mergeCell ref="R602:U602"/>
    <mergeCell ref="V602:Y602"/>
    <mergeCell ref="Z602:AC602"/>
    <mergeCell ref="AD602:AG602"/>
    <mergeCell ref="Z598:AC598"/>
    <mergeCell ref="AD598:AG598"/>
    <mergeCell ref="J599:M599"/>
    <mergeCell ref="N599:Q599"/>
    <mergeCell ref="R599:U599"/>
    <mergeCell ref="V599:Y599"/>
    <mergeCell ref="Z599:AC599"/>
    <mergeCell ref="J600:M600"/>
    <mergeCell ref="D636:Y636"/>
    <mergeCell ref="D637:Y637"/>
    <mergeCell ref="D638:Y638"/>
    <mergeCell ref="D639:Y639"/>
    <mergeCell ref="D640:Y640"/>
    <mergeCell ref="D641:Y641"/>
    <mergeCell ref="D642:Y642"/>
    <mergeCell ref="Z637:AG637"/>
    <mergeCell ref="D633:AG633"/>
    <mergeCell ref="D619:L619"/>
    <mergeCell ref="M619:Q619"/>
    <mergeCell ref="R619:Y619"/>
    <mergeCell ref="Z619:AG619"/>
    <mergeCell ref="D620:L620"/>
    <mergeCell ref="M620:Q620"/>
    <mergeCell ref="R620:Y620"/>
    <mergeCell ref="Z620:AG620"/>
    <mergeCell ref="D621:L621"/>
    <mergeCell ref="M621:Q621"/>
    <mergeCell ref="R621:Y621"/>
    <mergeCell ref="Z621:AG621"/>
    <mergeCell ref="D622:L622"/>
    <mergeCell ref="M622:Q622"/>
    <mergeCell ref="R622:Y622"/>
    <mergeCell ref="Z622:AG622"/>
    <mergeCell ref="D623:L623"/>
    <mergeCell ref="M623:Q623"/>
    <mergeCell ref="R623:Y623"/>
    <mergeCell ref="Z642:AG642"/>
    <mergeCell ref="Z638:AG638"/>
    <mergeCell ref="Z639:AG639"/>
    <mergeCell ref="Z640:AG640"/>
  </mergeCells>
  <conditionalFormatting sqref="AM258:AM263 AI263:AM263">
    <cfRule type="cellIs" dxfId="279" priority="349" operator="lessThan">
      <formula>0</formula>
    </cfRule>
    <cfRule type="cellIs" dxfId="278" priority="350" operator="greaterThan">
      <formula>0</formula>
    </cfRule>
    <cfRule type="cellIs" dxfId="277" priority="351" operator="lessThan">
      <formula>0</formula>
    </cfRule>
    <cfRule type="cellIs" dxfId="276" priority="352" operator="greaterThan">
      <formula>0</formula>
    </cfRule>
  </conditionalFormatting>
  <conditionalFormatting sqref="AO270:AO276 AI199:AQ216 AI222:AQ239 AS199:BA215 BC203:BK216 BC239:BK239 AO278:AO285 AL542:AM569">
    <cfRule type="cellIs" dxfId="275" priority="335" operator="lessThan">
      <formula>0</formula>
    </cfRule>
    <cfRule type="cellIs" dxfId="274" priority="336" operator="greaterThan">
      <formula>0</formula>
    </cfRule>
  </conditionalFormatting>
  <conditionalFormatting sqref="AK271:AM276 AM278:AM279 AL290:AM293 AL302:AM304 AO304:AP304 AL314:AM324 AO314:AP324 AM363:AM374 AO648:AO662 AL648:AM665 AM672:AM689 AO672:AO686 AL462:AM464 AO464:AP464 AI486:AN488 AL533:AM533 AO527:AP533 AO542:AP553 AL552:AM552 AO591:AP602 AL419:AM424 AO419:AP424 AL382:AL395 AM382:AM390 AO382:AO384 AM395:AM403 AO395:AO397 AL476:AM476 AO476:AP476 AK280:AM285 AO516:AP521 AM542:AM569">
    <cfRule type="cellIs" dxfId="273" priority="272" operator="lessThan">
      <formula>0</formula>
    </cfRule>
    <cfRule type="cellIs" dxfId="272" priority="273" operator="greaterThan">
      <formula>0</formula>
    </cfRule>
  </conditionalFormatting>
  <conditionalFormatting sqref="AO290:AP293">
    <cfRule type="cellIs" dxfId="271" priority="274" operator="greaterThan">
      <formula>0</formula>
    </cfRule>
    <cfRule type="cellIs" dxfId="270" priority="275" operator="lessThan">
      <formula>0</formula>
    </cfRule>
    <cfRule type="cellIs" dxfId="269" priority="276" operator="greaterThan">
      <formula>0</formula>
    </cfRule>
    <cfRule type="cellIs" dxfId="268" priority="353" operator="lessThan">
      <formula>0</formula>
    </cfRule>
  </conditionalFormatting>
  <conditionalFormatting sqref="AO290:AP293 AL542:AM568">
    <cfRule type="cellIs" priority="354" stopIfTrue="1" operator="greaterThan">
      <formula>0</formula>
    </cfRule>
  </conditionalFormatting>
  <conditionalFormatting sqref="AO300:AP304 AM382:AM391 AM395:AM403">
    <cfRule type="cellIs" dxfId="267" priority="263" operator="lessThan">
      <formula>0</formula>
    </cfRule>
    <cfRule type="cellIs" dxfId="266" priority="264" operator="greaterThan">
      <formula>0</formula>
    </cfRule>
    <cfRule type="cellIs" priority="265" stopIfTrue="1" operator="greaterThan">
      <formula>0</formula>
    </cfRule>
    <cfRule type="cellIs" priority="266" stopIfTrue="1" operator="greaterThan">
      <formula>0</formula>
    </cfRule>
    <cfRule type="cellIs" priority="267" stopIfTrue="1" operator="greaterThan">
      <formula>0</formula>
    </cfRule>
  </conditionalFormatting>
  <conditionalFormatting sqref="AI488:AN488">
    <cfRule type="cellIs" dxfId="265" priority="241" operator="lessThan">
      <formula>0</formula>
    </cfRule>
    <cfRule type="cellIs" dxfId="264" priority="242" operator="greaterThan">
      <formula>0</formula>
    </cfRule>
  </conditionalFormatting>
  <conditionalFormatting sqref="AO542:AP567">
    <cfRule type="cellIs" dxfId="263" priority="154" operator="lessThan">
      <formula>0</formula>
    </cfRule>
    <cfRule type="cellIs" dxfId="262" priority="155" operator="greaterThan">
      <formula>0</formula>
    </cfRule>
    <cfRule type="cellIs" priority="156" stopIfTrue="1" operator="greaterThan">
      <formula>0</formula>
    </cfRule>
  </conditionalFormatting>
  <pageMargins left="0.70866141732283472" right="0.23622047244094491" top="0.70866141732283472" bottom="0.70866141732283472" header="0.31496062992125984" footer="0.35433070866141736"/>
  <pageSetup paperSize="9" scale="74" orientation="portrait" blackAndWhite="1" r:id="rId1"/>
  <headerFooter>
    <oddHeader xml:space="preserve">&amp;L&amp;"Arial,Tučné"&amp;10Carat - Slovakia, s.r.o. 
Poznámky individuálnej účtovnej závierky zostavenej k 31. decembru 2013&amp;C
</oddHeader>
    <oddFooter>&amp;C&amp;P
Neoddeliteľnou súčasťou účtovnej závierky je súvaha, výkaz ziskov a strát a poznámky.</oddFooter>
  </headerFooter>
  <rowBreaks count="12" manualBreakCount="12">
    <brk id="56" min="1" max="33" man="1"/>
    <brk id="126" min="1" max="33" man="1"/>
    <brk id="189" min="1" max="33" man="1"/>
    <brk id="246" min="1" max="33" man="1"/>
    <brk id="285" min="1" max="33" man="1"/>
    <brk id="348" min="1" max="33" man="1"/>
    <brk id="416" min="1" max="33" man="1"/>
    <brk id="469" min="1" max="33" man="1"/>
    <brk id="521" min="1" max="33" man="1"/>
    <brk id="572" min="1" max="33" man="1"/>
    <brk id="608" min="1" max="33" man="1"/>
    <brk id="665" min="1" max="3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I10"/>
  <sheetViews>
    <sheetView showGridLines="0" zoomScaleNormal="100" workbookViewId="0">
      <selection activeCell="H9" sqref="H2:I9"/>
    </sheetView>
  </sheetViews>
  <sheetFormatPr defaultRowHeight="15" x14ac:dyDescent="0.25"/>
  <cols>
    <col min="1" max="1" width="33" customWidth="1"/>
    <col min="2" max="3" width="26.7109375" customWidth="1"/>
    <col min="4" max="4" width="14.140625" customWidth="1"/>
    <col min="5" max="5" width="27.85546875" style="386" customWidth="1"/>
    <col min="6" max="6" width="27.85546875" style="391" customWidth="1"/>
    <col min="7" max="7" width="10.42578125" customWidth="1"/>
    <col min="8" max="8" width="23.140625" style="386" customWidth="1"/>
    <col min="9" max="9" width="23.140625" style="391" customWidth="1"/>
  </cols>
  <sheetData>
    <row r="1" spans="1:9" ht="17.25" thickBot="1" x14ac:dyDescent="0.35">
      <c r="A1" s="1" t="s">
        <v>478</v>
      </c>
      <c r="E1" s="1437" t="s">
        <v>1138</v>
      </c>
      <c r="F1" s="1439"/>
      <c r="H1" s="1437" t="s">
        <v>1140</v>
      </c>
      <c r="I1" s="1439"/>
    </row>
    <row r="2" spans="1:9" ht="21.75" customHeight="1" thickTop="1" thickBot="1" x14ac:dyDescent="0.3">
      <c r="A2" s="59" t="s">
        <v>131</v>
      </c>
      <c r="B2" s="38" t="s">
        <v>2</v>
      </c>
      <c r="C2" s="38" t="s">
        <v>3</v>
      </c>
      <c r="E2" s="59" t="s">
        <v>2</v>
      </c>
      <c r="F2" s="177" t="s">
        <v>3</v>
      </c>
      <c r="H2" s="59" t="s">
        <v>2</v>
      </c>
      <c r="I2" s="177" t="s">
        <v>3</v>
      </c>
    </row>
    <row r="3" spans="1:9" ht="21.75" customHeight="1" thickTop="1" thickBot="1" x14ac:dyDescent="0.3">
      <c r="A3" s="103" t="s">
        <v>234</v>
      </c>
      <c r="B3" s="79"/>
      <c r="C3" s="80"/>
    </row>
    <row r="4" spans="1:9" ht="21.75" customHeight="1" thickBot="1" x14ac:dyDescent="0.3">
      <c r="A4" s="71" t="s">
        <v>235</v>
      </c>
      <c r="B4" s="79"/>
      <c r="C4" s="80"/>
    </row>
    <row r="5" spans="1:9" ht="21.75" customHeight="1" thickBot="1" x14ac:dyDescent="0.3">
      <c r="A5" s="71" t="s">
        <v>236</v>
      </c>
      <c r="B5" s="79"/>
      <c r="C5" s="80"/>
    </row>
    <row r="6" spans="1:9" ht="21.75" customHeight="1" thickBot="1" x14ac:dyDescent="0.3">
      <c r="A6" s="71" t="s">
        <v>237</v>
      </c>
      <c r="B6" s="79"/>
      <c r="C6" s="80"/>
    </row>
    <row r="7" spans="1:9" ht="21.75" customHeight="1" thickBot="1" x14ac:dyDescent="0.3">
      <c r="A7" s="103" t="s">
        <v>238</v>
      </c>
      <c r="B7" s="79">
        <f>SUM(B4:B6)</f>
        <v>0</v>
      </c>
      <c r="C7" s="80">
        <f>SUM(C4:C6)</f>
        <v>0</v>
      </c>
      <c r="E7" s="389">
        <f>SUM(B4:B6)-B7</f>
        <v>0</v>
      </c>
      <c r="F7" s="392">
        <f>SUM(C4:C6)-C7</f>
        <v>0</v>
      </c>
    </row>
    <row r="8" spans="1:9" ht="21.75" customHeight="1" thickBot="1" x14ac:dyDescent="0.3">
      <c r="A8" s="103" t="s">
        <v>239</v>
      </c>
      <c r="B8" s="79"/>
      <c r="C8" s="80"/>
    </row>
    <row r="9" spans="1:9" ht="21.75" customHeight="1" thickBot="1" x14ac:dyDescent="0.3">
      <c r="A9" s="72" t="s">
        <v>240</v>
      </c>
      <c r="B9" s="85">
        <f>B3+B7+B8</f>
        <v>0</v>
      </c>
      <c r="C9" s="78">
        <f>C3+C7+C8</f>
        <v>0</v>
      </c>
      <c r="E9" s="389">
        <f>B3+B7+B8-B9</f>
        <v>0</v>
      </c>
      <c r="F9" s="392">
        <f>C3+C7+C8-C9</f>
        <v>0</v>
      </c>
      <c r="H9" s="389">
        <f>B9-BS!$D$118</f>
        <v>-1201</v>
      </c>
      <c r="I9" s="392">
        <f>C9-BS!$E$118</f>
        <v>-849</v>
      </c>
    </row>
    <row r="10" spans="1:9" ht="17.25" thickTop="1" x14ac:dyDescent="0.3">
      <c r="A10" s="2"/>
    </row>
  </sheetData>
  <mergeCells count="2">
    <mergeCell ref="E1:F1"/>
    <mergeCell ref="H1:I1"/>
  </mergeCells>
  <conditionalFormatting sqref="E7:F9">
    <cfRule type="cellIs" dxfId="41" priority="4" operator="lessThan">
      <formula>0</formula>
    </cfRule>
    <cfRule type="cellIs" dxfId="40" priority="5" operator="greaterThan">
      <formula>0</formula>
    </cfRule>
  </conditionalFormatting>
  <conditionalFormatting sqref="H1">
    <cfRule type="cellIs" priority="3" stopIfTrue="1" operator="greaterThan">
      <formula>0</formula>
    </cfRule>
  </conditionalFormatting>
  <conditionalFormatting sqref="H9:I9">
    <cfRule type="cellIs" dxfId="39" priority="1" operator="lessThan">
      <formula>0</formula>
    </cfRule>
    <cfRule type="cellIs" dxfId="38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F7"/>
  <sheetViews>
    <sheetView showGridLines="0" zoomScaleNormal="100" workbookViewId="0">
      <selection activeCell="B27" sqref="B27"/>
    </sheetView>
  </sheetViews>
  <sheetFormatPr defaultRowHeight="15" x14ac:dyDescent="0.25"/>
  <cols>
    <col min="1" max="6" width="14.42578125" customWidth="1"/>
    <col min="7" max="7" width="23.28515625" customWidth="1"/>
  </cols>
  <sheetData>
    <row r="1" spans="1:6" ht="17.25" thickBot="1" x14ac:dyDescent="0.35">
      <c r="A1" s="1" t="s">
        <v>479</v>
      </c>
    </row>
    <row r="2" spans="1:6" s="4" customFormat="1" ht="21.75" customHeight="1" thickTop="1" thickBot="1" x14ac:dyDescent="0.3">
      <c r="A2" s="59" t="s">
        <v>241</v>
      </c>
      <c r="B2" s="38" t="s">
        <v>242</v>
      </c>
      <c r="C2" s="38" t="s">
        <v>243</v>
      </c>
      <c r="D2" s="38" t="s">
        <v>244</v>
      </c>
      <c r="E2" s="38" t="s">
        <v>245</v>
      </c>
      <c r="F2" s="38" t="s">
        <v>184</v>
      </c>
    </row>
    <row r="3" spans="1:6" ht="21.75" customHeight="1" thickTop="1" thickBot="1" x14ac:dyDescent="0.3">
      <c r="A3" s="108"/>
      <c r="B3" s="106"/>
      <c r="C3" s="79"/>
      <c r="D3" s="79"/>
      <c r="E3" s="79"/>
      <c r="F3" s="80"/>
    </row>
    <row r="4" spans="1:6" ht="21.75" customHeight="1" thickBot="1" x14ac:dyDescent="0.3">
      <c r="A4" s="108"/>
      <c r="B4" s="106"/>
      <c r="C4" s="79"/>
      <c r="D4" s="79"/>
      <c r="E4" s="79"/>
      <c r="F4" s="80"/>
    </row>
    <row r="5" spans="1:6" ht="21.75" customHeight="1" thickBot="1" x14ac:dyDescent="0.3">
      <c r="A5" s="108"/>
      <c r="B5" s="106"/>
      <c r="C5" s="79"/>
      <c r="D5" s="79"/>
      <c r="E5" s="79"/>
      <c r="F5" s="80"/>
    </row>
    <row r="6" spans="1:6" ht="21.75" customHeight="1" thickBot="1" x14ac:dyDescent="0.3">
      <c r="A6" s="109"/>
      <c r="B6" s="107"/>
      <c r="C6" s="85"/>
      <c r="D6" s="85"/>
      <c r="E6" s="85"/>
      <c r="F6" s="78"/>
    </row>
    <row r="7" spans="1:6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rgb="FFFFFF00"/>
  </sheetPr>
  <dimension ref="A1:I26"/>
  <sheetViews>
    <sheetView showGridLines="0" topLeftCell="A10" zoomScaleNormal="100" workbookViewId="0">
      <selection activeCell="H19" sqref="H19:I19"/>
    </sheetView>
  </sheetViews>
  <sheetFormatPr defaultRowHeight="11.25" x14ac:dyDescent="0.25"/>
  <cols>
    <col min="1" max="1" width="23" style="20" customWidth="1"/>
    <col min="2" max="2" width="8.28515625" style="20" customWidth="1"/>
    <col min="3" max="6" width="13.85546875" style="20" customWidth="1"/>
    <col min="7" max="7" width="23.28515625" style="20" customWidth="1"/>
    <col min="8" max="8" width="18.28515625" style="408" customWidth="1"/>
    <col min="9" max="9" width="18.28515625" style="407" customWidth="1"/>
    <col min="10" max="16384" width="9.140625" style="20"/>
  </cols>
  <sheetData>
    <row r="1" spans="1:9" ht="15" x14ac:dyDescent="0.25">
      <c r="A1" s="99" t="s">
        <v>480</v>
      </c>
      <c r="H1" s="1431" t="s">
        <v>1140</v>
      </c>
      <c r="I1" s="1433"/>
    </row>
    <row r="2" spans="1:9" ht="12" thickBot="1" x14ac:dyDescent="0.3">
      <c r="A2" s="20" t="s">
        <v>8</v>
      </c>
    </row>
    <row r="3" spans="1:9" ht="66.75" customHeight="1" thickTop="1" thickBot="1" x14ac:dyDescent="0.3">
      <c r="A3" s="19" t="s">
        <v>131</v>
      </c>
      <c r="B3" s="19" t="s">
        <v>246</v>
      </c>
      <c r="C3" s="50" t="s">
        <v>477</v>
      </c>
      <c r="D3" s="19" t="s">
        <v>247</v>
      </c>
      <c r="E3" s="19" t="s">
        <v>248</v>
      </c>
      <c r="F3" s="19" t="s">
        <v>249</v>
      </c>
      <c r="H3" s="59" t="s">
        <v>248</v>
      </c>
      <c r="I3" s="59" t="s">
        <v>249</v>
      </c>
    </row>
    <row r="4" spans="1:9" ht="21.75" customHeight="1" thickTop="1" thickBot="1" x14ac:dyDescent="0.3">
      <c r="A4" s="52" t="s">
        <v>250</v>
      </c>
      <c r="B4" s="87"/>
      <c r="C4" s="87"/>
      <c r="D4" s="87"/>
      <c r="E4" s="87"/>
      <c r="F4" s="83"/>
      <c r="H4" s="418">
        <f>SUM(E5:E7)-BS!$D$134</f>
        <v>0</v>
      </c>
      <c r="I4" s="416">
        <f>SUM(F5:F7)-BS!$E$134</f>
        <v>0</v>
      </c>
    </row>
    <row r="5" spans="1:9" ht="21.75" customHeight="1" thickTop="1" thickBot="1" x14ac:dyDescent="0.3">
      <c r="A5" s="71"/>
      <c r="B5" s="110"/>
      <c r="C5" s="113"/>
      <c r="D5" s="117"/>
      <c r="E5" s="79"/>
      <c r="F5" s="80"/>
    </row>
    <row r="6" spans="1:9" ht="21.75" customHeight="1" thickBot="1" x14ac:dyDescent="0.3">
      <c r="A6" s="71"/>
      <c r="B6" s="110"/>
      <c r="C6" s="113"/>
      <c r="D6" s="93"/>
      <c r="E6" s="79"/>
      <c r="F6" s="80"/>
    </row>
    <row r="7" spans="1:9" ht="21.75" customHeight="1" thickBot="1" x14ac:dyDescent="0.3">
      <c r="A7" s="71"/>
      <c r="B7" s="110"/>
      <c r="C7" s="113"/>
      <c r="D7" s="93"/>
      <c r="E7" s="79"/>
      <c r="F7" s="80"/>
    </row>
    <row r="8" spans="1:9" ht="21.75" customHeight="1" thickBot="1" x14ac:dyDescent="0.3">
      <c r="A8" s="100" t="s">
        <v>251</v>
      </c>
      <c r="B8" s="111"/>
      <c r="C8" s="114"/>
      <c r="D8" s="114"/>
      <c r="E8" s="114"/>
      <c r="F8" s="115"/>
      <c r="H8" s="418">
        <f>SUM(E9:E11)-BS!$D$135</f>
        <v>0</v>
      </c>
      <c r="I8" s="416">
        <f>SUM(F9:F11)-BS!$E$135</f>
        <v>0</v>
      </c>
    </row>
    <row r="9" spans="1:9" ht="21.75" customHeight="1" thickTop="1" thickBot="1" x14ac:dyDescent="0.3">
      <c r="A9" s="71"/>
      <c r="B9" s="110"/>
      <c r="C9" s="113"/>
      <c r="D9" s="93"/>
      <c r="E9" s="79"/>
      <c r="F9" s="80"/>
    </row>
    <row r="10" spans="1:9" ht="21.75" customHeight="1" thickBot="1" x14ac:dyDescent="0.3">
      <c r="A10" s="71"/>
      <c r="B10" s="110"/>
      <c r="C10" s="113"/>
      <c r="D10" s="93"/>
      <c r="E10" s="79"/>
      <c r="F10" s="80"/>
    </row>
    <row r="11" spans="1:9" ht="21.75" customHeight="1" thickBot="1" x14ac:dyDescent="0.3">
      <c r="A11" s="72"/>
      <c r="B11" s="112"/>
      <c r="C11" s="116"/>
      <c r="D11" s="95"/>
      <c r="E11" s="85"/>
      <c r="F11" s="78"/>
    </row>
    <row r="12" spans="1:9" ht="12" thickTop="1" x14ac:dyDescent="0.25">
      <c r="A12" s="99"/>
    </row>
    <row r="13" spans="1:9" ht="12" thickBot="1" x14ac:dyDescent="0.3">
      <c r="A13" s="20" t="s">
        <v>15</v>
      </c>
    </row>
    <row r="14" spans="1:9" ht="66.75" customHeight="1" thickTop="1" thickBot="1" x14ac:dyDescent="0.3">
      <c r="A14" s="19" t="s">
        <v>131</v>
      </c>
      <c r="B14" s="19" t="s">
        <v>246</v>
      </c>
      <c r="C14" s="50" t="s">
        <v>477</v>
      </c>
      <c r="D14" s="19" t="s">
        <v>247</v>
      </c>
      <c r="E14" s="19" t="s">
        <v>248</v>
      </c>
      <c r="F14" s="19" t="s">
        <v>249</v>
      </c>
    </row>
    <row r="15" spans="1:9" ht="21.75" customHeight="1" thickTop="1" thickBot="1" x14ac:dyDescent="0.3">
      <c r="A15" s="52" t="s">
        <v>474</v>
      </c>
      <c r="B15" s="87"/>
      <c r="C15" s="87"/>
      <c r="D15" s="87"/>
      <c r="E15" s="87"/>
      <c r="F15" s="83"/>
      <c r="H15" s="419"/>
      <c r="I15" s="417"/>
    </row>
    <row r="16" spans="1:9" ht="21.75" customHeight="1" thickTop="1" thickBot="1" x14ac:dyDescent="0.3">
      <c r="A16" s="71"/>
      <c r="B16" s="110"/>
      <c r="C16" s="113"/>
      <c r="D16" s="93"/>
      <c r="E16" s="79"/>
      <c r="F16" s="80"/>
    </row>
    <row r="17" spans="1:9" ht="21.75" customHeight="1" thickBot="1" x14ac:dyDescent="0.3">
      <c r="A17" s="71"/>
      <c r="B17" s="110"/>
      <c r="C17" s="113"/>
      <c r="D17" s="93"/>
      <c r="E17" s="79"/>
      <c r="F17" s="80"/>
    </row>
    <row r="18" spans="1:9" ht="21.75" customHeight="1" thickBot="1" x14ac:dyDescent="0.3">
      <c r="A18" s="71"/>
      <c r="B18" s="110"/>
      <c r="C18" s="113"/>
      <c r="D18" s="93"/>
      <c r="E18" s="79"/>
      <c r="F18" s="80"/>
    </row>
    <row r="19" spans="1:9" ht="21.75" customHeight="1" thickBot="1" x14ac:dyDescent="0.3">
      <c r="A19" s="100" t="s">
        <v>475</v>
      </c>
      <c r="B19" s="111"/>
      <c r="C19" s="114"/>
      <c r="D19" s="114"/>
      <c r="E19" s="114"/>
      <c r="F19" s="115"/>
      <c r="H19" s="418">
        <f>SUM(E20:E22,E24:E25)-BS!$D$132</f>
        <v>0</v>
      </c>
      <c r="I19" s="416">
        <f>SUM(F20:F22,F24:F25)-BS!$E$132</f>
        <v>0</v>
      </c>
    </row>
    <row r="20" spans="1:9" ht="21.75" customHeight="1" thickTop="1" thickBot="1" x14ac:dyDescent="0.3">
      <c r="A20" s="71"/>
      <c r="B20" s="110"/>
      <c r="C20" s="113"/>
      <c r="D20" s="93"/>
      <c r="E20" s="79"/>
      <c r="F20" s="80"/>
    </row>
    <row r="21" spans="1:9" ht="21.75" customHeight="1" thickBot="1" x14ac:dyDescent="0.3">
      <c r="A21" s="71"/>
      <c r="B21" s="110"/>
      <c r="C21" s="113"/>
      <c r="D21" s="93"/>
      <c r="E21" s="79"/>
      <c r="F21" s="80"/>
    </row>
    <row r="22" spans="1:9" ht="21.75" customHeight="1" thickBot="1" x14ac:dyDescent="0.3">
      <c r="A22" s="71"/>
      <c r="B22" s="110"/>
      <c r="C22" s="113"/>
      <c r="D22" s="93"/>
      <c r="E22" s="79"/>
      <c r="F22" s="80"/>
    </row>
    <row r="23" spans="1:9" ht="21.75" customHeight="1" thickBot="1" x14ac:dyDescent="0.3">
      <c r="A23" s="100" t="s">
        <v>476</v>
      </c>
      <c r="B23" s="111"/>
      <c r="C23" s="114"/>
      <c r="D23" s="114"/>
      <c r="E23" s="114"/>
      <c r="F23" s="115"/>
    </row>
    <row r="24" spans="1:9" ht="21.75" customHeight="1" thickTop="1" thickBot="1" x14ac:dyDescent="0.3">
      <c r="A24" s="71"/>
      <c r="B24" s="110"/>
      <c r="C24" s="113"/>
      <c r="D24" s="93"/>
      <c r="E24" s="79"/>
      <c r="F24" s="80"/>
    </row>
    <row r="25" spans="1:9" ht="21.75" customHeight="1" thickBot="1" x14ac:dyDescent="0.3">
      <c r="A25" s="72"/>
      <c r="B25" s="112"/>
      <c r="C25" s="116"/>
      <c r="D25" s="95"/>
      <c r="E25" s="85"/>
      <c r="F25" s="78"/>
    </row>
    <row r="26" spans="1:9" ht="12" thickTop="1" x14ac:dyDescent="0.25"/>
  </sheetData>
  <mergeCells count="1">
    <mergeCell ref="H1:I1"/>
  </mergeCells>
  <conditionalFormatting sqref="H1">
    <cfRule type="cellIs" priority="5" stopIfTrue="1" operator="greaterThan">
      <formula>0</formula>
    </cfRule>
  </conditionalFormatting>
  <conditionalFormatting sqref="H19:I19">
    <cfRule type="cellIs" dxfId="37" priority="3" operator="lessThan">
      <formula>0</formula>
    </cfRule>
    <cfRule type="cellIs" dxfId="36" priority="4" operator="greaterThan">
      <formula>0</formula>
    </cfRule>
  </conditionalFormatting>
  <conditionalFormatting sqref="H4:I8">
    <cfRule type="cellIs" dxfId="35" priority="1" operator="lessThan">
      <formula>0</formula>
    </cfRule>
    <cfRule type="cellIs" dxfId="34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C20"/>
  <sheetViews>
    <sheetView showGridLines="0" zoomScaleNormal="100" workbookViewId="0">
      <selection activeCell="A3" sqref="A3:A19"/>
    </sheetView>
  </sheetViews>
  <sheetFormatPr defaultRowHeight="15" x14ac:dyDescent="0.25"/>
  <cols>
    <col min="1" max="1" width="27.7109375" customWidth="1"/>
    <col min="2" max="3" width="29.28515625" customWidth="1"/>
    <col min="4" max="4" width="14.140625" customWidth="1"/>
    <col min="5" max="5" width="14.42578125" customWidth="1"/>
    <col min="6" max="7" width="23.28515625" customWidth="1"/>
  </cols>
  <sheetData>
    <row r="1" spans="1:3" ht="17.25" thickBot="1" x14ac:dyDescent="0.35">
      <c r="A1" s="1" t="s">
        <v>481</v>
      </c>
    </row>
    <row r="2" spans="1:3" ht="24" thickTop="1" thickBot="1" x14ac:dyDescent="0.3">
      <c r="A2" s="84" t="s">
        <v>131</v>
      </c>
      <c r="B2" s="38" t="s">
        <v>2</v>
      </c>
      <c r="C2" s="38" t="s">
        <v>3</v>
      </c>
    </row>
    <row r="3" spans="1:3" ht="23.25" customHeight="1" thickTop="1" thickBot="1" x14ac:dyDescent="0.3">
      <c r="A3" s="44" t="s">
        <v>220</v>
      </c>
      <c r="B3" s="79"/>
      <c r="C3" s="80"/>
    </row>
    <row r="4" spans="1:3" ht="23.25" customHeight="1" thickBot="1" x14ac:dyDescent="0.3">
      <c r="A4" s="14" t="s">
        <v>221</v>
      </c>
      <c r="B4" s="79"/>
      <c r="C4" s="80"/>
    </row>
    <row r="5" spans="1:3" ht="23.25" customHeight="1" thickBot="1" x14ac:dyDescent="0.3">
      <c r="A5" s="14" t="s">
        <v>222</v>
      </c>
      <c r="B5" s="79"/>
      <c r="C5" s="80"/>
    </row>
    <row r="6" spans="1:3" ht="23.25" customHeight="1" thickBot="1" x14ac:dyDescent="0.3">
      <c r="A6" s="44" t="s">
        <v>223</v>
      </c>
      <c r="B6" s="79"/>
      <c r="C6" s="80"/>
    </row>
    <row r="7" spans="1:3" ht="23.25" customHeight="1" thickBot="1" x14ac:dyDescent="0.3">
      <c r="A7" s="14" t="s">
        <v>221</v>
      </c>
      <c r="B7" s="79"/>
      <c r="C7" s="80"/>
    </row>
    <row r="8" spans="1:3" ht="23.25" customHeight="1" thickBot="1" x14ac:dyDescent="0.3">
      <c r="A8" s="14" t="s">
        <v>222</v>
      </c>
      <c r="B8" s="79"/>
      <c r="C8" s="80"/>
    </row>
    <row r="9" spans="1:3" ht="23.25" customHeight="1" thickBot="1" x14ac:dyDescent="0.3">
      <c r="A9" s="44" t="s">
        <v>224</v>
      </c>
      <c r="B9" s="79"/>
      <c r="C9" s="80"/>
    </row>
    <row r="10" spans="1:3" ht="23.25" customHeight="1" thickBot="1" x14ac:dyDescent="0.3">
      <c r="A10" s="44" t="s">
        <v>225</v>
      </c>
      <c r="B10" s="79"/>
      <c r="C10" s="80"/>
    </row>
    <row r="11" spans="1:3" ht="23.25" customHeight="1" thickBot="1" x14ac:dyDescent="0.3">
      <c r="A11" s="44" t="s">
        <v>226</v>
      </c>
      <c r="B11" s="113">
        <v>0.19</v>
      </c>
      <c r="C11" s="118">
        <v>0.19</v>
      </c>
    </row>
    <row r="12" spans="1:3" ht="23.25" customHeight="1" thickBot="1" x14ac:dyDescent="0.3">
      <c r="A12" s="44" t="s">
        <v>227</v>
      </c>
      <c r="B12" s="79"/>
      <c r="C12" s="80"/>
    </row>
    <row r="13" spans="1:3" ht="23.25" customHeight="1" thickBot="1" x14ac:dyDescent="0.3">
      <c r="A13" s="44" t="s">
        <v>228</v>
      </c>
      <c r="B13" s="79"/>
      <c r="C13" s="80"/>
    </row>
    <row r="14" spans="1:3" ht="23.25" customHeight="1" thickBot="1" x14ac:dyDescent="0.3">
      <c r="A14" s="14" t="s">
        <v>229</v>
      </c>
      <c r="B14" s="79"/>
      <c r="C14" s="80"/>
    </row>
    <row r="15" spans="1:3" ht="23.25" customHeight="1" thickBot="1" x14ac:dyDescent="0.3">
      <c r="A15" s="14" t="s">
        <v>230</v>
      </c>
      <c r="B15" s="79"/>
      <c r="C15" s="80"/>
    </row>
    <row r="16" spans="1:3" ht="23.25" customHeight="1" thickBot="1" x14ac:dyDescent="0.3">
      <c r="A16" s="104" t="s">
        <v>231</v>
      </c>
      <c r="B16" s="79"/>
      <c r="C16" s="80"/>
    </row>
    <row r="17" spans="1:3" ht="23.25" customHeight="1" thickBot="1" x14ac:dyDescent="0.3">
      <c r="A17" s="105" t="s">
        <v>232</v>
      </c>
      <c r="B17" s="79"/>
      <c r="C17" s="80"/>
    </row>
    <row r="18" spans="1:3" ht="23.25" customHeight="1" thickBot="1" x14ac:dyDescent="0.3">
      <c r="A18" s="14" t="s">
        <v>233</v>
      </c>
      <c r="B18" s="79"/>
      <c r="C18" s="80"/>
    </row>
    <row r="19" spans="1:3" ht="23.25" customHeight="1" thickBot="1" x14ac:dyDescent="0.3">
      <c r="A19" s="16" t="s">
        <v>230</v>
      </c>
      <c r="B19" s="85"/>
      <c r="C19" s="78"/>
    </row>
    <row r="20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I17"/>
  <sheetViews>
    <sheetView showGridLines="0" zoomScaleNormal="100" workbookViewId="0">
      <selection activeCell="H2" sqref="H2:I13"/>
    </sheetView>
  </sheetViews>
  <sheetFormatPr defaultRowHeight="15" x14ac:dyDescent="0.25"/>
  <cols>
    <col min="1" max="1" width="32.7109375" customWidth="1"/>
    <col min="2" max="3" width="26.85546875" customWidth="1"/>
    <col min="4" max="4" width="22.28515625" customWidth="1"/>
    <col min="5" max="5" width="26" style="386" customWidth="1"/>
    <col min="6" max="6" width="26" style="391" customWidth="1"/>
    <col min="7" max="7" width="5.140625" customWidth="1"/>
    <col min="8" max="8" width="22.5703125" style="422" customWidth="1"/>
    <col min="9" max="9" width="22.5703125" style="421" customWidth="1"/>
  </cols>
  <sheetData>
    <row r="1" spans="1:9" ht="17.25" thickBot="1" x14ac:dyDescent="0.3">
      <c r="A1" s="420" t="s">
        <v>252</v>
      </c>
      <c r="E1" s="1437" t="s">
        <v>1138</v>
      </c>
      <c r="F1" s="1439"/>
      <c r="G1" s="396"/>
      <c r="H1" s="1450" t="s">
        <v>1140</v>
      </c>
      <c r="I1" s="1451"/>
    </row>
    <row r="2" spans="1:9" ht="23.25" customHeight="1" thickTop="1" thickBot="1" x14ac:dyDescent="0.3">
      <c r="A2" s="84" t="s">
        <v>1</v>
      </c>
      <c r="B2" s="38" t="s">
        <v>2</v>
      </c>
      <c r="C2" s="38" t="s">
        <v>3</v>
      </c>
      <c r="E2" s="59" t="s">
        <v>2</v>
      </c>
      <c r="F2" s="59" t="s">
        <v>3</v>
      </c>
      <c r="H2" s="423" t="s">
        <v>2</v>
      </c>
      <c r="I2" s="423" t="s">
        <v>3</v>
      </c>
    </row>
    <row r="3" spans="1:9" ht="23.25" customHeight="1" thickTop="1" thickBot="1" x14ac:dyDescent="0.3">
      <c r="A3" s="73" t="s">
        <v>253</v>
      </c>
      <c r="B3" s="85">
        <f>SUM(B4:B5)</f>
        <v>0</v>
      </c>
      <c r="C3" s="78">
        <f>SUM(C4:C5)</f>
        <v>0</v>
      </c>
      <c r="E3" s="389">
        <f>SUM(B4:B5)-B3</f>
        <v>0</v>
      </c>
      <c r="F3" s="392">
        <f>SUM(C4:C5)-C3</f>
        <v>0</v>
      </c>
      <c r="H3" s="660">
        <f>B3-BS!$D$137</f>
        <v>0</v>
      </c>
      <c r="I3" s="661">
        <f>C3-BS!$E$137</f>
        <v>0</v>
      </c>
    </row>
    <row r="4" spans="1:9" ht="23.25" customHeight="1" thickTop="1" thickBot="1" x14ac:dyDescent="0.3">
      <c r="A4" s="14"/>
      <c r="B4" s="79"/>
      <c r="C4" s="80"/>
      <c r="H4" s="424"/>
      <c r="I4" s="425"/>
    </row>
    <row r="5" spans="1:9" ht="23.25" customHeight="1" thickBot="1" x14ac:dyDescent="0.3">
      <c r="A5" s="16"/>
      <c r="B5" s="85"/>
      <c r="C5" s="78"/>
      <c r="H5" s="424"/>
      <c r="I5" s="425"/>
    </row>
    <row r="6" spans="1:9" ht="23.25" customHeight="1" thickTop="1" thickBot="1" x14ac:dyDescent="0.3">
      <c r="A6" s="25" t="s">
        <v>254</v>
      </c>
      <c r="B6" s="85">
        <f>SUM(B7:B8)</f>
        <v>0</v>
      </c>
      <c r="C6" s="78">
        <f>SUM(C7:C8)</f>
        <v>0</v>
      </c>
      <c r="E6" s="389">
        <f>SUM(B7:B8)-B6</f>
        <v>0</v>
      </c>
      <c r="F6" s="392">
        <f>SUM(C7:C8)-C6</f>
        <v>0</v>
      </c>
      <c r="H6" s="660">
        <f>B6-BS!$D$138</f>
        <v>0</v>
      </c>
      <c r="I6" s="661">
        <f>C6-BS!$E$138</f>
        <v>0</v>
      </c>
    </row>
    <row r="7" spans="1:9" ht="23.25" customHeight="1" thickTop="1" thickBot="1" x14ac:dyDescent="0.3">
      <c r="A7" s="14"/>
      <c r="B7" s="79"/>
      <c r="C7" s="80"/>
      <c r="H7" s="424"/>
      <c r="I7" s="425"/>
    </row>
    <row r="8" spans="1:9" ht="23.25" customHeight="1" thickBot="1" x14ac:dyDescent="0.3">
      <c r="A8" s="16"/>
      <c r="B8" s="85"/>
      <c r="C8" s="78"/>
      <c r="H8" s="424"/>
      <c r="I8" s="425"/>
    </row>
    <row r="9" spans="1:9" ht="23.25" customHeight="1" thickTop="1" thickBot="1" x14ac:dyDescent="0.3">
      <c r="A9" s="25" t="s">
        <v>482</v>
      </c>
      <c r="B9" s="85">
        <f>SUM(B10:B12)</f>
        <v>0</v>
      </c>
      <c r="C9" s="78">
        <f>SUM(C10:C12)</f>
        <v>0</v>
      </c>
      <c r="E9" s="389">
        <f>SUM(B10:B12)-B9</f>
        <v>0</v>
      </c>
      <c r="F9" s="392">
        <f>SUM(C10:C12)-C9</f>
        <v>0</v>
      </c>
      <c r="H9" s="660">
        <f>B9-BS!$D$139</f>
        <v>0</v>
      </c>
      <c r="I9" s="661">
        <f>C9-BS!$E$139</f>
        <v>0</v>
      </c>
    </row>
    <row r="10" spans="1:9" ht="23.25" customHeight="1" thickTop="1" thickBot="1" x14ac:dyDescent="0.3">
      <c r="A10" s="14"/>
      <c r="B10" s="79"/>
      <c r="C10" s="80"/>
      <c r="H10" s="424"/>
      <c r="I10" s="425"/>
    </row>
    <row r="11" spans="1:9" ht="23.25" customHeight="1" thickBot="1" x14ac:dyDescent="0.3">
      <c r="A11" s="14"/>
      <c r="B11" s="79"/>
      <c r="C11" s="80"/>
      <c r="H11" s="424"/>
      <c r="I11" s="425"/>
    </row>
    <row r="12" spans="1:9" ht="23.25" customHeight="1" thickBot="1" x14ac:dyDescent="0.3">
      <c r="A12" s="16"/>
      <c r="B12" s="85"/>
      <c r="C12" s="78"/>
      <c r="H12" s="424"/>
      <c r="I12" s="425"/>
    </row>
    <row r="13" spans="1:9" ht="23.25" customHeight="1" thickTop="1" thickBot="1" x14ac:dyDescent="0.3">
      <c r="A13" s="25" t="s">
        <v>483</v>
      </c>
      <c r="B13" s="85">
        <f>SUM(B14:B16)</f>
        <v>0</v>
      </c>
      <c r="C13" s="78">
        <f>SUM(C14:C16)</f>
        <v>0</v>
      </c>
      <c r="E13" s="389">
        <f>SUM(B14:B16)-B13</f>
        <v>0</v>
      </c>
      <c r="F13" s="392">
        <f>SUM(C14:C16)-C13</f>
        <v>0</v>
      </c>
      <c r="H13" s="660">
        <f>B13-BS!$D$140</f>
        <v>-1500</v>
      </c>
      <c r="I13" s="661">
        <f>C13-BS!$E$140</f>
        <v>0</v>
      </c>
    </row>
    <row r="14" spans="1:9" ht="23.25" customHeight="1" thickTop="1" thickBot="1" x14ac:dyDescent="0.3">
      <c r="A14" s="14"/>
      <c r="B14" s="79"/>
      <c r="C14" s="80"/>
    </row>
    <row r="15" spans="1:9" ht="23.25" customHeight="1" thickBot="1" x14ac:dyDescent="0.3">
      <c r="A15" s="119"/>
      <c r="B15" s="120"/>
      <c r="C15" s="121"/>
    </row>
    <row r="16" spans="1:9" ht="23.25" customHeight="1" thickBot="1" x14ac:dyDescent="0.3">
      <c r="A16" s="16"/>
      <c r="B16" s="85"/>
      <c r="C16" s="78"/>
    </row>
    <row r="17" ht="15.75" thickTop="1" x14ac:dyDescent="0.25"/>
  </sheetData>
  <mergeCells count="2">
    <mergeCell ref="E1:F1"/>
    <mergeCell ref="H1:I1"/>
  </mergeCells>
  <conditionalFormatting sqref="E3:F13">
    <cfRule type="cellIs" dxfId="33" priority="4" operator="lessThan">
      <formula>0</formula>
    </cfRule>
    <cfRule type="cellIs" dxfId="32" priority="5" operator="greaterThan">
      <formula>0</formula>
    </cfRule>
  </conditionalFormatting>
  <conditionalFormatting sqref="H3:I13">
    <cfRule type="cellIs" dxfId="31" priority="1" operator="lessThan">
      <formula>0</formula>
    </cfRule>
    <cfRule type="cellIs" dxfId="3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E15"/>
  <sheetViews>
    <sheetView showGridLines="0" zoomScaleNormal="100" workbookViewId="0">
      <selection activeCell="A11" sqref="A11"/>
    </sheetView>
  </sheetViews>
  <sheetFormatPr defaultRowHeight="15" x14ac:dyDescent="0.25"/>
  <cols>
    <col min="1" max="1" width="27.5703125" customWidth="1"/>
    <col min="2" max="5" width="19.5703125" customWidth="1"/>
  </cols>
  <sheetData>
    <row r="1" spans="1:5" ht="16.5" x14ac:dyDescent="0.3">
      <c r="A1" s="1" t="s">
        <v>255</v>
      </c>
    </row>
    <row r="2" spans="1:5" ht="15.75" thickBot="1" x14ac:dyDescent="0.3">
      <c r="A2" s="20" t="s">
        <v>8</v>
      </c>
      <c r="B2" s="20"/>
      <c r="C2" s="20"/>
      <c r="D2" s="20"/>
      <c r="E2" s="20"/>
    </row>
    <row r="3" spans="1:5" ht="16.5" thickTop="1" thickBot="1" x14ac:dyDescent="0.3">
      <c r="A3" s="1442" t="s">
        <v>131</v>
      </c>
      <c r="B3" s="1366" t="s">
        <v>256</v>
      </c>
      <c r="C3" s="1367"/>
      <c r="D3" s="1426" t="s">
        <v>257</v>
      </c>
      <c r="E3" s="20"/>
    </row>
    <row r="4" spans="1:5" ht="16.5" thickTop="1" thickBot="1" x14ac:dyDescent="0.3">
      <c r="A4" s="1444"/>
      <c r="B4" s="21" t="s">
        <v>258</v>
      </c>
      <c r="C4" s="69" t="s">
        <v>259</v>
      </c>
      <c r="D4" s="1427"/>
      <c r="E4" s="20"/>
    </row>
    <row r="5" spans="1:5" ht="18.75" customHeight="1" thickTop="1" thickBot="1" x14ac:dyDescent="0.3">
      <c r="A5" s="25" t="s">
        <v>260</v>
      </c>
      <c r="B5" s="58"/>
      <c r="C5" s="58"/>
      <c r="D5" s="60"/>
      <c r="E5" s="20"/>
    </row>
    <row r="6" spans="1:5" ht="18.75" customHeight="1" thickTop="1" thickBot="1" x14ac:dyDescent="0.3">
      <c r="A6" s="14"/>
      <c r="B6" s="79"/>
      <c r="C6" s="79"/>
      <c r="D6" s="80"/>
      <c r="E6" s="20"/>
    </row>
    <row r="7" spans="1:5" ht="18.75" customHeight="1" thickBot="1" x14ac:dyDescent="0.3">
      <c r="A7" s="14"/>
      <c r="B7" s="79"/>
      <c r="C7" s="79"/>
      <c r="D7" s="80"/>
      <c r="E7" s="20"/>
    </row>
    <row r="8" spans="1:5" ht="18.75" customHeight="1" thickBot="1" x14ac:dyDescent="0.3">
      <c r="A8" s="14"/>
      <c r="B8" s="79"/>
      <c r="C8" s="79"/>
      <c r="D8" s="80"/>
      <c r="E8" s="20"/>
    </row>
    <row r="9" spans="1:5" ht="18.75" customHeight="1" thickBot="1" x14ac:dyDescent="0.3">
      <c r="A9" s="16"/>
      <c r="B9" s="85"/>
      <c r="C9" s="153"/>
      <c r="D9" s="78"/>
      <c r="E9" s="20"/>
    </row>
    <row r="10" spans="1:5" ht="18.75" customHeight="1" thickTop="1" thickBot="1" x14ac:dyDescent="0.3">
      <c r="A10" s="25" t="s">
        <v>261</v>
      </c>
      <c r="B10" s="85"/>
      <c r="C10" s="154"/>
      <c r="D10" s="78"/>
      <c r="E10" s="20"/>
    </row>
    <row r="11" spans="1:5" ht="18.75" customHeight="1" thickTop="1" thickBot="1" x14ac:dyDescent="0.3">
      <c r="A11" s="14"/>
      <c r="B11" s="79"/>
      <c r="C11" s="79"/>
      <c r="D11" s="80"/>
      <c r="E11" s="20"/>
    </row>
    <row r="12" spans="1:5" ht="18.75" customHeight="1" thickBot="1" x14ac:dyDescent="0.3">
      <c r="A12" s="14"/>
      <c r="B12" s="79"/>
      <c r="C12" s="79"/>
      <c r="D12" s="80"/>
      <c r="E12" s="20"/>
    </row>
    <row r="13" spans="1:5" ht="18.75" customHeight="1" thickBot="1" x14ac:dyDescent="0.3">
      <c r="A13" s="14"/>
      <c r="B13" s="79"/>
      <c r="C13" s="79"/>
      <c r="D13" s="80"/>
      <c r="E13" s="20"/>
    </row>
    <row r="14" spans="1:5" ht="18.75" customHeight="1" thickBot="1" x14ac:dyDescent="0.3">
      <c r="A14" s="25"/>
      <c r="B14" s="85"/>
      <c r="C14" s="85"/>
      <c r="D14" s="78"/>
      <c r="E14" s="20"/>
    </row>
    <row r="15" spans="1:5" ht="15.75" thickTop="1" x14ac:dyDescent="0.25">
      <c r="A15" s="20"/>
      <c r="B15" s="20"/>
      <c r="C15" s="20"/>
      <c r="D15" s="20"/>
      <c r="E15" s="20"/>
    </row>
  </sheetData>
  <mergeCells count="3">
    <mergeCell ref="A3:A4"/>
    <mergeCell ref="B3:C3"/>
    <mergeCell ref="D3:D4"/>
  </mergeCells>
  <pageMargins left="0.7" right="0.7" top="0.75" bottom="0.75" header="0.3" footer="0.3"/>
  <pageSetup paperSize="9" orientation="portrait" horizontalDpi="300" verticalDpi="3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E17"/>
  <sheetViews>
    <sheetView showGridLines="0" zoomScaleNormal="100" workbookViewId="0">
      <selection activeCell="A13" sqref="A13"/>
    </sheetView>
  </sheetViews>
  <sheetFormatPr defaultRowHeight="15" x14ac:dyDescent="0.25"/>
  <cols>
    <col min="1" max="1" width="18.5703125" customWidth="1"/>
    <col min="2" max="5" width="17" customWidth="1"/>
  </cols>
  <sheetData>
    <row r="1" spans="1:5" ht="16.5" x14ac:dyDescent="0.3">
      <c r="A1" s="1" t="s">
        <v>255</v>
      </c>
    </row>
    <row r="2" spans="1:5" x14ac:dyDescent="0.25">
      <c r="A2" s="20"/>
      <c r="B2" s="20"/>
      <c r="C2" s="20"/>
      <c r="D2" s="20"/>
      <c r="E2" s="20"/>
    </row>
    <row r="3" spans="1:5" ht="15.75" thickBot="1" x14ac:dyDescent="0.3">
      <c r="A3" s="20" t="s">
        <v>15</v>
      </c>
      <c r="B3" s="20"/>
      <c r="C3" s="20"/>
      <c r="D3" s="20"/>
      <c r="E3" s="20"/>
    </row>
    <row r="4" spans="1:5" ht="28.5" customHeight="1" thickTop="1" thickBot="1" x14ac:dyDescent="0.3">
      <c r="A4" s="1442" t="s">
        <v>131</v>
      </c>
      <c r="B4" s="1366" t="s">
        <v>2</v>
      </c>
      <c r="C4" s="1368"/>
      <c r="D4" s="1366" t="s">
        <v>3</v>
      </c>
      <c r="E4" s="1368"/>
    </row>
    <row r="5" spans="1:5" ht="17.25" customHeight="1" thickTop="1" thickBot="1" x14ac:dyDescent="0.3">
      <c r="A5" s="1443"/>
      <c r="B5" s="1366" t="s">
        <v>262</v>
      </c>
      <c r="C5" s="1368"/>
      <c r="D5" s="1366" t="s">
        <v>262</v>
      </c>
      <c r="E5" s="1368"/>
    </row>
    <row r="6" spans="1:5" ht="24" thickTop="1" thickBot="1" x14ac:dyDescent="0.3">
      <c r="A6" s="1444"/>
      <c r="B6" s="21" t="s">
        <v>263</v>
      </c>
      <c r="C6" s="21" t="s">
        <v>264</v>
      </c>
      <c r="D6" s="21" t="s">
        <v>263</v>
      </c>
      <c r="E6" s="21" t="s">
        <v>264</v>
      </c>
    </row>
    <row r="7" spans="1:5" ht="35.25" thickTop="1" thickBot="1" x14ac:dyDescent="0.3">
      <c r="A7" s="25" t="s">
        <v>260</v>
      </c>
      <c r="B7" s="58"/>
      <c r="C7" s="58"/>
      <c r="D7" s="60"/>
      <c r="E7" s="60"/>
    </row>
    <row r="8" spans="1:5" ht="18.75" customHeight="1" thickTop="1" thickBot="1" x14ac:dyDescent="0.3">
      <c r="A8" s="14"/>
      <c r="B8" s="79"/>
      <c r="C8" s="79"/>
      <c r="D8" s="80"/>
      <c r="E8" s="80"/>
    </row>
    <row r="9" spans="1:5" ht="18.75" customHeight="1" thickBot="1" x14ac:dyDescent="0.3">
      <c r="A9" s="14"/>
      <c r="B9" s="79"/>
      <c r="C9" s="79"/>
      <c r="D9" s="80"/>
      <c r="E9" s="80"/>
    </row>
    <row r="10" spans="1:5" ht="18.75" customHeight="1" thickBot="1" x14ac:dyDescent="0.3">
      <c r="A10" s="14"/>
      <c r="B10" s="79"/>
      <c r="C10" s="79"/>
      <c r="D10" s="80"/>
      <c r="E10" s="80"/>
    </row>
    <row r="11" spans="1:5" ht="18.75" customHeight="1" thickBot="1" x14ac:dyDescent="0.3">
      <c r="A11" s="16"/>
      <c r="B11" s="85"/>
      <c r="C11" s="153"/>
      <c r="D11" s="78"/>
      <c r="E11" s="78"/>
    </row>
    <row r="12" spans="1:5" ht="24" thickTop="1" thickBot="1" x14ac:dyDescent="0.3">
      <c r="A12" s="25" t="s">
        <v>261</v>
      </c>
      <c r="B12" s="85"/>
      <c r="C12" s="154"/>
      <c r="D12" s="78"/>
      <c r="E12" s="78"/>
    </row>
    <row r="13" spans="1:5" ht="18.75" customHeight="1" thickTop="1" thickBot="1" x14ac:dyDescent="0.3">
      <c r="A13" s="14"/>
      <c r="B13" s="79"/>
      <c r="C13" s="79"/>
      <c r="D13" s="80"/>
      <c r="E13" s="80"/>
    </row>
    <row r="14" spans="1:5" ht="18.75" customHeight="1" thickBot="1" x14ac:dyDescent="0.3">
      <c r="A14" s="14"/>
      <c r="B14" s="79"/>
      <c r="C14" s="79"/>
      <c r="D14" s="80"/>
      <c r="E14" s="80"/>
    </row>
    <row r="15" spans="1:5" ht="18.75" customHeight="1" thickBot="1" x14ac:dyDescent="0.3">
      <c r="A15" s="14"/>
      <c r="B15" s="79"/>
      <c r="C15" s="79"/>
      <c r="D15" s="80"/>
      <c r="E15" s="80"/>
    </row>
    <row r="16" spans="1:5" ht="18.75" customHeight="1" thickBot="1" x14ac:dyDescent="0.3">
      <c r="A16" s="25"/>
      <c r="B16" s="85"/>
      <c r="C16" s="85"/>
      <c r="D16" s="78"/>
      <c r="E16" s="78"/>
    </row>
    <row r="17" spans="1:5" ht="15.75" thickTop="1" x14ac:dyDescent="0.25">
      <c r="A17" s="20"/>
      <c r="B17" s="20"/>
      <c r="C17" s="20"/>
      <c r="D17" s="20"/>
      <c r="E17" s="20"/>
    </row>
  </sheetData>
  <mergeCells count="5">
    <mergeCell ref="A4:A6"/>
    <mergeCell ref="B4:C4"/>
    <mergeCell ref="D4:E4"/>
    <mergeCell ref="B5:C5"/>
    <mergeCell ref="D5:E5"/>
  </mergeCells>
  <pageMargins left="0.7" right="0.7" top="0.75" bottom="0.75" header="0.3" footer="0.3"/>
  <pageSetup paperSize="9" orientation="portrait" horizontalDpi="300" verticalDpi="3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C9"/>
  <sheetViews>
    <sheetView showGridLines="0" zoomScaleNormal="100" workbookViewId="0">
      <selection activeCell="B2" sqref="B2:C2"/>
    </sheetView>
  </sheetViews>
  <sheetFormatPr defaultRowHeight="15" x14ac:dyDescent="0.25"/>
  <cols>
    <col min="1" max="1" width="31.7109375" customWidth="1"/>
    <col min="2" max="3" width="27.28515625" customWidth="1"/>
    <col min="4" max="4" width="21.85546875" customWidth="1"/>
    <col min="5" max="5" width="19.5703125" customWidth="1"/>
  </cols>
  <sheetData>
    <row r="1" spans="1:3" ht="17.25" thickBot="1" x14ac:dyDescent="0.35">
      <c r="A1" s="1" t="s">
        <v>265</v>
      </c>
    </row>
    <row r="2" spans="1:3" ht="16.5" thickTop="1" thickBot="1" x14ac:dyDescent="0.3">
      <c r="A2" s="1442" t="s">
        <v>266</v>
      </c>
      <c r="B2" s="1366" t="s">
        <v>267</v>
      </c>
      <c r="C2" s="1368"/>
    </row>
    <row r="3" spans="1:3" ht="24" thickTop="1" thickBot="1" x14ac:dyDescent="0.3">
      <c r="A3" s="1444"/>
      <c r="B3" s="70" t="s">
        <v>2</v>
      </c>
      <c r="C3" s="70" t="s">
        <v>3</v>
      </c>
    </row>
    <row r="4" spans="1:3" ht="20.25" customHeight="1" thickTop="1" thickBot="1" x14ac:dyDescent="0.3">
      <c r="A4" s="14" t="s">
        <v>268</v>
      </c>
      <c r="B4" s="79"/>
      <c r="C4" s="80"/>
    </row>
    <row r="5" spans="1:3" ht="20.25" customHeight="1" thickBot="1" x14ac:dyDescent="0.3">
      <c r="A5" s="14" t="s">
        <v>269</v>
      </c>
      <c r="B5" s="79"/>
      <c r="C5" s="80"/>
    </row>
    <row r="6" spans="1:3" ht="20.25" customHeight="1" thickBot="1" x14ac:dyDescent="0.3">
      <c r="A6" s="14" t="s">
        <v>270</v>
      </c>
      <c r="B6" s="79"/>
      <c r="C6" s="80"/>
    </row>
    <row r="7" spans="1:3" ht="20.25" customHeight="1" thickBot="1" x14ac:dyDescent="0.3">
      <c r="A7" s="14" t="s">
        <v>271</v>
      </c>
      <c r="B7" s="79"/>
      <c r="C7" s="80"/>
    </row>
    <row r="8" spans="1:3" ht="20.25" customHeight="1" thickBot="1" x14ac:dyDescent="0.3">
      <c r="A8" s="25" t="s">
        <v>14</v>
      </c>
      <c r="B8" s="85">
        <f>SUM(B4:B7)</f>
        <v>0</v>
      </c>
      <c r="C8" s="78">
        <f>SUM(C4:C7)</f>
        <v>0</v>
      </c>
    </row>
    <row r="9" spans="1:3" ht="17.25" thickTop="1" x14ac:dyDescent="0.3">
      <c r="A9" s="1"/>
    </row>
  </sheetData>
  <mergeCells count="2">
    <mergeCell ref="B2:C2"/>
    <mergeCell ref="A2:A3"/>
  </mergeCells>
  <pageMargins left="0.7" right="0.7" top="0.75" bottom="0.75" header="0.3" footer="0.3"/>
  <pageSetup paperSize="9" orientation="portrait" horizontalDpi="300" verticalDpi="3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O8"/>
  <sheetViews>
    <sheetView showGridLines="0" zoomScaleNormal="100" workbookViewId="0">
      <selection activeCell="H11" sqref="H11"/>
    </sheetView>
  </sheetViews>
  <sheetFormatPr defaultRowHeight="15" x14ac:dyDescent="0.25"/>
  <cols>
    <col min="1" max="1" width="18.85546875" customWidth="1"/>
    <col min="2" max="7" width="11.28515625" customWidth="1"/>
    <col min="10" max="10" width="9.140625" style="386"/>
    <col min="11" max="14" width="9.140625" style="387"/>
    <col min="15" max="15" width="9.140625" style="391"/>
  </cols>
  <sheetData>
    <row r="1" spans="1:15" ht="17.25" thickBot="1" x14ac:dyDescent="0.35">
      <c r="A1" s="1" t="s">
        <v>272</v>
      </c>
      <c r="J1" s="1437" t="s">
        <v>1138</v>
      </c>
      <c r="K1" s="1438"/>
      <c r="L1" s="1438"/>
      <c r="M1" s="1438"/>
      <c r="N1" s="1438"/>
      <c r="O1" s="1439"/>
    </row>
    <row r="2" spans="1:15" ht="24.75" customHeight="1" thickTop="1" thickBot="1" x14ac:dyDescent="0.3">
      <c r="A2" s="1442" t="s">
        <v>1</v>
      </c>
      <c r="B2" s="1363" t="s">
        <v>2</v>
      </c>
      <c r="C2" s="1364"/>
      <c r="D2" s="1365"/>
      <c r="E2" s="1366" t="s">
        <v>3</v>
      </c>
      <c r="F2" s="1367"/>
      <c r="G2" s="1368"/>
      <c r="J2" s="1363" t="s">
        <v>2</v>
      </c>
      <c r="K2" s="1364"/>
      <c r="L2" s="1365"/>
      <c r="M2" s="1366" t="s">
        <v>492</v>
      </c>
      <c r="N2" s="1367"/>
      <c r="O2" s="1368"/>
    </row>
    <row r="3" spans="1:15" ht="16.5" customHeight="1" thickTop="1" thickBot="1" x14ac:dyDescent="0.3">
      <c r="A3" s="1443"/>
      <c r="B3" s="1363" t="s">
        <v>184</v>
      </c>
      <c r="C3" s="1364"/>
      <c r="D3" s="1365"/>
      <c r="E3" s="1363" t="s">
        <v>184</v>
      </c>
      <c r="F3" s="1364"/>
      <c r="G3" s="1365"/>
      <c r="J3" s="1363" t="s">
        <v>184</v>
      </c>
      <c r="K3" s="1364"/>
      <c r="L3" s="1365"/>
      <c r="M3" s="1363" t="s">
        <v>184</v>
      </c>
      <c r="N3" s="1364"/>
      <c r="O3" s="1365"/>
    </row>
    <row r="4" spans="1:15" s="4" customFormat="1" ht="45" customHeight="1" thickTop="1" thickBot="1" x14ac:dyDescent="0.3">
      <c r="A4" s="1444"/>
      <c r="B4" s="21" t="s">
        <v>185</v>
      </c>
      <c r="C4" s="21" t="s">
        <v>186</v>
      </c>
      <c r="D4" s="21" t="s">
        <v>187</v>
      </c>
      <c r="E4" s="21" t="s">
        <v>185</v>
      </c>
      <c r="F4" s="21" t="s">
        <v>186</v>
      </c>
      <c r="G4" s="21" t="s">
        <v>187</v>
      </c>
      <c r="J4" s="59" t="s">
        <v>185</v>
      </c>
      <c r="K4" s="21" t="s">
        <v>186</v>
      </c>
      <c r="L4" s="21" t="s">
        <v>187</v>
      </c>
      <c r="M4" s="21" t="s">
        <v>185</v>
      </c>
      <c r="N4" s="21" t="s">
        <v>186</v>
      </c>
      <c r="O4" s="21" t="s">
        <v>187</v>
      </c>
    </row>
    <row r="5" spans="1:15" ht="18.75" customHeight="1" thickTop="1" thickBot="1" x14ac:dyDescent="0.3">
      <c r="A5" s="74" t="s">
        <v>188</v>
      </c>
      <c r="B5" s="144"/>
      <c r="C5" s="144"/>
      <c r="D5" s="144"/>
      <c r="E5" s="144"/>
      <c r="F5" s="144"/>
      <c r="G5" s="77"/>
    </row>
    <row r="6" spans="1:15" ht="18.75" customHeight="1" thickBot="1" x14ac:dyDescent="0.3">
      <c r="A6" s="71" t="s">
        <v>273</v>
      </c>
      <c r="B6" s="79"/>
      <c r="C6" s="79"/>
      <c r="D6" s="79"/>
      <c r="E6" s="79"/>
      <c r="F6" s="79"/>
      <c r="G6" s="80"/>
    </row>
    <row r="7" spans="1:15" ht="18.75" customHeight="1" thickBot="1" x14ac:dyDescent="0.3">
      <c r="A7" s="72" t="s">
        <v>14</v>
      </c>
      <c r="B7" s="85">
        <f>B5+B6</f>
        <v>0</v>
      </c>
      <c r="C7" s="85">
        <f t="shared" ref="C7:G7" si="0">C5+C6</f>
        <v>0</v>
      </c>
      <c r="D7" s="85">
        <f t="shared" si="0"/>
        <v>0</v>
      </c>
      <c r="E7" s="85">
        <f t="shared" si="0"/>
        <v>0</v>
      </c>
      <c r="F7" s="85">
        <f t="shared" si="0"/>
        <v>0</v>
      </c>
      <c r="G7" s="78">
        <f t="shared" si="0"/>
        <v>0</v>
      </c>
      <c r="J7" s="389">
        <f>SUM(B5:B6)-B7</f>
        <v>0</v>
      </c>
      <c r="K7" s="388">
        <f t="shared" ref="K7:O7" si="1">SUM(C5:C6)-C7</f>
        <v>0</v>
      </c>
      <c r="L7" s="388">
        <f t="shared" si="1"/>
        <v>0</v>
      </c>
      <c r="M7" s="388">
        <f t="shared" si="1"/>
        <v>0</v>
      </c>
      <c r="N7" s="388">
        <f t="shared" si="1"/>
        <v>0</v>
      </c>
      <c r="O7" s="392">
        <f t="shared" si="1"/>
        <v>0</v>
      </c>
    </row>
    <row r="8" spans="1:15" ht="15.75" thickTop="1" x14ac:dyDescent="0.25"/>
  </sheetData>
  <mergeCells count="10">
    <mergeCell ref="J1:O1"/>
    <mergeCell ref="J2:L2"/>
    <mergeCell ref="M2:O2"/>
    <mergeCell ref="J3:L3"/>
    <mergeCell ref="M3:O3"/>
    <mergeCell ref="B2:D2"/>
    <mergeCell ref="E2:G2"/>
    <mergeCell ref="B3:D3"/>
    <mergeCell ref="E3:G3"/>
    <mergeCell ref="A2:A4"/>
  </mergeCells>
  <conditionalFormatting sqref="J5:O7">
    <cfRule type="cellIs" dxfId="29" priority="3" operator="lessThan">
      <formula>0</formula>
    </cfRule>
    <cfRule type="cellIs" dxfId="28" priority="4" operator="greaterThan">
      <formula>0</formula>
    </cfRule>
  </conditionalFormatting>
  <conditionalFormatting sqref="J7:O7">
    <cfRule type="cellIs" dxfId="27" priority="1" operator="lessThan">
      <formula>0</formula>
    </cfRule>
    <cfRule type="cellIs" dxfId="26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C12"/>
  <sheetViews>
    <sheetView showGridLines="0" zoomScaleNormal="100" workbookViewId="0">
      <selection activeCell="B14" sqref="B14"/>
    </sheetView>
  </sheetViews>
  <sheetFormatPr defaultRowHeight="15" x14ac:dyDescent="0.25"/>
  <cols>
    <col min="1" max="3" width="28.8554687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338</v>
      </c>
    </row>
    <row r="2" spans="1:3" ht="33" customHeight="1" thickTop="1" thickBot="1" x14ac:dyDescent="0.3">
      <c r="A2" s="84" t="s">
        <v>131</v>
      </c>
      <c r="B2" s="70" t="s">
        <v>2</v>
      </c>
      <c r="C2" s="70" t="s">
        <v>3</v>
      </c>
    </row>
    <row r="3" spans="1:3" ht="18.75" customHeight="1" thickTop="1" thickBot="1" x14ac:dyDescent="0.3">
      <c r="A3" s="155" t="s">
        <v>339</v>
      </c>
      <c r="B3" s="80"/>
      <c r="C3" s="80"/>
    </row>
    <row r="4" spans="1:3" ht="18.75" customHeight="1" thickBot="1" x14ac:dyDescent="0.3">
      <c r="A4" s="156" t="s">
        <v>340</v>
      </c>
      <c r="B4" s="80"/>
      <c r="C4" s="80"/>
    </row>
    <row r="5" spans="1:3" ht="18.75" customHeight="1" thickBot="1" x14ac:dyDescent="0.3">
      <c r="A5" s="71" t="s">
        <v>341</v>
      </c>
      <c r="B5" s="80"/>
      <c r="C5" s="80"/>
    </row>
    <row r="6" spans="1:3" ht="18.75" customHeight="1" thickBot="1" x14ac:dyDescent="0.3">
      <c r="A6" s="155" t="s">
        <v>342</v>
      </c>
      <c r="B6" s="80"/>
      <c r="C6" s="80"/>
    </row>
    <row r="7" spans="1:3" ht="18.75" customHeight="1" thickBot="1" x14ac:dyDescent="0.3">
      <c r="A7" s="157" t="s">
        <v>343</v>
      </c>
      <c r="B7" s="80"/>
      <c r="C7" s="80"/>
    </row>
    <row r="8" spans="1:3" ht="18.75" customHeight="1" thickBot="1" x14ac:dyDescent="0.3">
      <c r="A8" s="129" t="s">
        <v>344</v>
      </c>
      <c r="B8" s="80"/>
      <c r="C8" s="80"/>
    </row>
    <row r="9" spans="1:3" ht="18.75" customHeight="1" thickBot="1" x14ac:dyDescent="0.3">
      <c r="A9" s="156" t="s">
        <v>345</v>
      </c>
      <c r="B9" s="80"/>
      <c r="C9" s="80"/>
    </row>
    <row r="10" spans="1:3" ht="18.75" customHeight="1" thickBot="1" x14ac:dyDescent="0.3">
      <c r="A10" s="155" t="s">
        <v>346</v>
      </c>
      <c r="B10" s="126"/>
      <c r="C10" s="126"/>
    </row>
    <row r="11" spans="1:3" ht="18.75" customHeight="1" thickBot="1" x14ac:dyDescent="0.3">
      <c r="A11" s="158" t="s">
        <v>347</v>
      </c>
      <c r="B11" s="127"/>
      <c r="C11" s="127"/>
    </row>
    <row r="12" spans="1:3" ht="17.25" thickTop="1" x14ac:dyDescent="0.3">
      <c r="A12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rgb="FF92D050"/>
  </sheetPr>
  <dimension ref="A1:Q143"/>
  <sheetViews>
    <sheetView showGridLines="0" showZeros="0" topLeftCell="A98" zoomScaleNormal="100" workbookViewId="0">
      <selection activeCell="D108" sqref="D108"/>
    </sheetView>
  </sheetViews>
  <sheetFormatPr defaultRowHeight="11.25" x14ac:dyDescent="0.2"/>
  <cols>
    <col min="1" max="1" width="6.85546875" style="178" customWidth="1"/>
    <col min="2" max="2" width="53.5703125" style="178" customWidth="1"/>
    <col min="3" max="3" width="5.85546875" style="178" customWidth="1"/>
    <col min="4" max="4" width="13.42578125" style="178" bestFit="1" customWidth="1"/>
    <col min="5" max="5" width="14.28515625" style="178" bestFit="1" customWidth="1"/>
    <col min="6" max="6" width="13.42578125" style="178" customWidth="1"/>
    <col min="7" max="7" width="15.140625" style="178" customWidth="1"/>
    <col min="8" max="8" width="10" style="178" bestFit="1" customWidth="1"/>
    <col min="9" max="11" width="9.140625" style="178"/>
    <col min="12" max="12" width="9.140625" style="178" customWidth="1"/>
    <col min="13" max="17" width="9.140625" style="178" hidden="1" customWidth="1"/>
    <col min="18" max="16384" width="9.140625" style="178"/>
  </cols>
  <sheetData>
    <row r="1" spans="1:17" ht="12.75" hidden="1" x14ac:dyDescent="0.2">
      <c r="M1" s="179" t="s">
        <v>496</v>
      </c>
    </row>
    <row r="2" spans="1:17" s="186" customFormat="1" ht="12" customHeight="1" x14ac:dyDescent="0.2">
      <c r="A2" s="180" t="s">
        <v>497</v>
      </c>
      <c r="B2" s="181">
        <v>0</v>
      </c>
      <c r="C2" s="182"/>
      <c r="D2" s="183"/>
      <c r="E2" s="184"/>
      <c r="F2" s="184"/>
      <c r="G2" s="185"/>
      <c r="K2" s="179"/>
      <c r="L2" s="179"/>
      <c r="M2" s="179" t="s">
        <v>499</v>
      </c>
      <c r="N2" s="179"/>
      <c r="O2" s="179"/>
      <c r="P2" s="179"/>
      <c r="Q2" s="179"/>
    </row>
    <row r="3" spans="1:17" ht="12" customHeight="1" x14ac:dyDescent="0.2">
      <c r="A3" s="180" t="s">
        <v>500</v>
      </c>
      <c r="B3" s="181" t="s">
        <v>501</v>
      </c>
      <c r="D3" s="183"/>
      <c r="E3" s="184"/>
      <c r="F3" s="184"/>
      <c r="K3" s="179"/>
      <c r="L3" s="187" t="s">
        <v>502</v>
      </c>
      <c r="M3" s="188" t="s">
        <v>498</v>
      </c>
      <c r="N3" s="188" t="s">
        <v>503</v>
      </c>
      <c r="O3" s="188" t="s">
        <v>504</v>
      </c>
      <c r="P3" s="188" t="s">
        <v>505</v>
      </c>
      <c r="Q3" s="188" t="s">
        <v>506</v>
      </c>
    </row>
    <row r="4" spans="1:17" ht="12" customHeight="1" x14ac:dyDescent="0.2">
      <c r="C4" s="426" t="s">
        <v>501</v>
      </c>
      <c r="D4" s="183"/>
      <c r="E4" s="184"/>
      <c r="F4" s="184"/>
      <c r="K4" s="179"/>
      <c r="L4" s="187"/>
      <c r="M4" s="179"/>
      <c r="N4" s="179"/>
      <c r="O4" s="179"/>
      <c r="P4" s="179"/>
      <c r="Q4" s="187" t="s">
        <v>502</v>
      </c>
    </row>
    <row r="5" spans="1:17" ht="13.5" customHeight="1" x14ac:dyDescent="0.2">
      <c r="A5" s="189"/>
      <c r="B5" s="190"/>
      <c r="C5" s="190"/>
      <c r="D5" s="190"/>
      <c r="E5" s="190"/>
      <c r="F5" s="190"/>
      <c r="G5" s="190"/>
      <c r="K5" s="179"/>
      <c r="L5" s="179"/>
      <c r="M5" s="191">
        <v>0.1</v>
      </c>
      <c r="N5" s="192">
        <v>0.01</v>
      </c>
      <c r="O5" s="191">
        <v>0.05</v>
      </c>
      <c r="P5" s="193">
        <v>5.0000000000000001E-3</v>
      </c>
      <c r="Q5" s="194" t="e">
        <f>IF(#REF!=$M$3,M5,IF(#REF!=$N$3,N5,IF(#REF!=$O$3,O5,IF(#REF!=$P$3,P5,""))))</f>
        <v>#REF!</v>
      </c>
    </row>
    <row r="6" spans="1:17" ht="12" customHeight="1" x14ac:dyDescent="0.2">
      <c r="C6" s="195" t="s">
        <v>507</v>
      </c>
      <c r="D6" s="196"/>
      <c r="E6" s="182"/>
      <c r="K6" s="179"/>
      <c r="L6" s="179"/>
      <c r="M6" s="191">
        <v>0.09</v>
      </c>
      <c r="N6" s="192">
        <v>8.9999999999999993E-3</v>
      </c>
      <c r="O6" s="191">
        <v>0.04</v>
      </c>
      <c r="P6" s="193">
        <v>4.0000000000000001E-3</v>
      </c>
      <c r="Q6" s="194" t="e">
        <f>IF(#REF!=$M$3,M6,IF(#REF!=$N$3,N6,IF(#REF!=$O$3,O6,IF(#REF!=$P$3,P6,""))))</f>
        <v>#REF!</v>
      </c>
    </row>
    <row r="7" spans="1:17" s="201" customFormat="1" ht="12" customHeight="1" x14ac:dyDescent="0.2">
      <c r="A7" s="197" t="s">
        <v>508</v>
      </c>
      <c r="B7" s="198" t="s">
        <v>509</v>
      </c>
      <c r="C7" s="197" t="s">
        <v>510</v>
      </c>
      <c r="D7" s="199" t="s">
        <v>511</v>
      </c>
      <c r="E7" s="199"/>
      <c r="F7" s="199"/>
      <c r="G7" s="200" t="s">
        <v>512</v>
      </c>
      <c r="K7" s="179"/>
      <c r="L7" s="179"/>
      <c r="M7" s="191">
        <v>0.08</v>
      </c>
      <c r="N7" s="192">
        <v>8.0000000000000002E-3</v>
      </c>
      <c r="O7" s="191">
        <v>0.03</v>
      </c>
      <c r="P7" s="193">
        <v>3.0000000000000001E-3</v>
      </c>
      <c r="Q7" s="194" t="e">
        <f>IF(#REF!=$M$3,M7,IF(#REF!=$N$3,N7,IF(#REF!=$O$3,O7,IF(#REF!=$P$3,P7,""))))</f>
        <v>#REF!</v>
      </c>
    </row>
    <row r="8" spans="1:17" s="204" customFormat="1" ht="12" customHeight="1" x14ac:dyDescent="0.2">
      <c r="A8" s="202" t="s">
        <v>513</v>
      </c>
      <c r="B8" s="203"/>
      <c r="C8" s="202" t="s">
        <v>514</v>
      </c>
      <c r="D8" s="197" t="s">
        <v>515</v>
      </c>
      <c r="E8" s="197" t="s">
        <v>516</v>
      </c>
      <c r="F8" s="197" t="s">
        <v>517</v>
      </c>
      <c r="G8" s="197" t="s">
        <v>517</v>
      </c>
      <c r="K8" s="179"/>
      <c r="L8" s="179"/>
      <c r="M8" s="191">
        <v>7.0000000000000007E-2</v>
      </c>
      <c r="N8" s="192">
        <v>7.0000000000000001E-3</v>
      </c>
      <c r="O8" s="191">
        <v>0.02</v>
      </c>
      <c r="P8" s="193">
        <v>2.5000000000000001E-3</v>
      </c>
      <c r="Q8" s="194" t="e">
        <f>IF(#REF!=$M$3,M8,IF(#REF!=$N$3,N8,IF(#REF!=$O$3,O8,IF(#REF!=$P$3,P8,""))))</f>
        <v>#REF!</v>
      </c>
    </row>
    <row r="9" spans="1:17" s="201" customFormat="1" ht="12" customHeight="1" x14ac:dyDescent="0.2">
      <c r="A9" s="205" t="s">
        <v>518</v>
      </c>
      <c r="B9" s="206" t="s">
        <v>519</v>
      </c>
      <c r="C9" s="205" t="s">
        <v>520</v>
      </c>
      <c r="D9" s="205">
        <v>1</v>
      </c>
      <c r="E9" s="205">
        <v>2</v>
      </c>
      <c r="F9" s="205">
        <v>3</v>
      </c>
      <c r="G9" s="205">
        <v>4</v>
      </c>
      <c r="K9" s="179"/>
      <c r="L9" s="179"/>
      <c r="M9" s="191">
        <v>0.06</v>
      </c>
      <c r="N9" s="192">
        <v>6.0000000000000001E-3</v>
      </c>
      <c r="O9" s="191">
        <v>0.01</v>
      </c>
      <c r="P9" s="179"/>
      <c r="Q9" s="194" t="e">
        <f>IF(#REF!=$M$3,M9,IF(#REF!=$N$3,N9,IF(#REF!=$O$3,O9,IF(#REF!=$P$3,P9,""))))</f>
        <v>#REF!</v>
      </c>
    </row>
    <row r="10" spans="1:17" s="211" customFormat="1" ht="12" customHeight="1" x14ac:dyDescent="0.2">
      <c r="A10" s="207"/>
      <c r="B10" s="208" t="s">
        <v>521</v>
      </c>
      <c r="C10" s="209" t="s">
        <v>522</v>
      </c>
      <c r="D10" s="889">
        <v>2889948</v>
      </c>
      <c r="E10" s="889">
        <v>223320</v>
      </c>
      <c r="F10" s="889">
        <v>2867628</v>
      </c>
      <c r="G10" s="889">
        <v>2216815</v>
      </c>
      <c r="K10" s="179"/>
      <c r="L10" s="179"/>
      <c r="M10" s="191">
        <v>0.05</v>
      </c>
      <c r="N10" s="192">
        <v>5.0000000000000001E-3</v>
      </c>
      <c r="O10" s="179"/>
      <c r="P10" s="179"/>
      <c r="Q10" s="194" t="e">
        <f>IF(#REF!=$M$3,M10,IF(#REF!=$N$3,N10,IF(#REF!=$O$3,O10,IF(#REF!=$P$3,P10,""))))</f>
        <v>#REF!</v>
      </c>
    </row>
    <row r="11" spans="1:17" s="211" customFormat="1" ht="12" customHeight="1" x14ac:dyDescent="0.25">
      <c r="A11" s="212" t="s">
        <v>523</v>
      </c>
      <c r="B11" s="213" t="s">
        <v>524</v>
      </c>
      <c r="C11" s="209" t="s">
        <v>525</v>
      </c>
      <c r="D11" s="889">
        <v>38844</v>
      </c>
      <c r="E11" s="889">
        <v>20604</v>
      </c>
      <c r="F11" s="889">
        <v>18240</v>
      </c>
      <c r="G11" s="889">
        <v>26010</v>
      </c>
    </row>
    <row r="12" spans="1:17" s="211" customFormat="1" ht="12" customHeight="1" x14ac:dyDescent="0.25">
      <c r="A12" s="214" t="s">
        <v>526</v>
      </c>
      <c r="B12" s="214" t="s">
        <v>527</v>
      </c>
      <c r="C12" s="209" t="s">
        <v>528</v>
      </c>
      <c r="D12" s="889"/>
      <c r="E12" s="889"/>
      <c r="F12" s="889"/>
      <c r="G12" s="889"/>
    </row>
    <row r="13" spans="1:17" s="186" customFormat="1" ht="12" customHeight="1" x14ac:dyDescent="0.25">
      <c r="A13" s="215" t="s">
        <v>529</v>
      </c>
      <c r="B13" s="216" t="s">
        <v>530</v>
      </c>
      <c r="C13" s="217" t="s">
        <v>531</v>
      </c>
      <c r="D13" s="890"/>
      <c r="E13" s="890"/>
      <c r="F13" s="890"/>
      <c r="G13" s="890"/>
      <c r="H13" s="218"/>
    </row>
    <row r="14" spans="1:17" s="186" customFormat="1" ht="12" customHeight="1" x14ac:dyDescent="0.25">
      <c r="A14" s="215" t="s">
        <v>532</v>
      </c>
      <c r="B14" s="216" t="s">
        <v>533</v>
      </c>
      <c r="C14" s="217" t="s">
        <v>534</v>
      </c>
      <c r="D14" s="890"/>
      <c r="E14" s="890"/>
      <c r="F14" s="890"/>
      <c r="G14" s="891"/>
    </row>
    <row r="15" spans="1:17" s="186" customFormat="1" ht="12" customHeight="1" x14ac:dyDescent="0.25">
      <c r="A15" s="215" t="s">
        <v>535</v>
      </c>
      <c r="B15" s="216" t="s">
        <v>536</v>
      </c>
      <c r="C15" s="217" t="s">
        <v>537</v>
      </c>
      <c r="D15" s="890"/>
      <c r="E15" s="890"/>
      <c r="F15" s="890"/>
      <c r="G15" s="890"/>
    </row>
    <row r="16" spans="1:17" s="186" customFormat="1" ht="12" customHeight="1" x14ac:dyDescent="0.25">
      <c r="A16" s="215" t="s">
        <v>538</v>
      </c>
      <c r="B16" s="216" t="s">
        <v>539</v>
      </c>
      <c r="C16" s="217" t="s">
        <v>540</v>
      </c>
      <c r="D16" s="890"/>
      <c r="E16" s="890"/>
      <c r="F16" s="890"/>
      <c r="G16" s="890"/>
    </row>
    <row r="17" spans="1:7" s="186" customFormat="1" ht="12" customHeight="1" x14ac:dyDescent="0.25">
      <c r="A17" s="215" t="s">
        <v>541</v>
      </c>
      <c r="B17" s="219" t="s">
        <v>542</v>
      </c>
      <c r="C17" s="217" t="s">
        <v>543</v>
      </c>
      <c r="D17" s="890"/>
      <c r="E17" s="890"/>
      <c r="F17" s="890"/>
      <c r="G17" s="890"/>
    </row>
    <row r="18" spans="1:7" s="186" customFormat="1" ht="12" customHeight="1" x14ac:dyDescent="0.25">
      <c r="A18" s="215" t="s">
        <v>544</v>
      </c>
      <c r="B18" s="216" t="s">
        <v>545</v>
      </c>
      <c r="C18" s="217" t="s">
        <v>546</v>
      </c>
      <c r="D18" s="890"/>
      <c r="E18" s="890"/>
      <c r="F18" s="890"/>
      <c r="G18" s="890"/>
    </row>
    <row r="19" spans="1:7" s="186" customFormat="1" ht="12" customHeight="1" x14ac:dyDescent="0.25">
      <c r="A19" s="215" t="s">
        <v>547</v>
      </c>
      <c r="B19" s="216" t="s">
        <v>548</v>
      </c>
      <c r="C19" s="217" t="s">
        <v>549</v>
      </c>
      <c r="D19" s="890"/>
      <c r="E19" s="890"/>
      <c r="F19" s="890"/>
      <c r="G19" s="890"/>
    </row>
    <row r="20" spans="1:7" s="211" customFormat="1" ht="12" customHeight="1" x14ac:dyDescent="0.25">
      <c r="A20" s="220" t="s">
        <v>550</v>
      </c>
      <c r="B20" s="214" t="s">
        <v>551</v>
      </c>
      <c r="C20" s="209" t="s">
        <v>552</v>
      </c>
      <c r="D20" s="889">
        <v>38844</v>
      </c>
      <c r="E20" s="889">
        <v>20604</v>
      </c>
      <c r="F20" s="889">
        <v>18240</v>
      </c>
      <c r="G20" s="889">
        <v>26010</v>
      </c>
    </row>
    <row r="21" spans="1:7" s="186" customFormat="1" ht="12" customHeight="1" x14ac:dyDescent="0.25">
      <c r="A21" s="221" t="s">
        <v>553</v>
      </c>
      <c r="B21" s="216" t="s">
        <v>554</v>
      </c>
      <c r="C21" s="217" t="s">
        <v>555</v>
      </c>
      <c r="D21" s="890"/>
      <c r="E21" s="890"/>
      <c r="F21" s="890"/>
      <c r="G21" s="890"/>
    </row>
    <row r="22" spans="1:7" s="186" customFormat="1" ht="12" customHeight="1" x14ac:dyDescent="0.25">
      <c r="A22" s="215" t="s">
        <v>532</v>
      </c>
      <c r="B22" s="216" t="s">
        <v>556</v>
      </c>
      <c r="C22" s="217" t="s">
        <v>557</v>
      </c>
      <c r="D22" s="890"/>
      <c r="E22" s="890"/>
      <c r="F22" s="890"/>
      <c r="G22" s="890"/>
    </row>
    <row r="23" spans="1:7" s="186" customFormat="1" ht="12" customHeight="1" x14ac:dyDescent="0.25">
      <c r="A23" s="215" t="s">
        <v>535</v>
      </c>
      <c r="B23" s="216" t="s">
        <v>558</v>
      </c>
      <c r="C23" s="217" t="s">
        <v>559</v>
      </c>
      <c r="D23" s="890">
        <v>38844</v>
      </c>
      <c r="E23" s="892">
        <v>20604</v>
      </c>
      <c r="F23" s="890">
        <v>18240</v>
      </c>
      <c r="G23" s="890">
        <v>26010</v>
      </c>
    </row>
    <row r="24" spans="1:7" s="186" customFormat="1" ht="12" customHeight="1" x14ac:dyDescent="0.25">
      <c r="A24" s="215" t="s">
        <v>538</v>
      </c>
      <c r="B24" s="216" t="s">
        <v>560</v>
      </c>
      <c r="C24" s="217" t="s">
        <v>561</v>
      </c>
      <c r="D24" s="890"/>
      <c r="E24" s="890"/>
      <c r="F24" s="890"/>
      <c r="G24" s="892"/>
    </row>
    <row r="25" spans="1:7" s="186" customFormat="1" ht="12" customHeight="1" x14ac:dyDescent="0.25">
      <c r="A25" s="215" t="s">
        <v>541</v>
      </c>
      <c r="B25" s="216" t="s">
        <v>562</v>
      </c>
      <c r="C25" s="217" t="s">
        <v>563</v>
      </c>
      <c r="D25" s="890"/>
      <c r="E25" s="890"/>
      <c r="F25" s="890"/>
      <c r="G25" s="892"/>
    </row>
    <row r="26" spans="1:7" s="186" customFormat="1" ht="12" customHeight="1" x14ac:dyDescent="0.25">
      <c r="A26" s="215" t="s">
        <v>544</v>
      </c>
      <c r="B26" s="219" t="s">
        <v>564</v>
      </c>
      <c r="C26" s="217" t="s">
        <v>565</v>
      </c>
      <c r="D26" s="892"/>
      <c r="E26" s="892"/>
      <c r="F26" s="890"/>
      <c r="G26" s="892"/>
    </row>
    <row r="27" spans="1:7" s="186" customFormat="1" ht="12" customHeight="1" x14ac:dyDescent="0.25">
      <c r="A27" s="215" t="s">
        <v>547</v>
      </c>
      <c r="B27" s="216" t="s">
        <v>566</v>
      </c>
      <c r="C27" s="217" t="s">
        <v>567</v>
      </c>
      <c r="D27" s="890"/>
      <c r="E27" s="890"/>
      <c r="F27" s="890"/>
      <c r="G27" s="890"/>
    </row>
    <row r="28" spans="1:7" s="186" customFormat="1" ht="12" customHeight="1" x14ac:dyDescent="0.25">
      <c r="A28" s="215" t="s">
        <v>568</v>
      </c>
      <c r="B28" s="216" t="s">
        <v>569</v>
      </c>
      <c r="C28" s="217" t="s">
        <v>570</v>
      </c>
      <c r="D28" s="890"/>
      <c r="E28" s="890"/>
      <c r="F28" s="890"/>
      <c r="G28" s="890"/>
    </row>
    <row r="29" spans="1:7" s="186" customFormat="1" ht="12" customHeight="1" x14ac:dyDescent="0.25">
      <c r="A29" s="215" t="s">
        <v>571</v>
      </c>
      <c r="B29" s="216" t="s">
        <v>572</v>
      </c>
      <c r="C29" s="217" t="s">
        <v>573</v>
      </c>
      <c r="D29" s="890"/>
      <c r="E29" s="890"/>
      <c r="F29" s="890"/>
      <c r="G29" s="890"/>
    </row>
    <row r="30" spans="1:7" s="211" customFormat="1" ht="12" customHeight="1" x14ac:dyDescent="0.25">
      <c r="A30" s="220" t="s">
        <v>574</v>
      </c>
      <c r="B30" s="214" t="s">
        <v>575</v>
      </c>
      <c r="C30" s="209" t="s">
        <v>576</v>
      </c>
      <c r="D30" s="889"/>
      <c r="E30" s="889"/>
      <c r="F30" s="889"/>
      <c r="G30" s="889"/>
    </row>
    <row r="31" spans="1:7" s="186" customFormat="1" ht="12" customHeight="1" x14ac:dyDescent="0.25">
      <c r="A31" s="221" t="s">
        <v>577</v>
      </c>
      <c r="B31" s="216" t="s">
        <v>578</v>
      </c>
      <c r="C31" s="217" t="s">
        <v>579</v>
      </c>
      <c r="D31" s="890"/>
      <c r="E31" s="890"/>
      <c r="F31" s="890"/>
      <c r="G31" s="890"/>
    </row>
    <row r="32" spans="1:7" s="186" customFormat="1" ht="12" customHeight="1" x14ac:dyDescent="0.25">
      <c r="A32" s="215" t="s">
        <v>532</v>
      </c>
      <c r="B32" s="216" t="s">
        <v>580</v>
      </c>
      <c r="C32" s="217" t="s">
        <v>581</v>
      </c>
      <c r="D32" s="890"/>
      <c r="E32" s="890"/>
      <c r="F32" s="890"/>
      <c r="G32" s="890"/>
    </row>
    <row r="33" spans="1:7" s="186" customFormat="1" ht="12" customHeight="1" x14ac:dyDescent="0.25">
      <c r="A33" s="215" t="s">
        <v>535</v>
      </c>
      <c r="B33" s="216" t="s">
        <v>582</v>
      </c>
      <c r="C33" s="217" t="s">
        <v>583</v>
      </c>
      <c r="D33" s="890"/>
      <c r="E33" s="890"/>
      <c r="F33" s="890"/>
      <c r="G33" s="890"/>
    </row>
    <row r="34" spans="1:7" s="186" customFormat="1" ht="12" customHeight="1" x14ac:dyDescent="0.25">
      <c r="A34" s="215" t="s">
        <v>538</v>
      </c>
      <c r="B34" s="216" t="s">
        <v>584</v>
      </c>
      <c r="C34" s="217" t="s">
        <v>585</v>
      </c>
      <c r="D34" s="890"/>
      <c r="E34" s="890"/>
      <c r="F34" s="890"/>
      <c r="G34" s="890"/>
    </row>
    <row r="35" spans="1:7" s="186" customFormat="1" ht="12" customHeight="1" x14ac:dyDescent="0.25">
      <c r="A35" s="215" t="s">
        <v>541</v>
      </c>
      <c r="B35" s="219" t="s">
        <v>586</v>
      </c>
      <c r="C35" s="217" t="s">
        <v>587</v>
      </c>
      <c r="D35" s="890"/>
      <c r="E35" s="890"/>
      <c r="F35" s="890"/>
      <c r="G35" s="890"/>
    </row>
    <row r="36" spans="1:7" s="186" customFormat="1" ht="12" customHeight="1" x14ac:dyDescent="0.25">
      <c r="A36" s="215" t="s">
        <v>544</v>
      </c>
      <c r="B36" s="219" t="s">
        <v>588</v>
      </c>
      <c r="C36" s="217" t="s">
        <v>589</v>
      </c>
      <c r="D36" s="890"/>
      <c r="E36" s="890"/>
      <c r="F36" s="890"/>
      <c r="G36" s="890"/>
    </row>
    <row r="37" spans="1:7" s="186" customFormat="1" ht="12" customHeight="1" x14ac:dyDescent="0.25">
      <c r="A37" s="215" t="s">
        <v>547</v>
      </c>
      <c r="B37" s="216" t="s">
        <v>590</v>
      </c>
      <c r="C37" s="217" t="s">
        <v>591</v>
      </c>
      <c r="D37" s="890"/>
      <c r="E37" s="890"/>
      <c r="F37" s="890"/>
      <c r="G37" s="890"/>
    </row>
    <row r="38" spans="1:7" s="186" customFormat="1" ht="12" customHeight="1" x14ac:dyDescent="0.25">
      <c r="A38" s="215" t="s">
        <v>568</v>
      </c>
      <c r="B38" s="216" t="s">
        <v>592</v>
      </c>
      <c r="C38" s="217" t="s">
        <v>593</v>
      </c>
      <c r="D38" s="890"/>
      <c r="E38" s="890"/>
      <c r="F38" s="890"/>
      <c r="G38" s="890"/>
    </row>
    <row r="39" spans="1:7" s="211" customFormat="1" ht="12" customHeight="1" x14ac:dyDescent="0.25">
      <c r="A39" s="220" t="s">
        <v>594</v>
      </c>
      <c r="B39" s="213" t="s">
        <v>595</v>
      </c>
      <c r="C39" s="209" t="s">
        <v>596</v>
      </c>
      <c r="D39" s="889">
        <v>2847082</v>
      </c>
      <c r="E39" s="889">
        <v>1716</v>
      </c>
      <c r="F39" s="889">
        <v>2845366</v>
      </c>
      <c r="G39" s="889">
        <v>2170868</v>
      </c>
    </row>
    <row r="40" spans="1:7" s="211" customFormat="1" ht="12" customHeight="1" x14ac:dyDescent="0.25">
      <c r="A40" s="214" t="s">
        <v>597</v>
      </c>
      <c r="B40" s="214" t="s">
        <v>598</v>
      </c>
      <c r="C40" s="209" t="s">
        <v>599</v>
      </c>
      <c r="D40" s="889"/>
      <c r="E40" s="889"/>
      <c r="F40" s="889"/>
      <c r="G40" s="889"/>
    </row>
    <row r="41" spans="1:7" s="186" customFormat="1" ht="12" customHeight="1" x14ac:dyDescent="0.25">
      <c r="A41" s="221" t="s">
        <v>600</v>
      </c>
      <c r="B41" s="216" t="s">
        <v>601</v>
      </c>
      <c r="C41" s="217" t="s">
        <v>602</v>
      </c>
      <c r="D41" s="890"/>
      <c r="E41" s="890"/>
      <c r="F41" s="890"/>
      <c r="G41" s="890"/>
    </row>
    <row r="42" spans="1:7" s="186" customFormat="1" ht="12" customHeight="1" x14ac:dyDescent="0.25">
      <c r="A42" s="215" t="s">
        <v>532</v>
      </c>
      <c r="B42" s="219" t="s">
        <v>603</v>
      </c>
      <c r="C42" s="217" t="s">
        <v>604</v>
      </c>
      <c r="D42" s="890"/>
      <c r="E42" s="890"/>
      <c r="F42" s="890"/>
      <c r="G42" s="890"/>
    </row>
    <row r="43" spans="1:7" s="186" customFormat="1" ht="12" customHeight="1" x14ac:dyDescent="0.25">
      <c r="A43" s="215" t="s">
        <v>535</v>
      </c>
      <c r="B43" s="216" t="s">
        <v>605</v>
      </c>
      <c r="C43" s="217" t="s">
        <v>606</v>
      </c>
      <c r="D43" s="890"/>
      <c r="E43" s="890"/>
      <c r="F43" s="890"/>
      <c r="G43" s="890"/>
    </row>
    <row r="44" spans="1:7" s="186" customFormat="1" ht="12" customHeight="1" x14ac:dyDescent="0.25">
      <c r="A44" s="215" t="s">
        <v>538</v>
      </c>
      <c r="B44" s="216" t="s">
        <v>607</v>
      </c>
      <c r="C44" s="217" t="s">
        <v>608</v>
      </c>
      <c r="D44" s="890"/>
      <c r="E44" s="890"/>
      <c r="F44" s="890"/>
      <c r="G44" s="890"/>
    </row>
    <row r="45" spans="1:7" s="186" customFormat="1" ht="12" customHeight="1" x14ac:dyDescent="0.25">
      <c r="A45" s="215" t="s">
        <v>541</v>
      </c>
      <c r="B45" s="219" t="s">
        <v>609</v>
      </c>
      <c r="C45" s="217" t="s">
        <v>610</v>
      </c>
      <c r="D45" s="890"/>
      <c r="E45" s="890"/>
      <c r="F45" s="890"/>
      <c r="G45" s="890"/>
    </row>
    <row r="46" spans="1:7" s="186" customFormat="1" ht="12" customHeight="1" x14ac:dyDescent="0.25">
      <c r="A46" s="215" t="s">
        <v>544</v>
      </c>
      <c r="B46" s="216" t="s">
        <v>611</v>
      </c>
      <c r="C46" s="217" t="s">
        <v>612</v>
      </c>
      <c r="D46" s="893"/>
      <c r="E46" s="893"/>
      <c r="F46" s="893"/>
      <c r="G46" s="890"/>
    </row>
    <row r="47" spans="1:7" s="211" customFormat="1" ht="12" customHeight="1" x14ac:dyDescent="0.25">
      <c r="A47" s="220" t="s">
        <v>613</v>
      </c>
      <c r="B47" s="214" t="s">
        <v>614</v>
      </c>
      <c r="C47" s="209" t="s">
        <v>615</v>
      </c>
      <c r="D47" s="889">
        <v>25577</v>
      </c>
      <c r="E47" s="889"/>
      <c r="F47" s="889">
        <v>25577</v>
      </c>
      <c r="G47" s="889">
        <v>19858</v>
      </c>
    </row>
    <row r="48" spans="1:7" s="186" customFormat="1" ht="12" customHeight="1" x14ac:dyDescent="0.25">
      <c r="A48" s="221" t="s">
        <v>616</v>
      </c>
      <c r="B48" s="219" t="s">
        <v>617</v>
      </c>
      <c r="C48" s="217" t="s">
        <v>618</v>
      </c>
      <c r="D48" s="894"/>
      <c r="E48" s="894"/>
      <c r="F48" s="894"/>
      <c r="G48" s="894"/>
    </row>
    <row r="49" spans="1:7" s="186" customFormat="1" ht="12" customHeight="1" x14ac:dyDescent="0.25">
      <c r="A49" s="224" t="s">
        <v>532</v>
      </c>
      <c r="B49" s="225" t="s">
        <v>619</v>
      </c>
      <c r="C49" s="226" t="s">
        <v>620</v>
      </c>
      <c r="D49" s="894"/>
      <c r="E49" s="892"/>
      <c r="F49" s="892"/>
      <c r="G49" s="894"/>
    </row>
    <row r="50" spans="1:7" s="186" customFormat="1" ht="12" customHeight="1" x14ac:dyDescent="0.25">
      <c r="A50" s="215" t="s">
        <v>535</v>
      </c>
      <c r="B50" s="216" t="s">
        <v>621</v>
      </c>
      <c r="C50" s="217" t="s">
        <v>622</v>
      </c>
      <c r="D50" s="894"/>
      <c r="E50" s="894"/>
      <c r="F50" s="894"/>
      <c r="G50" s="894"/>
    </row>
    <row r="51" spans="1:7" s="186" customFormat="1" ht="12" customHeight="1" x14ac:dyDescent="0.25">
      <c r="A51" s="215" t="s">
        <v>538</v>
      </c>
      <c r="B51" s="216" t="s">
        <v>623</v>
      </c>
      <c r="C51" s="217" t="s">
        <v>624</v>
      </c>
      <c r="D51" s="894"/>
      <c r="E51" s="894"/>
      <c r="F51" s="894"/>
      <c r="G51" s="894"/>
    </row>
    <row r="52" spans="1:7" s="186" customFormat="1" ht="12" customHeight="1" x14ac:dyDescent="0.25">
      <c r="A52" s="215" t="s">
        <v>541</v>
      </c>
      <c r="B52" s="219" t="s">
        <v>625</v>
      </c>
      <c r="C52" s="217" t="s">
        <v>626</v>
      </c>
      <c r="D52" s="894"/>
      <c r="E52" s="894"/>
      <c r="F52" s="894"/>
      <c r="G52" s="894"/>
    </row>
    <row r="53" spans="1:7" s="186" customFormat="1" ht="12" customHeight="1" x14ac:dyDescent="0.25">
      <c r="A53" s="215" t="s">
        <v>544</v>
      </c>
      <c r="B53" s="219" t="s">
        <v>627</v>
      </c>
      <c r="C53" s="217" t="s">
        <v>628</v>
      </c>
      <c r="D53" s="894"/>
      <c r="E53" s="895"/>
      <c r="F53" s="895"/>
      <c r="G53" s="894"/>
    </row>
    <row r="54" spans="1:7" s="186" customFormat="1" ht="12" customHeight="1" x14ac:dyDescent="0.25">
      <c r="A54" s="215" t="s">
        <v>547</v>
      </c>
      <c r="B54" s="216" t="s">
        <v>629</v>
      </c>
      <c r="C54" s="217" t="s">
        <v>630</v>
      </c>
      <c r="D54" s="894">
        <v>25577</v>
      </c>
      <c r="E54" s="895"/>
      <c r="F54" s="895">
        <v>25577</v>
      </c>
      <c r="G54" s="894">
        <v>19858</v>
      </c>
    </row>
    <row r="55" spans="1:7" s="211" customFormat="1" ht="12" customHeight="1" x14ac:dyDescent="0.25">
      <c r="A55" s="220" t="s">
        <v>631</v>
      </c>
      <c r="B55" s="214" t="s">
        <v>632</v>
      </c>
      <c r="C55" s="209" t="s">
        <v>633</v>
      </c>
      <c r="D55" s="889">
        <v>2821219</v>
      </c>
      <c r="E55" s="889">
        <v>1716</v>
      </c>
      <c r="F55" s="889">
        <v>2819503</v>
      </c>
      <c r="G55" s="889">
        <v>2150321</v>
      </c>
    </row>
    <row r="56" spans="1:7" s="186" customFormat="1" ht="12" customHeight="1" x14ac:dyDescent="0.25">
      <c r="A56" s="221" t="s">
        <v>634</v>
      </c>
      <c r="B56" s="219" t="s">
        <v>635</v>
      </c>
      <c r="C56" s="217" t="s">
        <v>636</v>
      </c>
      <c r="D56" s="894">
        <v>2820567</v>
      </c>
      <c r="E56" s="894">
        <v>1716</v>
      </c>
      <c r="F56" s="894">
        <v>2818851</v>
      </c>
      <c r="G56" s="894">
        <v>2123075</v>
      </c>
    </row>
    <row r="57" spans="1:7" s="186" customFormat="1" ht="12" customHeight="1" x14ac:dyDescent="0.25">
      <c r="A57" s="224" t="s">
        <v>532</v>
      </c>
      <c r="B57" s="225" t="s">
        <v>619</v>
      </c>
      <c r="C57" s="226" t="s">
        <v>637</v>
      </c>
      <c r="D57" s="894"/>
      <c r="E57" s="892"/>
      <c r="F57" s="892"/>
      <c r="G57" s="894"/>
    </row>
    <row r="58" spans="1:7" s="186" customFormat="1" ht="12" customHeight="1" x14ac:dyDescent="0.25">
      <c r="A58" s="215" t="s">
        <v>535</v>
      </c>
      <c r="B58" s="216" t="s">
        <v>638</v>
      </c>
      <c r="C58" s="217" t="s">
        <v>639</v>
      </c>
      <c r="D58" s="894"/>
      <c r="E58" s="894"/>
      <c r="F58" s="894"/>
      <c r="G58" s="894"/>
    </row>
    <row r="59" spans="1:7" s="186" customFormat="1" ht="12" customHeight="1" x14ac:dyDescent="0.25">
      <c r="A59" s="215" t="s">
        <v>538</v>
      </c>
      <c r="B59" s="216" t="s">
        <v>623</v>
      </c>
      <c r="C59" s="217" t="s">
        <v>640</v>
      </c>
      <c r="D59" s="894"/>
      <c r="E59" s="894"/>
      <c r="F59" s="894"/>
      <c r="G59" s="894"/>
    </row>
    <row r="60" spans="1:7" s="186" customFormat="1" ht="12" customHeight="1" x14ac:dyDescent="0.25">
      <c r="A60" s="215" t="s">
        <v>541</v>
      </c>
      <c r="B60" s="219" t="s">
        <v>641</v>
      </c>
      <c r="C60" s="217" t="s">
        <v>642</v>
      </c>
      <c r="D60" s="894"/>
      <c r="E60" s="894"/>
      <c r="F60" s="894"/>
      <c r="G60" s="894"/>
    </row>
    <row r="61" spans="1:7" s="186" customFormat="1" ht="12" customHeight="1" x14ac:dyDescent="0.25">
      <c r="A61" s="215" t="s">
        <v>544</v>
      </c>
      <c r="B61" s="216" t="s">
        <v>643</v>
      </c>
      <c r="C61" s="217" t="s">
        <v>644</v>
      </c>
      <c r="D61" s="894"/>
      <c r="E61" s="894"/>
      <c r="F61" s="894"/>
      <c r="G61" s="894"/>
    </row>
    <row r="62" spans="1:7" s="186" customFormat="1" ht="12" customHeight="1" x14ac:dyDescent="0.25">
      <c r="A62" s="215" t="s">
        <v>547</v>
      </c>
      <c r="B62" s="216" t="s">
        <v>645</v>
      </c>
      <c r="C62" s="217" t="s">
        <v>646</v>
      </c>
      <c r="D62" s="894"/>
      <c r="E62" s="894"/>
      <c r="F62" s="894"/>
      <c r="G62" s="894"/>
    </row>
    <row r="63" spans="1:7" s="186" customFormat="1" ht="12" customHeight="1" x14ac:dyDescent="0.25">
      <c r="A63" s="215" t="s">
        <v>568</v>
      </c>
      <c r="B63" s="215" t="s">
        <v>647</v>
      </c>
      <c r="C63" s="217" t="s">
        <v>648</v>
      </c>
      <c r="D63" s="894">
        <v>652</v>
      </c>
      <c r="E63" s="894"/>
      <c r="F63" s="894">
        <v>652</v>
      </c>
      <c r="G63" s="894">
        <v>652</v>
      </c>
    </row>
    <row r="64" spans="1:7" s="211" customFormat="1" ht="12" customHeight="1" x14ac:dyDescent="0.25">
      <c r="A64" s="220" t="s">
        <v>649</v>
      </c>
      <c r="B64" s="214" t="s">
        <v>650</v>
      </c>
      <c r="C64" s="209" t="s">
        <v>651</v>
      </c>
      <c r="D64" s="889">
        <v>286</v>
      </c>
      <c r="E64" s="889"/>
      <c r="F64" s="889">
        <v>286</v>
      </c>
      <c r="G64" s="889">
        <v>689</v>
      </c>
    </row>
    <row r="65" spans="1:7" s="211" customFormat="1" ht="12" customHeight="1" x14ac:dyDescent="0.25">
      <c r="A65" s="221" t="s">
        <v>652</v>
      </c>
      <c r="B65" s="216" t="s">
        <v>653</v>
      </c>
      <c r="C65" s="217" t="s">
        <v>654</v>
      </c>
      <c r="D65" s="890">
        <v>286</v>
      </c>
      <c r="E65" s="890"/>
      <c r="F65" s="892">
        <v>286</v>
      </c>
      <c r="G65" s="890">
        <v>689</v>
      </c>
    </row>
    <row r="66" spans="1:7" s="186" customFormat="1" ht="12" customHeight="1" x14ac:dyDescent="0.25">
      <c r="A66" s="215" t="s">
        <v>532</v>
      </c>
      <c r="B66" s="216" t="s">
        <v>655</v>
      </c>
      <c r="C66" s="217" t="s">
        <v>656</v>
      </c>
      <c r="D66" s="890"/>
      <c r="E66" s="890"/>
      <c r="F66" s="890"/>
      <c r="G66" s="890"/>
    </row>
    <row r="67" spans="1:7" s="186" customFormat="1" ht="12" customHeight="1" x14ac:dyDescent="0.25">
      <c r="A67" s="215" t="s">
        <v>535</v>
      </c>
      <c r="B67" s="216" t="s">
        <v>657</v>
      </c>
      <c r="C67" s="217" t="s">
        <v>658</v>
      </c>
      <c r="D67" s="890"/>
      <c r="E67" s="890"/>
      <c r="F67" s="890"/>
      <c r="G67" s="890"/>
    </row>
    <row r="68" spans="1:7" s="186" customFormat="1" ht="12" customHeight="1" x14ac:dyDescent="0.25">
      <c r="A68" s="215" t="s">
        <v>538</v>
      </c>
      <c r="B68" s="216" t="s">
        <v>659</v>
      </c>
      <c r="C68" s="217" t="s">
        <v>660</v>
      </c>
      <c r="D68" s="890"/>
      <c r="E68" s="890"/>
      <c r="F68" s="890"/>
      <c r="G68" s="890"/>
    </row>
    <row r="69" spans="1:7" s="186" customFormat="1" ht="12" customHeight="1" x14ac:dyDescent="0.25">
      <c r="A69" s="215" t="s">
        <v>541</v>
      </c>
      <c r="B69" s="216" t="s">
        <v>661</v>
      </c>
      <c r="C69" s="217" t="s">
        <v>662</v>
      </c>
      <c r="D69" s="890"/>
      <c r="E69" s="890"/>
      <c r="F69" s="890"/>
      <c r="G69" s="890"/>
    </row>
    <row r="70" spans="1:7" s="211" customFormat="1" ht="12" customHeight="1" x14ac:dyDescent="0.25">
      <c r="A70" s="220" t="s">
        <v>663</v>
      </c>
      <c r="B70" s="214" t="s">
        <v>664</v>
      </c>
      <c r="C70" s="209" t="s">
        <v>665</v>
      </c>
      <c r="D70" s="889">
        <v>4022</v>
      </c>
      <c r="E70" s="889"/>
      <c r="F70" s="889">
        <v>4022</v>
      </c>
      <c r="G70" s="889">
        <v>19937</v>
      </c>
    </row>
    <row r="71" spans="1:7" s="186" customFormat="1" ht="12" customHeight="1" x14ac:dyDescent="0.25">
      <c r="A71" s="221" t="s">
        <v>666</v>
      </c>
      <c r="B71" s="216" t="s">
        <v>667</v>
      </c>
      <c r="C71" s="217" t="s">
        <v>668</v>
      </c>
      <c r="D71" s="896"/>
      <c r="E71" s="897"/>
      <c r="F71" s="892"/>
      <c r="G71" s="897"/>
    </row>
    <row r="72" spans="1:7" s="186" customFormat="1" ht="12" customHeight="1" x14ac:dyDescent="0.25">
      <c r="A72" s="215" t="s">
        <v>532</v>
      </c>
      <c r="B72" s="219" t="s">
        <v>669</v>
      </c>
      <c r="C72" s="217" t="s">
        <v>670</v>
      </c>
      <c r="D72" s="892">
        <v>2033</v>
      </c>
      <c r="E72" s="892"/>
      <c r="F72" s="892">
        <v>2033</v>
      </c>
      <c r="G72" s="892">
        <v>766</v>
      </c>
    </row>
    <row r="73" spans="1:7" s="186" customFormat="1" ht="12" customHeight="1" x14ac:dyDescent="0.25">
      <c r="A73" s="215" t="s">
        <v>535</v>
      </c>
      <c r="B73" s="216" t="s">
        <v>671</v>
      </c>
      <c r="C73" s="217" t="s">
        <v>672</v>
      </c>
      <c r="D73" s="892"/>
      <c r="E73" s="892"/>
      <c r="F73" s="892"/>
      <c r="G73" s="892"/>
    </row>
    <row r="74" spans="1:7" s="186" customFormat="1" ht="12" customHeight="1" x14ac:dyDescent="0.25">
      <c r="A74" s="215" t="s">
        <v>538</v>
      </c>
      <c r="B74" s="216" t="s">
        <v>673</v>
      </c>
      <c r="C74" s="217" t="s">
        <v>674</v>
      </c>
      <c r="D74" s="890">
        <v>1989</v>
      </c>
      <c r="E74" s="890"/>
      <c r="F74" s="890">
        <v>1989</v>
      </c>
      <c r="G74" s="890">
        <v>19171</v>
      </c>
    </row>
    <row r="75" spans="1:7" s="186" customFormat="1" ht="12" customHeight="1" x14ac:dyDescent="0.25">
      <c r="A75" s="227"/>
      <c r="B75" s="227" t="s">
        <v>675</v>
      </c>
      <c r="C75" s="228">
        <v>888</v>
      </c>
      <c r="D75" s="898"/>
      <c r="E75" s="898"/>
      <c r="F75" s="898"/>
      <c r="G75" s="898"/>
    </row>
    <row r="76" spans="1:7" s="186" customFormat="1" ht="12" customHeight="1" x14ac:dyDescent="0.25">
      <c r="A76" s="229"/>
      <c r="D76" s="230"/>
      <c r="E76" s="230"/>
      <c r="F76" s="230"/>
      <c r="G76" s="230"/>
    </row>
    <row r="77" spans="1:7" s="186" customFormat="1" ht="12" customHeight="1" x14ac:dyDescent="0.25">
      <c r="A77" s="229"/>
      <c r="D77" s="230"/>
      <c r="E77" s="230"/>
      <c r="F77" s="230"/>
      <c r="G77" s="230"/>
    </row>
    <row r="78" spans="1:7" s="186" customFormat="1" ht="12" customHeight="1" x14ac:dyDescent="0.25">
      <c r="A78" s="231" t="s">
        <v>508</v>
      </c>
      <c r="B78" s="231" t="s">
        <v>676</v>
      </c>
      <c r="C78" s="231" t="s">
        <v>510</v>
      </c>
      <c r="D78" s="232" t="s">
        <v>677</v>
      </c>
      <c r="E78" s="232" t="s">
        <v>678</v>
      </c>
      <c r="F78" s="233"/>
      <c r="G78" s="233"/>
    </row>
    <row r="79" spans="1:7" s="186" customFormat="1" ht="12" customHeight="1" x14ac:dyDescent="0.25">
      <c r="A79" s="234" t="s">
        <v>513</v>
      </c>
      <c r="B79" s="234"/>
      <c r="C79" s="234" t="s">
        <v>514</v>
      </c>
      <c r="D79" s="235" t="s">
        <v>679</v>
      </c>
      <c r="E79" s="235" t="s">
        <v>679</v>
      </c>
      <c r="F79" s="233"/>
      <c r="G79" s="233"/>
    </row>
    <row r="80" spans="1:7" s="238" customFormat="1" ht="12" customHeight="1" x14ac:dyDescent="0.25">
      <c r="A80" s="236" t="s">
        <v>518</v>
      </c>
      <c r="B80" s="236" t="s">
        <v>519</v>
      </c>
      <c r="C80" s="236" t="s">
        <v>520</v>
      </c>
      <c r="D80" s="237">
        <v>5</v>
      </c>
      <c r="E80" s="237">
        <v>6</v>
      </c>
      <c r="F80" s="233"/>
      <c r="G80" s="233"/>
    </row>
    <row r="81" spans="1:7" s="211" customFormat="1" ht="12" customHeight="1" x14ac:dyDescent="0.25">
      <c r="A81" s="239"/>
      <c r="B81" s="239" t="s">
        <v>680</v>
      </c>
      <c r="C81" s="240" t="s">
        <v>681</v>
      </c>
      <c r="D81" s="889">
        <v>2867628</v>
      </c>
      <c r="E81" s="889">
        <v>2216815</v>
      </c>
      <c r="F81" s="241"/>
      <c r="G81" s="241"/>
    </row>
    <row r="82" spans="1:7" s="211" customFormat="1" ht="12" customHeight="1" x14ac:dyDescent="0.25">
      <c r="A82" s="239" t="s">
        <v>523</v>
      </c>
      <c r="B82" s="239" t="s">
        <v>682</v>
      </c>
      <c r="C82" s="240" t="s">
        <v>683</v>
      </c>
      <c r="D82" s="889">
        <v>331785</v>
      </c>
      <c r="E82" s="889">
        <v>196262</v>
      </c>
      <c r="F82" s="1420"/>
      <c r="G82" s="1420"/>
    </row>
    <row r="83" spans="1:7" s="211" customFormat="1" ht="12" customHeight="1" x14ac:dyDescent="0.25">
      <c r="A83" s="239" t="s">
        <v>526</v>
      </c>
      <c r="B83" s="239" t="s">
        <v>684</v>
      </c>
      <c r="C83" s="240" t="s">
        <v>685</v>
      </c>
      <c r="D83" s="889">
        <v>132776</v>
      </c>
      <c r="E83" s="889">
        <v>132776</v>
      </c>
      <c r="F83" s="222"/>
      <c r="G83" s="222"/>
    </row>
    <row r="84" spans="1:7" s="186" customFormat="1" ht="12" customHeight="1" x14ac:dyDescent="0.25">
      <c r="A84" s="242" t="s">
        <v>529</v>
      </c>
      <c r="B84" s="243" t="s">
        <v>686</v>
      </c>
      <c r="C84" s="244" t="s">
        <v>687</v>
      </c>
      <c r="D84" s="890">
        <v>132776</v>
      </c>
      <c r="E84" s="890">
        <v>132776</v>
      </c>
      <c r="F84" s="222"/>
      <c r="G84" s="222"/>
    </row>
    <row r="85" spans="1:7" s="186" customFormat="1" ht="12" customHeight="1" x14ac:dyDescent="0.25">
      <c r="A85" s="242" t="s">
        <v>532</v>
      </c>
      <c r="B85" s="243" t="s">
        <v>688</v>
      </c>
      <c r="C85" s="244" t="s">
        <v>689</v>
      </c>
      <c r="D85" s="890"/>
      <c r="E85" s="890"/>
      <c r="F85" s="233"/>
      <c r="G85" s="210"/>
    </row>
    <row r="86" spans="1:7" s="186" customFormat="1" ht="12" customHeight="1" x14ac:dyDescent="0.25">
      <c r="A86" s="242" t="s">
        <v>535</v>
      </c>
      <c r="B86" s="243" t="s">
        <v>690</v>
      </c>
      <c r="C86" s="244" t="s">
        <v>691</v>
      </c>
      <c r="D86" s="890"/>
      <c r="E86" s="890"/>
      <c r="F86" s="233"/>
      <c r="G86" s="210"/>
    </row>
    <row r="87" spans="1:7" s="186" customFormat="1" ht="12" customHeight="1" x14ac:dyDescent="0.25">
      <c r="A87" s="215" t="s">
        <v>538</v>
      </c>
      <c r="B87" s="216" t="s">
        <v>692</v>
      </c>
      <c r="C87" s="217" t="s">
        <v>693</v>
      </c>
      <c r="D87" s="899"/>
      <c r="E87" s="890"/>
      <c r="F87" s="233"/>
      <c r="G87" s="223"/>
    </row>
    <row r="88" spans="1:7" s="211" customFormat="1" ht="12" customHeight="1" x14ac:dyDescent="0.25">
      <c r="A88" s="239" t="s">
        <v>550</v>
      </c>
      <c r="B88" s="239" t="s">
        <v>694</v>
      </c>
      <c r="C88" s="240" t="s">
        <v>695</v>
      </c>
      <c r="D88" s="889">
        <v>1427</v>
      </c>
      <c r="E88" s="889">
        <v>1427</v>
      </c>
      <c r="F88" s="241"/>
      <c r="G88" s="210"/>
    </row>
    <row r="89" spans="1:7" s="186" customFormat="1" ht="12" customHeight="1" x14ac:dyDescent="0.25">
      <c r="A89" s="242" t="s">
        <v>553</v>
      </c>
      <c r="B89" s="243" t="s">
        <v>696</v>
      </c>
      <c r="C89" s="244" t="s">
        <v>697</v>
      </c>
      <c r="D89" s="890"/>
      <c r="E89" s="890"/>
      <c r="F89" s="233"/>
      <c r="G89" s="210"/>
    </row>
    <row r="90" spans="1:7" s="186" customFormat="1" ht="12" customHeight="1" x14ac:dyDescent="0.25">
      <c r="A90" s="242" t="s">
        <v>532</v>
      </c>
      <c r="B90" s="243" t="s">
        <v>698</v>
      </c>
      <c r="C90" s="244" t="s">
        <v>699</v>
      </c>
      <c r="D90" s="890">
        <v>1427</v>
      </c>
      <c r="E90" s="890">
        <v>1427</v>
      </c>
      <c r="F90" s="233"/>
      <c r="G90" s="210"/>
    </row>
    <row r="91" spans="1:7" s="186" customFormat="1" ht="12" customHeight="1" x14ac:dyDescent="0.25">
      <c r="A91" s="242" t="s">
        <v>535</v>
      </c>
      <c r="B91" s="243" t="s">
        <v>700</v>
      </c>
      <c r="C91" s="244" t="s">
        <v>701</v>
      </c>
      <c r="D91" s="890"/>
      <c r="E91" s="890"/>
      <c r="F91" s="233"/>
      <c r="G91" s="210"/>
    </row>
    <row r="92" spans="1:7" s="186" customFormat="1" ht="12" customHeight="1" x14ac:dyDescent="0.25">
      <c r="A92" s="242" t="s">
        <v>538</v>
      </c>
      <c r="B92" s="243" t="s">
        <v>702</v>
      </c>
      <c r="C92" s="244" t="s">
        <v>703</v>
      </c>
      <c r="D92" s="890"/>
      <c r="E92" s="890"/>
      <c r="F92" s="233"/>
      <c r="G92" s="210"/>
    </row>
    <row r="93" spans="1:7" s="186" customFormat="1" ht="12" customHeight="1" x14ac:dyDescent="0.25">
      <c r="A93" s="242" t="s">
        <v>541</v>
      </c>
      <c r="B93" s="243" t="s">
        <v>704</v>
      </c>
      <c r="C93" s="244" t="s">
        <v>705</v>
      </c>
      <c r="D93" s="890"/>
      <c r="E93" s="890"/>
      <c r="F93" s="233"/>
      <c r="G93" s="210"/>
    </row>
    <row r="94" spans="1:7" s="186" customFormat="1" ht="12" customHeight="1" x14ac:dyDescent="0.25">
      <c r="A94" s="242" t="s">
        <v>544</v>
      </c>
      <c r="B94" s="243" t="s">
        <v>706</v>
      </c>
      <c r="C94" s="244" t="s">
        <v>707</v>
      </c>
      <c r="D94" s="890"/>
      <c r="E94" s="890"/>
      <c r="F94" s="233"/>
      <c r="G94" s="210"/>
    </row>
    <row r="95" spans="1:7" s="211" customFormat="1" ht="12" customHeight="1" x14ac:dyDescent="0.25">
      <c r="A95" s="239" t="s">
        <v>574</v>
      </c>
      <c r="B95" s="239" t="s">
        <v>708</v>
      </c>
      <c r="C95" s="240" t="s">
        <v>709</v>
      </c>
      <c r="D95" s="889">
        <v>13278</v>
      </c>
      <c r="E95" s="889">
        <v>13278</v>
      </c>
      <c r="F95" s="241"/>
      <c r="G95" s="210"/>
    </row>
    <row r="96" spans="1:7" s="186" customFormat="1" ht="12" customHeight="1" x14ac:dyDescent="0.25">
      <c r="A96" s="242" t="s">
        <v>577</v>
      </c>
      <c r="B96" s="243" t="s">
        <v>710</v>
      </c>
      <c r="C96" s="244" t="s">
        <v>711</v>
      </c>
      <c r="D96" s="890">
        <v>13278</v>
      </c>
      <c r="E96" s="890">
        <v>13278</v>
      </c>
      <c r="F96" s="233"/>
      <c r="G96" s="210"/>
    </row>
    <row r="97" spans="1:7" s="186" customFormat="1" ht="12" customHeight="1" x14ac:dyDescent="0.25">
      <c r="A97" s="242" t="s">
        <v>532</v>
      </c>
      <c r="B97" s="243" t="s">
        <v>712</v>
      </c>
      <c r="C97" s="244" t="s">
        <v>713</v>
      </c>
      <c r="D97" s="890"/>
      <c r="E97" s="890"/>
      <c r="F97" s="233"/>
      <c r="G97" s="210"/>
    </row>
    <row r="98" spans="1:7" s="186" customFormat="1" ht="12" customHeight="1" x14ac:dyDescent="0.25">
      <c r="A98" s="242" t="s">
        <v>535</v>
      </c>
      <c r="B98" s="243" t="s">
        <v>714</v>
      </c>
      <c r="C98" s="244" t="s">
        <v>715</v>
      </c>
      <c r="D98" s="890"/>
      <c r="E98" s="890"/>
      <c r="F98" s="233"/>
      <c r="G98" s="210"/>
    </row>
    <row r="99" spans="1:7" s="211" customFormat="1" ht="12" customHeight="1" x14ac:dyDescent="0.25">
      <c r="A99" s="239" t="s">
        <v>716</v>
      </c>
      <c r="B99" s="239" t="s">
        <v>717</v>
      </c>
      <c r="C99" s="240" t="s">
        <v>718</v>
      </c>
      <c r="D99" s="889"/>
      <c r="E99" s="889">
        <v>45857</v>
      </c>
      <c r="F99" s="241"/>
      <c r="G99" s="210"/>
    </row>
    <row r="100" spans="1:7" s="186" customFormat="1" ht="12" customHeight="1" x14ac:dyDescent="0.25">
      <c r="A100" s="242" t="s">
        <v>719</v>
      </c>
      <c r="B100" s="243" t="s">
        <v>720</v>
      </c>
      <c r="C100" s="244" t="s">
        <v>721</v>
      </c>
      <c r="D100" s="890"/>
      <c r="E100" s="890">
        <v>45857</v>
      </c>
      <c r="F100" s="233"/>
      <c r="G100" s="210"/>
    </row>
    <row r="101" spans="1:7" s="186" customFormat="1" ht="12" customHeight="1" x14ac:dyDescent="0.25">
      <c r="A101" s="242" t="s">
        <v>532</v>
      </c>
      <c r="B101" s="243" t="s">
        <v>722</v>
      </c>
      <c r="C101" s="244" t="s">
        <v>723</v>
      </c>
      <c r="D101" s="890"/>
      <c r="E101" s="890"/>
      <c r="F101" s="233"/>
      <c r="G101" s="210"/>
    </row>
    <row r="102" spans="1:7" s="247" customFormat="1" x14ac:dyDescent="0.25">
      <c r="A102" s="245" t="s">
        <v>724</v>
      </c>
      <c r="B102" s="245" t="s">
        <v>725</v>
      </c>
      <c r="C102" s="246" t="s">
        <v>726</v>
      </c>
      <c r="D102" s="900">
        <v>184304</v>
      </c>
      <c r="E102" s="900">
        <v>2924</v>
      </c>
      <c r="F102" s="241"/>
    </row>
    <row r="103" spans="1:7" s="211" customFormat="1" ht="12" customHeight="1" x14ac:dyDescent="0.25">
      <c r="A103" s="239" t="s">
        <v>594</v>
      </c>
      <c r="B103" s="239" t="s">
        <v>727</v>
      </c>
      <c r="C103" s="240" t="s">
        <v>728</v>
      </c>
      <c r="D103" s="889">
        <v>2534343</v>
      </c>
      <c r="E103" s="889">
        <v>2020553</v>
      </c>
      <c r="F103" s="248"/>
      <c r="G103" s="210"/>
    </row>
    <row r="104" spans="1:7" s="211" customFormat="1" ht="12" customHeight="1" x14ac:dyDescent="0.25">
      <c r="A104" s="239" t="s">
        <v>597</v>
      </c>
      <c r="B104" s="239" t="s">
        <v>729</v>
      </c>
      <c r="C104" s="240" t="s">
        <v>730</v>
      </c>
      <c r="D104" s="889">
        <v>125226</v>
      </c>
      <c r="E104" s="889">
        <v>93989</v>
      </c>
      <c r="F104" s="1419"/>
      <c r="G104" s="1419"/>
    </row>
    <row r="105" spans="1:7" s="186" customFormat="1" ht="12" customHeight="1" x14ac:dyDescent="0.25">
      <c r="A105" s="242" t="s">
        <v>600</v>
      </c>
      <c r="B105" s="243" t="s">
        <v>731</v>
      </c>
      <c r="C105" s="244" t="s">
        <v>732</v>
      </c>
      <c r="D105" s="890"/>
      <c r="E105" s="890"/>
      <c r="F105" s="222"/>
      <c r="G105" s="222"/>
    </row>
    <row r="106" spans="1:7" s="186" customFormat="1" ht="12" customHeight="1" x14ac:dyDescent="0.25">
      <c r="A106" s="242" t="s">
        <v>532</v>
      </c>
      <c r="B106" s="243" t="s">
        <v>733</v>
      </c>
      <c r="C106" s="244" t="s">
        <v>734</v>
      </c>
      <c r="D106" s="890">
        <v>62283</v>
      </c>
      <c r="E106" s="890">
        <v>27949</v>
      </c>
      <c r="F106" s="222"/>
      <c r="G106" s="222"/>
    </row>
    <row r="107" spans="1:7" s="186" customFormat="1" ht="12" customHeight="1" x14ac:dyDescent="0.25">
      <c r="A107" s="242" t="s">
        <v>535</v>
      </c>
      <c r="B107" s="243" t="s">
        <v>735</v>
      </c>
      <c r="C107" s="244" t="s">
        <v>736</v>
      </c>
      <c r="D107" s="890"/>
      <c r="E107" s="890"/>
      <c r="F107" s="222"/>
      <c r="G107" s="222"/>
    </row>
    <row r="108" spans="1:7" s="186" customFormat="1" ht="12" customHeight="1" x14ac:dyDescent="0.25">
      <c r="A108" s="242" t="s">
        <v>538</v>
      </c>
      <c r="B108" s="243" t="s">
        <v>737</v>
      </c>
      <c r="C108" s="244" t="s">
        <v>738</v>
      </c>
      <c r="D108" s="890">
        <v>62943</v>
      </c>
      <c r="E108" s="890">
        <v>66040</v>
      </c>
      <c r="F108" s="233"/>
      <c r="G108" s="210"/>
    </row>
    <row r="109" spans="1:7" s="211" customFormat="1" ht="12" customHeight="1" x14ac:dyDescent="0.25">
      <c r="A109" s="239" t="s">
        <v>613</v>
      </c>
      <c r="B109" s="239" t="s">
        <v>739</v>
      </c>
      <c r="C109" s="240" t="s">
        <v>740</v>
      </c>
      <c r="D109" s="889">
        <v>3501</v>
      </c>
      <c r="E109" s="889">
        <v>9736</v>
      </c>
      <c r="F109" s="1419"/>
      <c r="G109" s="1419"/>
    </row>
    <row r="110" spans="1:7" s="186" customFormat="1" ht="12" customHeight="1" x14ac:dyDescent="0.25">
      <c r="A110" s="249" t="s">
        <v>616</v>
      </c>
      <c r="B110" s="249" t="s">
        <v>741</v>
      </c>
      <c r="C110" s="250" t="s">
        <v>742</v>
      </c>
      <c r="D110" s="892"/>
      <c r="E110" s="894"/>
      <c r="F110" s="222"/>
      <c r="G110" s="222"/>
    </row>
    <row r="111" spans="1:7" s="186" customFormat="1" ht="12" customHeight="1" x14ac:dyDescent="0.25">
      <c r="A111" s="249" t="s">
        <v>532</v>
      </c>
      <c r="B111" s="249" t="s">
        <v>619</v>
      </c>
      <c r="C111" s="250" t="s">
        <v>743</v>
      </c>
      <c r="D111" s="892"/>
      <c r="E111" s="894"/>
      <c r="F111" s="222"/>
      <c r="G111" s="222"/>
    </row>
    <row r="112" spans="1:7" s="186" customFormat="1" ht="12" customHeight="1" x14ac:dyDescent="0.25">
      <c r="A112" s="249" t="s">
        <v>535</v>
      </c>
      <c r="B112" s="249" t="s">
        <v>744</v>
      </c>
      <c r="C112" s="250" t="s">
        <v>745</v>
      </c>
      <c r="D112" s="892"/>
      <c r="E112" s="894"/>
      <c r="F112" s="222"/>
      <c r="G112" s="222"/>
    </row>
    <row r="113" spans="1:7" s="186" customFormat="1" ht="12" customHeight="1" x14ac:dyDescent="0.25">
      <c r="A113" s="249" t="s">
        <v>538</v>
      </c>
      <c r="B113" s="249" t="s">
        <v>746</v>
      </c>
      <c r="C113" s="250" t="s">
        <v>747</v>
      </c>
      <c r="D113" s="892"/>
      <c r="E113" s="894"/>
      <c r="F113" s="233"/>
      <c r="G113" s="210"/>
    </row>
    <row r="114" spans="1:7" s="186" customFormat="1" ht="12" customHeight="1" x14ac:dyDescent="0.25">
      <c r="A114" s="249" t="s">
        <v>541</v>
      </c>
      <c r="B114" s="249" t="s">
        <v>748</v>
      </c>
      <c r="C114" s="250" t="s">
        <v>749</v>
      </c>
      <c r="D114" s="892"/>
      <c r="E114" s="894"/>
      <c r="F114" s="233"/>
      <c r="G114" s="210"/>
    </row>
    <row r="115" spans="1:7" s="186" customFormat="1" ht="12" customHeight="1" x14ac:dyDescent="0.25">
      <c r="A115" s="249" t="s">
        <v>544</v>
      </c>
      <c r="B115" s="249" t="s">
        <v>750</v>
      </c>
      <c r="C115" s="250" t="s">
        <v>751</v>
      </c>
      <c r="D115" s="892"/>
      <c r="E115" s="894"/>
      <c r="F115" s="233"/>
      <c r="G115" s="210"/>
    </row>
    <row r="116" spans="1:7" s="186" customFormat="1" ht="12" customHeight="1" x14ac:dyDescent="0.25">
      <c r="A116" s="249" t="s">
        <v>547</v>
      </c>
      <c r="B116" s="249" t="s">
        <v>752</v>
      </c>
      <c r="C116" s="250" t="s">
        <v>753</v>
      </c>
      <c r="D116" s="894"/>
      <c r="E116" s="894"/>
      <c r="F116" s="233"/>
      <c r="G116" s="210"/>
    </row>
    <row r="117" spans="1:7" s="186" customFormat="1" ht="12" customHeight="1" x14ac:dyDescent="0.25">
      <c r="A117" s="249" t="s">
        <v>568</v>
      </c>
      <c r="B117" s="249" t="s">
        <v>754</v>
      </c>
      <c r="C117" s="250" t="s">
        <v>755</v>
      </c>
      <c r="D117" s="894"/>
      <c r="E117" s="894"/>
      <c r="F117" s="233"/>
      <c r="G117" s="210"/>
    </row>
    <row r="118" spans="1:7" s="186" customFormat="1" ht="12" customHeight="1" x14ac:dyDescent="0.25">
      <c r="A118" s="249" t="s">
        <v>571</v>
      </c>
      <c r="B118" s="249" t="s">
        <v>756</v>
      </c>
      <c r="C118" s="250" t="s">
        <v>757</v>
      </c>
      <c r="D118" s="894">
        <v>1201</v>
      </c>
      <c r="E118" s="894">
        <v>849</v>
      </c>
      <c r="F118" s="233"/>
      <c r="G118" s="210"/>
    </row>
    <row r="119" spans="1:7" s="186" customFormat="1" ht="12" customHeight="1" x14ac:dyDescent="0.25">
      <c r="A119" s="249" t="s">
        <v>758</v>
      </c>
      <c r="B119" s="249" t="s">
        <v>759</v>
      </c>
      <c r="C119" s="250" t="s">
        <v>760</v>
      </c>
      <c r="D119" s="894">
        <v>2300</v>
      </c>
      <c r="E119" s="894">
        <v>8887</v>
      </c>
      <c r="F119" s="233"/>
      <c r="G119" s="210"/>
    </row>
    <row r="120" spans="1:7" s="186" customFormat="1" ht="12" customHeight="1" x14ac:dyDescent="0.25">
      <c r="A120" s="249" t="s">
        <v>761</v>
      </c>
      <c r="B120" s="251" t="s">
        <v>762</v>
      </c>
      <c r="C120" s="250" t="s">
        <v>763</v>
      </c>
      <c r="D120" s="894"/>
      <c r="E120" s="894"/>
      <c r="F120" s="233"/>
      <c r="G120" s="210"/>
    </row>
    <row r="121" spans="1:7" s="211" customFormat="1" ht="12" customHeight="1" x14ac:dyDescent="0.25">
      <c r="A121" s="239" t="s">
        <v>631</v>
      </c>
      <c r="B121" s="239" t="s">
        <v>764</v>
      </c>
      <c r="C121" s="240" t="s">
        <v>765</v>
      </c>
      <c r="D121" s="889">
        <v>2405616</v>
      </c>
      <c r="E121" s="889">
        <v>1916828</v>
      </c>
      <c r="F121" s="1419"/>
      <c r="G121" s="1419"/>
    </row>
    <row r="122" spans="1:7" s="186" customFormat="1" ht="12" customHeight="1" x14ac:dyDescent="0.25">
      <c r="A122" s="242" t="s">
        <v>634</v>
      </c>
      <c r="B122" s="243" t="s">
        <v>766</v>
      </c>
      <c r="C122" s="244" t="s">
        <v>767</v>
      </c>
      <c r="D122" s="892">
        <v>2343772</v>
      </c>
      <c r="E122" s="894">
        <v>1893144</v>
      </c>
      <c r="F122" s="222"/>
      <c r="G122" s="222"/>
    </row>
    <row r="123" spans="1:7" s="186" customFormat="1" ht="12" customHeight="1" x14ac:dyDescent="0.25">
      <c r="A123" s="249" t="s">
        <v>532</v>
      </c>
      <c r="B123" s="249" t="s">
        <v>619</v>
      </c>
      <c r="C123" s="250" t="s">
        <v>768</v>
      </c>
      <c r="D123" s="892"/>
      <c r="E123" s="894"/>
      <c r="F123" s="222"/>
      <c r="G123" s="222"/>
    </row>
    <row r="124" spans="1:7" s="186" customFormat="1" ht="12" customHeight="1" x14ac:dyDescent="0.25">
      <c r="A124" s="242" t="s">
        <v>535</v>
      </c>
      <c r="B124" s="243" t="s">
        <v>769</v>
      </c>
      <c r="C124" s="244" t="s">
        <v>770</v>
      </c>
      <c r="D124" s="892">
        <v>299</v>
      </c>
      <c r="E124" s="894">
        <v>336</v>
      </c>
      <c r="F124" s="222"/>
      <c r="G124" s="222"/>
    </row>
    <row r="125" spans="1:7" s="186" customFormat="1" ht="12" customHeight="1" x14ac:dyDescent="0.25">
      <c r="A125" s="242" t="s">
        <v>538</v>
      </c>
      <c r="B125" s="243" t="s">
        <v>771</v>
      </c>
      <c r="C125" s="244" t="s">
        <v>772</v>
      </c>
      <c r="D125" s="892"/>
      <c r="E125" s="894"/>
      <c r="F125" s="222"/>
      <c r="G125" s="222"/>
    </row>
    <row r="126" spans="1:7" s="186" customFormat="1" ht="12" customHeight="1" x14ac:dyDescent="0.25">
      <c r="A126" s="242" t="s">
        <v>541</v>
      </c>
      <c r="B126" s="243" t="s">
        <v>773</v>
      </c>
      <c r="C126" s="244" t="s">
        <v>774</v>
      </c>
      <c r="D126" s="892"/>
      <c r="E126" s="894"/>
      <c r="F126" s="1420"/>
      <c r="G126" s="1420"/>
    </row>
    <row r="127" spans="1:7" s="186" customFormat="1" ht="12" customHeight="1" x14ac:dyDescent="0.25">
      <c r="A127" s="242" t="s">
        <v>544</v>
      </c>
      <c r="B127" s="243" t="s">
        <v>775</v>
      </c>
      <c r="C127" s="244" t="s">
        <v>776</v>
      </c>
      <c r="D127" s="892"/>
      <c r="E127" s="894"/>
      <c r="F127" s="1420"/>
      <c r="G127" s="1420"/>
    </row>
    <row r="128" spans="1:7" s="186" customFormat="1" ht="12" customHeight="1" x14ac:dyDescent="0.25">
      <c r="A128" s="242" t="s">
        <v>547</v>
      </c>
      <c r="B128" s="243" t="s">
        <v>777</v>
      </c>
      <c r="C128" s="244" t="s">
        <v>778</v>
      </c>
      <c r="D128" s="894">
        <v>11269</v>
      </c>
      <c r="E128" s="894">
        <v>8281</v>
      </c>
      <c r="F128" s="1420"/>
      <c r="G128" s="1420"/>
    </row>
    <row r="129" spans="1:7" s="186" customFormat="1" ht="12" customHeight="1" x14ac:dyDescent="0.25">
      <c r="A129" s="242" t="s">
        <v>568</v>
      </c>
      <c r="B129" s="243" t="s">
        <v>779</v>
      </c>
      <c r="C129" s="244" t="s">
        <v>780</v>
      </c>
      <c r="D129" s="894">
        <v>6603</v>
      </c>
      <c r="E129" s="894">
        <v>4455</v>
      </c>
      <c r="F129" s="233"/>
      <c r="G129" s="210"/>
    </row>
    <row r="130" spans="1:7" s="186" customFormat="1" ht="12" customHeight="1" x14ac:dyDescent="0.25">
      <c r="A130" s="242" t="s">
        <v>571</v>
      </c>
      <c r="B130" s="243" t="s">
        <v>781</v>
      </c>
      <c r="C130" s="244" t="s">
        <v>782</v>
      </c>
      <c r="D130" s="894">
        <v>36816</v>
      </c>
      <c r="E130" s="894">
        <v>2007</v>
      </c>
      <c r="F130" s="233"/>
      <c r="G130" s="210"/>
    </row>
    <row r="131" spans="1:7" s="186" customFormat="1" ht="12" customHeight="1" x14ac:dyDescent="0.25">
      <c r="A131" s="242" t="s">
        <v>758</v>
      </c>
      <c r="B131" s="242" t="s">
        <v>783</v>
      </c>
      <c r="C131" s="244" t="s">
        <v>784</v>
      </c>
      <c r="D131" s="894">
        <v>6857</v>
      </c>
      <c r="E131" s="894">
        <v>8605</v>
      </c>
      <c r="F131" s="233"/>
      <c r="G131" s="210"/>
    </row>
    <row r="132" spans="1:7" s="186" customFormat="1" ht="12" customHeight="1" x14ac:dyDescent="0.25">
      <c r="A132" s="252" t="s">
        <v>649</v>
      </c>
      <c r="B132" s="252" t="s">
        <v>785</v>
      </c>
      <c r="C132" s="253" t="s">
        <v>786</v>
      </c>
      <c r="D132" s="901"/>
      <c r="E132" s="901"/>
      <c r="F132" s="1419"/>
      <c r="G132" s="1419"/>
    </row>
    <row r="133" spans="1:7" s="211" customFormat="1" ht="12" customHeight="1" x14ac:dyDescent="0.25">
      <c r="A133" s="239" t="s">
        <v>787</v>
      </c>
      <c r="B133" s="239" t="s">
        <v>788</v>
      </c>
      <c r="C133" s="240" t="s">
        <v>789</v>
      </c>
      <c r="D133" s="889"/>
      <c r="E133" s="889"/>
      <c r="F133" s="1419"/>
      <c r="G133" s="1419"/>
    </row>
    <row r="134" spans="1:7" s="186" customFormat="1" ht="12" customHeight="1" x14ac:dyDescent="0.25">
      <c r="A134" s="242" t="s">
        <v>790</v>
      </c>
      <c r="B134" s="243" t="s">
        <v>791</v>
      </c>
      <c r="C134" s="244" t="s">
        <v>792</v>
      </c>
      <c r="D134" s="894"/>
      <c r="E134" s="894"/>
      <c r="F134" s="222"/>
      <c r="G134" s="222"/>
    </row>
    <row r="135" spans="1:7" s="186" customFormat="1" ht="12" customHeight="1" x14ac:dyDescent="0.25">
      <c r="A135" s="242" t="s">
        <v>532</v>
      </c>
      <c r="B135" s="243" t="s">
        <v>793</v>
      </c>
      <c r="C135" s="244" t="s">
        <v>794</v>
      </c>
      <c r="D135" s="894"/>
      <c r="E135" s="894"/>
      <c r="F135" s="222"/>
      <c r="G135" s="222"/>
    </row>
    <row r="136" spans="1:7" s="211" customFormat="1" ht="12" customHeight="1" x14ac:dyDescent="0.25">
      <c r="A136" s="239" t="s">
        <v>663</v>
      </c>
      <c r="B136" s="239" t="s">
        <v>795</v>
      </c>
      <c r="C136" s="240" t="s">
        <v>796</v>
      </c>
      <c r="D136" s="889">
        <v>1500</v>
      </c>
      <c r="E136" s="889"/>
      <c r="F136" s="1419"/>
      <c r="G136" s="1419"/>
    </row>
    <row r="137" spans="1:7" s="186" customFormat="1" ht="12" customHeight="1" x14ac:dyDescent="0.25">
      <c r="A137" s="242" t="s">
        <v>666</v>
      </c>
      <c r="B137" s="243" t="s">
        <v>797</v>
      </c>
      <c r="C137" s="244" t="s">
        <v>798</v>
      </c>
      <c r="D137" s="890"/>
      <c r="E137" s="890"/>
      <c r="F137" s="222"/>
      <c r="G137" s="222"/>
    </row>
    <row r="138" spans="1:7" s="186" customFormat="1" ht="12" customHeight="1" x14ac:dyDescent="0.25">
      <c r="A138" s="242" t="s">
        <v>532</v>
      </c>
      <c r="B138" s="243" t="s">
        <v>799</v>
      </c>
      <c r="C138" s="244" t="s">
        <v>800</v>
      </c>
      <c r="D138" s="892"/>
      <c r="E138" s="892"/>
      <c r="F138" s="222"/>
      <c r="G138" s="222"/>
    </row>
    <row r="139" spans="1:7" s="186" customFormat="1" ht="12" customHeight="1" x14ac:dyDescent="0.25">
      <c r="A139" s="242" t="s">
        <v>535</v>
      </c>
      <c r="B139" s="243" t="s">
        <v>801</v>
      </c>
      <c r="C139" s="244" t="s">
        <v>802</v>
      </c>
      <c r="D139" s="892"/>
      <c r="E139" s="892"/>
      <c r="F139" s="1420"/>
      <c r="G139" s="1420"/>
    </row>
    <row r="140" spans="1:7" s="186" customFormat="1" ht="12" customHeight="1" x14ac:dyDescent="0.25">
      <c r="A140" s="242" t="s">
        <v>538</v>
      </c>
      <c r="B140" s="243" t="s">
        <v>803</v>
      </c>
      <c r="C140" s="244" t="s">
        <v>804</v>
      </c>
      <c r="D140" s="890">
        <v>1500</v>
      </c>
      <c r="E140" s="890"/>
      <c r="F140" s="233"/>
      <c r="G140" s="210"/>
    </row>
    <row r="141" spans="1:7" ht="12" customHeight="1" x14ac:dyDescent="0.2">
      <c r="A141" s="254"/>
      <c r="B141" s="254" t="s">
        <v>805</v>
      </c>
      <c r="C141" s="255" t="s">
        <v>806</v>
      </c>
      <c r="D141" s="898"/>
      <c r="E141" s="898"/>
      <c r="F141" s="233"/>
      <c r="G141" s="210"/>
    </row>
    <row r="142" spans="1:7" ht="15" customHeight="1" x14ac:dyDescent="0.2">
      <c r="A142" s="256"/>
      <c r="B142" s="256"/>
      <c r="C142" s="257"/>
      <c r="D142" s="258"/>
      <c r="E142" s="258"/>
    </row>
    <row r="143" spans="1:7" ht="15" customHeight="1" x14ac:dyDescent="0.2">
      <c r="A143" s="256"/>
      <c r="B143" s="256"/>
      <c r="C143" s="257"/>
      <c r="D143" s="258"/>
      <c r="E143" s="258"/>
    </row>
  </sheetData>
  <mergeCells count="9">
    <mergeCell ref="F104:G104"/>
    <mergeCell ref="F82:G82"/>
    <mergeCell ref="F139:G139"/>
    <mergeCell ref="F109:G109"/>
    <mergeCell ref="F121:G121"/>
    <mergeCell ref="F126:G128"/>
    <mergeCell ref="F132:G132"/>
    <mergeCell ref="F133:G133"/>
    <mergeCell ref="F136:G136"/>
  </mergeCells>
  <hyperlinks>
    <hyperlink ref="F132:G132" location="Q!A1" display="Total - Q Bank loans and Short-term financial borrowings"/>
  </hyperlinks>
  <pageMargins left="0.18" right="0.16" top="0.21" bottom="0.97" header="0.25" footer="0.31496062992125984"/>
  <pageSetup paperSize="9" scale="83" fitToWidth="2" orientation="portrait" horizontalDpi="360" verticalDpi="300" r:id="rId1"/>
  <headerFooter alignWithMargins="0">
    <oddFooter xml:space="preserve">&amp;C&amp;"EYlogo,Regular"&amp;8e&amp;R&amp;"Times New Roman CE,Tučné"&amp;5Lead schedules v2.0&amp;"Times New Roman CE,Normálne"
</oddFooter>
  </headerFooter>
  <rowBreaks count="1" manualBreakCount="1">
    <brk id="76" max="7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D20"/>
  <sheetViews>
    <sheetView showGridLines="0" zoomScaleNormal="100" workbookViewId="0">
      <selection activeCell="A5" sqref="A5:A10"/>
    </sheetView>
  </sheetViews>
  <sheetFormatPr defaultRowHeight="15" x14ac:dyDescent="0.25"/>
  <cols>
    <col min="1" max="1" width="27.28515625" customWidth="1"/>
    <col min="2" max="3" width="29.5703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4" ht="16.5" x14ac:dyDescent="0.3">
      <c r="A1" s="1" t="s">
        <v>348</v>
      </c>
    </row>
    <row r="2" spans="1:4" ht="15.75" thickBot="1" x14ac:dyDescent="0.3">
      <c r="A2" s="49" t="s">
        <v>8</v>
      </c>
      <c r="B2" s="20"/>
      <c r="C2" s="20"/>
      <c r="D2" s="20"/>
    </row>
    <row r="3" spans="1:4" ht="16.5" thickTop="1" thickBot="1" x14ac:dyDescent="0.3">
      <c r="A3" s="1442" t="s">
        <v>349</v>
      </c>
      <c r="B3" s="1366" t="s">
        <v>350</v>
      </c>
      <c r="C3" s="1368"/>
      <c r="D3" s="20"/>
    </row>
    <row r="4" spans="1:4" ht="16.5" thickTop="1" thickBot="1" x14ac:dyDescent="0.3">
      <c r="A4" s="1444"/>
      <c r="B4" s="21" t="s">
        <v>351</v>
      </c>
      <c r="C4" s="159" t="s">
        <v>352</v>
      </c>
      <c r="D4" s="20"/>
    </row>
    <row r="5" spans="1:4" ht="20.25" customHeight="1" thickTop="1" thickBot="1" x14ac:dyDescent="0.3">
      <c r="A5" s="14" t="s">
        <v>353</v>
      </c>
      <c r="B5" s="80"/>
      <c r="C5" s="80"/>
      <c r="D5" s="20"/>
    </row>
    <row r="6" spans="1:4" ht="20.25" customHeight="1" thickBot="1" x14ac:dyDescent="0.3">
      <c r="A6" s="14" t="s">
        <v>354</v>
      </c>
      <c r="B6" s="80"/>
      <c r="C6" s="80"/>
      <c r="D6" s="20"/>
    </row>
    <row r="7" spans="1:4" ht="20.25" customHeight="1" thickBot="1" x14ac:dyDescent="0.3">
      <c r="A7" s="14" t="s">
        <v>355</v>
      </c>
      <c r="B7" s="80"/>
      <c r="C7" s="80"/>
      <c r="D7" s="20"/>
    </row>
    <row r="8" spans="1:4" ht="20.25" customHeight="1" thickBot="1" x14ac:dyDescent="0.3">
      <c r="A8" s="14" t="s">
        <v>356</v>
      </c>
      <c r="B8" s="80"/>
      <c r="C8" s="80"/>
      <c r="D8" s="20"/>
    </row>
    <row r="9" spans="1:4" ht="20.25" customHeight="1" thickBot="1" x14ac:dyDescent="0.3">
      <c r="A9" s="14" t="s">
        <v>357</v>
      </c>
      <c r="B9" s="80"/>
      <c r="C9" s="80"/>
      <c r="D9" s="20"/>
    </row>
    <row r="10" spans="1:4" ht="20.25" customHeight="1" thickBot="1" x14ac:dyDescent="0.3">
      <c r="A10" s="16" t="s">
        <v>358</v>
      </c>
      <c r="B10" s="78"/>
      <c r="C10" s="78"/>
      <c r="D10" s="20"/>
    </row>
    <row r="11" spans="1:4" ht="16.5" thickTop="1" thickBot="1" x14ac:dyDescent="0.3">
      <c r="A11" s="160" t="s">
        <v>15</v>
      </c>
      <c r="B11" s="20"/>
      <c r="C11" s="20"/>
      <c r="D11" s="20"/>
    </row>
    <row r="12" spans="1:4" ht="16.5" thickTop="1" thickBot="1" x14ac:dyDescent="0.3">
      <c r="A12" s="1426" t="s">
        <v>349</v>
      </c>
      <c r="B12" s="1366" t="s">
        <v>359</v>
      </c>
      <c r="C12" s="1368"/>
      <c r="D12" s="20"/>
    </row>
    <row r="13" spans="1:4" ht="16.5" thickTop="1" thickBot="1" x14ac:dyDescent="0.3">
      <c r="A13" s="1427"/>
      <c r="B13" s="21" t="s">
        <v>351</v>
      </c>
      <c r="C13" s="159" t="s">
        <v>352</v>
      </c>
      <c r="D13" s="20"/>
    </row>
    <row r="14" spans="1:4" ht="20.25" customHeight="1" thickTop="1" thickBot="1" x14ac:dyDescent="0.3">
      <c r="A14" s="14" t="s">
        <v>353</v>
      </c>
      <c r="B14" s="80"/>
      <c r="C14" s="80"/>
      <c r="D14" s="20"/>
    </row>
    <row r="15" spans="1:4" ht="20.25" customHeight="1" thickBot="1" x14ac:dyDescent="0.3">
      <c r="A15" s="14" t="s">
        <v>354</v>
      </c>
      <c r="B15" s="80"/>
      <c r="C15" s="80"/>
      <c r="D15" s="20"/>
    </row>
    <row r="16" spans="1:4" ht="20.25" customHeight="1" thickBot="1" x14ac:dyDescent="0.3">
      <c r="A16" s="14" t="s">
        <v>355</v>
      </c>
      <c r="B16" s="80"/>
      <c r="C16" s="80"/>
      <c r="D16" s="20"/>
    </row>
    <row r="17" spans="1:4" ht="20.25" customHeight="1" thickBot="1" x14ac:dyDescent="0.3">
      <c r="A17" s="14" t="s">
        <v>356</v>
      </c>
      <c r="B17" s="80"/>
      <c r="C17" s="80"/>
      <c r="D17" s="20"/>
    </row>
    <row r="18" spans="1:4" ht="20.25" customHeight="1" thickBot="1" x14ac:dyDescent="0.3">
      <c r="A18" s="14" t="s">
        <v>357</v>
      </c>
      <c r="B18" s="80"/>
      <c r="C18" s="80"/>
      <c r="D18" s="20"/>
    </row>
    <row r="19" spans="1:4" ht="20.25" customHeight="1" thickBot="1" x14ac:dyDescent="0.3">
      <c r="A19" s="142" t="s">
        <v>358</v>
      </c>
      <c r="B19" s="78"/>
      <c r="C19" s="78"/>
      <c r="D19" s="20"/>
    </row>
    <row r="20" spans="1:4" ht="15.75" thickTop="1" x14ac:dyDescent="0.25">
      <c r="A20" s="20"/>
      <c r="B20" s="20"/>
      <c r="C20" s="20"/>
      <c r="D20" s="20"/>
    </row>
  </sheetData>
  <mergeCells count="4">
    <mergeCell ref="A3:A4"/>
    <mergeCell ref="B3:C3"/>
    <mergeCell ref="A12:A13"/>
    <mergeCell ref="B12:C12"/>
  </mergeCells>
  <pageMargins left="0.7" right="0.7" top="0.75" bottom="0.75" header="0.3" footer="0.3"/>
  <pageSetup paperSize="9" orientation="portrait" horizontalDpi="300" verticalDpi="30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C11"/>
  <sheetViews>
    <sheetView showGridLines="0" zoomScaleNormal="100" workbookViewId="0">
      <selection activeCell="A2" sqref="A2:A10"/>
    </sheetView>
  </sheetViews>
  <sheetFormatPr defaultRowHeight="15" x14ac:dyDescent="0.25"/>
  <cols>
    <col min="1" max="1" width="27.28515625" customWidth="1"/>
    <col min="2" max="3" width="29.5703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360</v>
      </c>
    </row>
    <row r="2" spans="1:3" ht="24" thickTop="1" thickBot="1" x14ac:dyDescent="0.3">
      <c r="A2" s="84" t="s">
        <v>361</v>
      </c>
      <c r="B2" s="70" t="s">
        <v>362</v>
      </c>
      <c r="C2" s="70" t="s">
        <v>363</v>
      </c>
    </row>
    <row r="3" spans="1:3" ht="20.25" customHeight="1" thickTop="1" thickBot="1" x14ac:dyDescent="0.3">
      <c r="A3" s="122" t="s">
        <v>364</v>
      </c>
      <c r="B3" s="80"/>
      <c r="C3" s="80"/>
    </row>
    <row r="4" spans="1:3" ht="20.25" customHeight="1" thickBot="1" x14ac:dyDescent="0.3">
      <c r="A4" s="129" t="s">
        <v>365</v>
      </c>
      <c r="B4" s="80"/>
      <c r="C4" s="80"/>
    </row>
    <row r="5" spans="1:3" ht="20.25" customHeight="1" thickBot="1" x14ac:dyDescent="0.3">
      <c r="A5" s="129" t="s">
        <v>366</v>
      </c>
      <c r="B5" s="80"/>
      <c r="C5" s="80"/>
    </row>
    <row r="6" spans="1:3" ht="20.25" customHeight="1" thickBot="1" x14ac:dyDescent="0.3">
      <c r="A6" s="129" t="s">
        <v>367</v>
      </c>
      <c r="B6" s="80"/>
      <c r="C6" s="80"/>
    </row>
    <row r="7" spans="1:3" ht="21" customHeight="1" thickBot="1" x14ac:dyDescent="0.3">
      <c r="A7" s="129" t="s">
        <v>493</v>
      </c>
      <c r="B7" s="80"/>
      <c r="C7" s="80"/>
    </row>
    <row r="8" spans="1:3" ht="20.25" customHeight="1" thickBot="1" x14ac:dyDescent="0.3">
      <c r="A8" s="119" t="s">
        <v>368</v>
      </c>
      <c r="B8" s="80"/>
      <c r="C8" s="80"/>
    </row>
    <row r="9" spans="1:3" ht="20.25" customHeight="1" thickBot="1" x14ac:dyDescent="0.3">
      <c r="A9" s="122" t="s">
        <v>369</v>
      </c>
      <c r="B9" s="80"/>
      <c r="C9" s="126"/>
    </row>
    <row r="10" spans="1:3" ht="20.25" customHeight="1" thickBot="1" x14ac:dyDescent="0.3">
      <c r="A10" s="130" t="s">
        <v>370</v>
      </c>
      <c r="B10" s="78"/>
      <c r="C10" s="127"/>
    </row>
    <row r="11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G9"/>
  <sheetViews>
    <sheetView showGridLines="0" zoomScaleNormal="100" workbookViewId="0">
      <selection activeCell="D14" sqref="D14"/>
    </sheetView>
  </sheetViews>
  <sheetFormatPr defaultRowHeight="15" x14ac:dyDescent="0.25"/>
  <cols>
    <col min="1" max="1" width="16.7109375" customWidth="1"/>
    <col min="2" max="7" width="11.5703125" customWidth="1"/>
  </cols>
  <sheetData>
    <row r="1" spans="1:7" ht="17.25" thickBot="1" x14ac:dyDescent="0.35">
      <c r="A1" s="1" t="s">
        <v>274</v>
      </c>
    </row>
    <row r="2" spans="1:7" ht="44.25" customHeight="1" thickTop="1" thickBot="1" x14ac:dyDescent="0.3">
      <c r="A2" s="1442" t="s">
        <v>275</v>
      </c>
      <c r="B2" s="1366" t="s">
        <v>276</v>
      </c>
      <c r="C2" s="1368"/>
      <c r="D2" s="1366" t="s">
        <v>277</v>
      </c>
      <c r="E2" s="1368"/>
      <c r="F2" s="1366" t="s">
        <v>278</v>
      </c>
      <c r="G2" s="1368"/>
    </row>
    <row r="3" spans="1:7" s="387" customFormat="1" ht="57.75" thickTop="1" thickBot="1" x14ac:dyDescent="0.3">
      <c r="A3" s="1444"/>
      <c r="B3" s="59" t="s">
        <v>2</v>
      </c>
      <c r="C3" s="177" t="s">
        <v>484</v>
      </c>
      <c r="D3" s="177" t="s">
        <v>2</v>
      </c>
      <c r="E3" s="177" t="s">
        <v>484</v>
      </c>
      <c r="F3" s="177" t="s">
        <v>2</v>
      </c>
      <c r="G3" s="177" t="s">
        <v>484</v>
      </c>
    </row>
    <row r="4" spans="1:7" ht="18.75" customHeight="1" thickTop="1" thickBot="1" x14ac:dyDescent="0.3">
      <c r="A4" s="108"/>
      <c r="B4" s="80"/>
      <c r="C4" s="80"/>
      <c r="D4" s="80"/>
      <c r="E4" s="80"/>
      <c r="F4" s="80"/>
      <c r="G4" s="80"/>
    </row>
    <row r="5" spans="1:7" ht="18.75" customHeight="1" thickBot="1" x14ac:dyDescent="0.3">
      <c r="A5" s="108"/>
      <c r="B5" s="80"/>
      <c r="C5" s="80"/>
      <c r="D5" s="80"/>
      <c r="E5" s="80"/>
      <c r="F5" s="80"/>
      <c r="G5" s="80"/>
    </row>
    <row r="6" spans="1:7" ht="18.75" customHeight="1" thickBot="1" x14ac:dyDescent="0.3">
      <c r="A6" s="108"/>
      <c r="B6" s="80"/>
      <c r="C6" s="80"/>
      <c r="D6" s="80"/>
      <c r="E6" s="80"/>
      <c r="F6" s="80"/>
      <c r="G6" s="80"/>
    </row>
    <row r="7" spans="1:7" ht="18.75" customHeight="1" thickBot="1" x14ac:dyDescent="0.3">
      <c r="A7" s="108"/>
      <c r="B7" s="80"/>
      <c r="C7" s="80"/>
      <c r="D7" s="80"/>
      <c r="E7" s="80"/>
      <c r="F7" s="80"/>
      <c r="G7" s="80"/>
    </row>
    <row r="8" spans="1:7" ht="18.75" customHeight="1" thickBot="1" x14ac:dyDescent="0.3">
      <c r="A8" s="72" t="s">
        <v>14</v>
      </c>
      <c r="B8" s="78">
        <f t="shared" ref="B8:G8" si="0">SUM(B4:B7)</f>
        <v>0</v>
      </c>
      <c r="C8" s="78">
        <f t="shared" si="0"/>
        <v>0</v>
      </c>
      <c r="D8" s="78">
        <f t="shared" si="0"/>
        <v>0</v>
      </c>
      <c r="E8" s="78">
        <f t="shared" si="0"/>
        <v>0</v>
      </c>
      <c r="F8" s="78">
        <f t="shared" si="0"/>
        <v>0</v>
      </c>
      <c r="G8" s="78">
        <f t="shared" si="0"/>
        <v>0</v>
      </c>
    </row>
    <row r="9" spans="1:7" ht="15.75" thickTop="1" x14ac:dyDescent="0.25"/>
  </sheetData>
  <mergeCells count="4">
    <mergeCell ref="A2:A3"/>
    <mergeCell ref="B2:C2"/>
    <mergeCell ref="D2:E2"/>
    <mergeCell ref="F2:G2"/>
  </mergeCells>
  <pageMargins left="0.7" right="0.7" top="0.75" bottom="0.75" header="0.3" footer="0.3"/>
  <pageSetup paperSize="9" orientation="portrait" horizontalDpi="300" verticalDpi="300" r:id="rId1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8"/>
  <dimension ref="A1:R13"/>
  <sheetViews>
    <sheetView showGridLines="0" zoomScaleNormal="100" workbookViewId="0">
      <selection activeCell="N4" sqref="N4:R12"/>
    </sheetView>
  </sheetViews>
  <sheetFormatPr defaultRowHeight="15" x14ac:dyDescent="0.25"/>
  <cols>
    <col min="1" max="1" width="24.5703125" customWidth="1"/>
    <col min="2" max="6" width="12.28515625" customWidth="1"/>
    <col min="7" max="7" width="13" customWidth="1"/>
    <col min="8" max="8" width="15.7109375" style="386" customWidth="1"/>
    <col min="9" max="10" width="15.7109375" style="387" customWidth="1"/>
    <col min="11" max="11" width="14.85546875" style="387" customWidth="1"/>
    <col min="12" max="12" width="14.85546875" style="391" customWidth="1"/>
    <col min="13" max="13" width="6.5703125" customWidth="1"/>
    <col min="14" max="14" width="15.5703125" style="386" customWidth="1"/>
    <col min="15" max="17" width="15.5703125" style="387" customWidth="1"/>
    <col min="18" max="18" width="15.5703125" style="391" customWidth="1"/>
    <col min="19" max="19" width="19.85546875" customWidth="1"/>
  </cols>
  <sheetData>
    <row r="1" spans="1:18" ht="17.25" thickBot="1" x14ac:dyDescent="0.35">
      <c r="A1" s="1" t="s">
        <v>279</v>
      </c>
      <c r="H1" s="1437" t="s">
        <v>1138</v>
      </c>
      <c r="I1" s="1438"/>
      <c r="J1" s="1438"/>
      <c r="K1" s="1438"/>
      <c r="L1" s="1439"/>
      <c r="N1" s="1437" t="s">
        <v>1140</v>
      </c>
      <c r="O1" s="1438"/>
      <c r="P1" s="1438"/>
      <c r="Q1" s="1438"/>
      <c r="R1" s="1439"/>
    </row>
    <row r="2" spans="1:18" ht="33" customHeight="1" thickTop="1" thickBot="1" x14ac:dyDescent="0.3">
      <c r="A2" s="1442" t="s">
        <v>131</v>
      </c>
      <c r="B2" s="38" t="s">
        <v>2</v>
      </c>
      <c r="C2" s="1366" t="s">
        <v>3</v>
      </c>
      <c r="D2" s="1368"/>
      <c r="E2" s="1366" t="s">
        <v>280</v>
      </c>
      <c r="F2" s="1368"/>
      <c r="H2" s="59" t="s">
        <v>2</v>
      </c>
      <c r="I2" s="1366" t="s">
        <v>3</v>
      </c>
      <c r="J2" s="1368"/>
      <c r="K2" s="1366" t="s">
        <v>280</v>
      </c>
      <c r="L2" s="1368"/>
      <c r="N2" s="59" t="s">
        <v>2</v>
      </c>
      <c r="O2" s="1366" t="s">
        <v>3</v>
      </c>
      <c r="P2" s="1368"/>
      <c r="Q2" s="1366" t="s">
        <v>280</v>
      </c>
      <c r="R2" s="1368"/>
    </row>
    <row r="3" spans="1:18" ht="45" customHeight="1" thickTop="1" thickBot="1" x14ac:dyDescent="0.3">
      <c r="A3" s="1444"/>
      <c r="B3" s="21" t="s">
        <v>281</v>
      </c>
      <c r="C3" s="21" t="s">
        <v>281</v>
      </c>
      <c r="D3" s="21" t="s">
        <v>282</v>
      </c>
      <c r="E3" s="21" t="s">
        <v>2</v>
      </c>
      <c r="F3" s="21" t="s">
        <v>486</v>
      </c>
      <c r="H3" s="175" t="s">
        <v>281</v>
      </c>
      <c r="I3" s="21" t="s">
        <v>281</v>
      </c>
      <c r="J3" s="21" t="s">
        <v>282</v>
      </c>
      <c r="K3" s="21" t="s">
        <v>2</v>
      </c>
      <c r="L3" s="21" t="s">
        <v>486</v>
      </c>
      <c r="N3" s="175" t="s">
        <v>281</v>
      </c>
      <c r="O3" s="21" t="s">
        <v>281</v>
      </c>
      <c r="P3" s="21" t="s">
        <v>282</v>
      </c>
      <c r="Q3" s="21" t="s">
        <v>2</v>
      </c>
      <c r="R3" s="21" t="s">
        <v>486</v>
      </c>
    </row>
    <row r="4" spans="1:18" ht="19.5" customHeight="1" thickTop="1" thickBot="1" x14ac:dyDescent="0.3">
      <c r="A4" s="122" t="s">
        <v>485</v>
      </c>
      <c r="B4" s="161"/>
      <c r="C4" s="162"/>
      <c r="D4" s="163"/>
      <c r="E4" s="164"/>
      <c r="F4" s="164"/>
      <c r="K4" s="388">
        <f>B4-C4-E4</f>
        <v>0</v>
      </c>
      <c r="L4" s="392">
        <f>C4-D4-F4</f>
        <v>0</v>
      </c>
      <c r="N4" s="389">
        <f>B4-BS!$D$42</f>
        <v>0</v>
      </c>
      <c r="O4" s="388">
        <f>C4-BS!$G$42</f>
        <v>0</v>
      </c>
    </row>
    <row r="5" spans="1:18" ht="19.5" customHeight="1" thickBot="1" x14ac:dyDescent="0.3">
      <c r="A5" s="119" t="s">
        <v>91</v>
      </c>
      <c r="B5" s="165"/>
      <c r="C5" s="165"/>
      <c r="D5" s="166"/>
      <c r="E5" s="121"/>
      <c r="F5" s="121"/>
      <c r="K5" s="388">
        <f>B5-C5-E5</f>
        <v>0</v>
      </c>
      <c r="L5" s="392">
        <f t="shared" ref="L5:L7" si="0">C5-D5-F5</f>
        <v>0</v>
      </c>
      <c r="N5" s="389">
        <f>B5-BS!$D$43</f>
        <v>0</v>
      </c>
      <c r="O5" s="388">
        <f>C5-BS!$G$43</f>
        <v>0</v>
      </c>
    </row>
    <row r="6" spans="1:18" ht="19.5" customHeight="1" thickBot="1" x14ac:dyDescent="0.3">
      <c r="A6" s="14" t="s">
        <v>283</v>
      </c>
      <c r="B6" s="93"/>
      <c r="C6" s="93"/>
      <c r="D6" s="94"/>
      <c r="E6" s="80"/>
      <c r="F6" s="80"/>
      <c r="K6" s="388">
        <f>B6-C6-E6</f>
        <v>0</v>
      </c>
      <c r="L6" s="392">
        <f t="shared" si="0"/>
        <v>0</v>
      </c>
      <c r="N6" s="389">
        <f>B6-BS!$D$44</f>
        <v>0</v>
      </c>
      <c r="O6" s="388">
        <f>C6-BS!$G$44</f>
        <v>0</v>
      </c>
    </row>
    <row r="7" spans="1:18" ht="19.5" customHeight="1" thickBot="1" x14ac:dyDescent="0.3">
      <c r="A7" s="14" t="s">
        <v>14</v>
      </c>
      <c r="B7" s="79">
        <f>SUM(B4:B6)</f>
        <v>0</v>
      </c>
      <c r="C7" s="93">
        <f t="shared" ref="C7:F7" si="1">SUM(C4:C6)</f>
        <v>0</v>
      </c>
      <c r="D7" s="94">
        <f t="shared" si="1"/>
        <v>0</v>
      </c>
      <c r="E7" s="80">
        <f t="shared" si="1"/>
        <v>0</v>
      </c>
      <c r="F7" s="80">
        <f t="shared" si="1"/>
        <v>0</v>
      </c>
      <c r="H7" s="389">
        <f>SUM(B4:B6)-B7</f>
        <v>0</v>
      </c>
      <c r="I7" s="388">
        <f t="shared" ref="I7:J7" si="2">SUM(C4:C6)-C7</f>
        <v>0</v>
      </c>
      <c r="J7" s="388">
        <f t="shared" si="2"/>
        <v>0</v>
      </c>
      <c r="K7" s="388">
        <f>B7-C7-E7</f>
        <v>0</v>
      </c>
      <c r="L7" s="392">
        <f t="shared" si="0"/>
        <v>0</v>
      </c>
    </row>
    <row r="8" spans="1:18" ht="19.5" customHeight="1" thickBot="1" x14ac:dyDescent="0.3">
      <c r="A8" s="14" t="s">
        <v>284</v>
      </c>
      <c r="B8" s="110" t="s">
        <v>18</v>
      </c>
      <c r="C8" s="110" t="s">
        <v>18</v>
      </c>
      <c r="D8" s="123" t="s">
        <v>18</v>
      </c>
      <c r="E8" s="80"/>
      <c r="F8" s="80"/>
    </row>
    <row r="9" spans="1:18" ht="19.5" customHeight="1" thickBot="1" x14ac:dyDescent="0.3">
      <c r="A9" s="14" t="s">
        <v>285</v>
      </c>
      <c r="B9" s="110" t="s">
        <v>18</v>
      </c>
      <c r="C9" s="110" t="s">
        <v>18</v>
      </c>
      <c r="D9" s="123" t="s">
        <v>18</v>
      </c>
      <c r="E9" s="80"/>
      <c r="F9" s="80"/>
    </row>
    <row r="10" spans="1:18" ht="19.5" customHeight="1" thickBot="1" x14ac:dyDescent="0.3">
      <c r="A10" s="14" t="s">
        <v>286</v>
      </c>
      <c r="B10" s="110" t="s">
        <v>18</v>
      </c>
      <c r="C10" s="110" t="s">
        <v>18</v>
      </c>
      <c r="D10" s="123" t="s">
        <v>18</v>
      </c>
      <c r="E10" s="80"/>
      <c r="F10" s="80"/>
    </row>
    <row r="11" spans="1:18" ht="19.5" customHeight="1" thickBot="1" x14ac:dyDescent="0.3">
      <c r="A11" s="16" t="s">
        <v>287</v>
      </c>
      <c r="B11" s="112" t="s">
        <v>18</v>
      </c>
      <c r="C11" s="112" t="s">
        <v>18</v>
      </c>
      <c r="D11" s="124" t="s">
        <v>18</v>
      </c>
      <c r="E11" s="78"/>
      <c r="F11" s="78"/>
    </row>
    <row r="12" spans="1:18" ht="19.5" customHeight="1" thickTop="1" thickBot="1" x14ac:dyDescent="0.3">
      <c r="A12" s="25" t="s">
        <v>288</v>
      </c>
      <c r="B12" s="112" t="s">
        <v>18</v>
      </c>
      <c r="C12" s="112" t="s">
        <v>18</v>
      </c>
      <c r="D12" s="124" t="s">
        <v>18</v>
      </c>
      <c r="E12" s="78"/>
      <c r="F12" s="78"/>
      <c r="K12" s="388">
        <f>SUM(E7:E11)-E12</f>
        <v>0</v>
      </c>
      <c r="L12" s="392">
        <f>SUM(F7:F11)-F12</f>
        <v>0</v>
      </c>
      <c r="Q12" s="388">
        <f>E12-'P&amp;L'!$D$14</f>
        <v>0</v>
      </c>
      <c r="R12" s="392">
        <f>F12-'P&amp;L'!$E$14</f>
        <v>0</v>
      </c>
    </row>
    <row r="13" spans="1:18" ht="15.75" thickTop="1" x14ac:dyDescent="0.25"/>
  </sheetData>
  <mergeCells count="9">
    <mergeCell ref="A2:A3"/>
    <mergeCell ref="C2:D2"/>
    <mergeCell ref="E2:F2"/>
    <mergeCell ref="Q2:R2"/>
    <mergeCell ref="N1:R1"/>
    <mergeCell ref="K2:L2"/>
    <mergeCell ref="I2:J2"/>
    <mergeCell ref="H1:L1"/>
    <mergeCell ref="O2:P2"/>
  </mergeCells>
  <conditionalFormatting sqref="H4:L12">
    <cfRule type="cellIs" dxfId="25" priority="4" operator="lessThan">
      <formula>0</formula>
    </cfRule>
    <cfRule type="cellIs" dxfId="24" priority="5" operator="greaterThan">
      <formula>0</formula>
    </cfRule>
  </conditionalFormatting>
  <conditionalFormatting sqref="N1">
    <cfRule type="cellIs" priority="3" stopIfTrue="1" operator="greaterThan">
      <formula>0</formula>
    </cfRule>
  </conditionalFormatting>
  <conditionalFormatting sqref="N4:R12">
    <cfRule type="cellIs" dxfId="23" priority="1" operator="lessThan">
      <formula>0</formula>
    </cfRule>
    <cfRule type="cellIs" dxfId="2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F20"/>
  <sheetViews>
    <sheetView showGridLines="0" topLeftCell="A2" zoomScaleNormal="100" workbookViewId="0">
      <selection activeCell="E2" sqref="E2:F19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26.5703125" style="386" customWidth="1"/>
    <col min="6" max="6" width="30.28515625" style="391" customWidth="1"/>
  </cols>
  <sheetData>
    <row r="1" spans="1:6" ht="116.25" thickBot="1" x14ac:dyDescent="0.35">
      <c r="A1" s="428" t="s">
        <v>289</v>
      </c>
      <c r="E1" s="1437" t="s">
        <v>1140</v>
      </c>
      <c r="F1" s="1439"/>
    </row>
    <row r="2" spans="1:6" ht="21" customHeight="1" thickTop="1" thickBot="1" x14ac:dyDescent="0.3">
      <c r="A2" s="59" t="s">
        <v>131</v>
      </c>
      <c r="B2" s="663" t="s">
        <v>2</v>
      </c>
      <c r="C2" s="663" t="s">
        <v>3</v>
      </c>
      <c r="E2" s="397" t="s">
        <v>2</v>
      </c>
      <c r="F2" s="398" t="s">
        <v>3</v>
      </c>
    </row>
    <row r="3" spans="1:6" ht="18.75" customHeight="1" thickTop="1" thickBot="1" x14ac:dyDescent="0.3">
      <c r="A3" s="44" t="s">
        <v>487</v>
      </c>
      <c r="B3" s="80"/>
      <c r="C3" s="80"/>
      <c r="E3" s="429"/>
      <c r="F3" s="430"/>
    </row>
    <row r="4" spans="1:6" ht="18.75" customHeight="1" thickBot="1" x14ac:dyDescent="0.3">
      <c r="A4" s="14"/>
      <c r="B4" s="80"/>
      <c r="C4" s="80"/>
      <c r="E4" s="429"/>
      <c r="F4" s="430"/>
    </row>
    <row r="5" spans="1:6" ht="18.75" customHeight="1" thickBot="1" x14ac:dyDescent="0.3">
      <c r="A5" s="14"/>
      <c r="B5" s="80"/>
      <c r="C5" s="80"/>
      <c r="E5" s="429"/>
      <c r="F5" s="430"/>
    </row>
    <row r="6" spans="1:6" ht="18.75" customHeight="1" thickBot="1" x14ac:dyDescent="0.3">
      <c r="A6" s="44" t="s">
        <v>290</v>
      </c>
      <c r="B6" s="80"/>
      <c r="C6" s="80"/>
      <c r="E6" s="429"/>
      <c r="F6" s="430"/>
    </row>
    <row r="7" spans="1:6" ht="18.75" customHeight="1" thickBot="1" x14ac:dyDescent="0.3">
      <c r="A7" s="14"/>
      <c r="B7" s="80"/>
      <c r="C7" s="80"/>
      <c r="E7" s="429"/>
      <c r="F7" s="430"/>
    </row>
    <row r="8" spans="1:6" ht="18.75" customHeight="1" thickBot="1" x14ac:dyDescent="0.3">
      <c r="A8" s="14"/>
      <c r="B8" s="80"/>
      <c r="C8" s="80"/>
      <c r="E8" s="429"/>
      <c r="F8" s="430"/>
    </row>
    <row r="9" spans="1:6" ht="18.75" customHeight="1" thickBot="1" x14ac:dyDescent="0.3">
      <c r="A9" s="14"/>
      <c r="B9" s="80"/>
      <c r="C9" s="80"/>
      <c r="E9" s="429"/>
      <c r="F9" s="430"/>
    </row>
    <row r="10" spans="1:6" ht="18.75" customHeight="1" thickBot="1" x14ac:dyDescent="0.3">
      <c r="A10" s="44" t="s">
        <v>291</v>
      </c>
      <c r="B10" s="80"/>
      <c r="C10" s="80"/>
      <c r="E10" s="389">
        <f>B10-SUM('P&amp;L'!$D$35,'P&amp;L'!$D$37,'P&amp;L'!$D$41,'P&amp;L'!$D$43,'P&amp;L'!$D$46,'P&amp;L'!$D$48,'P&amp;L'!$D$50,'P&amp;L'!$D$52)</f>
        <v>-134</v>
      </c>
      <c r="F10" s="392">
        <f>C10-SUM('P&amp;L'!$E$35,'P&amp;L'!$E$37,'P&amp;L'!$E$41,'P&amp;L'!$E$43,'P&amp;L'!$E$46,'P&amp;L'!$E$48,'P&amp;L'!$E$50,'P&amp;L'!$E$52)</f>
        <v>-157</v>
      </c>
    </row>
    <row r="11" spans="1:6" ht="18.75" customHeight="1" thickBot="1" x14ac:dyDescent="0.3">
      <c r="A11" s="128" t="s">
        <v>292</v>
      </c>
      <c r="B11" s="125"/>
      <c r="C11" s="125"/>
      <c r="E11" s="389">
        <f>B11-'P&amp;L'!$D$48</f>
        <v>-130</v>
      </c>
      <c r="F11" s="392">
        <f>C11-'P&amp;L'!$E$48</f>
        <v>-8</v>
      </c>
    </row>
    <row r="12" spans="1:6" ht="18.75" customHeight="1" thickBot="1" x14ac:dyDescent="0.3">
      <c r="A12" s="14" t="s">
        <v>293</v>
      </c>
      <c r="B12" s="80"/>
      <c r="C12" s="80"/>
    </row>
    <row r="13" spans="1:6" ht="18.75" customHeight="1" thickBot="1" x14ac:dyDescent="0.3">
      <c r="A13" s="128" t="s">
        <v>294</v>
      </c>
      <c r="B13" s="125"/>
      <c r="C13" s="125"/>
    </row>
    <row r="14" spans="1:6" ht="18.75" customHeight="1" thickBot="1" x14ac:dyDescent="0.3">
      <c r="A14" s="14"/>
      <c r="B14" s="80"/>
      <c r="C14" s="80"/>
    </row>
    <row r="15" spans="1:6" ht="18.75" customHeight="1" thickBot="1" x14ac:dyDescent="0.3">
      <c r="A15" s="14"/>
      <c r="B15" s="80"/>
      <c r="C15" s="80"/>
    </row>
    <row r="16" spans="1:6" ht="18.75" customHeight="1" thickBot="1" x14ac:dyDescent="0.3">
      <c r="A16" s="14"/>
      <c r="B16" s="80"/>
      <c r="C16" s="80"/>
    </row>
    <row r="17" spans="1:6" ht="18.75" customHeight="1" thickBot="1" x14ac:dyDescent="0.3">
      <c r="A17" s="44" t="s">
        <v>295</v>
      </c>
      <c r="B17" s="80"/>
      <c r="C17" s="80"/>
      <c r="E17" s="389">
        <f>B17-'P&amp;L'!$D$60</f>
        <v>0</v>
      </c>
      <c r="F17" s="392">
        <f>C17-'P&amp;L'!$E$60</f>
        <v>0</v>
      </c>
    </row>
    <row r="18" spans="1:6" ht="18.75" customHeight="1" thickBot="1" x14ac:dyDescent="0.3">
      <c r="A18" s="122"/>
      <c r="B18" s="126"/>
      <c r="C18" s="126"/>
    </row>
    <row r="19" spans="1:6" ht="18.75" customHeight="1" thickBot="1" x14ac:dyDescent="0.3">
      <c r="A19" s="101"/>
      <c r="B19" s="127"/>
      <c r="C19" s="127"/>
    </row>
    <row r="20" spans="1:6" ht="15.75" thickTop="1" x14ac:dyDescent="0.25">
      <c r="A20" s="99"/>
      <c r="B20" s="20"/>
      <c r="C20" s="20"/>
    </row>
  </sheetData>
  <mergeCells count="1">
    <mergeCell ref="E1:F1"/>
  </mergeCells>
  <conditionalFormatting sqref="E1">
    <cfRule type="cellIs" priority="3" stopIfTrue="1" operator="greaterThan">
      <formula>0</formula>
    </cfRule>
  </conditionalFormatting>
  <conditionalFormatting sqref="E10:F17">
    <cfRule type="cellIs" dxfId="21" priority="1" operator="lessThan">
      <formula>0</formula>
    </cfRule>
    <cfRule type="cellIs" dxfId="2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I10"/>
  <sheetViews>
    <sheetView showGridLines="0" topLeftCell="B1" zoomScaleNormal="100" workbookViewId="0">
      <selection activeCell="H2" sqref="H2:I9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29.7109375" style="386" customWidth="1"/>
    <col min="6" max="6" width="29.7109375" style="391" customWidth="1"/>
    <col min="7" max="7" width="4.7109375" customWidth="1"/>
    <col min="8" max="8" width="26.5703125" style="386" customWidth="1"/>
    <col min="9" max="9" width="30.28515625" style="391" customWidth="1"/>
    <col min="10" max="10" width="13" customWidth="1"/>
  </cols>
  <sheetData>
    <row r="1" spans="1:9" ht="17.25" thickBot="1" x14ac:dyDescent="0.35">
      <c r="A1" s="1" t="s">
        <v>296</v>
      </c>
      <c r="E1" s="1452" t="s">
        <v>1138</v>
      </c>
      <c r="F1" s="1453"/>
      <c r="G1" s="390"/>
      <c r="H1" s="1437" t="s">
        <v>1140</v>
      </c>
      <c r="I1" s="1439"/>
    </row>
    <row r="2" spans="1:9" ht="26.25" customHeight="1" thickTop="1" thickBot="1" x14ac:dyDescent="0.3">
      <c r="A2" s="59" t="s">
        <v>131</v>
      </c>
      <c r="B2" s="38" t="s">
        <v>2</v>
      </c>
      <c r="C2" s="38" t="s">
        <v>3</v>
      </c>
      <c r="E2" s="59" t="s">
        <v>2</v>
      </c>
      <c r="F2" s="177" t="s">
        <v>3</v>
      </c>
      <c r="H2" s="59" t="s">
        <v>2</v>
      </c>
      <c r="I2" s="177" t="s">
        <v>3</v>
      </c>
    </row>
    <row r="3" spans="1:9" ht="18.75" customHeight="1" thickTop="1" thickBot="1" x14ac:dyDescent="0.3">
      <c r="A3" s="71" t="s">
        <v>297</v>
      </c>
      <c r="B3" s="80"/>
      <c r="C3" s="80"/>
      <c r="H3" s="389">
        <f>B3+B4-'P&amp;L'!$D$13</f>
        <v>-8560306</v>
      </c>
      <c r="I3" s="406">
        <f>C3+C4-'P&amp;L'!$E$13</f>
        <v>-7374403</v>
      </c>
    </row>
    <row r="4" spans="1:9" ht="18.75" customHeight="1" thickBot="1" x14ac:dyDescent="0.3">
      <c r="A4" s="71" t="s">
        <v>298</v>
      </c>
      <c r="B4" s="80"/>
      <c r="C4" s="80"/>
      <c r="H4" s="389">
        <f>H3</f>
        <v>-8560306</v>
      </c>
      <c r="I4" s="392">
        <f>I3</f>
        <v>-7374403</v>
      </c>
    </row>
    <row r="5" spans="1:9" ht="18.75" customHeight="1" thickBot="1" x14ac:dyDescent="0.3">
      <c r="A5" s="71" t="s">
        <v>299</v>
      </c>
      <c r="B5" s="80"/>
      <c r="C5" s="80"/>
      <c r="H5" s="389">
        <f>B5-'P&amp;L'!$D$9</f>
        <v>0</v>
      </c>
      <c r="I5" s="392">
        <f>C5-'P&amp;L'!$E$9</f>
        <v>0</v>
      </c>
    </row>
    <row r="6" spans="1:9" ht="18.75" customHeight="1" thickBot="1" x14ac:dyDescent="0.3">
      <c r="A6" s="71" t="s">
        <v>300</v>
      </c>
      <c r="B6" s="80"/>
      <c r="C6" s="80"/>
      <c r="H6" s="429"/>
      <c r="I6" s="430"/>
    </row>
    <row r="7" spans="1:9" ht="18.75" customHeight="1" thickBot="1" x14ac:dyDescent="0.3">
      <c r="A7" s="71" t="s">
        <v>301</v>
      </c>
      <c r="B7" s="80"/>
      <c r="C7" s="80"/>
      <c r="H7" s="389">
        <f>B7-'P&amp;L'!$D$27</f>
        <v>0</v>
      </c>
      <c r="I7" s="392">
        <f>C7-'P&amp;L'!$E$27</f>
        <v>0</v>
      </c>
    </row>
    <row r="8" spans="1:9" ht="18.75" customHeight="1" thickBot="1" x14ac:dyDescent="0.3">
      <c r="A8" s="14" t="s">
        <v>302</v>
      </c>
      <c r="B8" s="80"/>
      <c r="C8" s="80"/>
      <c r="H8" s="429"/>
      <c r="I8" s="430"/>
    </row>
    <row r="9" spans="1:9" ht="18.75" customHeight="1" thickBot="1" x14ac:dyDescent="0.3">
      <c r="A9" s="72" t="s">
        <v>303</v>
      </c>
      <c r="B9" s="78">
        <f>SUM(B3:B8)</f>
        <v>0</v>
      </c>
      <c r="C9" s="78">
        <f>SUM(C3:C8)</f>
        <v>0</v>
      </c>
      <c r="E9" s="389">
        <f>SUM(B3:B8)-B9</f>
        <v>0</v>
      </c>
      <c r="F9" s="391">
        <f>SUM(C3:C8)-C9</f>
        <v>0</v>
      </c>
      <c r="H9" s="429"/>
      <c r="I9" s="430"/>
    </row>
    <row r="10" spans="1:9" ht="15.75" thickTop="1" x14ac:dyDescent="0.25">
      <c r="H10" s="389"/>
      <c r="I10" s="392"/>
    </row>
  </sheetData>
  <mergeCells count="2">
    <mergeCell ref="H1:I1"/>
    <mergeCell ref="E1:F1"/>
  </mergeCells>
  <conditionalFormatting sqref="H1">
    <cfRule type="cellIs" priority="5" stopIfTrue="1" operator="greaterThan">
      <formula>0</formula>
    </cfRule>
  </conditionalFormatting>
  <conditionalFormatting sqref="H3:I10">
    <cfRule type="cellIs" dxfId="19" priority="3" operator="lessThan">
      <formula>0</formula>
    </cfRule>
    <cfRule type="cellIs" dxfId="18" priority="4" operator="greaterThan">
      <formula>0</formula>
    </cfRule>
  </conditionalFormatting>
  <conditionalFormatting sqref="E9:F9">
    <cfRule type="cellIs" dxfId="17" priority="1" operator="lessThan">
      <formula>0</formula>
    </cfRule>
    <cfRule type="cellIs" dxfId="16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I28"/>
  <sheetViews>
    <sheetView showGridLines="0" topLeftCell="B1" zoomScaleNormal="100" workbookViewId="0">
      <selection activeCell="E2" sqref="E2:F27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29.7109375" style="386" customWidth="1"/>
    <col min="6" max="6" width="29.7109375" style="391" customWidth="1"/>
    <col min="7" max="7" width="4.7109375" customWidth="1"/>
    <col min="8" max="8" width="26.5703125" style="386" customWidth="1"/>
    <col min="9" max="9" width="30.28515625" style="391" customWidth="1"/>
  </cols>
  <sheetData>
    <row r="1" spans="1:9" ht="17.25" thickBot="1" x14ac:dyDescent="0.35">
      <c r="A1" s="1" t="s">
        <v>304</v>
      </c>
      <c r="E1" s="1452" t="s">
        <v>1138</v>
      </c>
      <c r="F1" s="1453"/>
      <c r="G1" s="390"/>
      <c r="H1" s="1437" t="s">
        <v>1140</v>
      </c>
      <c r="I1" s="1439"/>
    </row>
    <row r="2" spans="1:9" ht="26.25" customHeight="1" thickTop="1" thickBot="1" x14ac:dyDescent="0.3">
      <c r="A2" s="59" t="s">
        <v>131</v>
      </c>
      <c r="B2" s="38" t="s">
        <v>2</v>
      </c>
      <c r="C2" s="38" t="s">
        <v>3</v>
      </c>
      <c r="E2" s="59" t="s">
        <v>2</v>
      </c>
      <c r="F2" s="177" t="s">
        <v>3</v>
      </c>
      <c r="H2" s="59" t="s">
        <v>2</v>
      </c>
      <c r="I2" s="177" t="s">
        <v>3</v>
      </c>
    </row>
    <row r="3" spans="1:9" ht="20.25" customHeight="1" thickTop="1" thickBot="1" x14ac:dyDescent="0.3">
      <c r="A3" s="44" t="s">
        <v>305</v>
      </c>
      <c r="B3" s="80"/>
      <c r="C3" s="80"/>
      <c r="E3" s="389">
        <f>SUM(B4,B10)-B3</f>
        <v>0</v>
      </c>
      <c r="F3" s="392">
        <f>SUM(C4,C10)-C3</f>
        <v>0</v>
      </c>
      <c r="H3" s="389">
        <f>B3-'P&amp;L'!$D$18</f>
        <v>-8238701</v>
      </c>
      <c r="I3" s="392">
        <f>C3-'P&amp;L'!$E$18</f>
        <v>-7108837</v>
      </c>
    </row>
    <row r="4" spans="1:9" ht="20.25" customHeight="1" thickBot="1" x14ac:dyDescent="0.3">
      <c r="A4" s="128" t="s">
        <v>306</v>
      </c>
      <c r="B4" s="125"/>
      <c r="C4" s="125"/>
      <c r="E4" s="389">
        <f>SUM(B5:B9)-B4</f>
        <v>0</v>
      </c>
      <c r="F4" s="392">
        <f>SUM(C5:C9)-C4</f>
        <v>0</v>
      </c>
      <c r="H4" s="389"/>
      <c r="I4" s="392"/>
    </row>
    <row r="5" spans="1:9" ht="20.25" customHeight="1" thickBot="1" x14ac:dyDescent="0.3">
      <c r="A5" s="14" t="s">
        <v>307</v>
      </c>
      <c r="B5" s="80"/>
      <c r="C5" s="80"/>
      <c r="F5" s="392"/>
      <c r="H5" s="431"/>
      <c r="I5" s="432"/>
    </row>
    <row r="6" spans="1:9" ht="20.25" customHeight="1" thickBot="1" x14ac:dyDescent="0.3">
      <c r="A6" s="14" t="s">
        <v>308</v>
      </c>
      <c r="B6" s="80"/>
      <c r="C6" s="80"/>
      <c r="F6" s="392"/>
      <c r="H6" s="433"/>
      <c r="I6" s="434"/>
    </row>
    <row r="7" spans="1:9" ht="20.25" customHeight="1" thickBot="1" x14ac:dyDescent="0.3">
      <c r="A7" s="14" t="s">
        <v>309</v>
      </c>
      <c r="B7" s="80"/>
      <c r="C7" s="80"/>
      <c r="F7" s="392"/>
      <c r="H7" s="431"/>
      <c r="I7" s="432"/>
    </row>
    <row r="8" spans="1:9" ht="20.25" customHeight="1" thickBot="1" x14ac:dyDescent="0.3">
      <c r="A8" s="14" t="s">
        <v>310</v>
      </c>
      <c r="B8" s="80"/>
      <c r="C8" s="80"/>
      <c r="F8" s="392"/>
      <c r="H8" s="433"/>
      <c r="I8" s="434"/>
    </row>
    <row r="9" spans="1:9" ht="20.25" customHeight="1" thickBot="1" x14ac:dyDescent="0.3">
      <c r="A9" s="14" t="s">
        <v>311</v>
      </c>
      <c r="B9" s="80"/>
      <c r="C9" s="80"/>
      <c r="E9" s="389"/>
      <c r="F9" s="392"/>
      <c r="H9" s="433"/>
      <c r="I9" s="434"/>
    </row>
    <row r="10" spans="1:9" ht="20.25" customHeight="1" thickBot="1" x14ac:dyDescent="0.3">
      <c r="A10" s="128" t="s">
        <v>312</v>
      </c>
      <c r="B10" s="125"/>
      <c r="C10" s="125"/>
      <c r="E10" s="389">
        <f>SUM(B11:B13)-B10</f>
        <v>0</v>
      </c>
      <c r="F10" s="392">
        <f>SUM(C11:C13)-C10</f>
        <v>0</v>
      </c>
      <c r="H10" s="431"/>
      <c r="I10" s="432"/>
    </row>
    <row r="11" spans="1:9" ht="20.25" customHeight="1" thickBot="1" x14ac:dyDescent="0.3">
      <c r="A11" s="14"/>
      <c r="B11" s="80"/>
      <c r="C11" s="80"/>
      <c r="F11" s="392"/>
    </row>
    <row r="12" spans="1:9" ht="20.25" customHeight="1" thickBot="1" x14ac:dyDescent="0.3">
      <c r="A12" s="14"/>
      <c r="B12" s="80"/>
      <c r="C12" s="80"/>
      <c r="F12" s="392"/>
    </row>
    <row r="13" spans="1:9" ht="20.25" customHeight="1" thickBot="1" x14ac:dyDescent="0.3">
      <c r="A13" s="14"/>
      <c r="B13" s="80"/>
      <c r="C13" s="80"/>
      <c r="F13" s="392"/>
    </row>
    <row r="14" spans="1:9" ht="20.25" customHeight="1" thickBot="1" x14ac:dyDescent="0.3">
      <c r="A14" s="44" t="s">
        <v>313</v>
      </c>
      <c r="B14" s="80"/>
      <c r="C14" s="80"/>
      <c r="E14" s="389">
        <f>SUM(B15:B18)-B14</f>
        <v>0</v>
      </c>
      <c r="F14" s="392">
        <f>SUM(C15:C18)-C14</f>
        <v>0</v>
      </c>
    </row>
    <row r="15" spans="1:9" ht="20.25" customHeight="1" thickBot="1" x14ac:dyDescent="0.3">
      <c r="A15" s="14"/>
      <c r="B15" s="80"/>
      <c r="C15" s="80"/>
      <c r="F15" s="392"/>
    </row>
    <row r="16" spans="1:9" ht="20.25" customHeight="1" thickBot="1" x14ac:dyDescent="0.3">
      <c r="A16" s="14"/>
      <c r="B16" s="80"/>
      <c r="C16" s="80"/>
      <c r="F16" s="392"/>
    </row>
    <row r="17" spans="1:9" ht="20.25" customHeight="1" thickBot="1" x14ac:dyDescent="0.3">
      <c r="A17" s="14"/>
      <c r="B17" s="80"/>
      <c r="C17" s="80"/>
      <c r="F17" s="392"/>
    </row>
    <row r="18" spans="1:9" ht="20.25" customHeight="1" thickBot="1" x14ac:dyDescent="0.3">
      <c r="A18" s="14"/>
      <c r="B18" s="80"/>
      <c r="C18" s="80"/>
      <c r="F18" s="392"/>
    </row>
    <row r="19" spans="1:9" ht="20.25" customHeight="1" thickBot="1" x14ac:dyDescent="0.3">
      <c r="A19" s="44" t="s">
        <v>314</v>
      </c>
      <c r="B19" s="80"/>
      <c r="C19" s="80"/>
      <c r="E19" s="389">
        <f>SUM(B20,B22)-B19</f>
        <v>0</v>
      </c>
      <c r="F19" s="392">
        <f>SUM(C20,C22)-C19</f>
        <v>0</v>
      </c>
      <c r="H19" s="389">
        <f>B19-SUM('P&amp;L'!$D$36,'P&amp;L'!$D$42,'P&amp;L'!$D$44,'P&amp;L'!$D$45,'P&amp;L'!$D$47,'P&amp;L'!$D$49,'P&amp;L'!$D$51,'P&amp;L'!$D$53)</f>
        <v>-3576</v>
      </c>
      <c r="I19" s="392">
        <f>C19-SUM('P&amp;L'!$E$36,'P&amp;L'!$E$42,'P&amp;L'!$E$44,'P&amp;L'!$E$45,'P&amp;L'!$E$47,'P&amp;L'!$E$49,'P&amp;L'!$E$51,'P&amp;L'!$E$53)</f>
        <v>-8049</v>
      </c>
    </row>
    <row r="20" spans="1:9" ht="20.25" customHeight="1" thickBot="1" x14ac:dyDescent="0.3">
      <c r="A20" s="128" t="s">
        <v>315</v>
      </c>
      <c r="B20" s="125"/>
      <c r="C20" s="125"/>
      <c r="E20" s="389"/>
      <c r="F20" s="392"/>
      <c r="H20" s="389">
        <f>B20-'P&amp;L'!$D$49</f>
        <v>-96</v>
      </c>
      <c r="I20" s="392">
        <f>C20-'P&amp;L'!$E$49</f>
        <v>-18</v>
      </c>
    </row>
    <row r="21" spans="1:9" ht="20.25" customHeight="1" thickBot="1" x14ac:dyDescent="0.3">
      <c r="A21" s="14" t="s">
        <v>316</v>
      </c>
      <c r="B21" s="80"/>
      <c r="C21" s="80"/>
      <c r="F21" s="392"/>
    </row>
    <row r="22" spans="1:9" ht="20.25" customHeight="1" thickBot="1" x14ac:dyDescent="0.3">
      <c r="A22" s="128" t="s">
        <v>317</v>
      </c>
      <c r="B22" s="125"/>
      <c r="C22" s="125"/>
      <c r="E22" s="389">
        <f>SUM(B23:B24)-B22</f>
        <v>0</v>
      </c>
      <c r="F22" s="392">
        <f>SUM(C23:C24)-C22</f>
        <v>0</v>
      </c>
    </row>
    <row r="23" spans="1:9" ht="20.25" customHeight="1" thickBot="1" x14ac:dyDescent="0.3">
      <c r="A23" s="14"/>
      <c r="B23" s="80"/>
      <c r="C23" s="80"/>
      <c r="F23" s="392"/>
    </row>
    <row r="24" spans="1:9" ht="20.25" customHeight="1" thickBot="1" x14ac:dyDescent="0.3">
      <c r="A24" s="14"/>
      <c r="B24" s="80"/>
      <c r="C24" s="80"/>
      <c r="F24" s="392"/>
    </row>
    <row r="25" spans="1:9" ht="20.25" customHeight="1" thickBot="1" x14ac:dyDescent="0.3">
      <c r="A25" s="104" t="s">
        <v>318</v>
      </c>
      <c r="B25" s="126"/>
      <c r="C25" s="126"/>
      <c r="E25" s="389">
        <f>SUM(B26:B27)-B25</f>
        <v>0</v>
      </c>
      <c r="F25" s="392">
        <f>SUM(C26:C27)-C25</f>
        <v>0</v>
      </c>
      <c r="H25" s="389">
        <f>B25-'P&amp;L'!$D$61</f>
        <v>0</v>
      </c>
      <c r="I25" s="392">
        <f>C25-'P&amp;L'!$E$61</f>
        <v>0</v>
      </c>
    </row>
    <row r="26" spans="1:9" ht="20.25" customHeight="1" thickBot="1" x14ac:dyDescent="0.3">
      <c r="A26" s="105"/>
      <c r="B26" s="121"/>
      <c r="C26" s="121"/>
      <c r="F26" s="392"/>
    </row>
    <row r="27" spans="1:9" ht="20.25" customHeight="1" thickBot="1" x14ac:dyDescent="0.3">
      <c r="A27" s="25"/>
      <c r="B27" s="78"/>
      <c r="C27" s="78"/>
      <c r="F27" s="392"/>
    </row>
    <row r="28" spans="1:9" ht="17.25" thickTop="1" x14ac:dyDescent="0.3">
      <c r="A28" s="1"/>
      <c r="F28" s="392"/>
    </row>
  </sheetData>
  <mergeCells count="2">
    <mergeCell ref="E1:F1"/>
    <mergeCell ref="H1:I1"/>
  </mergeCells>
  <conditionalFormatting sqref="H1">
    <cfRule type="cellIs" priority="17" stopIfTrue="1" operator="greaterThan">
      <formula>0</formula>
    </cfRule>
  </conditionalFormatting>
  <conditionalFormatting sqref="H3:I10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E9:F9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F3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F4:F28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E3:F26">
    <cfRule type="cellIs" priority="8" stopIfTrue="1" operator="greaterThan">
      <formula>0</formula>
    </cfRule>
  </conditionalFormatting>
  <conditionalFormatting sqref="E3:F29">
    <cfRule type="cellIs" dxfId="7" priority="6" operator="lessThan">
      <formula>0</formula>
    </cfRule>
    <cfRule type="cellIs" dxfId="6" priority="7" operator="greaterThan">
      <formula>0</formula>
    </cfRule>
  </conditionalFormatting>
  <conditionalFormatting sqref="F3">
    <cfRule type="cellIs" dxfId="5" priority="4" operator="lessThan">
      <formula>0</formula>
    </cfRule>
    <cfRule type="cellIs" dxfId="4" priority="5" operator="greaterThan">
      <formula>0</formula>
    </cfRule>
  </conditionalFormatting>
  <conditionalFormatting sqref="H3:I29">
    <cfRule type="cellIs" dxfId="3" priority="1" operator="lessThan">
      <formula>0</formula>
    </cfRule>
    <cfRule type="cellIs" dxfId="2" priority="2" operator="greaterThan">
      <formula>0</formula>
    </cfRule>
    <cfRule type="cellIs" priority="3" stopIfTrue="1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C9"/>
  <sheetViews>
    <sheetView showGridLines="0" zoomScaleNormal="100" workbookViewId="0">
      <selection activeCell="A3" sqref="A3:A8"/>
    </sheetView>
  </sheetViews>
  <sheetFormatPr defaultRowHeight="15" x14ac:dyDescent="0.25"/>
  <cols>
    <col min="1" max="1" width="36.7109375" customWidth="1"/>
    <col min="2" max="2" width="26.42578125" customWidth="1"/>
    <col min="3" max="3" width="23.285156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319</v>
      </c>
    </row>
    <row r="2" spans="1:3" ht="35.25" thickTop="1" thickBot="1" x14ac:dyDescent="0.3">
      <c r="A2" s="59" t="s">
        <v>131</v>
      </c>
      <c r="B2" s="38" t="s">
        <v>2</v>
      </c>
      <c r="C2" s="38" t="s">
        <v>3</v>
      </c>
    </row>
    <row r="3" spans="1:3" ht="29.25" customHeight="1" thickTop="1" thickBot="1" x14ac:dyDescent="0.3">
      <c r="A3" s="122" t="s">
        <v>320</v>
      </c>
      <c r="B3" s="15"/>
      <c r="C3" s="15"/>
    </row>
    <row r="4" spans="1:3" ht="29.25" customHeight="1" thickBot="1" x14ac:dyDescent="0.3">
      <c r="A4" s="129" t="s">
        <v>321</v>
      </c>
      <c r="B4" s="15"/>
      <c r="C4" s="15"/>
    </row>
    <row r="5" spans="1:3" ht="52.5" customHeight="1" thickBot="1" x14ac:dyDescent="0.3">
      <c r="A5" s="119" t="s">
        <v>322</v>
      </c>
      <c r="B5" s="15"/>
      <c r="C5" s="15"/>
    </row>
    <row r="6" spans="1:3" ht="52.5" customHeight="1" thickBot="1" x14ac:dyDescent="0.3">
      <c r="A6" s="14" t="s">
        <v>323</v>
      </c>
      <c r="B6" s="15"/>
      <c r="C6" s="15"/>
    </row>
    <row r="7" spans="1:3" ht="51" customHeight="1" thickBot="1" x14ac:dyDescent="0.3">
      <c r="A7" s="122" t="s">
        <v>324</v>
      </c>
      <c r="B7" s="15"/>
      <c r="C7" s="15"/>
    </row>
    <row r="8" spans="1:3" ht="30.75" customHeight="1" thickBot="1" x14ac:dyDescent="0.3">
      <c r="A8" s="130" t="s">
        <v>325</v>
      </c>
      <c r="B8" s="17"/>
      <c r="C8" s="17"/>
    </row>
    <row r="9" spans="1:3" ht="17.25" thickTop="1" x14ac:dyDescent="0.3">
      <c r="A9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K13"/>
  <sheetViews>
    <sheetView showGridLines="0" zoomScaleNormal="100" workbookViewId="0">
      <selection activeCell="J13" sqref="J13"/>
    </sheetView>
  </sheetViews>
  <sheetFormatPr defaultRowHeight="15" x14ac:dyDescent="0.25"/>
  <cols>
    <col min="1" max="1" width="22.28515625" customWidth="1"/>
    <col min="2" max="7" width="10.7109375" customWidth="1"/>
    <col min="10" max="10" width="24.28515625" style="386" customWidth="1"/>
    <col min="11" max="11" width="31.140625" style="391" customWidth="1"/>
  </cols>
  <sheetData>
    <row r="1" spans="1:11" ht="17.25" thickBot="1" x14ac:dyDescent="0.35">
      <c r="A1" s="1" t="s">
        <v>326</v>
      </c>
      <c r="J1" s="1437" t="s">
        <v>1140</v>
      </c>
      <c r="K1" s="1439"/>
    </row>
    <row r="2" spans="1:11" ht="35.25" customHeight="1" thickTop="1" thickBot="1" x14ac:dyDescent="0.3">
      <c r="A2" s="1426" t="s">
        <v>131</v>
      </c>
      <c r="B2" s="1366" t="s">
        <v>2</v>
      </c>
      <c r="C2" s="1367"/>
      <c r="D2" s="1368"/>
      <c r="E2" s="1366" t="s">
        <v>3</v>
      </c>
      <c r="F2" s="1367"/>
      <c r="G2" s="1368"/>
      <c r="J2" s="176" t="s">
        <v>2</v>
      </c>
      <c r="K2" s="59" t="s">
        <v>3</v>
      </c>
    </row>
    <row r="3" spans="1:11" s="131" customFormat="1" ht="16.5" thickTop="1" thickBot="1" x14ac:dyDescent="0.3">
      <c r="A3" s="1427"/>
      <c r="B3" s="21" t="s">
        <v>327</v>
      </c>
      <c r="C3" s="21" t="s">
        <v>328</v>
      </c>
      <c r="D3" s="21" t="s">
        <v>329</v>
      </c>
      <c r="E3" s="21" t="s">
        <v>327</v>
      </c>
      <c r="F3" s="21" t="s">
        <v>328</v>
      </c>
      <c r="G3" s="21" t="s">
        <v>329</v>
      </c>
      <c r="J3" s="435"/>
      <c r="K3" s="415"/>
    </row>
    <row r="4" spans="1:11" ht="20.25" customHeight="1" thickTop="1" thickBot="1" x14ac:dyDescent="0.3">
      <c r="A4" s="14" t="s">
        <v>330</v>
      </c>
      <c r="B4" s="79"/>
      <c r="C4" s="106" t="s">
        <v>18</v>
      </c>
      <c r="D4" s="168" t="s">
        <v>18</v>
      </c>
      <c r="E4" s="79"/>
      <c r="F4" s="106" t="s">
        <v>18</v>
      </c>
      <c r="G4" s="168" t="s">
        <v>18</v>
      </c>
      <c r="J4" s="389">
        <f>B4-'P&amp;L'!$D$55</f>
        <v>-218531</v>
      </c>
      <c r="K4" s="392">
        <f>E4-'P&amp;L'!$E$55</f>
        <v>-23125</v>
      </c>
    </row>
    <row r="5" spans="1:11" ht="20.25" customHeight="1" thickBot="1" x14ac:dyDescent="0.3">
      <c r="A5" s="14" t="s">
        <v>331</v>
      </c>
      <c r="B5" s="106" t="s">
        <v>18</v>
      </c>
      <c r="C5" s="79"/>
      <c r="D5" s="118"/>
      <c r="E5" s="106" t="s">
        <v>18</v>
      </c>
      <c r="F5" s="79"/>
      <c r="G5" s="118"/>
    </row>
    <row r="6" spans="1:11" ht="20.25" customHeight="1" thickBot="1" x14ac:dyDescent="0.3">
      <c r="A6" s="14" t="s">
        <v>332</v>
      </c>
      <c r="B6" s="79"/>
      <c r="C6" s="79"/>
      <c r="D6" s="118"/>
      <c r="E6" s="79"/>
      <c r="F6" s="79"/>
      <c r="G6" s="118"/>
    </row>
    <row r="7" spans="1:11" ht="20.25" customHeight="1" thickBot="1" x14ac:dyDescent="0.3">
      <c r="A7" s="14" t="s">
        <v>333</v>
      </c>
      <c r="B7" s="79"/>
      <c r="C7" s="79"/>
      <c r="D7" s="118"/>
      <c r="E7" s="79"/>
      <c r="F7" s="79"/>
      <c r="G7" s="118"/>
    </row>
    <row r="8" spans="1:11" ht="20.25" customHeight="1" thickBot="1" x14ac:dyDescent="0.3">
      <c r="A8" s="14" t="s">
        <v>334</v>
      </c>
      <c r="B8" s="79"/>
      <c r="C8" s="79"/>
      <c r="D8" s="118"/>
      <c r="E8" s="79"/>
      <c r="F8" s="79"/>
      <c r="G8" s="118"/>
    </row>
    <row r="9" spans="1:11" ht="20.25" customHeight="1" thickBot="1" x14ac:dyDescent="0.3">
      <c r="A9" s="14" t="s">
        <v>14</v>
      </c>
      <c r="B9" s="79"/>
      <c r="C9" s="79"/>
      <c r="D9" s="118"/>
      <c r="E9" s="79"/>
      <c r="F9" s="79"/>
      <c r="G9" s="118"/>
    </row>
    <row r="10" spans="1:11" ht="20.25" customHeight="1" thickBot="1" x14ac:dyDescent="0.3">
      <c r="A10" s="14" t="s">
        <v>335</v>
      </c>
      <c r="B10" s="106" t="s">
        <v>18</v>
      </c>
      <c r="C10" s="79"/>
      <c r="D10" s="118"/>
      <c r="E10" s="106" t="s">
        <v>18</v>
      </c>
      <c r="F10" s="79"/>
      <c r="G10" s="118"/>
      <c r="J10" s="389">
        <f>C10-'P&amp;L'!$D$57-'P&amp;L'!$D$64</f>
        <v>-39946</v>
      </c>
      <c r="K10" s="392">
        <f>F10-'P&amp;L'!$E$57-'P&amp;L'!$E$64</f>
        <v>-49</v>
      </c>
    </row>
    <row r="11" spans="1:11" ht="20.25" customHeight="1" thickBot="1" x14ac:dyDescent="0.3">
      <c r="A11" s="14" t="s">
        <v>336</v>
      </c>
      <c r="B11" s="106" t="s">
        <v>18</v>
      </c>
      <c r="C11" s="79"/>
      <c r="D11" s="118"/>
      <c r="E11" s="106" t="s">
        <v>18</v>
      </c>
      <c r="F11" s="79"/>
      <c r="G11" s="118"/>
      <c r="J11" s="389">
        <f>C11-'P&amp;L'!$D$58-'P&amp;L'!$D$65</f>
        <v>5719</v>
      </c>
      <c r="K11" s="392">
        <f>F11-'P&amp;L'!$E$58-'P&amp;L'!$E$65</f>
        <v>-20152</v>
      </c>
    </row>
    <row r="12" spans="1:11" ht="20.25" customHeight="1" thickBot="1" x14ac:dyDescent="0.3">
      <c r="A12" s="16" t="s">
        <v>337</v>
      </c>
      <c r="B12" s="107" t="s">
        <v>18</v>
      </c>
      <c r="C12" s="85">
        <f>C10+C11</f>
        <v>0</v>
      </c>
      <c r="D12" s="167"/>
      <c r="E12" s="107" t="s">
        <v>18</v>
      </c>
      <c r="F12" s="85">
        <f>F10+F11</f>
        <v>0</v>
      </c>
      <c r="G12" s="167"/>
      <c r="J12" s="389">
        <f>C12-'P&amp;L'!$D$56-'P&amp;L'!$D$63</f>
        <v>-34227</v>
      </c>
      <c r="K12" s="392">
        <f>F12-'P&amp;L'!$E$56-'P&amp;L'!$E$63</f>
        <v>-20201</v>
      </c>
    </row>
    <row r="13" spans="1:11" ht="15.75" thickTop="1" x14ac:dyDescent="0.25"/>
  </sheetData>
  <mergeCells count="4">
    <mergeCell ref="J1:K1"/>
    <mergeCell ref="A2:A3"/>
    <mergeCell ref="B2:D2"/>
    <mergeCell ref="E2:G2"/>
  </mergeCells>
  <conditionalFormatting sqref="J1">
    <cfRule type="cellIs" priority="3" stopIfTrue="1" operator="greaterThan">
      <formula>0</formula>
    </cfRule>
  </conditionalFormatting>
  <conditionalFormatting sqref="J4:K13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I21"/>
  <sheetViews>
    <sheetView showGridLines="0" zoomScaleNormal="100" workbookViewId="0">
      <selection activeCell="A6" sqref="A6:A19"/>
    </sheetView>
  </sheetViews>
  <sheetFormatPr defaultRowHeight="15" x14ac:dyDescent="0.25"/>
  <cols>
    <col min="1" max="1" width="17.7109375" customWidth="1"/>
    <col min="2" max="7" width="11.42578125" customWidth="1"/>
  </cols>
  <sheetData>
    <row r="1" spans="1:9" ht="17.25" thickBot="1" x14ac:dyDescent="0.35">
      <c r="A1" s="1" t="s">
        <v>371</v>
      </c>
    </row>
    <row r="2" spans="1:9" ht="25.5" customHeight="1" thickTop="1" thickBot="1" x14ac:dyDescent="0.3">
      <c r="A2" s="1442" t="s">
        <v>372</v>
      </c>
      <c r="B2" s="1440" t="s">
        <v>373</v>
      </c>
      <c r="C2" s="1458"/>
      <c r="D2" s="1458"/>
      <c r="E2" s="1440" t="s">
        <v>374</v>
      </c>
      <c r="F2" s="1458"/>
      <c r="G2" s="1441"/>
      <c r="H2" s="20"/>
      <c r="I2" s="20"/>
    </row>
    <row r="3" spans="1:9" ht="20.25" customHeight="1" thickTop="1" thickBot="1" x14ac:dyDescent="0.3">
      <c r="A3" s="1443"/>
      <c r="B3" s="59" t="s">
        <v>375</v>
      </c>
      <c r="C3" s="59" t="s">
        <v>376</v>
      </c>
      <c r="D3" s="664" t="s">
        <v>377</v>
      </c>
      <c r="E3" s="59" t="s">
        <v>375</v>
      </c>
      <c r="F3" s="59" t="s">
        <v>376</v>
      </c>
      <c r="G3" s="59" t="s">
        <v>377</v>
      </c>
      <c r="H3" s="20"/>
      <c r="I3" s="20"/>
    </row>
    <row r="4" spans="1:9" ht="20.25" customHeight="1" thickTop="1" thickBot="1" x14ac:dyDescent="0.3">
      <c r="A4" s="1443"/>
      <c r="B4" s="1459" t="s">
        <v>378</v>
      </c>
      <c r="C4" s="1460"/>
      <c r="D4" s="1460"/>
      <c r="E4" s="1459" t="s">
        <v>378</v>
      </c>
      <c r="F4" s="1460"/>
      <c r="G4" s="1461"/>
      <c r="H4" s="20"/>
      <c r="I4" s="20"/>
    </row>
    <row r="5" spans="1:9" ht="24.75" customHeight="1" thickBot="1" x14ac:dyDescent="0.3">
      <c r="A5" s="1444"/>
      <c r="B5" s="1462" t="s">
        <v>379</v>
      </c>
      <c r="C5" s="1463"/>
      <c r="D5" s="1463"/>
      <c r="E5" s="1462" t="s">
        <v>379</v>
      </c>
      <c r="F5" s="1463"/>
      <c r="G5" s="1464"/>
      <c r="H5" s="20"/>
      <c r="I5" s="20"/>
    </row>
    <row r="6" spans="1:9" ht="20.25" customHeight="1" thickTop="1" thickBot="1" x14ac:dyDescent="0.3">
      <c r="A6" s="1454" t="s">
        <v>380</v>
      </c>
      <c r="B6" s="79"/>
      <c r="C6" s="169"/>
      <c r="D6" s="144"/>
      <c r="E6" s="79"/>
      <c r="F6" s="144"/>
      <c r="G6" s="77"/>
      <c r="H6" s="20"/>
      <c r="I6" s="20"/>
    </row>
    <row r="7" spans="1:9" ht="20.25" customHeight="1" thickBot="1" x14ac:dyDescent="0.3">
      <c r="A7" s="1457"/>
      <c r="B7" s="79"/>
      <c r="C7" s="170"/>
      <c r="D7" s="120"/>
      <c r="E7" s="79"/>
      <c r="F7" s="120"/>
      <c r="G7" s="121"/>
      <c r="H7" s="20"/>
      <c r="I7" s="20"/>
    </row>
    <row r="8" spans="1:9" ht="20.25" customHeight="1" thickBot="1" x14ac:dyDescent="0.3">
      <c r="A8" s="1456" t="s">
        <v>381</v>
      </c>
      <c r="B8" s="79"/>
      <c r="C8" s="170"/>
      <c r="D8" s="120"/>
      <c r="E8" s="79"/>
      <c r="F8" s="120"/>
      <c r="G8" s="121"/>
      <c r="H8" s="20"/>
      <c r="I8" s="20"/>
    </row>
    <row r="9" spans="1:9" ht="20.25" customHeight="1" thickBot="1" x14ac:dyDescent="0.3">
      <c r="A9" s="1455"/>
      <c r="B9" s="79"/>
      <c r="C9" s="170"/>
      <c r="D9" s="120"/>
      <c r="E9" s="79"/>
      <c r="F9" s="120"/>
      <c r="G9" s="121"/>
      <c r="H9" s="20"/>
      <c r="I9" s="20"/>
    </row>
    <row r="10" spans="1:9" ht="20.25" customHeight="1" thickTop="1" thickBot="1" x14ac:dyDescent="0.3">
      <c r="A10" s="1454" t="s">
        <v>382</v>
      </c>
      <c r="B10" s="79"/>
      <c r="C10" s="170"/>
      <c r="D10" s="120"/>
      <c r="E10" s="79"/>
      <c r="F10" s="120"/>
      <c r="G10" s="121"/>
      <c r="H10" s="20"/>
      <c r="I10" s="20"/>
    </row>
    <row r="11" spans="1:9" ht="20.25" customHeight="1" thickBot="1" x14ac:dyDescent="0.3">
      <c r="A11" s="1457"/>
      <c r="B11" s="79"/>
      <c r="C11" s="170"/>
      <c r="D11" s="120"/>
      <c r="E11" s="79"/>
      <c r="F11" s="120"/>
      <c r="G11" s="121"/>
      <c r="H11" s="20"/>
      <c r="I11" s="20"/>
    </row>
    <row r="12" spans="1:9" ht="20.25" customHeight="1" thickBot="1" x14ac:dyDescent="0.3">
      <c r="A12" s="1456" t="s">
        <v>383</v>
      </c>
      <c r="B12" s="79"/>
      <c r="C12" s="170"/>
      <c r="D12" s="120"/>
      <c r="E12" s="79"/>
      <c r="F12" s="120"/>
      <c r="G12" s="121"/>
      <c r="H12" s="20"/>
      <c r="I12" s="20"/>
    </row>
    <row r="13" spans="1:9" ht="20.25" customHeight="1" thickBot="1" x14ac:dyDescent="0.3">
      <c r="A13" s="1457"/>
      <c r="B13" s="79"/>
      <c r="C13" s="170"/>
      <c r="D13" s="120"/>
      <c r="E13" s="79"/>
      <c r="F13" s="120"/>
      <c r="G13" s="121"/>
      <c r="H13" s="20"/>
      <c r="I13" s="20"/>
    </row>
    <row r="14" spans="1:9" ht="20.25" customHeight="1" thickBot="1" x14ac:dyDescent="0.3">
      <c r="A14" s="1456" t="s">
        <v>384</v>
      </c>
      <c r="B14" s="79"/>
      <c r="C14" s="170"/>
      <c r="D14" s="120"/>
      <c r="E14" s="79"/>
      <c r="F14" s="120"/>
      <c r="G14" s="121"/>
      <c r="H14" s="20"/>
      <c r="I14" s="20"/>
    </row>
    <row r="15" spans="1:9" ht="20.25" customHeight="1" thickBot="1" x14ac:dyDescent="0.3">
      <c r="A15" s="1455"/>
      <c r="B15" s="79"/>
      <c r="C15" s="170"/>
      <c r="D15" s="120"/>
      <c r="E15" s="79"/>
      <c r="F15" s="120"/>
      <c r="G15" s="121"/>
      <c r="H15" s="20"/>
      <c r="I15" s="20"/>
    </row>
    <row r="16" spans="1:9" ht="20.25" customHeight="1" thickTop="1" thickBot="1" x14ac:dyDescent="0.3">
      <c r="A16" s="1454" t="s">
        <v>385</v>
      </c>
      <c r="B16" s="79"/>
      <c r="C16" s="170"/>
      <c r="D16" s="120"/>
      <c r="E16" s="79"/>
      <c r="F16" s="120"/>
      <c r="G16" s="121"/>
      <c r="H16" s="20"/>
      <c r="I16" s="20"/>
    </row>
    <row r="17" spans="1:9" ht="20.25" customHeight="1" thickBot="1" x14ac:dyDescent="0.3">
      <c r="A17" s="1455"/>
      <c r="B17" s="79"/>
      <c r="C17" s="170"/>
      <c r="D17" s="120"/>
      <c r="E17" s="79"/>
      <c r="F17" s="120"/>
      <c r="G17" s="121"/>
      <c r="H17" s="20"/>
      <c r="I17" s="20"/>
    </row>
    <row r="18" spans="1:9" ht="20.25" customHeight="1" thickTop="1" thickBot="1" x14ac:dyDescent="0.3">
      <c r="A18" s="1454" t="s">
        <v>287</v>
      </c>
      <c r="B18" s="79"/>
      <c r="C18" s="170"/>
      <c r="D18" s="120"/>
      <c r="E18" s="79"/>
      <c r="F18" s="120"/>
      <c r="G18" s="121"/>
      <c r="H18" s="20"/>
      <c r="I18" s="20"/>
    </row>
    <row r="19" spans="1:9" ht="20.25" customHeight="1" thickBot="1" x14ac:dyDescent="0.3">
      <c r="A19" s="1455"/>
      <c r="B19" s="85"/>
      <c r="C19" s="171"/>
      <c r="D19" s="146"/>
      <c r="E19" s="85"/>
      <c r="F19" s="146"/>
      <c r="G19" s="127"/>
      <c r="H19" s="20"/>
      <c r="I19" s="20"/>
    </row>
    <row r="20" spans="1:9" ht="15.75" thickTop="1" x14ac:dyDescent="0.25">
      <c r="A20" s="48"/>
      <c r="B20" s="48"/>
      <c r="C20" s="48"/>
      <c r="D20" s="48"/>
      <c r="E20" s="48"/>
      <c r="F20" s="48"/>
      <c r="G20" s="48"/>
      <c r="H20" s="20"/>
      <c r="I20" s="20"/>
    </row>
    <row r="21" spans="1:9" x14ac:dyDescent="0.25">
      <c r="A21" s="172"/>
      <c r="B21" s="20"/>
      <c r="C21" s="20"/>
      <c r="D21" s="20"/>
      <c r="E21" s="20"/>
      <c r="F21" s="20"/>
      <c r="G21" s="20"/>
      <c r="H21" s="20"/>
      <c r="I21" s="20"/>
    </row>
  </sheetData>
  <mergeCells count="14">
    <mergeCell ref="B2:D2"/>
    <mergeCell ref="E2:G2"/>
    <mergeCell ref="B4:D4"/>
    <mergeCell ref="A2:A5"/>
    <mergeCell ref="A8:A9"/>
    <mergeCell ref="E4:G4"/>
    <mergeCell ref="B5:D5"/>
    <mergeCell ref="E5:G5"/>
    <mergeCell ref="A6:A7"/>
    <mergeCell ref="A18:A19"/>
    <mergeCell ref="A16:A17"/>
    <mergeCell ref="A14:A15"/>
    <mergeCell ref="A12:A13"/>
    <mergeCell ref="A10:A11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rgb="FF92D050"/>
    <pageSetUpPr fitToPage="1"/>
  </sheetPr>
  <dimension ref="A1:E88"/>
  <sheetViews>
    <sheetView showGridLines="0" showZeros="0" topLeftCell="A23" zoomScaleNormal="100" workbookViewId="0">
      <selection activeCell="D70" sqref="D70"/>
    </sheetView>
  </sheetViews>
  <sheetFormatPr defaultRowHeight="11.25" x14ac:dyDescent="0.2"/>
  <cols>
    <col min="1" max="1" width="5.7109375" style="178" customWidth="1"/>
    <col min="2" max="2" width="65" style="178" customWidth="1"/>
    <col min="3" max="3" width="9.28515625" style="201" customWidth="1"/>
    <col min="4" max="4" width="15.5703125" style="300" customWidth="1"/>
    <col min="5" max="5" width="14.5703125" style="178" customWidth="1"/>
    <col min="6" max="16384" width="9.140625" style="178"/>
  </cols>
  <sheetData>
    <row r="1" spans="1:5" ht="12" customHeight="1" x14ac:dyDescent="0.2">
      <c r="A1" s="180" t="s">
        <v>497</v>
      </c>
      <c r="B1" s="259">
        <v>0</v>
      </c>
      <c r="C1" s="260"/>
      <c r="D1" s="261"/>
      <c r="E1" s="262"/>
    </row>
    <row r="2" spans="1:5" s="186" customFormat="1" ht="12" customHeight="1" x14ac:dyDescent="0.2">
      <c r="A2" s="180" t="s">
        <v>500</v>
      </c>
      <c r="B2" s="263" t="s">
        <v>807</v>
      </c>
      <c r="C2" s="260"/>
      <c r="D2" s="261"/>
      <c r="E2" s="262"/>
    </row>
    <row r="3" spans="1:5" ht="11.25" customHeight="1" x14ac:dyDescent="0.2">
      <c r="B3" s="427" t="s">
        <v>807</v>
      </c>
      <c r="C3" s="178"/>
      <c r="D3" s="178"/>
    </row>
    <row r="4" spans="1:5" ht="11.25" customHeight="1" x14ac:dyDescent="0.2">
      <c r="A4" s="189"/>
      <c r="B4" s="190"/>
      <c r="C4" s="190"/>
      <c r="D4" s="264"/>
      <c r="E4" s="265"/>
    </row>
    <row r="5" spans="1:5" ht="12" customHeight="1" x14ac:dyDescent="0.2">
      <c r="B5" s="266" t="s">
        <v>808</v>
      </c>
      <c r="C5" s="196"/>
      <c r="D5" s="267"/>
      <c r="E5" s="268"/>
    </row>
    <row r="6" spans="1:5" s="201" customFormat="1" ht="12" customHeight="1" x14ac:dyDescent="0.2">
      <c r="A6" s="269" t="s">
        <v>508</v>
      </c>
      <c r="B6" s="270" t="s">
        <v>809</v>
      </c>
      <c r="C6" s="269" t="s">
        <v>510</v>
      </c>
      <c r="D6" s="271" t="s">
        <v>810</v>
      </c>
      <c r="E6" s="272"/>
    </row>
    <row r="7" spans="1:5" s="204" customFormat="1" ht="12" customHeight="1" x14ac:dyDescent="0.25">
      <c r="A7" s="273" t="s">
        <v>513</v>
      </c>
      <c r="B7" s="274"/>
      <c r="C7" s="273" t="s">
        <v>514</v>
      </c>
      <c r="D7" s="275" t="s">
        <v>811</v>
      </c>
      <c r="E7" s="276" t="s">
        <v>812</v>
      </c>
    </row>
    <row r="8" spans="1:5" s="201" customFormat="1" ht="12" customHeight="1" x14ac:dyDescent="0.2">
      <c r="A8" s="277" t="s">
        <v>518</v>
      </c>
      <c r="B8" s="278" t="s">
        <v>519</v>
      </c>
      <c r="C8" s="277" t="s">
        <v>520</v>
      </c>
      <c r="D8" s="279">
        <v>1</v>
      </c>
      <c r="E8" s="277">
        <v>2</v>
      </c>
    </row>
    <row r="9" spans="1:5" s="186" customFormat="1" ht="12" customHeight="1" x14ac:dyDescent="0.25">
      <c r="A9" s="280" t="s">
        <v>813</v>
      </c>
      <c r="B9" s="281" t="s">
        <v>1474</v>
      </c>
      <c r="C9" s="282" t="s">
        <v>814</v>
      </c>
      <c r="D9" s="902"/>
      <c r="E9" s="903"/>
    </row>
    <row r="10" spans="1:5" s="186" customFormat="1" ht="12" customHeight="1" x14ac:dyDescent="0.2">
      <c r="A10" s="280" t="s">
        <v>815</v>
      </c>
      <c r="B10" s="281" t="s">
        <v>816</v>
      </c>
      <c r="C10" s="282" t="s">
        <v>817</v>
      </c>
      <c r="D10" s="904"/>
      <c r="E10" s="905"/>
    </row>
    <row r="11" spans="1:5" s="285" customFormat="1" ht="12" customHeight="1" x14ac:dyDescent="0.25">
      <c r="A11" s="283" t="s">
        <v>818</v>
      </c>
      <c r="B11" s="283" t="s">
        <v>819</v>
      </c>
      <c r="C11" s="284" t="s">
        <v>820</v>
      </c>
      <c r="D11" s="906"/>
      <c r="E11" s="906"/>
    </row>
    <row r="12" spans="1:5" s="211" customFormat="1" ht="12" customHeight="1" x14ac:dyDescent="0.25">
      <c r="A12" s="286" t="s">
        <v>821</v>
      </c>
      <c r="B12" s="286" t="s">
        <v>822</v>
      </c>
      <c r="C12" s="287" t="s">
        <v>823</v>
      </c>
      <c r="D12" s="907">
        <v>8560306</v>
      </c>
      <c r="E12" s="907">
        <v>7374403</v>
      </c>
    </row>
    <row r="13" spans="1:5" s="186" customFormat="1" ht="12" customHeight="1" x14ac:dyDescent="0.25">
      <c r="A13" s="280" t="s">
        <v>824</v>
      </c>
      <c r="B13" s="281" t="s">
        <v>825</v>
      </c>
      <c r="C13" s="282" t="s">
        <v>826</v>
      </c>
      <c r="D13" s="902">
        <v>8560306</v>
      </c>
      <c r="E13" s="903">
        <v>7374403</v>
      </c>
    </row>
    <row r="14" spans="1:5" s="186" customFormat="1" ht="12" customHeight="1" x14ac:dyDescent="0.25">
      <c r="A14" s="280" t="s">
        <v>532</v>
      </c>
      <c r="B14" s="281" t="s">
        <v>827</v>
      </c>
      <c r="C14" s="282" t="s">
        <v>828</v>
      </c>
      <c r="D14" s="902"/>
      <c r="E14" s="903"/>
    </row>
    <row r="15" spans="1:5" s="186" customFormat="1" ht="12" customHeight="1" x14ac:dyDescent="0.25">
      <c r="A15" s="280" t="s">
        <v>535</v>
      </c>
      <c r="B15" s="281" t="s">
        <v>829</v>
      </c>
      <c r="C15" s="282" t="s">
        <v>830</v>
      </c>
      <c r="D15" s="902"/>
      <c r="E15" s="903"/>
    </row>
    <row r="16" spans="1:5" s="186" customFormat="1" ht="12" customHeight="1" x14ac:dyDescent="0.25">
      <c r="A16" s="288" t="s">
        <v>594</v>
      </c>
      <c r="B16" s="289" t="s">
        <v>831</v>
      </c>
      <c r="C16" s="290" t="s">
        <v>832</v>
      </c>
      <c r="D16" s="908">
        <v>8246068</v>
      </c>
      <c r="E16" s="908">
        <v>7117044</v>
      </c>
    </row>
    <row r="17" spans="1:5" s="186" customFormat="1" ht="12" customHeight="1" x14ac:dyDescent="0.25">
      <c r="A17" s="280" t="s">
        <v>833</v>
      </c>
      <c r="B17" s="281" t="s">
        <v>834</v>
      </c>
      <c r="C17" s="282" t="s">
        <v>835</v>
      </c>
      <c r="D17" s="902">
        <v>7367</v>
      </c>
      <c r="E17" s="903">
        <v>8207</v>
      </c>
    </row>
    <row r="18" spans="1:5" s="186" customFormat="1" ht="12" customHeight="1" x14ac:dyDescent="0.25">
      <c r="A18" s="280" t="s">
        <v>836</v>
      </c>
      <c r="B18" s="281" t="s">
        <v>837</v>
      </c>
      <c r="C18" s="282" t="s">
        <v>838</v>
      </c>
      <c r="D18" s="904">
        <v>8238701</v>
      </c>
      <c r="E18" s="903">
        <v>7108837</v>
      </c>
    </row>
    <row r="19" spans="1:5" s="285" customFormat="1" ht="12" customHeight="1" x14ac:dyDescent="0.25">
      <c r="A19" s="283" t="s">
        <v>818</v>
      </c>
      <c r="B19" s="283" t="s">
        <v>839</v>
      </c>
      <c r="C19" s="284" t="s">
        <v>840</v>
      </c>
      <c r="D19" s="906">
        <v>314238</v>
      </c>
      <c r="E19" s="906">
        <v>257359</v>
      </c>
    </row>
    <row r="20" spans="1:5" s="211" customFormat="1" ht="12" customHeight="1" x14ac:dyDescent="0.25">
      <c r="A20" s="286" t="s">
        <v>663</v>
      </c>
      <c r="B20" s="286" t="s">
        <v>841</v>
      </c>
      <c r="C20" s="287" t="s">
        <v>842</v>
      </c>
      <c r="D20" s="907">
        <v>201246</v>
      </c>
      <c r="E20" s="907">
        <v>168325</v>
      </c>
    </row>
    <row r="21" spans="1:5" s="186" customFormat="1" ht="12" customHeight="1" x14ac:dyDescent="0.25">
      <c r="A21" s="280" t="s">
        <v>666</v>
      </c>
      <c r="B21" s="281" t="s">
        <v>843</v>
      </c>
      <c r="C21" s="282" t="s">
        <v>844</v>
      </c>
      <c r="D21" s="902">
        <v>149026</v>
      </c>
      <c r="E21" s="903">
        <v>131857</v>
      </c>
    </row>
    <row r="22" spans="1:5" s="186" customFormat="1" ht="12" customHeight="1" x14ac:dyDescent="0.25">
      <c r="A22" s="280" t="s">
        <v>836</v>
      </c>
      <c r="B22" s="281" t="s">
        <v>845</v>
      </c>
      <c r="C22" s="282" t="s">
        <v>846</v>
      </c>
      <c r="D22" s="902"/>
      <c r="E22" s="903"/>
    </row>
    <row r="23" spans="1:5" s="186" customFormat="1" ht="12" customHeight="1" x14ac:dyDescent="0.25">
      <c r="A23" s="280" t="s">
        <v>847</v>
      </c>
      <c r="B23" s="281" t="s">
        <v>848</v>
      </c>
      <c r="C23" s="282" t="s">
        <v>849</v>
      </c>
      <c r="D23" s="902">
        <v>49605</v>
      </c>
      <c r="E23" s="903">
        <v>34441</v>
      </c>
    </row>
    <row r="24" spans="1:5" s="186" customFormat="1" ht="12" customHeight="1" x14ac:dyDescent="0.25">
      <c r="A24" s="280" t="s">
        <v>850</v>
      </c>
      <c r="B24" s="281" t="s">
        <v>851</v>
      </c>
      <c r="C24" s="282" t="s">
        <v>852</v>
      </c>
      <c r="D24" s="902">
        <v>2615</v>
      </c>
      <c r="E24" s="903">
        <v>2027</v>
      </c>
    </row>
    <row r="25" spans="1:5" s="186" customFormat="1" ht="12" customHeight="1" x14ac:dyDescent="0.25">
      <c r="A25" s="280" t="s">
        <v>853</v>
      </c>
      <c r="B25" s="281" t="s">
        <v>854</v>
      </c>
      <c r="C25" s="282" t="s">
        <v>855</v>
      </c>
      <c r="D25" s="902">
        <v>255</v>
      </c>
      <c r="E25" s="903">
        <v>355</v>
      </c>
    </row>
    <row r="26" spans="1:5" s="186" customFormat="1" ht="12" customHeight="1" x14ac:dyDescent="0.25">
      <c r="A26" s="280" t="s">
        <v>856</v>
      </c>
      <c r="B26" s="281" t="s">
        <v>857</v>
      </c>
      <c r="C26" s="282" t="s">
        <v>858</v>
      </c>
      <c r="D26" s="902">
        <v>7770</v>
      </c>
      <c r="E26" s="903">
        <v>7770</v>
      </c>
    </row>
    <row r="27" spans="1:5" s="186" customFormat="1" ht="12" customHeight="1" x14ac:dyDescent="0.25">
      <c r="A27" s="280" t="s">
        <v>859</v>
      </c>
      <c r="B27" s="281" t="s">
        <v>860</v>
      </c>
      <c r="C27" s="282" t="s">
        <v>861</v>
      </c>
      <c r="D27" s="902"/>
      <c r="E27" s="903"/>
    </row>
    <row r="28" spans="1:5" s="186" customFormat="1" ht="12" customHeight="1" x14ac:dyDescent="0.25">
      <c r="A28" s="280" t="s">
        <v>862</v>
      </c>
      <c r="B28" s="281" t="s">
        <v>863</v>
      </c>
      <c r="C28" s="282" t="s">
        <v>864</v>
      </c>
      <c r="D28" s="902"/>
      <c r="E28" s="903"/>
    </row>
    <row r="29" spans="1:5" s="186" customFormat="1" ht="12" customHeight="1" x14ac:dyDescent="0.25">
      <c r="A29" s="280" t="s">
        <v>865</v>
      </c>
      <c r="B29" s="291" t="s">
        <v>866</v>
      </c>
      <c r="C29" s="282" t="s">
        <v>867</v>
      </c>
      <c r="D29" s="902">
        <v>-47976</v>
      </c>
      <c r="E29" s="903">
        <v>49692</v>
      </c>
    </row>
    <row r="30" spans="1:5" s="186" customFormat="1" ht="12" customHeight="1" x14ac:dyDescent="0.25">
      <c r="A30" s="280" t="s">
        <v>868</v>
      </c>
      <c r="B30" s="291" t="s">
        <v>869</v>
      </c>
      <c r="C30" s="282" t="s">
        <v>870</v>
      </c>
      <c r="D30" s="902">
        <v>69681</v>
      </c>
      <c r="E30" s="903">
        <v>100</v>
      </c>
    </row>
    <row r="31" spans="1:5" s="186" customFormat="1" ht="12" customHeight="1" x14ac:dyDescent="0.25">
      <c r="A31" s="280" t="s">
        <v>871</v>
      </c>
      <c r="B31" s="291" t="s">
        <v>872</v>
      </c>
      <c r="C31" s="282" t="s">
        <v>873</v>
      </c>
      <c r="D31" s="902">
        <v>651</v>
      </c>
      <c r="E31" s="903">
        <v>300</v>
      </c>
    </row>
    <row r="32" spans="1:5" s="186" customFormat="1" ht="12" customHeight="1" x14ac:dyDescent="0.25">
      <c r="A32" s="280" t="s">
        <v>874</v>
      </c>
      <c r="B32" s="291" t="s">
        <v>875</v>
      </c>
      <c r="C32" s="282" t="s">
        <v>876</v>
      </c>
      <c r="D32" s="902"/>
      <c r="E32" s="903"/>
    </row>
    <row r="33" spans="1:5" s="186" customFormat="1" ht="12" customHeight="1" x14ac:dyDescent="0.25">
      <c r="A33" s="280" t="s">
        <v>877</v>
      </c>
      <c r="B33" s="291" t="s">
        <v>878</v>
      </c>
      <c r="C33" s="282" t="s">
        <v>879</v>
      </c>
      <c r="D33" s="902"/>
      <c r="E33" s="903"/>
    </row>
    <row r="34" spans="1:5" s="285" customFormat="1" ht="30.75" customHeight="1" x14ac:dyDescent="0.25">
      <c r="A34" s="283" t="s">
        <v>880</v>
      </c>
      <c r="B34" s="292" t="s">
        <v>881</v>
      </c>
      <c r="C34" s="293" t="s">
        <v>882</v>
      </c>
      <c r="D34" s="906">
        <v>221973</v>
      </c>
      <c r="E34" s="906">
        <v>31017</v>
      </c>
    </row>
    <row r="35" spans="1:5" s="186" customFormat="1" ht="12" customHeight="1" x14ac:dyDescent="0.25">
      <c r="A35" s="280" t="s">
        <v>883</v>
      </c>
      <c r="B35" s="291" t="s">
        <v>884</v>
      </c>
      <c r="C35" s="282" t="s">
        <v>885</v>
      </c>
      <c r="D35" s="902"/>
      <c r="E35" s="903"/>
    </row>
    <row r="36" spans="1:5" s="186" customFormat="1" ht="12" customHeight="1" x14ac:dyDescent="0.25">
      <c r="A36" s="280" t="s">
        <v>886</v>
      </c>
      <c r="B36" s="291" t="s">
        <v>887</v>
      </c>
      <c r="C36" s="282" t="s">
        <v>888</v>
      </c>
      <c r="D36" s="902"/>
      <c r="E36" s="903"/>
    </row>
    <row r="37" spans="1:5" s="186" customFormat="1" ht="12" customHeight="1" x14ac:dyDescent="0.25">
      <c r="A37" s="288" t="s">
        <v>889</v>
      </c>
      <c r="B37" s="288" t="s">
        <v>890</v>
      </c>
      <c r="C37" s="290" t="s">
        <v>891</v>
      </c>
      <c r="D37" s="908"/>
      <c r="E37" s="908"/>
    </row>
    <row r="38" spans="1:5" s="186" customFormat="1" ht="12" customHeight="1" x14ac:dyDescent="0.25">
      <c r="A38" s="280" t="s">
        <v>892</v>
      </c>
      <c r="B38" s="291" t="s">
        <v>893</v>
      </c>
      <c r="C38" s="282" t="s">
        <v>894</v>
      </c>
      <c r="D38" s="902"/>
      <c r="E38" s="903"/>
    </row>
    <row r="39" spans="1:5" s="186" customFormat="1" ht="12" customHeight="1" x14ac:dyDescent="0.25">
      <c r="A39" s="280" t="s">
        <v>895</v>
      </c>
      <c r="B39" s="291" t="s">
        <v>896</v>
      </c>
      <c r="C39" s="282" t="s">
        <v>897</v>
      </c>
      <c r="D39" s="902"/>
      <c r="E39" s="903"/>
    </row>
    <row r="40" spans="1:5" s="186" customFormat="1" ht="12" customHeight="1" x14ac:dyDescent="0.25">
      <c r="A40" s="280" t="s">
        <v>898</v>
      </c>
      <c r="B40" s="291" t="s">
        <v>899</v>
      </c>
      <c r="C40" s="282" t="s">
        <v>900</v>
      </c>
      <c r="D40" s="902"/>
      <c r="E40" s="903"/>
    </row>
    <row r="41" spans="1:5" s="186" customFormat="1" ht="12" customHeight="1" x14ac:dyDescent="0.25">
      <c r="A41" s="280" t="s">
        <v>901</v>
      </c>
      <c r="B41" s="291" t="s">
        <v>902</v>
      </c>
      <c r="C41" s="282" t="s">
        <v>903</v>
      </c>
      <c r="D41" s="902"/>
      <c r="E41" s="903"/>
    </row>
    <row r="42" spans="1:5" s="186" customFormat="1" ht="12" customHeight="1" x14ac:dyDescent="0.25">
      <c r="A42" s="280" t="s">
        <v>904</v>
      </c>
      <c r="B42" s="291" t="s">
        <v>905</v>
      </c>
      <c r="C42" s="282" t="s">
        <v>906</v>
      </c>
      <c r="D42" s="902"/>
      <c r="E42" s="903"/>
    </row>
    <row r="43" spans="1:5" s="186" customFormat="1" ht="12" customHeight="1" x14ac:dyDescent="0.25">
      <c r="A43" s="280" t="s">
        <v>907</v>
      </c>
      <c r="B43" s="291" t="s">
        <v>908</v>
      </c>
      <c r="C43" s="282" t="s">
        <v>909</v>
      </c>
      <c r="D43" s="902"/>
      <c r="E43" s="903"/>
    </row>
    <row r="44" spans="1:5" s="186" customFormat="1" ht="12" customHeight="1" x14ac:dyDescent="0.25">
      <c r="A44" s="280" t="s">
        <v>910</v>
      </c>
      <c r="B44" s="291" t="s">
        <v>911</v>
      </c>
      <c r="C44" s="282" t="s">
        <v>912</v>
      </c>
      <c r="D44" s="902"/>
      <c r="E44" s="903"/>
    </row>
    <row r="45" spans="1:5" s="186" customFormat="1" ht="12" customHeight="1" x14ac:dyDescent="0.25">
      <c r="A45" s="280" t="s">
        <v>913</v>
      </c>
      <c r="B45" s="291" t="s">
        <v>914</v>
      </c>
      <c r="C45" s="282" t="s">
        <v>915</v>
      </c>
      <c r="D45" s="902"/>
      <c r="E45" s="903"/>
    </row>
    <row r="46" spans="1:5" s="186" customFormat="1" ht="12" customHeight="1" x14ac:dyDescent="0.25">
      <c r="A46" s="280" t="s">
        <v>916</v>
      </c>
      <c r="B46" s="291" t="s">
        <v>917</v>
      </c>
      <c r="C46" s="282" t="s">
        <v>918</v>
      </c>
      <c r="D46" s="902">
        <v>4</v>
      </c>
      <c r="E46" s="903">
        <v>149</v>
      </c>
    </row>
    <row r="47" spans="1:5" s="186" customFormat="1" ht="12" customHeight="1" x14ac:dyDescent="0.25">
      <c r="A47" s="280" t="s">
        <v>919</v>
      </c>
      <c r="B47" s="291" t="s">
        <v>920</v>
      </c>
      <c r="C47" s="282" t="s">
        <v>921</v>
      </c>
      <c r="D47" s="902">
        <v>889</v>
      </c>
      <c r="E47" s="903">
        <v>1307</v>
      </c>
    </row>
    <row r="48" spans="1:5" s="186" customFormat="1" ht="12" customHeight="1" x14ac:dyDescent="0.25">
      <c r="A48" s="280" t="s">
        <v>922</v>
      </c>
      <c r="B48" s="291" t="s">
        <v>923</v>
      </c>
      <c r="C48" s="282" t="s">
        <v>924</v>
      </c>
      <c r="D48" s="902">
        <v>130</v>
      </c>
      <c r="E48" s="903">
        <v>8</v>
      </c>
    </row>
    <row r="49" spans="1:5" s="186" customFormat="1" ht="12" customHeight="1" x14ac:dyDescent="0.25">
      <c r="A49" s="280" t="s">
        <v>925</v>
      </c>
      <c r="B49" s="291" t="s">
        <v>926</v>
      </c>
      <c r="C49" s="282" t="s">
        <v>927</v>
      </c>
      <c r="D49" s="902">
        <v>96</v>
      </c>
      <c r="E49" s="903">
        <v>18</v>
      </c>
    </row>
    <row r="50" spans="1:5" s="186" customFormat="1" ht="12" customHeight="1" x14ac:dyDescent="0.25">
      <c r="A50" s="280" t="s">
        <v>928</v>
      </c>
      <c r="B50" s="291" t="s">
        <v>929</v>
      </c>
      <c r="C50" s="282" t="s">
        <v>930</v>
      </c>
      <c r="D50" s="902"/>
      <c r="E50" s="903"/>
    </row>
    <row r="51" spans="1:5" s="186" customFormat="1" ht="12" customHeight="1" x14ac:dyDescent="0.25">
      <c r="A51" s="280" t="s">
        <v>931</v>
      </c>
      <c r="B51" s="291" t="s">
        <v>932</v>
      </c>
      <c r="C51" s="282" t="s">
        <v>933</v>
      </c>
      <c r="D51" s="902">
        <v>2591</v>
      </c>
      <c r="E51" s="903">
        <v>6724</v>
      </c>
    </row>
    <row r="52" spans="1:5" s="186" customFormat="1" ht="12" customHeight="1" x14ac:dyDescent="0.25">
      <c r="A52" s="280" t="s">
        <v>934</v>
      </c>
      <c r="B52" s="291" t="s">
        <v>935</v>
      </c>
      <c r="C52" s="282" t="s">
        <v>936</v>
      </c>
      <c r="D52" s="902"/>
      <c r="E52" s="903"/>
    </row>
    <row r="53" spans="1:5" s="186" customFormat="1" ht="12" customHeight="1" x14ac:dyDescent="0.25">
      <c r="A53" s="280" t="s">
        <v>937</v>
      </c>
      <c r="B53" s="291" t="s">
        <v>938</v>
      </c>
      <c r="C53" s="282" t="s">
        <v>939</v>
      </c>
      <c r="D53" s="902"/>
      <c r="E53" s="903"/>
    </row>
    <row r="54" spans="1:5" s="285" customFormat="1" ht="30" customHeight="1" x14ac:dyDescent="0.25">
      <c r="A54" s="286" t="s">
        <v>880</v>
      </c>
      <c r="B54" s="292" t="s">
        <v>940</v>
      </c>
      <c r="C54" s="293" t="s">
        <v>941</v>
      </c>
      <c r="D54" s="906">
        <v>-3442</v>
      </c>
      <c r="E54" s="906">
        <v>-7892</v>
      </c>
    </row>
    <row r="55" spans="1:5" s="186" customFormat="1" ht="12" customHeight="1" x14ac:dyDescent="0.25">
      <c r="A55" s="288" t="s">
        <v>942</v>
      </c>
      <c r="B55" s="288" t="s">
        <v>943</v>
      </c>
      <c r="C55" s="290" t="s">
        <v>944</v>
      </c>
      <c r="D55" s="908">
        <v>218531</v>
      </c>
      <c r="E55" s="908">
        <v>23125</v>
      </c>
    </row>
    <row r="56" spans="1:5" s="186" customFormat="1" ht="12" customHeight="1" x14ac:dyDescent="0.25">
      <c r="A56" s="288" t="s">
        <v>945</v>
      </c>
      <c r="B56" s="288" t="s">
        <v>946</v>
      </c>
      <c r="C56" s="290" t="s">
        <v>947</v>
      </c>
      <c r="D56" s="908">
        <v>34227</v>
      </c>
      <c r="E56" s="908">
        <v>20201</v>
      </c>
    </row>
    <row r="57" spans="1:5" s="186" customFormat="1" ht="12" customHeight="1" x14ac:dyDescent="0.25">
      <c r="A57" s="280" t="s">
        <v>948</v>
      </c>
      <c r="B57" s="294" t="s">
        <v>949</v>
      </c>
      <c r="C57" s="282" t="s">
        <v>950</v>
      </c>
      <c r="D57" s="903">
        <v>39946</v>
      </c>
      <c r="E57" s="903">
        <v>49</v>
      </c>
    </row>
    <row r="58" spans="1:5" s="285" customFormat="1" ht="12" customHeight="1" x14ac:dyDescent="0.25">
      <c r="A58" s="280" t="s">
        <v>836</v>
      </c>
      <c r="B58" s="294" t="s">
        <v>951</v>
      </c>
      <c r="C58" s="282" t="s">
        <v>952</v>
      </c>
      <c r="D58" s="903">
        <v>-5719</v>
      </c>
      <c r="E58" s="903">
        <v>20152</v>
      </c>
    </row>
    <row r="59" spans="1:5" s="186" customFormat="1" ht="12" customHeight="1" x14ac:dyDescent="0.25">
      <c r="A59" s="286" t="s">
        <v>942</v>
      </c>
      <c r="B59" s="283" t="s">
        <v>953</v>
      </c>
      <c r="C59" s="293" t="s">
        <v>954</v>
      </c>
      <c r="D59" s="906">
        <v>184304</v>
      </c>
      <c r="E59" s="906">
        <v>2924</v>
      </c>
    </row>
    <row r="60" spans="1:5" s="186" customFormat="1" ht="12" customHeight="1" x14ac:dyDescent="0.25">
      <c r="A60" s="280" t="s">
        <v>955</v>
      </c>
      <c r="B60" s="291" t="s">
        <v>956</v>
      </c>
      <c r="C60" s="282" t="s">
        <v>957</v>
      </c>
      <c r="D60" s="903"/>
      <c r="E60" s="903"/>
    </row>
    <row r="61" spans="1:5" s="186" customFormat="1" ht="12" customHeight="1" x14ac:dyDescent="0.25">
      <c r="A61" s="280" t="s">
        <v>958</v>
      </c>
      <c r="B61" s="291" t="s">
        <v>959</v>
      </c>
      <c r="C61" s="282" t="s">
        <v>960</v>
      </c>
      <c r="D61" s="903"/>
      <c r="E61" s="903"/>
    </row>
    <row r="62" spans="1:5" s="186" customFormat="1" ht="12" customHeight="1" x14ac:dyDescent="0.25">
      <c r="A62" s="288" t="s">
        <v>880</v>
      </c>
      <c r="B62" s="288" t="s">
        <v>961</v>
      </c>
      <c r="C62" s="290" t="s">
        <v>962</v>
      </c>
      <c r="D62" s="908"/>
      <c r="E62" s="908"/>
    </row>
    <row r="63" spans="1:5" s="186" customFormat="1" ht="12" customHeight="1" x14ac:dyDescent="0.25">
      <c r="A63" s="288" t="s">
        <v>963</v>
      </c>
      <c r="B63" s="288" t="s">
        <v>964</v>
      </c>
      <c r="C63" s="290" t="s">
        <v>965</v>
      </c>
      <c r="D63" s="908"/>
      <c r="E63" s="908"/>
    </row>
    <row r="64" spans="1:5" s="285" customFormat="1" ht="12" customHeight="1" x14ac:dyDescent="0.25">
      <c r="A64" s="280" t="s">
        <v>966</v>
      </c>
      <c r="B64" s="294" t="s">
        <v>967</v>
      </c>
      <c r="C64" s="282" t="s">
        <v>968</v>
      </c>
      <c r="D64" s="903"/>
      <c r="E64" s="903"/>
    </row>
    <row r="65" spans="1:5" s="186" customFormat="1" ht="12" customHeight="1" x14ac:dyDescent="0.25">
      <c r="A65" s="280" t="s">
        <v>836</v>
      </c>
      <c r="B65" s="294" t="s">
        <v>969</v>
      </c>
      <c r="C65" s="282" t="s">
        <v>970</v>
      </c>
      <c r="D65" s="903"/>
      <c r="E65" s="903"/>
    </row>
    <row r="66" spans="1:5" s="295" customFormat="1" ht="12" customHeight="1" x14ac:dyDescent="0.25">
      <c r="A66" s="286" t="s">
        <v>880</v>
      </c>
      <c r="B66" s="283" t="s">
        <v>971</v>
      </c>
      <c r="C66" s="290" t="s">
        <v>972</v>
      </c>
      <c r="D66" s="906"/>
      <c r="E66" s="906"/>
    </row>
    <row r="67" spans="1:5" s="186" customFormat="1" ht="12" customHeight="1" x14ac:dyDescent="0.25">
      <c r="A67" s="288" t="s">
        <v>973</v>
      </c>
      <c r="B67" s="296" t="s">
        <v>974</v>
      </c>
      <c r="C67" s="290" t="s">
        <v>975</v>
      </c>
      <c r="D67" s="908">
        <v>218531</v>
      </c>
      <c r="E67" s="908">
        <v>23125</v>
      </c>
    </row>
    <row r="68" spans="1:5" ht="12" customHeight="1" x14ac:dyDescent="0.2">
      <c r="A68" s="280" t="s">
        <v>976</v>
      </c>
      <c r="B68" s="281" t="s">
        <v>977</v>
      </c>
      <c r="C68" s="282" t="s">
        <v>978</v>
      </c>
      <c r="D68" s="909"/>
      <c r="E68" s="903"/>
    </row>
    <row r="69" spans="1:5" ht="12" customHeight="1" x14ac:dyDescent="0.2">
      <c r="A69" s="297" t="s">
        <v>973</v>
      </c>
      <c r="B69" s="298" t="s">
        <v>979</v>
      </c>
      <c r="C69" s="299" t="s">
        <v>980</v>
      </c>
      <c r="D69" s="910">
        <v>184304</v>
      </c>
      <c r="E69" s="910">
        <v>2924</v>
      </c>
    </row>
    <row r="70" spans="1:5" ht="12" customHeight="1" x14ac:dyDescent="0.2"/>
    <row r="71" spans="1:5" ht="12" customHeight="1" x14ac:dyDescent="0.2"/>
    <row r="72" spans="1:5" ht="12" customHeight="1" x14ac:dyDescent="0.2"/>
    <row r="73" spans="1:5" ht="12" customHeight="1" x14ac:dyDescent="0.2">
      <c r="E73" s="300"/>
    </row>
    <row r="74" spans="1:5" ht="12" customHeight="1" x14ac:dyDescent="0.2"/>
    <row r="75" spans="1:5" ht="12" customHeight="1" x14ac:dyDescent="0.2"/>
    <row r="76" spans="1:5" ht="12" customHeight="1" x14ac:dyDescent="0.2"/>
    <row r="77" spans="1:5" ht="12" customHeight="1" x14ac:dyDescent="0.2"/>
    <row r="78" spans="1:5" ht="12" customHeight="1" x14ac:dyDescent="0.2"/>
    <row r="79" spans="1:5" ht="12" customHeight="1" x14ac:dyDescent="0.2"/>
    <row r="80" spans="1:5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</sheetData>
  <pageMargins left="0.64" right="0.19685039370078741" top="0.28000000000000003" bottom="0.59055118110236227" header="0.21" footer="0.31496062992125984"/>
  <pageSetup paperSize="9" fitToWidth="2" orientation="portrait" horizontalDpi="360" verticalDpi="300" r:id="rId1"/>
  <headerFooter alignWithMargins="0">
    <oddFooter>&amp;C&amp;"EYlogo,Regular"&amp;8e&amp;R&amp;"Times New Roman CE,Tučné"&amp;5Lead schedules v2.0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D29"/>
  <sheetViews>
    <sheetView showGridLines="0" zoomScaleNormal="100" workbookViewId="0">
      <selection activeCell="A19" sqref="A19"/>
    </sheetView>
  </sheetViews>
  <sheetFormatPr defaultRowHeight="15" x14ac:dyDescent="0.25"/>
  <cols>
    <col min="1" max="1" width="25.7109375" customWidth="1"/>
    <col min="2" max="2" width="13.42578125" customWidth="1"/>
    <col min="3" max="4" width="23.5703125" customWidth="1"/>
    <col min="5" max="5" width="18.5703125" customWidth="1"/>
    <col min="6" max="6" width="18.42578125" customWidth="1"/>
    <col min="7" max="7" width="21.140625" customWidth="1"/>
  </cols>
  <sheetData>
    <row r="1" spans="1:4" ht="16.5" x14ac:dyDescent="0.3">
      <c r="A1" s="1" t="s">
        <v>386</v>
      </c>
    </row>
    <row r="2" spans="1:4" ht="17.25" thickBot="1" x14ac:dyDescent="0.35">
      <c r="A2" s="5" t="s">
        <v>8</v>
      </c>
    </row>
    <row r="3" spans="1:4" ht="19.5" customHeight="1" thickTop="1" thickBot="1" x14ac:dyDescent="0.3">
      <c r="A3" s="1426" t="s">
        <v>387</v>
      </c>
      <c r="B3" s="1426" t="s">
        <v>388</v>
      </c>
      <c r="C3" s="1366" t="s">
        <v>389</v>
      </c>
      <c r="D3" s="1368"/>
    </row>
    <row r="4" spans="1:4" ht="33" customHeight="1" thickTop="1" thickBot="1" x14ac:dyDescent="0.3">
      <c r="A4" s="1427"/>
      <c r="B4" s="1427"/>
      <c r="C4" s="38" t="s">
        <v>2</v>
      </c>
      <c r="D4" s="38" t="s">
        <v>390</v>
      </c>
    </row>
    <row r="5" spans="1:4" ht="18.75" customHeight="1" thickTop="1" thickBot="1" x14ac:dyDescent="0.3">
      <c r="A5" s="132"/>
      <c r="B5" s="135"/>
      <c r="C5" s="80"/>
      <c r="D5" s="80"/>
    </row>
    <row r="6" spans="1:4" ht="18.75" customHeight="1" thickBot="1" x14ac:dyDescent="0.3">
      <c r="A6" s="132"/>
      <c r="B6" s="135"/>
      <c r="C6" s="80"/>
      <c r="D6" s="80"/>
    </row>
    <row r="7" spans="1:4" ht="18.75" customHeight="1" thickBot="1" x14ac:dyDescent="0.3">
      <c r="A7" s="133"/>
      <c r="B7" s="123"/>
      <c r="C7" s="80"/>
      <c r="D7" s="80"/>
    </row>
    <row r="8" spans="1:4" ht="18.75" customHeight="1" thickBot="1" x14ac:dyDescent="0.3">
      <c r="A8" s="133"/>
      <c r="B8" s="123"/>
      <c r="C8" s="80"/>
      <c r="D8" s="80"/>
    </row>
    <row r="9" spans="1:4" ht="18.75" customHeight="1" thickBot="1" x14ac:dyDescent="0.3">
      <c r="A9" s="133"/>
      <c r="B9" s="123"/>
      <c r="C9" s="80"/>
      <c r="D9" s="80"/>
    </row>
    <row r="10" spans="1:4" ht="18.75" customHeight="1" thickBot="1" x14ac:dyDescent="0.3">
      <c r="A10" s="133"/>
      <c r="B10" s="123"/>
      <c r="C10" s="80"/>
      <c r="D10" s="80"/>
    </row>
    <row r="11" spans="1:4" ht="18.75" customHeight="1" thickBot="1" x14ac:dyDescent="0.3">
      <c r="A11" s="133"/>
      <c r="B11" s="123"/>
      <c r="C11" s="80"/>
      <c r="D11" s="80"/>
    </row>
    <row r="12" spans="1:4" ht="18.75" customHeight="1" thickBot="1" x14ac:dyDescent="0.3">
      <c r="A12" s="133"/>
      <c r="B12" s="123"/>
      <c r="C12" s="80"/>
      <c r="D12" s="80"/>
    </row>
    <row r="13" spans="1:4" ht="18.75" customHeight="1" thickBot="1" x14ac:dyDescent="0.3">
      <c r="A13" s="132"/>
      <c r="B13" s="135"/>
      <c r="C13" s="80"/>
      <c r="D13" s="80"/>
    </row>
    <row r="14" spans="1:4" ht="18.75" customHeight="1" thickBot="1" x14ac:dyDescent="0.3">
      <c r="A14" s="134"/>
      <c r="B14" s="124"/>
      <c r="C14" s="78"/>
      <c r="D14" s="78"/>
    </row>
    <row r="15" spans="1:4" ht="15.75" thickTop="1" x14ac:dyDescent="0.25">
      <c r="A15" s="20"/>
      <c r="B15" s="20"/>
      <c r="C15" s="20"/>
      <c r="D15" s="20"/>
    </row>
    <row r="16" spans="1:4" ht="15.75" thickBot="1" x14ac:dyDescent="0.3">
      <c r="A16" s="20" t="s">
        <v>391</v>
      </c>
      <c r="B16" s="20"/>
      <c r="C16" s="20"/>
      <c r="D16" s="20"/>
    </row>
    <row r="17" spans="1:4" ht="19.5" customHeight="1" thickTop="1" thickBot="1" x14ac:dyDescent="0.3">
      <c r="A17" s="1426" t="s">
        <v>488</v>
      </c>
      <c r="B17" s="1426" t="s">
        <v>388</v>
      </c>
      <c r="C17" s="1366" t="s">
        <v>389</v>
      </c>
      <c r="D17" s="1368"/>
    </row>
    <row r="18" spans="1:4" ht="33" customHeight="1" thickTop="1" thickBot="1" x14ac:dyDescent="0.3">
      <c r="A18" s="1427"/>
      <c r="B18" s="1427"/>
      <c r="C18" s="38" t="s">
        <v>2</v>
      </c>
      <c r="D18" s="38" t="s">
        <v>390</v>
      </c>
    </row>
    <row r="19" spans="1:4" ht="18.75" customHeight="1" thickTop="1" thickBot="1" x14ac:dyDescent="0.3">
      <c r="A19" s="108"/>
      <c r="B19" s="123"/>
      <c r="C19" s="80"/>
      <c r="D19" s="80"/>
    </row>
    <row r="20" spans="1:4" ht="18.75" customHeight="1" thickBot="1" x14ac:dyDescent="0.3">
      <c r="A20" s="108"/>
      <c r="B20" s="123"/>
      <c r="C20" s="80"/>
      <c r="D20" s="80"/>
    </row>
    <row r="21" spans="1:4" ht="18.75" customHeight="1" thickBot="1" x14ac:dyDescent="0.3">
      <c r="A21" s="108"/>
      <c r="B21" s="123"/>
      <c r="C21" s="80"/>
      <c r="D21" s="80"/>
    </row>
    <row r="22" spans="1:4" ht="18.75" customHeight="1" thickBot="1" x14ac:dyDescent="0.3">
      <c r="A22" s="108"/>
      <c r="B22" s="123"/>
      <c r="C22" s="80"/>
      <c r="D22" s="80"/>
    </row>
    <row r="23" spans="1:4" ht="18.75" customHeight="1" thickBot="1" x14ac:dyDescent="0.3">
      <c r="A23" s="108"/>
      <c r="B23" s="123"/>
      <c r="C23" s="80"/>
      <c r="D23" s="80"/>
    </row>
    <row r="24" spans="1:4" ht="18.75" customHeight="1" thickBot="1" x14ac:dyDescent="0.3">
      <c r="A24" s="108"/>
      <c r="B24" s="123"/>
      <c r="C24" s="80"/>
      <c r="D24" s="80"/>
    </row>
    <row r="25" spans="1:4" ht="18.75" customHeight="1" thickBot="1" x14ac:dyDescent="0.3">
      <c r="A25" s="108"/>
      <c r="B25" s="123"/>
      <c r="C25" s="80"/>
      <c r="D25" s="80"/>
    </row>
    <row r="26" spans="1:4" ht="18.75" customHeight="1" thickBot="1" x14ac:dyDescent="0.3">
      <c r="A26" s="108"/>
      <c r="B26" s="123"/>
      <c r="C26" s="80"/>
      <c r="D26" s="80"/>
    </row>
    <row r="27" spans="1:4" ht="18.75" customHeight="1" thickBot="1" x14ac:dyDescent="0.3">
      <c r="A27" s="109"/>
      <c r="B27" s="124"/>
      <c r="C27" s="78"/>
      <c r="D27" s="78"/>
    </row>
    <row r="28" spans="1:4" ht="17.25" thickTop="1" x14ac:dyDescent="0.3">
      <c r="A28" s="2"/>
    </row>
    <row r="29" spans="1:4" ht="16.5" x14ac:dyDescent="0.3">
      <c r="A29" s="2"/>
    </row>
  </sheetData>
  <mergeCells count="6">
    <mergeCell ref="A3:A4"/>
    <mergeCell ref="B3:B4"/>
    <mergeCell ref="C3:D3"/>
    <mergeCell ref="A17:A18"/>
    <mergeCell ref="B17:B18"/>
    <mergeCell ref="C17:D17"/>
  </mergeCells>
  <pageMargins left="0.7" right="0.7" top="0.75" bottom="0.75" header="0.3" footer="0.3"/>
  <pageSetup paperSize="9" orientation="portrait" horizontalDpi="300" verticalDpi="300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</sheetPr>
  <dimension ref="A1:AK53"/>
  <sheetViews>
    <sheetView showGridLines="0" view="pageBreakPreview" zoomScaleNormal="100" zoomScaleSheetLayoutView="100" workbookViewId="0"/>
  </sheetViews>
  <sheetFormatPr defaultRowHeight="12.75" x14ac:dyDescent="0.25"/>
  <cols>
    <col min="1" max="45" width="2.5703125" style="441" customWidth="1"/>
    <col min="46" max="46" width="7.7109375" style="441" customWidth="1"/>
    <col min="47" max="61" width="2.5703125" style="441" customWidth="1"/>
    <col min="62" max="16384" width="9.140625" style="441"/>
  </cols>
  <sheetData>
    <row r="1" spans="1:37" s="551" customFormat="1" ht="9.75" x14ac:dyDescent="0.25">
      <c r="C1" s="552" t="s">
        <v>1143</v>
      </c>
    </row>
    <row r="2" spans="1:37" s="448" customFormat="1" ht="21" customHeight="1" x14ac:dyDescent="0.25">
      <c r="C2" s="550" t="s">
        <v>1144</v>
      </c>
      <c r="D2" s="549"/>
      <c r="E2" s="549"/>
      <c r="F2" s="549"/>
      <c r="G2" s="549"/>
      <c r="H2" s="549"/>
      <c r="I2" s="549"/>
      <c r="J2" s="548"/>
      <c r="Q2" s="547" t="s">
        <v>1145</v>
      </c>
    </row>
    <row r="3" spans="1:37" ht="13.5" thickBot="1" x14ac:dyDescent="0.3"/>
    <row r="4" spans="1:37" ht="28.5" customHeight="1" thickBot="1" x14ac:dyDescent="0.3">
      <c r="K4" s="546" t="s">
        <v>1146</v>
      </c>
      <c r="L4" s="545" t="str">
        <f>+MID('Input data'!$B$11,1,1)</f>
        <v>3</v>
      </c>
      <c r="M4" s="545" t="str">
        <f>+MID('Input data'!$B$11,2,1)</f>
        <v>1</v>
      </c>
      <c r="N4" s="545" t="s">
        <v>1147</v>
      </c>
      <c r="O4" s="545" t="str">
        <f>LEFT('Input data'!B13,1)</f>
        <v>1</v>
      </c>
      <c r="P4" s="545" t="str">
        <f>RIGHT('Input data'!B13,1)</f>
        <v>2</v>
      </c>
      <c r="Q4" s="545" t="s">
        <v>1147</v>
      </c>
      <c r="R4" s="545" t="str">
        <f>+LEFT('Input data'!$B$14,1)</f>
        <v>2</v>
      </c>
      <c r="S4" s="545" t="str">
        <f>+MID('Input data'!$B$14,2,1)</f>
        <v>0</v>
      </c>
      <c r="T4" s="545" t="str">
        <f>+MID('Input data'!$B$14,3,1)</f>
        <v>1</v>
      </c>
      <c r="U4" s="545" t="str">
        <f>+MID('Input data'!$B$14,4,1)</f>
        <v>3</v>
      </c>
      <c r="V4" s="544" t="s">
        <v>1148</v>
      </c>
      <c r="W4" s="543"/>
      <c r="X4" s="543"/>
      <c r="Y4" s="543"/>
      <c r="Z4" s="542"/>
    </row>
    <row r="5" spans="1:37" ht="7.5" customHeight="1" thickBot="1" x14ac:dyDescent="0.3"/>
    <row r="6" spans="1:37" s="538" customFormat="1" ht="14.25" customHeight="1" x14ac:dyDescent="0.25">
      <c r="A6" s="541" t="s">
        <v>1149</v>
      </c>
      <c r="B6" s="540"/>
      <c r="C6" s="540"/>
      <c r="D6" s="540"/>
      <c r="E6" s="540"/>
      <c r="F6" s="540"/>
      <c r="G6" s="540"/>
      <c r="H6" s="540"/>
      <c r="I6" s="540"/>
      <c r="J6" s="540"/>
      <c r="K6" s="540"/>
      <c r="L6" s="540"/>
      <c r="M6" s="540"/>
      <c r="N6" s="540"/>
      <c r="O6" s="540"/>
      <c r="P6" s="540"/>
      <c r="Q6" s="540"/>
      <c r="R6" s="540"/>
      <c r="S6" s="539"/>
      <c r="T6" s="540"/>
      <c r="U6" s="540"/>
      <c r="V6" s="540"/>
      <c r="W6" s="540"/>
      <c r="X6" s="540"/>
      <c r="Y6" s="540"/>
      <c r="Z6" s="540"/>
      <c r="AA6" s="540"/>
      <c r="AB6" s="540"/>
      <c r="AC6" s="540"/>
      <c r="AD6" s="540"/>
      <c r="AE6" s="540"/>
      <c r="AF6" s="540"/>
      <c r="AG6" s="540"/>
      <c r="AH6" s="540"/>
      <c r="AI6" s="540"/>
      <c r="AJ6" s="540"/>
      <c r="AK6" s="539"/>
    </row>
    <row r="7" spans="1:37" s="442" customFormat="1" ht="15" customHeight="1" x14ac:dyDescent="0.25">
      <c r="A7" s="454" t="s">
        <v>1150</v>
      </c>
      <c r="B7" s="453"/>
      <c r="C7" s="453"/>
      <c r="D7" s="453"/>
      <c r="E7" s="453"/>
      <c r="F7" s="453"/>
      <c r="G7" s="453"/>
      <c r="H7" s="453"/>
      <c r="I7" s="453"/>
      <c r="J7" s="453"/>
      <c r="K7" s="453"/>
      <c r="L7" s="453"/>
      <c r="M7" s="453"/>
      <c r="N7" s="453"/>
      <c r="O7" s="453"/>
      <c r="P7" s="453"/>
      <c r="Q7" s="453"/>
      <c r="R7" s="453"/>
      <c r="S7" s="537"/>
      <c r="T7" s="453"/>
      <c r="U7" s="453"/>
      <c r="V7" s="453"/>
      <c r="W7" s="453"/>
      <c r="X7" s="453"/>
      <c r="Y7" s="453"/>
      <c r="Z7" s="453"/>
      <c r="AA7" s="453"/>
      <c r="AB7" s="453"/>
      <c r="AC7" s="453"/>
      <c r="AD7" s="453"/>
      <c r="AE7" s="453"/>
      <c r="AF7" s="453"/>
      <c r="AG7" s="453"/>
      <c r="AH7" s="453"/>
      <c r="AI7" s="453"/>
      <c r="AJ7" s="453"/>
      <c r="AK7" s="537"/>
    </row>
    <row r="8" spans="1:37" s="533" customFormat="1" ht="18" customHeight="1" thickBot="1" x14ac:dyDescent="0.3">
      <c r="A8" s="536" t="s">
        <v>1151</v>
      </c>
      <c r="B8" s="535"/>
      <c r="C8" s="535"/>
      <c r="D8" s="535"/>
      <c r="E8" s="536"/>
      <c r="F8" s="535"/>
      <c r="G8" s="535"/>
      <c r="H8" s="535"/>
      <c r="I8" s="535"/>
      <c r="J8" s="535"/>
      <c r="K8" s="535"/>
      <c r="L8" s="535"/>
      <c r="M8" s="535"/>
      <c r="N8" s="535"/>
      <c r="O8" s="535"/>
      <c r="P8" s="535"/>
      <c r="Q8" s="535"/>
      <c r="R8" s="535"/>
      <c r="S8" s="534"/>
      <c r="T8" s="535"/>
      <c r="U8" s="535"/>
      <c r="V8" s="535"/>
      <c r="W8" s="535"/>
      <c r="X8" s="535"/>
      <c r="Y8" s="535"/>
      <c r="Z8" s="535"/>
      <c r="AA8" s="535"/>
      <c r="AB8" s="535"/>
      <c r="AC8" s="535"/>
      <c r="AD8" s="535"/>
      <c r="AE8" s="535"/>
      <c r="AF8" s="535"/>
      <c r="AG8" s="535"/>
      <c r="AH8" s="535"/>
      <c r="AI8" s="535"/>
      <c r="AJ8" s="535"/>
      <c r="AK8" s="534"/>
    </row>
    <row r="9" spans="1:37" s="513" customFormat="1" ht="3.75" customHeight="1" thickBot="1" x14ac:dyDescent="0.3"/>
    <row r="10" spans="1:37" s="513" customFormat="1" ht="14.25" customHeight="1" x14ac:dyDescent="0.25">
      <c r="A10" s="515" t="s">
        <v>1152</v>
      </c>
      <c r="B10" s="514"/>
      <c r="C10" s="514"/>
      <c r="D10" s="514"/>
      <c r="E10" s="514"/>
      <c r="F10" s="514"/>
      <c r="G10" s="514"/>
      <c r="H10" s="514"/>
      <c r="I10" s="458"/>
      <c r="J10" s="457"/>
      <c r="K10" s="531" t="s">
        <v>1153</v>
      </c>
      <c r="L10" s="514"/>
      <c r="M10" s="532"/>
      <c r="N10" s="532"/>
      <c r="O10" s="532"/>
      <c r="P10" s="514"/>
      <c r="Q10" s="531" t="s">
        <v>1153</v>
      </c>
      <c r="R10" s="514"/>
      <c r="S10" s="458"/>
      <c r="T10" s="514"/>
      <c r="U10" s="514"/>
      <c r="V10" s="530"/>
      <c r="W10" s="514"/>
      <c r="X10" s="514"/>
      <c r="Y10" s="514"/>
      <c r="Z10" s="514"/>
      <c r="AA10" s="514"/>
      <c r="AB10" s="514"/>
      <c r="AC10" s="514"/>
      <c r="AD10" s="531" t="s">
        <v>1154</v>
      </c>
      <c r="AE10" s="531"/>
      <c r="AF10" s="531"/>
      <c r="AG10" s="531" t="s">
        <v>1155</v>
      </c>
      <c r="AH10" s="514"/>
      <c r="AI10" s="514"/>
      <c r="AJ10" s="514"/>
      <c r="AK10" s="530"/>
    </row>
    <row r="11" spans="1:37" s="513" customFormat="1" ht="19.5" customHeight="1" x14ac:dyDescent="0.2">
      <c r="A11" s="527" t="str">
        <f>LEFT('Input data'!C24,1)</f>
        <v>2</v>
      </c>
      <c r="B11" s="492" t="str">
        <f>MID('Input data'!$C$24,2,1)</f>
        <v>0</v>
      </c>
      <c r="C11" s="492" t="str">
        <f>MID('Input data'!$C$24,3,1)</f>
        <v>2</v>
      </c>
      <c r="D11" s="492" t="str">
        <f>MID('Input data'!$C$24,4,1)</f>
        <v>0</v>
      </c>
      <c r="E11" s="492" t="str">
        <f>MID('Input data'!$C$24,5,1)</f>
        <v>3</v>
      </c>
      <c r="F11" s="492" t="str">
        <f>MID('Input data'!$C$24,6,1)</f>
        <v>3</v>
      </c>
      <c r="G11" s="492" t="str">
        <f>MID('Input data'!$C$24,7,1)</f>
        <v>6</v>
      </c>
      <c r="H11" s="492" t="str">
        <f>MID('Input data'!$C$24,8,1)</f>
        <v>4</v>
      </c>
      <c r="I11" s="492" t="str">
        <f>MID('Input data'!$C$24,9,1)</f>
        <v>0</v>
      </c>
      <c r="J11" s="499" t="str">
        <f>MID('Input data'!$C$24,10,1)</f>
        <v>6</v>
      </c>
      <c r="K11" s="450"/>
      <c r="L11" s="516"/>
      <c r="M11" s="516"/>
      <c r="N11" s="516"/>
      <c r="O11" s="516"/>
      <c r="P11" s="516"/>
      <c r="Q11" s="516"/>
      <c r="R11" s="516"/>
      <c r="S11" s="516"/>
      <c r="T11" s="516"/>
      <c r="U11" s="516"/>
      <c r="V11" s="522"/>
      <c r="W11" s="521" t="s">
        <v>1156</v>
      </c>
      <c r="X11" s="516"/>
      <c r="Y11" s="516"/>
      <c r="Z11" s="516"/>
      <c r="AA11" s="516"/>
      <c r="AB11" s="521" t="s">
        <v>1157</v>
      </c>
      <c r="AC11" s="516"/>
      <c r="AD11" s="492" t="str">
        <f>MID('Input data'!$B$8,1,1)</f>
        <v>0</v>
      </c>
      <c r="AE11" s="492" t="str">
        <f>MID('Input data'!$B$8,2,1)</f>
        <v>1</v>
      </c>
      <c r="AF11" s="492"/>
      <c r="AG11" s="492" t="str">
        <f>MID('Input data'!$B$9,1,1)</f>
        <v>2</v>
      </c>
      <c r="AH11" s="492" t="str">
        <f>MID('Input data'!$B$9,2,1)</f>
        <v>0</v>
      </c>
      <c r="AI11" s="492" t="str">
        <f>MID('Input data'!$B$9,3,1)</f>
        <v>1</v>
      </c>
      <c r="AJ11" s="492" t="str">
        <f>MID('Input data'!$B$9,4,1)</f>
        <v>3</v>
      </c>
      <c r="AK11" s="522"/>
    </row>
    <row r="12" spans="1:37" s="513" customFormat="1" ht="19.5" customHeight="1" thickBot="1" x14ac:dyDescent="0.3">
      <c r="A12" s="454" t="s">
        <v>1158</v>
      </c>
      <c r="B12" s="516"/>
      <c r="C12" s="516"/>
      <c r="D12" s="516"/>
      <c r="E12" s="516"/>
      <c r="F12" s="516"/>
      <c r="G12" s="516"/>
      <c r="H12" s="450"/>
      <c r="I12" s="450"/>
      <c r="J12" s="449"/>
      <c r="K12" s="450"/>
      <c r="L12" s="529" t="str">
        <f>IF('Input data'!D7="x","x"," ")</f>
        <v>x</v>
      </c>
      <c r="M12" s="521" t="s">
        <v>1159</v>
      </c>
      <c r="N12" s="523"/>
      <c r="O12" s="523"/>
      <c r="P12" s="523"/>
      <c r="Q12" s="523"/>
      <c r="R12" s="529" t="str">
        <f>IF('Input data'!D16="x","x"," ")</f>
        <v>x</v>
      </c>
      <c r="S12" s="521" t="s">
        <v>1160</v>
      </c>
      <c r="T12" s="516"/>
      <c r="U12" s="516"/>
      <c r="V12" s="522"/>
      <c r="W12" s="528"/>
      <c r="X12" s="518"/>
      <c r="Y12" s="518"/>
      <c r="Z12" s="518"/>
      <c r="AA12" s="518"/>
      <c r="AB12" s="517" t="s">
        <v>1161</v>
      </c>
      <c r="AC12" s="518"/>
      <c r="AD12" s="490" t="str">
        <f>MID('Input data'!$B$13,1,1)</f>
        <v>1</v>
      </c>
      <c r="AE12" s="490" t="str">
        <f>MID('Input data'!$B$13,2,1)</f>
        <v>2</v>
      </c>
      <c r="AF12" s="490"/>
      <c r="AG12" s="490" t="str">
        <f>MID('Input data'!$B$14,1,1)</f>
        <v>2</v>
      </c>
      <c r="AH12" s="490" t="str">
        <f>MID('Input data'!$B$14,2,1)</f>
        <v>0</v>
      </c>
      <c r="AI12" s="490" t="str">
        <f>MID('Input data'!$B$14,3,1)</f>
        <v>1</v>
      </c>
      <c r="AJ12" s="490" t="str">
        <f>MID('Input data'!$B$14,4,1)</f>
        <v>3</v>
      </c>
      <c r="AK12" s="519"/>
    </row>
    <row r="13" spans="1:37" s="513" customFormat="1" ht="19.5" customHeight="1" x14ac:dyDescent="0.2">
      <c r="A13" s="527" t="str">
        <f>LEFT('Input data'!C26,1)</f>
        <v>3</v>
      </c>
      <c r="B13" s="492" t="str">
        <f>MID('Input data'!$C$26,2,1)</f>
        <v>1</v>
      </c>
      <c r="C13" s="492" t="str">
        <f>MID('Input data'!$C$26,3,1)</f>
        <v>3</v>
      </c>
      <c r="D13" s="492" t="str">
        <f>MID('Input data'!$C$26,4,1)</f>
        <v>5</v>
      </c>
      <c r="E13" s="492" t="str">
        <f>MID('Input data'!$C$26,5,1)</f>
        <v>8</v>
      </c>
      <c r="F13" s="492" t="str">
        <f>MID('Input data'!$C$26,6,1)</f>
        <v>7</v>
      </c>
      <c r="G13" s="492" t="str">
        <f>MID('Input data'!$C$26,7,1)</f>
        <v>3</v>
      </c>
      <c r="H13" s="492" t="str">
        <f>MID('Input data'!$C$26,8,1)</f>
        <v>0</v>
      </c>
      <c r="I13" s="450"/>
      <c r="J13" s="449"/>
      <c r="K13" s="450"/>
      <c r="L13" s="525" t="str">
        <f>IF('Input data'!D8="x","x", "")</f>
        <v/>
      </c>
      <c r="M13" s="521" t="s">
        <v>1162</v>
      </c>
      <c r="N13" s="523"/>
      <c r="O13" s="523"/>
      <c r="P13" s="523"/>
      <c r="Q13" s="523"/>
      <c r="R13" s="526" t="str">
        <f>IF('Input data'!D17="x","x"," ")</f>
        <v xml:space="preserve"> </v>
      </c>
      <c r="S13" s="521" t="s">
        <v>1163</v>
      </c>
      <c r="T13" s="516"/>
      <c r="U13" s="516"/>
      <c r="V13" s="522"/>
      <c r="W13" s="521" t="s">
        <v>1164</v>
      </c>
      <c r="X13" s="516"/>
      <c r="Y13" s="453"/>
      <c r="Z13" s="450"/>
      <c r="AA13" s="450"/>
      <c r="AB13" s="523"/>
      <c r="AC13" s="450"/>
      <c r="AD13" s="525"/>
      <c r="AE13" s="525"/>
      <c r="AF13" s="525"/>
      <c r="AG13" s="525"/>
      <c r="AH13" s="525"/>
      <c r="AI13" s="525"/>
      <c r="AJ13" s="525"/>
      <c r="AK13" s="449"/>
    </row>
    <row r="14" spans="1:37" s="513" customFormat="1" ht="19.5" customHeight="1" x14ac:dyDescent="0.2">
      <c r="A14" s="454" t="s">
        <v>1165</v>
      </c>
      <c r="B14" s="516"/>
      <c r="C14" s="516"/>
      <c r="D14" s="516"/>
      <c r="E14" s="516"/>
      <c r="F14" s="516"/>
      <c r="G14" s="516"/>
      <c r="H14" s="516"/>
      <c r="I14" s="450"/>
      <c r="J14" s="449"/>
      <c r="K14" s="450"/>
      <c r="L14" s="450"/>
      <c r="M14" s="521"/>
      <c r="N14" s="523"/>
      <c r="O14" s="523"/>
      <c r="P14" s="523"/>
      <c r="Q14" s="523"/>
      <c r="R14" s="524" t="s">
        <v>1166</v>
      </c>
      <c r="S14" s="523"/>
      <c r="T14" s="516"/>
      <c r="U14" s="516"/>
      <c r="V14" s="522"/>
      <c r="W14" s="521" t="s">
        <v>987</v>
      </c>
      <c r="X14" s="516"/>
      <c r="Y14" s="453"/>
      <c r="Z14" s="450"/>
      <c r="AA14" s="450"/>
      <c r="AB14" s="521" t="s">
        <v>1157</v>
      </c>
      <c r="AC14" s="450"/>
      <c r="AD14" s="492" t="str">
        <f>MID('Input data'!$B$18,1,1)</f>
        <v>0</v>
      </c>
      <c r="AE14" s="492" t="str">
        <f>MID('Input data'!$B$18,2,1)</f>
        <v>1</v>
      </c>
      <c r="AF14" s="492"/>
      <c r="AG14" s="492" t="str">
        <f>MID('Input data'!$B$19,1,1)</f>
        <v>2</v>
      </c>
      <c r="AH14" s="492" t="str">
        <f>MID('Input data'!$B$19,2,1)</f>
        <v>0</v>
      </c>
      <c r="AI14" s="492" t="str">
        <f>MID('Input data'!$B$19,3,1)</f>
        <v>1</v>
      </c>
      <c r="AJ14" s="492" t="str">
        <f>MID('Input data'!$B$19,4,1)</f>
        <v>2</v>
      </c>
      <c r="AK14" s="449"/>
    </row>
    <row r="15" spans="1:37" s="513" customFormat="1" ht="19.5" customHeight="1" thickBot="1" x14ac:dyDescent="0.25">
      <c r="A15" s="520" t="str">
        <f>LEFT('Input data'!$E$12,1)</f>
        <v>7</v>
      </c>
      <c r="B15" s="445" t="str">
        <f>MID('Input data'!$E$12,2,1)</f>
        <v>3</v>
      </c>
      <c r="C15" s="518" t="s">
        <v>1147</v>
      </c>
      <c r="D15" s="445" t="str">
        <f>MID('Input data'!$E$12,3,1)</f>
        <v>1</v>
      </c>
      <c r="E15" s="445" t="str">
        <f>MID('Input data'!$E$12,4,1)</f>
        <v>1</v>
      </c>
      <c r="F15" s="469" t="s">
        <v>1147</v>
      </c>
      <c r="G15" s="445" t="str">
        <f>MID('Input data'!$E$12,5,1)</f>
        <v>0</v>
      </c>
      <c r="H15" s="445"/>
      <c r="I15" s="445"/>
      <c r="J15" s="444"/>
      <c r="K15" s="445"/>
      <c r="L15" s="445"/>
      <c r="M15" s="445"/>
      <c r="N15" s="445"/>
      <c r="O15" s="445"/>
      <c r="P15" s="445"/>
      <c r="Q15" s="445"/>
      <c r="R15" s="445"/>
      <c r="S15" s="445"/>
      <c r="T15" s="518"/>
      <c r="U15" s="518"/>
      <c r="V15" s="519"/>
      <c r="W15" s="517" t="s">
        <v>1167</v>
      </c>
      <c r="X15" s="518"/>
      <c r="Y15" s="446"/>
      <c r="Z15" s="445"/>
      <c r="AA15" s="445"/>
      <c r="AB15" s="517" t="s">
        <v>1161</v>
      </c>
      <c r="AC15" s="445"/>
      <c r="AD15" s="490" t="str">
        <f>MID('Input data'!$B$21,1,1)</f>
        <v>1</v>
      </c>
      <c r="AE15" s="490" t="str">
        <f>MID('Input data'!$B$21,2,1)</f>
        <v>2</v>
      </c>
      <c r="AF15" s="490"/>
      <c r="AG15" s="490" t="str">
        <f>MID('Input data'!$B$22,1,1)</f>
        <v>2</v>
      </c>
      <c r="AH15" s="490" t="str">
        <f>MID('Input data'!$B$22,2,1)</f>
        <v>0</v>
      </c>
      <c r="AI15" s="490" t="str">
        <f>MID('Input data'!$B$22,3,1)</f>
        <v>1</v>
      </c>
      <c r="AJ15" s="490" t="str">
        <f>MID('Input data'!$B$22,4,1)</f>
        <v>2</v>
      </c>
      <c r="AK15" s="444"/>
    </row>
    <row r="16" spans="1:37" s="513" customFormat="1" ht="4.5" customHeight="1" x14ac:dyDescent="0.25">
      <c r="A16" s="516"/>
      <c r="B16" s="516"/>
      <c r="C16" s="516"/>
      <c r="D16" s="516"/>
      <c r="E16" s="516"/>
      <c r="F16" s="514"/>
      <c r="G16" s="516"/>
      <c r="H16" s="450"/>
      <c r="I16" s="450"/>
      <c r="J16" s="450"/>
      <c r="K16" s="450"/>
      <c r="L16" s="450"/>
      <c r="M16" s="450"/>
      <c r="N16" s="450"/>
      <c r="O16" s="450"/>
      <c r="P16" s="450"/>
      <c r="Q16" s="450"/>
      <c r="R16" s="450"/>
      <c r="S16" s="450"/>
      <c r="T16" s="516"/>
      <c r="U16" s="516"/>
      <c r="V16" s="450"/>
      <c r="W16" s="450"/>
      <c r="X16" s="450"/>
      <c r="Y16" s="450"/>
      <c r="Z16" s="450"/>
      <c r="AA16" s="450"/>
      <c r="AB16" s="450"/>
      <c r="AC16" s="450"/>
      <c r="AD16" s="450"/>
      <c r="AE16" s="450"/>
      <c r="AF16" s="450"/>
      <c r="AG16" s="450"/>
      <c r="AH16" s="450"/>
      <c r="AI16" s="450"/>
      <c r="AJ16" s="450"/>
      <c r="AK16" s="450"/>
    </row>
    <row r="17" spans="1:37" s="513" customFormat="1" ht="3" customHeight="1" thickBot="1" x14ac:dyDescent="0.3">
      <c r="H17" s="443"/>
      <c r="I17" s="443"/>
      <c r="J17" s="443"/>
      <c r="K17" s="443"/>
      <c r="L17" s="443"/>
      <c r="M17" s="443"/>
      <c r="N17" s="443"/>
      <c r="O17" s="443"/>
      <c r="P17" s="443"/>
      <c r="Q17" s="443"/>
      <c r="R17" s="443"/>
      <c r="S17" s="443"/>
      <c r="W17" s="443"/>
      <c r="X17" s="443"/>
      <c r="Y17" s="443"/>
      <c r="Z17" s="443"/>
      <c r="AA17" s="443"/>
      <c r="AB17" s="443"/>
      <c r="AC17" s="443"/>
      <c r="AD17" s="443"/>
      <c r="AE17" s="443"/>
      <c r="AF17" s="443"/>
      <c r="AG17" s="443"/>
      <c r="AH17" s="443"/>
      <c r="AI17" s="443"/>
      <c r="AJ17" s="443"/>
      <c r="AK17" s="443"/>
    </row>
    <row r="18" spans="1:37" s="513" customFormat="1" ht="16.5" x14ac:dyDescent="0.25">
      <c r="A18" s="515" t="s">
        <v>1168</v>
      </c>
      <c r="B18" s="514"/>
      <c r="C18" s="514"/>
      <c r="D18" s="514"/>
      <c r="E18" s="514"/>
      <c r="F18" s="514"/>
      <c r="G18" s="514"/>
      <c r="H18" s="458"/>
      <c r="I18" s="458"/>
      <c r="J18" s="458"/>
      <c r="K18" s="458"/>
      <c r="L18" s="458"/>
      <c r="M18" s="458"/>
      <c r="N18" s="458"/>
      <c r="O18" s="458"/>
      <c r="P18" s="458"/>
      <c r="Q18" s="458"/>
      <c r="R18" s="458"/>
      <c r="S18" s="458"/>
      <c r="T18" s="514"/>
      <c r="U18" s="514"/>
      <c r="V18" s="514"/>
      <c r="W18" s="458"/>
      <c r="X18" s="458"/>
      <c r="Y18" s="458"/>
      <c r="Z18" s="458"/>
      <c r="AA18" s="458"/>
      <c r="AB18" s="458"/>
      <c r="AC18" s="458"/>
      <c r="AD18" s="458"/>
      <c r="AE18" s="458"/>
      <c r="AF18" s="458"/>
      <c r="AG18" s="458"/>
      <c r="AH18" s="458"/>
      <c r="AI18" s="458"/>
      <c r="AJ18" s="458"/>
      <c r="AK18" s="457"/>
    </row>
    <row r="19" spans="1:37" s="513" customFormat="1" ht="19.5" customHeight="1" x14ac:dyDescent="0.25">
      <c r="A19" s="500" t="str">
        <f>+LEFT('Input data'!$F$3,1)</f>
        <v>C</v>
      </c>
      <c r="B19" s="492" t="str">
        <f>+MID('Input data'!$F$3,2,1)</f>
        <v>a</v>
      </c>
      <c r="C19" s="492" t="str">
        <f>+MID('Input data'!$F$3,3,1)</f>
        <v>r</v>
      </c>
      <c r="D19" s="492" t="str">
        <f>+MID('Input data'!$F$3,4,1)</f>
        <v>a</v>
      </c>
      <c r="E19" s="492" t="str">
        <f>+MID('Input data'!$F$3,5,1)</f>
        <v>t</v>
      </c>
      <c r="F19" s="492" t="str">
        <f>+MID('Input data'!$F$3,6,1)</f>
        <v xml:space="preserve"> </v>
      </c>
      <c r="G19" s="492" t="str">
        <f>+MID('Input data'!$F$3,7,1)</f>
        <v>-</v>
      </c>
      <c r="H19" s="492" t="str">
        <f>+MID('Input data'!$F$3,8,1)</f>
        <v xml:space="preserve"> </v>
      </c>
      <c r="I19" s="492" t="str">
        <f>+MID('Input data'!$F$3,9,1)</f>
        <v>S</v>
      </c>
      <c r="J19" s="492" t="str">
        <f>+MID('Input data'!$F$3,10,1)</f>
        <v>l</v>
      </c>
      <c r="K19" s="492" t="str">
        <f>+MID('Input data'!$F$3,11,1)</f>
        <v>o</v>
      </c>
      <c r="L19" s="492" t="str">
        <f>+MID('Input data'!$F$3,12,1)</f>
        <v>v</v>
      </c>
      <c r="M19" s="492" t="str">
        <f>+MID('Input data'!$F$3,13,1)</f>
        <v>a</v>
      </c>
      <c r="N19" s="492" t="str">
        <f>+MID('Input data'!$F$3,14,1)</f>
        <v>k</v>
      </c>
      <c r="O19" s="492" t="str">
        <f>+MID('Input data'!$F$3,15,1)</f>
        <v>i</v>
      </c>
      <c r="P19" s="492" t="str">
        <f>+MID('Input data'!$F$3,16,1)</f>
        <v>a</v>
      </c>
      <c r="Q19" s="492" t="str">
        <f>+MID('Input data'!$F$3,17,1)</f>
        <v>,</v>
      </c>
      <c r="R19" s="492" t="str">
        <f>+MID('Input data'!$F$3,18,1)</f>
        <v xml:space="preserve"> </v>
      </c>
      <c r="S19" s="492" t="str">
        <f>+MID('Input data'!$F$3,19,1)</f>
        <v>s</v>
      </c>
      <c r="T19" s="492" t="str">
        <f>+MID('Input data'!$F$3,20,1)</f>
        <v>.</v>
      </c>
      <c r="U19" s="492" t="str">
        <f>+MID('Input data'!$F$3,21,1)</f>
        <v>r</v>
      </c>
      <c r="V19" s="492" t="str">
        <f>+MID('Input data'!$F$3,22,1)</f>
        <v>.</v>
      </c>
      <c r="W19" s="492" t="str">
        <f>+MID('Input data'!$F$3,23,1)</f>
        <v>o</v>
      </c>
      <c r="X19" s="492" t="str">
        <f>+MID('Input data'!$F$3,24,1)</f>
        <v>.</v>
      </c>
      <c r="Y19" s="492" t="str">
        <f>+MID('Input data'!$F$3,25,1)</f>
        <v/>
      </c>
      <c r="Z19" s="492" t="str">
        <f>+MID('Input data'!$F$3,26,1)</f>
        <v/>
      </c>
      <c r="AA19" s="492" t="str">
        <f>+MID('Input data'!$F$3,27,1)</f>
        <v/>
      </c>
      <c r="AB19" s="492" t="str">
        <f>+MID('Input data'!$F$3,28,1)</f>
        <v/>
      </c>
      <c r="AC19" s="492" t="str">
        <f>+MID('Input data'!$F$3,29,1)</f>
        <v/>
      </c>
      <c r="AD19" s="492" t="str">
        <f>+MID('Input data'!$F$3,30,1)</f>
        <v/>
      </c>
      <c r="AE19" s="492" t="str">
        <f>+MID('Input data'!$F$3,31,1)</f>
        <v/>
      </c>
      <c r="AF19" s="492" t="str">
        <f>+MID('Input data'!$F$3,32,1)</f>
        <v/>
      </c>
      <c r="AG19" s="492" t="str">
        <f>+MID('Input data'!$F$3,33,1)</f>
        <v/>
      </c>
      <c r="AH19" s="492" t="str">
        <f>+MID('Input data'!$E$3,34,1)</f>
        <v/>
      </c>
      <c r="AI19" s="492" t="str">
        <f>+MID('Input data'!$E$3,35,1)</f>
        <v/>
      </c>
      <c r="AJ19" s="492" t="str">
        <f>+MID('Input data'!$E$3,36,1)</f>
        <v/>
      </c>
      <c r="AK19" s="499" t="str">
        <f>+MID('Input data'!$E$3,37,1)</f>
        <v/>
      </c>
    </row>
    <row r="20" spans="1:37" ht="19.5" customHeight="1" x14ac:dyDescent="0.25">
      <c r="A20" s="500" t="str">
        <f>+MID('Input data'!$E$3,38,1)</f>
        <v/>
      </c>
      <c r="B20" s="492" t="str">
        <f>+MID('Input data'!$E$3,39,1)</f>
        <v/>
      </c>
      <c r="C20" s="492" t="str">
        <f>+MID('Input data'!$E$3,40,1)</f>
        <v/>
      </c>
      <c r="D20" s="492" t="str">
        <f>+MID('Input data'!$E$3,41,1)</f>
        <v/>
      </c>
      <c r="E20" s="492" t="str">
        <f>+MID('Input data'!$E$3,42,1)</f>
        <v/>
      </c>
      <c r="F20" s="492" t="str">
        <f>+MID('Input data'!$E$3,43,1)</f>
        <v/>
      </c>
      <c r="G20" s="492" t="str">
        <f>+MID('Input data'!$E$3,44,1)</f>
        <v/>
      </c>
      <c r="H20" s="492" t="str">
        <f>+MID('Input data'!$E$3,45,1)</f>
        <v/>
      </c>
      <c r="I20" s="492" t="str">
        <f>+MID('Input data'!$E$3,46,1)</f>
        <v/>
      </c>
      <c r="J20" s="492" t="str">
        <f>+MID('Input data'!$E$3,47,1)</f>
        <v/>
      </c>
      <c r="K20" s="492" t="str">
        <f>+MID('Input data'!$E$3,48,1)</f>
        <v/>
      </c>
      <c r="L20" s="492" t="str">
        <f>+MID('Input data'!$E$3,49,1)</f>
        <v/>
      </c>
      <c r="M20" s="492" t="str">
        <f>+MID('Input data'!$E$3,50,1)</f>
        <v/>
      </c>
      <c r="N20" s="492" t="str">
        <f>+MID('Input data'!$E$3,51,1)</f>
        <v/>
      </c>
      <c r="O20" s="492" t="str">
        <f>+MID('Input data'!$E$3,52,1)</f>
        <v/>
      </c>
      <c r="P20" s="492" t="str">
        <f>+MID('Input data'!$E$3,53,1)</f>
        <v/>
      </c>
      <c r="Q20" s="492" t="str">
        <f>+MID('Input data'!$E$3,54,1)</f>
        <v/>
      </c>
      <c r="R20" s="492" t="str">
        <f>+MID('Input data'!$E$3,55,1)</f>
        <v/>
      </c>
      <c r="S20" s="492" t="str">
        <f>+MID('Input data'!$E$3,56,1)</f>
        <v/>
      </c>
      <c r="T20" s="492" t="str">
        <f>+MID('Input data'!$E$3,57,1)</f>
        <v/>
      </c>
      <c r="U20" s="492" t="str">
        <f>+MID('Input data'!$E$3,58,1)</f>
        <v/>
      </c>
      <c r="V20" s="492" t="str">
        <f>+MID('Input data'!$E$3,59,1)</f>
        <v/>
      </c>
      <c r="W20" s="492" t="str">
        <f>+MID('Input data'!$E$3,60,1)</f>
        <v/>
      </c>
      <c r="X20" s="492" t="str">
        <f>+MID('Input data'!$E$3,61,1)</f>
        <v/>
      </c>
      <c r="Y20" s="492" t="str">
        <f>+MID('Input data'!$E$3,62,1)</f>
        <v/>
      </c>
      <c r="Z20" s="492" t="str">
        <f>+MID('Input data'!$E$3,63,1)</f>
        <v/>
      </c>
      <c r="AA20" s="492" t="str">
        <f>+MID('Input data'!$E$3,64,1)</f>
        <v/>
      </c>
      <c r="AB20" s="492" t="str">
        <f>+MID('Input data'!$E$3,65,1)</f>
        <v/>
      </c>
      <c r="AC20" s="492" t="str">
        <f>+MID('Input data'!$E$3,66,1)</f>
        <v/>
      </c>
      <c r="AD20" s="492" t="str">
        <f>+MID('Input data'!$E$3,67,1)</f>
        <v/>
      </c>
      <c r="AE20" s="492" t="str">
        <f>+MID('Input data'!$E$3,68,1)</f>
        <v/>
      </c>
      <c r="AF20" s="492" t="str">
        <f>+MID('Input data'!$E$3,69,1)</f>
        <v/>
      </c>
      <c r="AG20" s="492" t="str">
        <f>+MID('Input data'!$E$3,70,1)</f>
        <v/>
      </c>
      <c r="AH20" s="492" t="str">
        <f>+MID('Input data'!$E$3,71,1)</f>
        <v/>
      </c>
      <c r="AI20" s="492" t="str">
        <f>+MID('Input data'!$E$3,72,1)</f>
        <v/>
      </c>
      <c r="AJ20" s="492" t="str">
        <f>+MID('Input data'!$E$3,73,1)</f>
        <v/>
      </c>
      <c r="AK20" s="499" t="str">
        <f>+MID('Input data'!$E$3,74,1)</f>
        <v/>
      </c>
    </row>
    <row r="21" spans="1:37" ht="14.25" customHeight="1" x14ac:dyDescent="0.25">
      <c r="A21" s="512"/>
      <c r="B21" s="511"/>
      <c r="C21" s="511"/>
      <c r="D21" s="511"/>
      <c r="E21" s="511"/>
      <c r="F21" s="511"/>
      <c r="G21" s="511"/>
      <c r="H21" s="511"/>
      <c r="I21" s="511"/>
      <c r="J21" s="511"/>
      <c r="K21" s="511"/>
      <c r="L21" s="511"/>
      <c r="M21" s="511"/>
      <c r="N21" s="511"/>
      <c r="O21" s="511"/>
      <c r="P21" s="511"/>
      <c r="Q21" s="511"/>
      <c r="R21" s="511"/>
      <c r="S21" s="511"/>
      <c r="T21" s="511"/>
      <c r="U21" s="511"/>
      <c r="V21" s="511"/>
      <c r="W21" s="510"/>
      <c r="X21" s="510"/>
      <c r="Y21" s="510"/>
      <c r="Z21" s="510"/>
      <c r="AA21" s="510"/>
      <c r="AB21" s="510"/>
      <c r="AC21" s="510"/>
      <c r="AD21" s="510"/>
      <c r="AE21" s="510"/>
      <c r="AF21" s="510"/>
      <c r="AG21" s="510"/>
      <c r="AH21" s="510"/>
      <c r="AI21" s="510"/>
      <c r="AJ21" s="510"/>
      <c r="AK21" s="509"/>
    </row>
    <row r="22" spans="1:37" ht="19.5" hidden="1" customHeight="1" x14ac:dyDescent="0.25">
      <c r="A22" s="508"/>
      <c r="B22" s="507"/>
      <c r="C22" s="507"/>
      <c r="D22" s="507"/>
      <c r="E22" s="507"/>
      <c r="F22" s="507"/>
      <c r="G22" s="507" t="e">
        <f>+MID('Input data'!#REF!,7,1)</f>
        <v>#REF!</v>
      </c>
      <c r="H22" s="507" t="e">
        <f>+MID('Input data'!#REF!,8,1)</f>
        <v>#REF!</v>
      </c>
      <c r="I22" s="507" t="e">
        <f>+MID('Input data'!#REF!,9,1)</f>
        <v>#REF!</v>
      </c>
      <c r="J22" s="507" t="e">
        <f>+MID('Input data'!#REF!,10,1)</f>
        <v>#REF!</v>
      </c>
      <c r="K22" s="507" t="e">
        <f>+MID('Input data'!#REF!,11,1)</f>
        <v>#REF!</v>
      </c>
      <c r="L22" s="507" t="e">
        <f>+MID('Input data'!#REF!,12,1)</f>
        <v>#REF!</v>
      </c>
      <c r="M22" s="507" t="e">
        <f>+MID('Input data'!#REF!,13,1)</f>
        <v>#REF!</v>
      </c>
      <c r="N22" s="507" t="e">
        <f>+MID('Input data'!#REF!,14,1)</f>
        <v>#REF!</v>
      </c>
      <c r="O22" s="507" t="e">
        <f>+MID('Input data'!#REF!,15,1)</f>
        <v>#REF!</v>
      </c>
      <c r="P22" s="507" t="e">
        <f>+MID('Input data'!#REF!,16,1)</f>
        <v>#REF!</v>
      </c>
      <c r="Q22" s="507" t="e">
        <f>+MID('Input data'!#REF!,17,1)</f>
        <v>#REF!</v>
      </c>
      <c r="R22" s="507" t="e">
        <f>+MID('Input data'!#REF!,18,1)</f>
        <v>#REF!</v>
      </c>
      <c r="S22" s="507" t="e">
        <f>+MID('Input data'!#REF!,19,1)</f>
        <v>#REF!</v>
      </c>
      <c r="T22" s="507" t="e">
        <f>+MID('Input data'!#REF!,20,1)</f>
        <v>#REF!</v>
      </c>
      <c r="U22" s="507" t="e">
        <f>+MID('Input data'!#REF!,21,1)</f>
        <v>#REF!</v>
      </c>
      <c r="V22" s="507" t="e">
        <f>+MID('Input data'!#REF!,22,1)</f>
        <v>#REF!</v>
      </c>
      <c r="W22" s="507" t="e">
        <f>+MID('Input data'!#REF!,23,1)</f>
        <v>#REF!</v>
      </c>
      <c r="X22" s="507" t="e">
        <f>+MID('Input data'!#REF!,24,1)</f>
        <v>#REF!</v>
      </c>
      <c r="Y22" s="507" t="e">
        <f>+MID('Input data'!#REF!,25,1)</f>
        <v>#REF!</v>
      </c>
      <c r="Z22" s="507" t="e">
        <f>+MID('Input data'!#REF!,26,1)</f>
        <v>#REF!</v>
      </c>
      <c r="AA22" s="507" t="e">
        <f>+MID('Input data'!#REF!,27,1)</f>
        <v>#REF!</v>
      </c>
      <c r="AB22" s="507" t="e">
        <f>+MID('Input data'!#REF!,28,1)</f>
        <v>#REF!</v>
      </c>
      <c r="AC22" s="507" t="e">
        <f>+MID('Input data'!#REF!,29,1)</f>
        <v>#REF!</v>
      </c>
      <c r="AD22" s="507" t="e">
        <f>+MID('Input data'!#REF!,30,1)</f>
        <v>#REF!</v>
      </c>
      <c r="AE22" s="507" t="e">
        <f>+MID('Input data'!#REF!,31,1)</f>
        <v>#REF!</v>
      </c>
      <c r="AF22" s="507" t="e">
        <f>+MID('Input data'!#REF!,32,1)</f>
        <v>#REF!</v>
      </c>
      <c r="AG22" s="507" t="e">
        <f>+MID('Input data'!#REF!,33,1)</f>
        <v>#REF!</v>
      </c>
      <c r="AH22" s="507" t="e">
        <f>+MID('Input data'!#REF!,34,1)</f>
        <v>#REF!</v>
      </c>
      <c r="AI22" s="507" t="e">
        <f>+MID('Input data'!#REF!,35,1)</f>
        <v>#REF!</v>
      </c>
      <c r="AJ22" s="507" t="e">
        <f>+MID('Input data'!#REF!,36,1)</f>
        <v>#REF!</v>
      </c>
      <c r="AK22" s="506" t="e">
        <f>+MID('Input data'!#REF!,37,1)</f>
        <v>#REF!</v>
      </c>
    </row>
    <row r="23" spans="1:37" s="501" customFormat="1" ht="12" customHeight="1" x14ac:dyDescent="0.25">
      <c r="A23" s="505" t="s">
        <v>1169</v>
      </c>
      <c r="B23" s="504"/>
      <c r="C23" s="504"/>
      <c r="D23" s="504"/>
      <c r="E23" s="504"/>
      <c r="F23" s="504"/>
      <c r="G23" s="504"/>
      <c r="H23" s="504"/>
      <c r="I23" s="504"/>
      <c r="J23" s="504"/>
      <c r="K23" s="504"/>
      <c r="L23" s="504"/>
      <c r="M23" s="504"/>
      <c r="N23" s="504"/>
      <c r="O23" s="504"/>
      <c r="P23" s="504"/>
      <c r="Q23" s="504"/>
      <c r="R23" s="504"/>
      <c r="S23" s="504"/>
      <c r="T23" s="504"/>
      <c r="U23" s="504"/>
      <c r="V23" s="504"/>
      <c r="W23" s="503"/>
      <c r="X23" s="503"/>
      <c r="Y23" s="503"/>
      <c r="Z23" s="503"/>
      <c r="AA23" s="503"/>
      <c r="AB23" s="503"/>
      <c r="AC23" s="503"/>
      <c r="AD23" s="503"/>
      <c r="AE23" s="503"/>
      <c r="AF23" s="503"/>
      <c r="AG23" s="503"/>
      <c r="AH23" s="503"/>
      <c r="AI23" s="503"/>
      <c r="AJ23" s="503"/>
      <c r="AK23" s="502"/>
    </row>
    <row r="24" spans="1:37" x14ac:dyDescent="0.25">
      <c r="A24" s="497" t="s">
        <v>1170</v>
      </c>
      <c r="B24" s="455"/>
      <c r="C24" s="455"/>
      <c r="D24" s="455"/>
      <c r="E24" s="455"/>
      <c r="F24" s="455"/>
      <c r="G24" s="455"/>
      <c r="H24" s="455"/>
      <c r="I24" s="455"/>
      <c r="J24" s="455"/>
      <c r="K24" s="455"/>
      <c r="L24" s="455"/>
      <c r="M24" s="455"/>
      <c r="N24" s="455"/>
      <c r="O24" s="455"/>
      <c r="P24" s="455"/>
      <c r="Q24" s="455"/>
      <c r="R24" s="455"/>
      <c r="S24" s="455"/>
      <c r="T24" s="455"/>
      <c r="U24" s="455"/>
      <c r="V24" s="455"/>
      <c r="W24" s="450"/>
      <c r="X24" s="450"/>
      <c r="Y24" s="450"/>
      <c r="Z24" s="450"/>
      <c r="AA24" s="450"/>
      <c r="AB24" s="455"/>
      <c r="AC24" s="450"/>
      <c r="AD24" s="453" t="s">
        <v>1171</v>
      </c>
      <c r="AE24" s="450"/>
      <c r="AF24" s="450"/>
      <c r="AG24" s="450"/>
      <c r="AH24" s="450"/>
      <c r="AI24" s="450"/>
      <c r="AJ24" s="450"/>
      <c r="AK24" s="449"/>
    </row>
    <row r="25" spans="1:37" ht="19.5" customHeight="1" x14ac:dyDescent="0.25">
      <c r="A25" s="500" t="str">
        <f>+LEFT('Input data'!$C$28,1)</f>
        <v>T</v>
      </c>
      <c r="B25" s="492" t="str">
        <f>+MID('Input data'!$C$28,2,1)</f>
        <v>e</v>
      </c>
      <c r="C25" s="492" t="str">
        <f>+MID('Input data'!$C$28,3,1)</f>
        <v>s</v>
      </c>
      <c r="D25" s="492" t="str">
        <f>+MID('Input data'!$C$28,4,1)</f>
        <v>l</v>
      </c>
      <c r="E25" s="492" t="str">
        <f>+MID('Input data'!$C$28,5,1)</f>
        <v>o</v>
      </c>
      <c r="F25" s="492" t="str">
        <f>+MID('Input data'!$C$28,6,1)</f>
        <v>v</v>
      </c>
      <c r="G25" s="492" t="str">
        <f>+MID('Input data'!$C$28,7,1)</f>
        <v>a</v>
      </c>
      <c r="H25" s="492" t="str">
        <f>+MID('Input data'!$C$28,8,1)</f>
        <v/>
      </c>
      <c r="I25" s="492" t="str">
        <f>+MID('Input data'!$C$28,9,1)</f>
        <v/>
      </c>
      <c r="J25" s="492" t="str">
        <f>+MID('Input data'!$C$28,10,1)</f>
        <v/>
      </c>
      <c r="K25" s="492" t="str">
        <f>+MID('Input data'!$C$28,11,1)</f>
        <v/>
      </c>
      <c r="L25" s="492" t="str">
        <f>+MID('Input data'!$C$28,12,1)</f>
        <v/>
      </c>
      <c r="M25" s="492" t="str">
        <f>+MID('Input data'!$C$28,13,1)</f>
        <v/>
      </c>
      <c r="N25" s="492" t="str">
        <f>+MID('Input data'!$C$28,14,1)</f>
        <v/>
      </c>
      <c r="O25" s="492" t="str">
        <f>+MID('Input data'!$C$28,15,1)</f>
        <v/>
      </c>
      <c r="P25" s="492" t="str">
        <f>+MID('Input data'!$C$28,16,1)</f>
        <v/>
      </c>
      <c r="Q25" s="492" t="str">
        <f>+MID('Input data'!$C$28,17,1)</f>
        <v/>
      </c>
      <c r="R25" s="492" t="str">
        <f>+MID('Input data'!$C$28,18,1)</f>
        <v/>
      </c>
      <c r="S25" s="492" t="str">
        <f>+MID('Input data'!$C$28,19,1)</f>
        <v/>
      </c>
      <c r="T25" s="492" t="str">
        <f>+MID('Input data'!$C$28,20,1)</f>
        <v/>
      </c>
      <c r="U25" s="492" t="str">
        <f>+MID('Input data'!$C$28,21,1)</f>
        <v/>
      </c>
      <c r="V25" s="492" t="str">
        <f>+MID('Input data'!$C$28,22,1)</f>
        <v/>
      </c>
      <c r="W25" s="492" t="str">
        <f>+MID('Input data'!$C$28,23,1)</f>
        <v/>
      </c>
      <c r="X25" s="492" t="str">
        <f>+MID('Input data'!$C$28,24,1)</f>
        <v/>
      </c>
      <c r="Y25" s="492" t="str">
        <f>+MID('Input data'!$C$28,25,1)</f>
        <v/>
      </c>
      <c r="Z25" s="492" t="str">
        <f>+MID('Input data'!$C$28,26,1)</f>
        <v/>
      </c>
      <c r="AA25" s="492" t="str">
        <f>+MID('Input data'!$C$28,27,1)</f>
        <v/>
      </c>
      <c r="AB25" s="492" t="str">
        <f>+MID('Input data'!$C$28,28,1)</f>
        <v/>
      </c>
      <c r="AC25" s="494"/>
      <c r="AD25" s="492" t="str">
        <f>+LEFT('Input data'!$C$30,1)</f>
        <v>2</v>
      </c>
      <c r="AE25" s="492" t="str">
        <f>+MID('Input data'!$C$30,2,1)</f>
        <v>0</v>
      </c>
      <c r="AF25" s="492" t="str">
        <f>+MID('Input data'!$C$30,3,1)</f>
        <v/>
      </c>
      <c r="AG25" s="492" t="str">
        <f>+MID('Input data'!$C$30,4,1)</f>
        <v/>
      </c>
      <c r="AH25" s="492" t="str">
        <f>+MID('Input data'!$C$30,5,1)</f>
        <v/>
      </c>
      <c r="AI25" s="492" t="str">
        <f>+MID('Input data'!$C$30,6,1)</f>
        <v/>
      </c>
      <c r="AJ25" s="492" t="str">
        <f>+MID('Input data'!$C$30,7,1)</f>
        <v/>
      </c>
      <c r="AK25" s="499" t="str">
        <f>+MID('Input data'!$C$30,8,1)</f>
        <v/>
      </c>
    </row>
    <row r="26" spans="1:37" x14ac:dyDescent="0.25">
      <c r="A26" s="497" t="s">
        <v>1172</v>
      </c>
      <c r="B26" s="455"/>
      <c r="C26" s="455"/>
      <c r="D26" s="455"/>
      <c r="E26" s="455"/>
      <c r="F26" s="455"/>
      <c r="G26" s="496" t="s">
        <v>1173</v>
      </c>
      <c r="H26" s="496"/>
      <c r="I26" s="496"/>
      <c r="J26" s="496"/>
      <c r="K26" s="496"/>
      <c r="L26" s="496"/>
      <c r="M26" s="496"/>
      <c r="N26" s="496"/>
      <c r="O26" s="496"/>
      <c r="P26" s="496"/>
      <c r="Q26" s="496"/>
      <c r="R26" s="496"/>
      <c r="S26" s="496"/>
      <c r="T26" s="496"/>
      <c r="U26" s="496"/>
      <c r="V26" s="496"/>
      <c r="W26" s="496"/>
      <c r="X26" s="496"/>
      <c r="Y26" s="496"/>
      <c r="Z26" s="496"/>
      <c r="AA26" s="496"/>
      <c r="AB26" s="496"/>
      <c r="AC26" s="496"/>
      <c r="AD26" s="496"/>
      <c r="AE26" s="450"/>
      <c r="AF26" s="450"/>
      <c r="AG26" s="450"/>
      <c r="AH26" s="450"/>
      <c r="AI26" s="450"/>
      <c r="AJ26" s="450"/>
      <c r="AK26" s="449"/>
    </row>
    <row r="27" spans="1:37" s="498" customFormat="1" ht="19.5" customHeight="1" x14ac:dyDescent="0.25">
      <c r="A27" s="500" t="str">
        <f>+LEFT('Input data'!$C$32,1)</f>
        <v>8</v>
      </c>
      <c r="B27" s="492" t="str">
        <f>+MID('Input data'!$C$32,2,1)</f>
        <v>2</v>
      </c>
      <c r="C27" s="492" t="str">
        <f>+MID('Input data'!$C$32,3,1)</f>
        <v>1</v>
      </c>
      <c r="D27" s="492" t="str">
        <f>+MID('Input data'!$C$32,4,1)</f>
        <v>0</v>
      </c>
      <c r="E27" s="492" t="str">
        <f>+MID('Input data'!$C$32,5,1)</f>
        <v>2</v>
      </c>
      <c r="F27" s="492"/>
      <c r="G27" s="492" t="str">
        <f>+LEFT('Input data'!$C$34,1)</f>
        <v>B</v>
      </c>
      <c r="H27" s="492" t="str">
        <f>+MID('Input data'!$C$34,2,1)</f>
        <v>r</v>
      </c>
      <c r="I27" s="492" t="str">
        <f>+MID('Input data'!$C$34,3,1)</f>
        <v>a</v>
      </c>
      <c r="J27" s="492" t="str">
        <f>+MID('Input data'!$C$34,4,1)</f>
        <v>t</v>
      </c>
      <c r="K27" s="492" t="str">
        <f>+MID('Input data'!$C$34,5,1)</f>
        <v>i</v>
      </c>
      <c r="L27" s="492" t="str">
        <f>+MID('Input data'!$C$34,6,1)</f>
        <v>s</v>
      </c>
      <c r="M27" s="492" t="str">
        <f>+MID('Input data'!$C$34,7,1)</f>
        <v>l</v>
      </c>
      <c r="N27" s="492" t="str">
        <f>+MID('Input data'!$C$34,8,1)</f>
        <v>a</v>
      </c>
      <c r="O27" s="492" t="str">
        <f>+MID('Input data'!$C$34,9,1)</f>
        <v>v</v>
      </c>
      <c r="P27" s="492" t="str">
        <f>+MID('Input data'!$C$34,10,1)</f>
        <v>a</v>
      </c>
      <c r="Q27" s="492" t="str">
        <f>+MID('Input data'!$C$34,11,1)</f>
        <v/>
      </c>
      <c r="R27" s="492" t="str">
        <f>+MID('Input data'!$C$34,12,1)</f>
        <v/>
      </c>
      <c r="S27" s="492" t="str">
        <f>+MID('Input data'!$C$34,13,1)</f>
        <v/>
      </c>
      <c r="T27" s="492" t="str">
        <f>+MID('Input data'!$C$34,14,1)</f>
        <v/>
      </c>
      <c r="U27" s="492" t="str">
        <f>+MID('Input data'!$C$34,15,1)</f>
        <v/>
      </c>
      <c r="V27" s="492" t="str">
        <f>+MID('Input data'!$C$34,16,1)</f>
        <v/>
      </c>
      <c r="W27" s="492" t="str">
        <f>+MID('Input data'!$C$34,17,1)</f>
        <v/>
      </c>
      <c r="X27" s="492" t="str">
        <f>+MID('Input data'!$C$34,18,1)</f>
        <v/>
      </c>
      <c r="Y27" s="492" t="str">
        <f>+MID('Input data'!$C$34,19,1)</f>
        <v/>
      </c>
      <c r="Z27" s="492" t="str">
        <f>+MID('Input data'!$C$34,20,1)</f>
        <v/>
      </c>
      <c r="AA27" s="492" t="str">
        <f>+MID('Input data'!$C$34,21,1)</f>
        <v/>
      </c>
      <c r="AB27" s="492" t="str">
        <f>+MID('Input data'!$C$34,22,1)</f>
        <v/>
      </c>
      <c r="AC27" s="492" t="str">
        <f>+MID('Input data'!$C$34,23,1)</f>
        <v/>
      </c>
      <c r="AD27" s="492" t="str">
        <f>+MID('Input data'!$C$34,24,1)</f>
        <v/>
      </c>
      <c r="AE27" s="492" t="str">
        <f>+MID('Input data'!$C$34,25,1)</f>
        <v/>
      </c>
      <c r="AF27" s="492" t="str">
        <f>+MID('Input data'!$C$34,26,1)</f>
        <v/>
      </c>
      <c r="AG27" s="492" t="str">
        <f>+MID('Input data'!$C$34,27,1)</f>
        <v/>
      </c>
      <c r="AH27" s="492" t="str">
        <f>+MID('Input data'!$C$34,28,1)</f>
        <v/>
      </c>
      <c r="AI27" s="492" t="str">
        <f>+MID('Input data'!$C$34,29,1)</f>
        <v/>
      </c>
      <c r="AJ27" s="492" t="str">
        <f>+MID('Input data'!$C$34,30,1)</f>
        <v/>
      </c>
      <c r="AK27" s="499" t="str">
        <f>+MID('Input data'!$C$34,31,1)</f>
        <v/>
      </c>
    </row>
    <row r="28" spans="1:37" x14ac:dyDescent="0.25">
      <c r="A28" s="497" t="s">
        <v>1174</v>
      </c>
      <c r="B28" s="455"/>
      <c r="C28" s="455"/>
      <c r="D28" s="455"/>
      <c r="E28" s="455"/>
      <c r="F28" s="455"/>
      <c r="G28" s="496"/>
      <c r="H28" s="496"/>
      <c r="I28" s="496"/>
      <c r="J28" s="496"/>
      <c r="K28" s="496"/>
      <c r="L28" s="496"/>
      <c r="M28" s="496"/>
      <c r="N28" s="455"/>
      <c r="O28" s="496" t="s">
        <v>1175</v>
      </c>
      <c r="P28" s="496"/>
      <c r="Q28" s="496"/>
      <c r="R28" s="496"/>
      <c r="S28" s="496"/>
      <c r="T28" s="496"/>
      <c r="U28" s="496"/>
      <c r="V28" s="496"/>
      <c r="W28" s="496"/>
      <c r="X28" s="496"/>
      <c r="Y28" s="496"/>
      <c r="Z28" s="496"/>
      <c r="AA28" s="496"/>
      <c r="AB28" s="496"/>
      <c r="AC28" s="496"/>
      <c r="AD28" s="496"/>
      <c r="AE28" s="450"/>
      <c r="AF28" s="450"/>
      <c r="AG28" s="450"/>
      <c r="AH28" s="450"/>
      <c r="AI28" s="450"/>
      <c r="AJ28" s="450"/>
      <c r="AK28" s="449"/>
    </row>
    <row r="29" spans="1:37" ht="19.5" customHeight="1" x14ac:dyDescent="0.25">
      <c r="A29" s="495">
        <v>0</v>
      </c>
      <c r="B29" s="492" t="str">
        <f>+LEFT('Input data'!$C$36,1)</f>
        <v>2</v>
      </c>
      <c r="C29" s="492" t="str">
        <f>+MID('Input data'!$C$36,2,1)</f>
        <v/>
      </c>
      <c r="D29" s="492" t="str">
        <f>+MID('Input data'!$C$36,3,1)</f>
        <v/>
      </c>
      <c r="E29" s="492" t="s">
        <v>1176</v>
      </c>
      <c r="F29" s="492" t="str">
        <f>+LEFT('Input data'!$C$38,1)</f>
        <v>4</v>
      </c>
      <c r="G29" s="492" t="str">
        <f>+MID('Input data'!$C$38,2,1)</f>
        <v>9</v>
      </c>
      <c r="H29" s="492" t="str">
        <f>+MID('Input data'!$C$38,3,1)</f>
        <v>3</v>
      </c>
      <c r="I29" s="492" t="str">
        <f>+MID('Input data'!$C$38,4,1)</f>
        <v>0</v>
      </c>
      <c r="J29" s="492" t="str">
        <f>+MID('Input data'!$C$38,5,1)</f>
        <v>0</v>
      </c>
      <c r="K29" s="492" t="str">
        <f>+MID('Input data'!$C$38,6,1)</f>
        <v>5</v>
      </c>
      <c r="L29" s="492" t="str">
        <f>+MID('Input data'!$C$38,7,1)</f>
        <v>1</v>
      </c>
      <c r="M29" s="492" t="str">
        <f>+MID('Input data'!$C$38,8,1)</f>
        <v>3</v>
      </c>
      <c r="N29" s="494"/>
      <c r="O29" s="493">
        <v>0</v>
      </c>
      <c r="P29" s="492" t="str">
        <f>+LEFT('Input data'!$C$36,1)</f>
        <v>2</v>
      </c>
      <c r="Q29" s="492" t="str">
        <f>+MID('Input data'!$C$36,2,1)</f>
        <v/>
      </c>
      <c r="R29" s="492" t="str">
        <f>+MID('Input data'!$C$36,3,1)</f>
        <v/>
      </c>
      <c r="S29" s="492" t="s">
        <v>1176</v>
      </c>
      <c r="T29" s="492" t="str">
        <f>+LEFT('Input data'!$C$40,1)</f>
        <v>4</v>
      </c>
      <c r="U29" s="492" t="str">
        <f>+MID('Input data'!$C$40,2,1)</f>
        <v>9</v>
      </c>
      <c r="V29" s="492" t="str">
        <f>+MID('Input data'!$C$40,3,1)</f>
        <v>3</v>
      </c>
      <c r="W29" s="492" t="str">
        <f>+MID('Input data'!$C$40,4,1)</f>
        <v>0</v>
      </c>
      <c r="X29" s="492" t="str">
        <f>+MID('Input data'!$C$40,5,1)</f>
        <v>0</v>
      </c>
      <c r="Y29" s="492" t="str">
        <f>+MID('Input data'!$C$40,6,1)</f>
        <v>5</v>
      </c>
      <c r="Z29" s="492" t="str">
        <f>+MID('Input data'!$C$40,7,1)</f>
        <v>5</v>
      </c>
      <c r="AA29" s="492" t="str">
        <f>+MID('Input data'!$C$40,8,1)</f>
        <v>0</v>
      </c>
      <c r="AB29" s="492"/>
      <c r="AC29" s="492"/>
      <c r="AD29" s="492"/>
      <c r="AE29" s="450"/>
      <c r="AF29" s="450"/>
      <c r="AG29" s="450" t="s">
        <v>1177</v>
      </c>
      <c r="AH29" s="450"/>
      <c r="AI29" s="450"/>
      <c r="AJ29" s="450"/>
      <c r="AK29" s="449"/>
    </row>
    <row r="30" spans="1:37" s="442" customFormat="1" x14ac:dyDescent="0.25">
      <c r="A30" s="454" t="s">
        <v>1178</v>
      </c>
      <c r="B30" s="453"/>
      <c r="C30" s="453"/>
      <c r="D30" s="453"/>
      <c r="E30" s="453"/>
      <c r="F30" s="453"/>
      <c r="G30" s="453"/>
      <c r="H30" s="453"/>
      <c r="I30" s="453"/>
      <c r="J30" s="453"/>
      <c r="K30" s="453"/>
      <c r="L30" s="453"/>
      <c r="M30" s="453"/>
      <c r="N30" s="453"/>
      <c r="O30" s="453"/>
      <c r="P30" s="453"/>
      <c r="Q30" s="453"/>
      <c r="R30" s="453"/>
      <c r="S30" s="453"/>
      <c r="T30" s="453"/>
      <c r="U30" s="453"/>
      <c r="V30" s="453"/>
      <c r="W30" s="450"/>
      <c r="X30" s="450"/>
      <c r="Y30" s="450"/>
      <c r="Z30" s="450"/>
      <c r="AA30" s="450"/>
      <c r="AB30" s="450"/>
      <c r="AC30" s="450"/>
      <c r="AD30" s="450"/>
      <c r="AE30" s="450"/>
      <c r="AF30" s="450"/>
      <c r="AG30" s="450"/>
      <c r="AH30" s="450"/>
      <c r="AI30" s="450"/>
      <c r="AJ30" s="450"/>
      <c r="AK30" s="449"/>
    </row>
    <row r="31" spans="1:37" ht="19.5" customHeight="1" thickBot="1" x14ac:dyDescent="0.3">
      <c r="A31" s="491" t="str">
        <f>+LEFT('Input data'!$B$42,1)</f>
        <v/>
      </c>
      <c r="B31" s="490" t="str">
        <f>+MID('Input data'!$B$42,2,1)</f>
        <v/>
      </c>
      <c r="C31" s="490" t="str">
        <f>+MID('Input data'!$B$42,3,1)</f>
        <v/>
      </c>
      <c r="D31" s="490" t="str">
        <f>+MID('Input data'!$B$42,4,1)</f>
        <v/>
      </c>
      <c r="E31" s="490" t="str">
        <f>+MID('Input data'!$B$42,5,1)</f>
        <v/>
      </c>
      <c r="F31" s="490" t="str">
        <f>+MID('Input data'!$B$42,6,1)</f>
        <v/>
      </c>
      <c r="G31" s="490" t="str">
        <f>+MID('Input data'!$B$42,7,1)</f>
        <v/>
      </c>
      <c r="H31" s="490" t="str">
        <f>+MID('Input data'!$B$42,8,1)</f>
        <v/>
      </c>
      <c r="I31" s="490" t="str">
        <f>+MID('Input data'!$B$42,9,1)</f>
        <v/>
      </c>
      <c r="J31" s="490" t="str">
        <f>+MID('Input data'!$B$42,10,1)</f>
        <v/>
      </c>
      <c r="K31" s="490" t="str">
        <f>+MID('Input data'!$B$42,11,1)</f>
        <v/>
      </c>
      <c r="L31" s="490" t="str">
        <f>+MID('Input data'!$B$42,12,1)</f>
        <v/>
      </c>
      <c r="M31" s="490" t="str">
        <f>+MID('Input data'!$B$42,13,1)</f>
        <v/>
      </c>
      <c r="N31" s="490" t="str">
        <f>+MID('Input data'!$B$42,14,1)</f>
        <v/>
      </c>
      <c r="O31" s="490" t="str">
        <f>+MID('Input data'!$B$42,15,1)</f>
        <v/>
      </c>
      <c r="P31" s="490" t="str">
        <f>+MID('Input data'!$B$42,16,1)</f>
        <v/>
      </c>
      <c r="Q31" s="490" t="str">
        <f>+MID('Input data'!$B$42,17,1)</f>
        <v/>
      </c>
      <c r="R31" s="490" t="str">
        <f>+MID('Input data'!$B$42,18,1)</f>
        <v/>
      </c>
      <c r="S31" s="490" t="str">
        <f>+MID('Input data'!$B$42,19,1)</f>
        <v/>
      </c>
      <c r="T31" s="490" t="str">
        <f>+MID('Input data'!$B$42,20,1)</f>
        <v/>
      </c>
      <c r="U31" s="490" t="str">
        <f>+MID('Input data'!$B$42,21,1)</f>
        <v/>
      </c>
      <c r="V31" s="490" t="str">
        <f>+MID('Input data'!$B$42,22,1)</f>
        <v/>
      </c>
      <c r="W31" s="490" t="str">
        <f>+MID('Input data'!$B$42,23,1)</f>
        <v/>
      </c>
      <c r="X31" s="490" t="str">
        <f>+MID('Input data'!$B$42,24,1)</f>
        <v/>
      </c>
      <c r="Y31" s="490" t="str">
        <f>+MID('Input data'!$B$42,25,1)</f>
        <v/>
      </c>
      <c r="Z31" s="490" t="str">
        <f>+MID('Input data'!$B$42,26,1)</f>
        <v/>
      </c>
      <c r="AA31" s="490" t="str">
        <f>+MID('Input data'!$B$42,27,1)</f>
        <v/>
      </c>
      <c r="AB31" s="490" t="str">
        <f>+MID('Input data'!$B$42,28,1)</f>
        <v/>
      </c>
      <c r="AC31" s="490" t="str">
        <f>+MID('Input data'!$B$42,29,1)</f>
        <v/>
      </c>
      <c r="AD31" s="490" t="str">
        <f>+MID('Input data'!$B$42,30,1)</f>
        <v/>
      </c>
      <c r="AE31" s="490" t="str">
        <f>+MID('Input data'!$B$42,31,1)</f>
        <v/>
      </c>
      <c r="AF31" s="490" t="str">
        <f>+MID('Input data'!$B$42,32,1)</f>
        <v/>
      </c>
      <c r="AG31" s="490" t="str">
        <f>+MID('Input data'!$B$42,33,1)</f>
        <v/>
      </c>
      <c r="AH31" s="490" t="str">
        <f>+MID('Input data'!$B$42,34,1)</f>
        <v/>
      </c>
      <c r="AI31" s="490" t="str">
        <f>+MID('Input data'!$B$42,35,1)</f>
        <v/>
      </c>
      <c r="AJ31" s="490" t="str">
        <f>+MID('Input data'!$B$42,36,1)</f>
        <v/>
      </c>
      <c r="AK31" s="489" t="str">
        <f>+MID('Input data'!$B$42,37,1)</f>
        <v/>
      </c>
    </row>
    <row r="32" spans="1:37" s="442" customFormat="1" ht="4.5" customHeight="1" thickBot="1" x14ac:dyDescent="0.3">
      <c r="W32" s="443"/>
      <c r="X32" s="443"/>
      <c r="Y32" s="443"/>
      <c r="Z32" s="443"/>
      <c r="AA32" s="443"/>
      <c r="AB32" s="443"/>
      <c r="AC32" s="443"/>
      <c r="AD32" s="443"/>
      <c r="AE32" s="443"/>
      <c r="AF32" s="443"/>
      <c r="AG32" s="443"/>
      <c r="AH32" s="443"/>
      <c r="AI32" s="443"/>
      <c r="AJ32" s="443"/>
      <c r="AK32" s="443"/>
    </row>
    <row r="33" spans="1:37" s="485" customFormat="1" ht="12.75" customHeight="1" x14ac:dyDescent="0.25">
      <c r="A33" s="488" t="s">
        <v>1179</v>
      </c>
      <c r="B33" s="487"/>
      <c r="C33" s="487"/>
      <c r="D33" s="487"/>
      <c r="E33" s="487"/>
      <c r="F33" s="487"/>
      <c r="G33" s="487"/>
      <c r="H33" s="487"/>
      <c r="I33" s="487"/>
      <c r="J33" s="487"/>
      <c r="K33" s="486"/>
      <c r="L33" s="1465" t="s">
        <v>1180</v>
      </c>
      <c r="M33" s="1466"/>
      <c r="N33" s="1466"/>
      <c r="O33" s="1466"/>
      <c r="P33" s="1466"/>
      <c r="Q33" s="1466"/>
      <c r="R33" s="1466"/>
      <c r="S33" s="1466"/>
      <c r="T33" s="1471"/>
      <c r="U33" s="1018" t="s">
        <v>1181</v>
      </c>
      <c r="V33" s="1018"/>
      <c r="W33" s="1018"/>
      <c r="X33" s="1018"/>
      <c r="Y33" s="1018"/>
      <c r="Z33" s="1018"/>
      <c r="AA33" s="1018"/>
      <c r="AB33" s="1019"/>
      <c r="AC33" s="1465" t="s">
        <v>1182</v>
      </c>
      <c r="AD33" s="1466"/>
      <c r="AE33" s="1466"/>
      <c r="AF33" s="1466"/>
      <c r="AG33" s="1466"/>
      <c r="AH33" s="1466"/>
      <c r="AI33" s="1466"/>
      <c r="AJ33" s="1466"/>
      <c r="AK33" s="1467"/>
    </row>
    <row r="34" spans="1:37" s="442" customFormat="1" ht="19.5" customHeight="1" x14ac:dyDescent="0.25">
      <c r="A34" s="471" t="str">
        <f>LEFT(TEXT('Input data'!F25,"dd.m.yyyy"),1)</f>
        <v>1</v>
      </c>
      <c r="B34" s="470" t="str">
        <f>MID(TEXT('Input data'!$F$25,"dd.mm.yyyy"),2,1)</f>
        <v>3</v>
      </c>
      <c r="C34" s="469" t="s">
        <v>1147</v>
      </c>
      <c r="D34" s="470" t="str">
        <f>MID(TEXT('Input data'!$F$25,"dd.mm.yyyy"),4,1)</f>
        <v>0</v>
      </c>
      <c r="E34" s="470" t="str">
        <f>MID(TEXT('Input data'!$F$25,"dd.mm.yyyy"),5,1)</f>
        <v>6</v>
      </c>
      <c r="F34" s="469" t="s">
        <v>1147</v>
      </c>
      <c r="G34" s="468" t="str">
        <f>MID(TEXT('Input data'!$F$25,"dd.mm.yyyy"),7,1)</f>
        <v>2</v>
      </c>
      <c r="H34" s="468" t="str">
        <f>MID(TEXT('Input data'!$F$25,"dd.mm.yyyy"),8,1)</f>
        <v>0</v>
      </c>
      <c r="I34" s="468" t="str">
        <f>MID(TEXT('Input data'!$F$25,"dd.mm.yyyy"),9,1)</f>
        <v>1</v>
      </c>
      <c r="J34" s="468" t="str">
        <f>MID(TEXT('Input data'!$F$25,"dd.mm.yyyy"),10,1)</f>
        <v>4</v>
      </c>
      <c r="K34" s="484"/>
      <c r="L34" s="1468"/>
      <c r="M34" s="1469"/>
      <c r="N34" s="1469"/>
      <c r="O34" s="1469"/>
      <c r="P34" s="1469"/>
      <c r="Q34" s="1469"/>
      <c r="R34" s="1469"/>
      <c r="S34" s="1469"/>
      <c r="T34" s="1472"/>
      <c r="U34" s="1021"/>
      <c r="V34" s="1021"/>
      <c r="W34" s="1021"/>
      <c r="X34" s="1021"/>
      <c r="Y34" s="1021"/>
      <c r="Z34" s="1021"/>
      <c r="AA34" s="1021"/>
      <c r="AB34" s="1022"/>
      <c r="AC34" s="1468"/>
      <c r="AD34" s="1469"/>
      <c r="AE34" s="1469"/>
      <c r="AF34" s="1469"/>
      <c r="AG34" s="1469"/>
      <c r="AH34" s="1469"/>
      <c r="AI34" s="1469"/>
      <c r="AJ34" s="1469"/>
      <c r="AK34" s="1470"/>
    </row>
    <row r="35" spans="1:37" s="442" customFormat="1" ht="13.5" customHeight="1" x14ac:dyDescent="0.25">
      <c r="A35" s="483"/>
      <c r="B35" s="482"/>
      <c r="C35" s="482"/>
      <c r="D35" s="482"/>
      <c r="E35" s="482"/>
      <c r="F35" s="482"/>
      <c r="G35" s="481"/>
      <c r="H35" s="481"/>
      <c r="I35" s="481"/>
      <c r="J35" s="481"/>
      <c r="K35" s="480"/>
      <c r="L35" s="1468"/>
      <c r="M35" s="1469"/>
      <c r="N35" s="1469"/>
      <c r="O35" s="1469"/>
      <c r="P35" s="1469"/>
      <c r="Q35" s="1469"/>
      <c r="R35" s="1469"/>
      <c r="S35" s="1469"/>
      <c r="T35" s="1472"/>
      <c r="U35" s="1021"/>
      <c r="V35" s="1021"/>
      <c r="W35" s="1021"/>
      <c r="X35" s="1021"/>
      <c r="Y35" s="1021"/>
      <c r="Z35" s="1021"/>
      <c r="AA35" s="1021"/>
      <c r="AB35" s="1022"/>
      <c r="AC35" s="1468"/>
      <c r="AD35" s="1469"/>
      <c r="AE35" s="1469"/>
      <c r="AF35" s="1469"/>
      <c r="AG35" s="1469"/>
      <c r="AH35" s="1469"/>
      <c r="AI35" s="1469"/>
      <c r="AJ35" s="1469"/>
      <c r="AK35" s="1470"/>
    </row>
    <row r="36" spans="1:37" s="442" customFormat="1" x14ac:dyDescent="0.2">
      <c r="A36" s="454" t="s">
        <v>1183</v>
      </c>
      <c r="B36" s="453"/>
      <c r="C36" s="453"/>
      <c r="D36" s="453"/>
      <c r="E36" s="453"/>
      <c r="F36" s="453"/>
      <c r="G36" s="479"/>
      <c r="H36" s="479"/>
      <c r="I36" s="479"/>
      <c r="J36" s="479"/>
      <c r="K36" s="478"/>
      <c r="L36" s="477"/>
      <c r="M36" s="477"/>
      <c r="N36" s="477"/>
      <c r="O36" s="477"/>
      <c r="P36" s="477"/>
      <c r="Q36" s="477"/>
      <c r="R36" s="477"/>
      <c r="S36" s="453"/>
      <c r="T36" s="475"/>
      <c r="U36" s="476"/>
      <c r="V36" s="476"/>
      <c r="W36" s="476"/>
      <c r="X36" s="476"/>
      <c r="Y36" s="476"/>
      <c r="Z36" s="450"/>
      <c r="AA36" s="476"/>
      <c r="AB36" s="475"/>
      <c r="AC36" s="474"/>
      <c r="AD36" s="473"/>
      <c r="AE36" s="473"/>
      <c r="AF36" s="473"/>
      <c r="AG36" s="473"/>
      <c r="AH36" s="473"/>
      <c r="AI36" s="473"/>
      <c r="AJ36" s="473"/>
      <c r="AK36" s="472"/>
    </row>
    <row r="37" spans="1:37" s="442" customFormat="1" ht="19.5" customHeight="1" x14ac:dyDescent="0.25">
      <c r="A37" s="471" t="str">
        <f>IF('Input data'!$F$27="","",LEFT(TEXT('Input data'!$F$27,"dd.mm.yyyy"),1))</f>
        <v/>
      </c>
      <c r="B37" s="470" t="str">
        <f>IF('Input data'!$F$27="","",MID(TEXT('Input data'!$F$27,"dd.mm.yyyy"),2,1))</f>
        <v/>
      </c>
      <c r="C37" s="469" t="s">
        <v>1147</v>
      </c>
      <c r="D37" s="470" t="str">
        <f>IF('Input data'!$F$27="","",MID(TEXT('Input data'!$F$27,"dd.mm.yyyy"),4,1))</f>
        <v/>
      </c>
      <c r="E37" s="470" t="str">
        <f>IF('Input data'!$F$27="","",MID(TEXT('Input data'!$F$27,"dd.mm.yyyy"),5,1))</f>
        <v/>
      </c>
      <c r="F37" s="469" t="s">
        <v>1147</v>
      </c>
      <c r="G37" s="468" t="str">
        <f>IF('Input data'!$F$27="","",MID(TEXT('Input data'!$F$27,"dd.mm.yyyy"),7,1))</f>
        <v/>
      </c>
      <c r="H37" s="468" t="str">
        <f>IF('Input data'!$F$27="","",MID(TEXT('Input data'!$F$27,"dd.mm.yyyy"),8,1))</f>
        <v/>
      </c>
      <c r="I37" s="468" t="str">
        <f>IF('Input data'!$F$27="","",MID(TEXT('Input data'!$F$27,"dd.mm.yyyy"),9,1))</f>
        <v/>
      </c>
      <c r="J37" s="468" t="str">
        <f>IF('Input data'!$F$27="","",MID(TEXT('Input data'!$F$27,"dd.mm.yyyy"),10,1))</f>
        <v/>
      </c>
      <c r="K37" s="467"/>
      <c r="L37" s="466"/>
      <c r="M37" s="465"/>
      <c r="N37" s="465"/>
      <c r="O37" s="465"/>
      <c r="P37" s="465"/>
      <c r="Q37" s="465"/>
      <c r="R37" s="465"/>
      <c r="S37" s="465"/>
      <c r="T37" s="464"/>
      <c r="U37" s="466"/>
      <c r="V37" s="465"/>
      <c r="W37" s="465"/>
      <c r="X37" s="465"/>
      <c r="Y37" s="465"/>
      <c r="Z37" s="465"/>
      <c r="AA37" s="465"/>
      <c r="AB37" s="464"/>
      <c r="AC37" s="450"/>
      <c r="AD37" s="450"/>
      <c r="AE37" s="450"/>
      <c r="AF37" s="450"/>
      <c r="AG37" s="450"/>
      <c r="AH37" s="450"/>
      <c r="AI37" s="450"/>
      <c r="AJ37" s="450"/>
      <c r="AK37" s="449"/>
    </row>
    <row r="38" spans="1:37" s="448" customFormat="1" thickBot="1" x14ac:dyDescent="0.3">
      <c r="A38" s="463"/>
      <c r="B38" s="462"/>
      <c r="C38" s="462"/>
      <c r="D38" s="462"/>
      <c r="E38" s="462"/>
      <c r="F38" s="462"/>
      <c r="G38" s="462"/>
      <c r="H38" s="462"/>
      <c r="I38" s="462"/>
      <c r="J38" s="462"/>
      <c r="K38" s="461"/>
      <c r="L38" s="1025">
        <f>'Input data'!F31</f>
        <v>0</v>
      </c>
      <c r="M38" s="1026"/>
      <c r="N38" s="1026"/>
      <c r="O38" s="1026"/>
      <c r="P38" s="1026"/>
      <c r="Q38" s="1026"/>
      <c r="R38" s="1026"/>
      <c r="S38" s="1026"/>
      <c r="T38" s="1027"/>
      <c r="U38" s="1025">
        <f>'Input data'!F35</f>
        <v>0</v>
      </c>
      <c r="V38" s="1026"/>
      <c r="W38" s="1026"/>
      <c r="X38" s="1026"/>
      <c r="Y38" s="1026"/>
      <c r="Z38" s="1026"/>
      <c r="AA38" s="1026"/>
      <c r="AB38" s="1027"/>
      <c r="AC38" s="1028">
        <f>'Input data'!F39</f>
        <v>0</v>
      </c>
      <c r="AD38" s="1026"/>
      <c r="AE38" s="1026"/>
      <c r="AF38" s="1026"/>
      <c r="AG38" s="1026"/>
      <c r="AH38" s="1026"/>
      <c r="AI38" s="1026"/>
      <c r="AJ38" s="1026"/>
      <c r="AK38" s="1029"/>
    </row>
    <row r="39" spans="1:37" s="448" customFormat="1" x14ac:dyDescent="0.25">
      <c r="W39" s="443"/>
      <c r="X39" s="443"/>
      <c r="Y39" s="443"/>
      <c r="Z39" s="443"/>
      <c r="AA39" s="443"/>
      <c r="AB39" s="443"/>
      <c r="AC39" s="443"/>
      <c r="AD39" s="443"/>
      <c r="AE39" s="443"/>
      <c r="AF39" s="443"/>
      <c r="AG39" s="443"/>
      <c r="AH39" s="443"/>
      <c r="AI39" s="443"/>
      <c r="AJ39" s="443"/>
      <c r="AK39" s="443"/>
    </row>
    <row r="40" spans="1:37" s="448" customFormat="1" ht="12.75" customHeight="1" x14ac:dyDescent="0.25">
      <c r="W40" s="443"/>
      <c r="X40" s="443"/>
      <c r="Y40" s="443"/>
      <c r="Z40" s="443"/>
      <c r="AA40" s="443"/>
      <c r="AB40" s="443"/>
      <c r="AC40" s="443"/>
      <c r="AD40" s="443"/>
      <c r="AE40" s="443"/>
      <c r="AF40" s="443"/>
      <c r="AG40" s="443"/>
      <c r="AH40" s="443"/>
      <c r="AI40" s="443"/>
      <c r="AJ40" s="443"/>
      <c r="AK40" s="443"/>
    </row>
    <row r="41" spans="1:37" s="448" customFormat="1" x14ac:dyDescent="0.25">
      <c r="W41" s="443"/>
      <c r="X41" s="443"/>
      <c r="Y41" s="443"/>
      <c r="Z41" s="443"/>
      <c r="AA41" s="443"/>
      <c r="AB41" s="443"/>
      <c r="AC41" s="443"/>
      <c r="AD41" s="443"/>
      <c r="AE41" s="443"/>
      <c r="AF41" s="443"/>
      <c r="AG41" s="443"/>
      <c r="AH41" s="443"/>
      <c r="AI41" s="443"/>
      <c r="AJ41" s="443"/>
      <c r="AK41" s="443"/>
    </row>
    <row r="42" spans="1:37" ht="13.5" thickBot="1" x14ac:dyDescent="0.3">
      <c r="W42" s="443"/>
      <c r="X42" s="443"/>
      <c r="Y42" s="443"/>
      <c r="Z42" s="443"/>
      <c r="AA42" s="443"/>
      <c r="AB42" s="443"/>
      <c r="AC42" s="443"/>
      <c r="AD42" s="443"/>
      <c r="AE42" s="443"/>
      <c r="AF42" s="443"/>
      <c r="AG42" s="443"/>
      <c r="AH42" s="443"/>
      <c r="AI42" s="443"/>
      <c r="AJ42" s="443"/>
      <c r="AK42" s="443"/>
    </row>
    <row r="43" spans="1:37" s="448" customFormat="1" x14ac:dyDescent="0.25">
      <c r="B43" s="460" t="s">
        <v>1184</v>
      </c>
      <c r="C43" s="459"/>
      <c r="D43" s="459"/>
      <c r="E43" s="459"/>
      <c r="F43" s="459"/>
      <c r="G43" s="459"/>
      <c r="H43" s="459"/>
      <c r="I43" s="459"/>
      <c r="J43" s="459"/>
      <c r="K43" s="459"/>
      <c r="L43" s="459"/>
      <c r="M43" s="459"/>
      <c r="N43" s="459"/>
      <c r="O43" s="459"/>
      <c r="P43" s="459"/>
      <c r="Q43" s="459"/>
      <c r="R43" s="459"/>
      <c r="S43" s="459"/>
      <c r="T43" s="459"/>
      <c r="U43" s="459"/>
      <c r="V43" s="459"/>
      <c r="W43" s="458"/>
      <c r="X43" s="458"/>
      <c r="Y43" s="458"/>
      <c r="Z43" s="458"/>
      <c r="AA43" s="458"/>
      <c r="AB43" s="458"/>
      <c r="AC43" s="458"/>
      <c r="AD43" s="458"/>
      <c r="AE43" s="458"/>
      <c r="AF43" s="458"/>
      <c r="AG43" s="458"/>
      <c r="AH43" s="458"/>
      <c r="AI43" s="458"/>
      <c r="AJ43" s="457"/>
      <c r="AK43" s="443"/>
    </row>
    <row r="44" spans="1:37" s="448" customFormat="1" x14ac:dyDescent="0.25">
      <c r="B44" s="452"/>
      <c r="C44" s="451"/>
      <c r="D44" s="451"/>
      <c r="E44" s="451"/>
      <c r="F44" s="451"/>
      <c r="G44" s="451"/>
      <c r="H44" s="451"/>
      <c r="I44" s="451"/>
      <c r="J44" s="451"/>
      <c r="K44" s="451"/>
      <c r="L44" s="451"/>
      <c r="M44" s="451"/>
      <c r="N44" s="451"/>
      <c r="O44" s="451"/>
      <c r="P44" s="451"/>
      <c r="Q44" s="451"/>
      <c r="R44" s="451"/>
      <c r="S44" s="451"/>
      <c r="T44" s="451"/>
      <c r="U44" s="451"/>
      <c r="V44" s="451"/>
      <c r="W44" s="450"/>
      <c r="X44" s="450"/>
      <c r="Y44" s="450"/>
      <c r="Z44" s="450"/>
      <c r="AA44" s="450"/>
      <c r="AB44" s="450"/>
      <c r="AC44" s="450"/>
      <c r="AD44" s="450"/>
      <c r="AE44" s="450"/>
      <c r="AF44" s="450"/>
      <c r="AG44" s="450"/>
      <c r="AH44" s="450"/>
      <c r="AI44" s="450"/>
      <c r="AJ44" s="449"/>
      <c r="AK44" s="443"/>
    </row>
    <row r="45" spans="1:37" ht="12.75" customHeight="1" x14ac:dyDescent="0.25">
      <c r="B45" s="456"/>
      <c r="C45" s="455"/>
      <c r="D45" s="455"/>
      <c r="E45" s="455"/>
      <c r="F45" s="455"/>
      <c r="G45" s="455"/>
      <c r="H45" s="455"/>
      <c r="I45" s="455"/>
      <c r="J45" s="455"/>
      <c r="K45" s="455"/>
      <c r="L45" s="455"/>
      <c r="M45" s="455"/>
      <c r="N45" s="455"/>
      <c r="O45" s="455"/>
      <c r="P45" s="455"/>
      <c r="Q45" s="455"/>
      <c r="R45" s="455"/>
      <c r="S45" s="455"/>
      <c r="T45" s="455"/>
      <c r="U45" s="455"/>
      <c r="V45" s="455"/>
      <c r="W45" s="450"/>
      <c r="X45" s="450"/>
      <c r="Y45" s="450"/>
      <c r="Z45" s="450"/>
      <c r="AA45" s="450"/>
      <c r="AB45" s="450"/>
      <c r="AC45" s="450"/>
      <c r="AD45" s="450"/>
      <c r="AE45" s="450"/>
      <c r="AF45" s="450"/>
      <c r="AG45" s="450"/>
      <c r="AH45" s="450"/>
      <c r="AI45" s="450"/>
      <c r="AJ45" s="449"/>
      <c r="AK45" s="443"/>
    </row>
    <row r="46" spans="1:37" s="448" customFormat="1" x14ac:dyDescent="0.25">
      <c r="B46" s="452"/>
      <c r="C46" s="451"/>
      <c r="D46" s="451"/>
      <c r="E46" s="451"/>
      <c r="F46" s="451"/>
      <c r="G46" s="451"/>
      <c r="H46" s="451"/>
      <c r="I46" s="451"/>
      <c r="J46" s="451"/>
      <c r="K46" s="451"/>
      <c r="L46" s="451"/>
      <c r="M46" s="451"/>
      <c r="N46" s="451"/>
      <c r="O46" s="451"/>
      <c r="P46" s="451"/>
      <c r="Q46" s="451"/>
      <c r="R46" s="451"/>
      <c r="S46" s="451"/>
      <c r="T46" s="451"/>
      <c r="U46" s="451"/>
      <c r="V46" s="451"/>
      <c r="W46" s="450"/>
      <c r="X46" s="450"/>
      <c r="Y46" s="450"/>
      <c r="Z46" s="450"/>
      <c r="AA46" s="450"/>
      <c r="AB46" s="450"/>
      <c r="AC46" s="450"/>
      <c r="AD46" s="450"/>
      <c r="AE46" s="450"/>
      <c r="AF46" s="450"/>
      <c r="AG46" s="450"/>
      <c r="AH46" s="450"/>
      <c r="AI46" s="450"/>
      <c r="AJ46" s="449"/>
      <c r="AK46" s="443"/>
    </row>
    <row r="47" spans="1:37" s="442" customFormat="1" x14ac:dyDescent="0.25">
      <c r="B47" s="454"/>
      <c r="C47" s="453"/>
      <c r="D47" s="453"/>
      <c r="E47" s="453"/>
      <c r="F47" s="453"/>
      <c r="G47" s="453"/>
      <c r="H47" s="453"/>
      <c r="I47" s="453"/>
      <c r="J47" s="453"/>
      <c r="K47" s="453"/>
      <c r="L47" s="453"/>
      <c r="M47" s="453"/>
      <c r="N47" s="453"/>
      <c r="O47" s="453"/>
      <c r="P47" s="453"/>
      <c r="Q47" s="453"/>
      <c r="R47" s="453"/>
      <c r="S47" s="453"/>
      <c r="T47" s="453"/>
      <c r="U47" s="453"/>
      <c r="V47" s="453"/>
      <c r="W47" s="450"/>
      <c r="X47" s="450"/>
      <c r="Y47" s="450"/>
      <c r="Z47" s="450"/>
      <c r="AA47" s="450"/>
      <c r="AB47" s="450"/>
      <c r="AC47" s="450"/>
      <c r="AD47" s="450"/>
      <c r="AE47" s="450"/>
      <c r="AF47" s="450"/>
      <c r="AG47" s="450"/>
      <c r="AH47" s="450"/>
      <c r="AI47" s="450"/>
      <c r="AJ47" s="449"/>
      <c r="AK47" s="443"/>
    </row>
    <row r="48" spans="1:37" s="442" customFormat="1" x14ac:dyDescent="0.25">
      <c r="B48" s="454"/>
      <c r="C48" s="453"/>
      <c r="D48" s="453"/>
      <c r="E48" s="453"/>
      <c r="F48" s="453"/>
      <c r="G48" s="453"/>
      <c r="H48" s="453"/>
      <c r="I48" s="453"/>
      <c r="J48" s="453"/>
      <c r="K48" s="453"/>
      <c r="L48" s="453"/>
      <c r="M48" s="453"/>
      <c r="N48" s="453"/>
      <c r="O48" s="453"/>
      <c r="P48" s="453"/>
      <c r="Q48" s="453"/>
      <c r="R48" s="453"/>
      <c r="S48" s="453"/>
      <c r="T48" s="453"/>
      <c r="U48" s="453"/>
      <c r="V48" s="453"/>
      <c r="W48" s="450"/>
      <c r="X48" s="450"/>
      <c r="Y48" s="450"/>
      <c r="Z48" s="450"/>
      <c r="AA48" s="450"/>
      <c r="AB48" s="450"/>
      <c r="AC48" s="450"/>
      <c r="AD48" s="450"/>
      <c r="AE48" s="450"/>
      <c r="AF48" s="450"/>
      <c r="AG48" s="450"/>
      <c r="AH48" s="450"/>
      <c r="AI48" s="450"/>
      <c r="AJ48" s="449"/>
      <c r="AK48" s="443"/>
    </row>
    <row r="49" spans="2:37" s="448" customFormat="1" x14ac:dyDescent="0.25">
      <c r="B49" s="452"/>
      <c r="C49" s="451"/>
      <c r="D49" s="451"/>
      <c r="E49" s="451"/>
      <c r="F49" s="451"/>
      <c r="G49" s="451"/>
      <c r="H49" s="451"/>
      <c r="I49" s="451"/>
      <c r="J49" s="451"/>
      <c r="K49" s="451"/>
      <c r="L49" s="451"/>
      <c r="M49" s="451"/>
      <c r="N49" s="451"/>
      <c r="O49" s="451"/>
      <c r="P49" s="451"/>
      <c r="Q49" s="451"/>
      <c r="R49" s="451"/>
      <c r="S49" s="451"/>
      <c r="T49" s="451"/>
      <c r="U49" s="451"/>
      <c r="V49" s="451"/>
      <c r="W49" s="450"/>
      <c r="X49" s="450"/>
      <c r="Y49" s="450"/>
      <c r="Z49" s="450"/>
      <c r="AA49" s="450"/>
      <c r="AB49" s="450"/>
      <c r="AC49" s="450"/>
      <c r="AD49" s="450"/>
      <c r="AE49" s="450"/>
      <c r="AF49" s="450"/>
      <c r="AG49" s="450"/>
      <c r="AH49" s="450"/>
      <c r="AI49" s="450"/>
      <c r="AJ49" s="449"/>
      <c r="AK49" s="443"/>
    </row>
    <row r="50" spans="2:37" s="448" customFormat="1" x14ac:dyDescent="0.25">
      <c r="B50" s="452"/>
      <c r="C50" s="451"/>
      <c r="D50" s="451"/>
      <c r="E50" s="451"/>
      <c r="F50" s="451"/>
      <c r="G50" s="451"/>
      <c r="H50" s="451"/>
      <c r="I50" s="451"/>
      <c r="J50" s="451"/>
      <c r="K50" s="451"/>
      <c r="L50" s="451"/>
      <c r="M50" s="451"/>
      <c r="N50" s="451"/>
      <c r="O50" s="451"/>
      <c r="P50" s="451"/>
      <c r="Q50" s="451"/>
      <c r="R50" s="451"/>
      <c r="S50" s="451"/>
      <c r="T50" s="451"/>
      <c r="U50" s="451"/>
      <c r="V50" s="451"/>
      <c r="W50" s="450"/>
      <c r="X50" s="450"/>
      <c r="Y50" s="450"/>
      <c r="Z50" s="450"/>
      <c r="AA50" s="450"/>
      <c r="AB50" s="450"/>
      <c r="AC50" s="450"/>
      <c r="AD50" s="450"/>
      <c r="AE50" s="450"/>
      <c r="AF50" s="450"/>
      <c r="AG50" s="450"/>
      <c r="AH50" s="450"/>
      <c r="AI50" s="450"/>
      <c r="AJ50" s="449"/>
      <c r="AK50" s="443"/>
    </row>
    <row r="51" spans="2:37" s="448" customFormat="1" x14ac:dyDescent="0.25">
      <c r="B51" s="452"/>
      <c r="C51" s="451"/>
      <c r="D51" s="451"/>
      <c r="E51" s="451"/>
      <c r="F51" s="451"/>
      <c r="G51" s="451"/>
      <c r="H51" s="451"/>
      <c r="I51" s="451"/>
      <c r="J51" s="451"/>
      <c r="K51" s="451"/>
      <c r="L51" s="451"/>
      <c r="M51" s="451"/>
      <c r="N51" s="451"/>
      <c r="O51" s="451"/>
      <c r="P51" s="451"/>
      <c r="Q51" s="451"/>
      <c r="R51" s="451"/>
      <c r="S51" s="451"/>
      <c r="T51" s="451"/>
      <c r="U51" s="451"/>
      <c r="V51" s="451"/>
      <c r="W51" s="450"/>
      <c r="X51" s="450"/>
      <c r="Y51" s="450"/>
      <c r="Z51" s="450"/>
      <c r="AA51" s="450"/>
      <c r="AB51" s="450"/>
      <c r="AC51" s="450"/>
      <c r="AD51" s="450"/>
      <c r="AE51" s="450"/>
      <c r="AF51" s="450"/>
      <c r="AG51" s="450"/>
      <c r="AH51" s="450"/>
      <c r="AI51" s="450"/>
      <c r="AJ51" s="449"/>
      <c r="AK51" s="443"/>
    </row>
    <row r="52" spans="2:37" s="448" customFormat="1" x14ac:dyDescent="0.25">
      <c r="B52" s="452"/>
      <c r="C52" s="451"/>
      <c r="D52" s="451"/>
      <c r="E52" s="451"/>
      <c r="F52" s="451"/>
      <c r="G52" s="451"/>
      <c r="H52" s="451"/>
      <c r="I52" s="451"/>
      <c r="J52" s="451"/>
      <c r="K52" s="451"/>
      <c r="L52" s="451"/>
      <c r="M52" s="451"/>
      <c r="N52" s="451"/>
      <c r="O52" s="451"/>
      <c r="P52" s="451"/>
      <c r="Q52" s="451"/>
      <c r="R52" s="451"/>
      <c r="S52" s="451"/>
      <c r="T52" s="451"/>
      <c r="U52" s="451"/>
      <c r="V52" s="451"/>
      <c r="W52" s="450"/>
      <c r="X52" s="450"/>
      <c r="Y52" s="450"/>
      <c r="Z52" s="450"/>
      <c r="AA52" s="450"/>
      <c r="AB52" s="450"/>
      <c r="AC52" s="450"/>
      <c r="AD52" s="450"/>
      <c r="AE52" s="450"/>
      <c r="AF52" s="450"/>
      <c r="AG52" s="450"/>
      <c r="AH52" s="450"/>
      <c r="AI52" s="450"/>
      <c r="AJ52" s="449"/>
      <c r="AK52" s="443"/>
    </row>
    <row r="53" spans="2:37" s="442" customFormat="1" ht="13.5" thickBot="1" x14ac:dyDescent="0.3">
      <c r="B53" s="447"/>
      <c r="C53" s="446"/>
      <c r="D53" s="446"/>
      <c r="E53" s="446"/>
      <c r="F53" s="446"/>
      <c r="G53" s="446" t="s">
        <v>1185</v>
      </c>
      <c r="H53" s="446"/>
      <c r="I53" s="446"/>
      <c r="J53" s="446"/>
      <c r="K53" s="446"/>
      <c r="L53" s="446"/>
      <c r="M53" s="446"/>
      <c r="N53" s="446"/>
      <c r="O53" s="446"/>
      <c r="P53" s="446"/>
      <c r="Q53" s="446"/>
      <c r="R53" s="446"/>
      <c r="S53" s="446"/>
      <c r="T53" s="446"/>
      <c r="U53" s="446" t="s">
        <v>1186</v>
      </c>
      <c r="V53" s="446"/>
      <c r="W53" s="445"/>
      <c r="X53" s="445"/>
      <c r="Y53" s="445"/>
      <c r="Z53" s="445"/>
      <c r="AA53" s="445"/>
      <c r="AB53" s="445"/>
      <c r="AC53" s="445"/>
      <c r="AD53" s="445"/>
      <c r="AE53" s="445"/>
      <c r="AF53" s="445"/>
      <c r="AG53" s="445"/>
      <c r="AH53" s="445"/>
      <c r="AI53" s="445"/>
      <c r="AJ53" s="444"/>
      <c r="AK53" s="443"/>
    </row>
  </sheetData>
  <mergeCells count="6">
    <mergeCell ref="L38:T38"/>
    <mergeCell ref="U33:AB35"/>
    <mergeCell ref="AC33:AK35"/>
    <mergeCell ref="L33:T35"/>
    <mergeCell ref="AC38:AK38"/>
    <mergeCell ref="U38:AB38"/>
  </mergeCells>
  <pageMargins left="0.39370078740157483" right="0.39370078740157483" top="0.35433070866141736" bottom="0.35433070866141736" header="0.23622047244094491" footer="0.23622047244094491"/>
  <pageSetup scale="98" orientation="portrait" r:id="rId1"/>
  <headerFooter alignWithMargins="0">
    <oddFooter>&amp;LMF SR č. 25947/1/2010&amp;RStrana 1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213"/>
  <sheetViews>
    <sheetView view="pageBreakPreview" zoomScaleNormal="100" zoomScaleSheetLayoutView="100" workbookViewId="0">
      <selection activeCell="G2" sqref="G2"/>
    </sheetView>
  </sheetViews>
  <sheetFormatPr defaultRowHeight="11.25" x14ac:dyDescent="0.25"/>
  <cols>
    <col min="1" max="1" width="5.5703125" style="553" customWidth="1"/>
    <col min="2" max="2" width="18.7109375" style="553" customWidth="1"/>
    <col min="3" max="3" width="3.7109375" style="553" customWidth="1"/>
    <col min="4" max="4" width="3.5703125" style="553" customWidth="1"/>
    <col min="5" max="5" width="12.42578125" style="553" customWidth="1"/>
    <col min="6" max="6" width="12.140625" style="553" customWidth="1"/>
    <col min="7" max="7" width="14.7109375" style="553" customWidth="1"/>
    <col min="8" max="8" width="3.5703125" style="553" customWidth="1"/>
    <col min="9" max="9" width="10.5703125" style="553" customWidth="1"/>
    <col min="10" max="10" width="14.42578125" style="553" customWidth="1"/>
    <col min="11" max="16384" width="9.140625" style="553"/>
  </cols>
  <sheetData>
    <row r="1" spans="1:13" ht="7.5" customHeight="1" x14ac:dyDescent="0.25">
      <c r="A1" s="552"/>
      <c r="F1" s="496"/>
      <c r="G1" s="496"/>
      <c r="H1" s="496"/>
      <c r="I1" s="496"/>
    </row>
    <row r="2" spans="1:13" ht="17.25" customHeight="1" x14ac:dyDescent="0.25">
      <c r="A2" s="552"/>
      <c r="B2" s="578" t="s">
        <v>1144</v>
      </c>
      <c r="E2" s="496"/>
      <c r="F2" s="577" t="s">
        <v>1318</v>
      </c>
      <c r="G2" s="576" t="str">
        <f>"  "&amp;'BS-SK Cover sheet'!A11&amp;"  "&amp;'BS-SK Cover sheet'!B11&amp;"  "&amp;'BS-SK Cover sheet'!C11&amp;"  "&amp;'BS-SK Cover sheet'!D11&amp;"  "&amp;'BS-SK Cover sheet'!E11&amp;"  "&amp;'BS-SK Cover sheet'!F11&amp;"  "&amp;'BS-SK Cover sheet'!G11&amp;"  "&amp;'BS-SK Cover sheet'!H11&amp;"  "&amp;'BS-SK Cover sheet'!I11&amp;"  "&amp;'BS-SK Cover sheet'!J11</f>
        <v xml:space="preserve">  2  0  2  0  3  3  6  4  0  6</v>
      </c>
      <c r="H2" s="575"/>
      <c r="I2" s="574"/>
    </row>
    <row r="3" spans="1:13" ht="7.5" customHeight="1" thickBot="1" x14ac:dyDescent="0.3">
      <c r="A3" s="552"/>
    </row>
    <row r="4" spans="1:13" s="571" customFormat="1" ht="11.25" customHeight="1" x14ac:dyDescent="0.25">
      <c r="A4" s="1520" t="s">
        <v>1221</v>
      </c>
      <c r="B4" s="1522" t="s">
        <v>1265</v>
      </c>
      <c r="C4" s="1524" t="s">
        <v>1219</v>
      </c>
      <c r="D4" s="1492" t="s">
        <v>2</v>
      </c>
      <c r="E4" s="1493"/>
      <c r="F4" s="1493"/>
      <c r="G4" s="1493"/>
      <c r="H4" s="1494"/>
      <c r="I4" s="1490" t="s">
        <v>1264</v>
      </c>
      <c r="J4" s="1491"/>
    </row>
    <row r="5" spans="1:13" s="571" customFormat="1" ht="11.25" customHeight="1" x14ac:dyDescent="0.15">
      <c r="A5" s="1521"/>
      <c r="B5" s="1495"/>
      <c r="C5" s="1525"/>
      <c r="D5" s="1496">
        <v>1</v>
      </c>
      <c r="E5" s="1495" t="s">
        <v>1263</v>
      </c>
      <c r="F5" s="1495"/>
      <c r="G5" s="1485" t="s">
        <v>1262</v>
      </c>
      <c r="H5" s="1486"/>
      <c r="I5" s="1480"/>
      <c r="J5" s="1489"/>
    </row>
    <row r="6" spans="1:13" s="571" customFormat="1" ht="12" customHeight="1" x14ac:dyDescent="0.15">
      <c r="A6" s="1521"/>
      <c r="B6" s="1495"/>
      <c r="C6" s="1525"/>
      <c r="D6" s="1496"/>
      <c r="E6" s="1495" t="s">
        <v>1261</v>
      </c>
      <c r="F6" s="1495"/>
      <c r="G6" s="1485"/>
      <c r="H6" s="1486"/>
      <c r="I6" s="1478" t="s">
        <v>1260</v>
      </c>
      <c r="J6" s="1479"/>
    </row>
    <row r="7" spans="1:13" s="573" customFormat="1" ht="27.95" customHeight="1" x14ac:dyDescent="0.25">
      <c r="A7" s="1523"/>
      <c r="B7" s="1499" t="s">
        <v>1317</v>
      </c>
      <c r="C7" s="1519" t="s">
        <v>522</v>
      </c>
      <c r="D7" s="1477">
        <f>BS!D10</f>
        <v>2889948</v>
      </c>
      <c r="E7" s="1477"/>
      <c r="F7" s="1477"/>
      <c r="G7" s="1473">
        <f>BS!F10</f>
        <v>2867628</v>
      </c>
      <c r="H7" s="1474"/>
      <c r="I7" s="1476"/>
      <c r="J7" s="572"/>
    </row>
    <row r="8" spans="1:13" s="573" customFormat="1" ht="27.95" customHeight="1" x14ac:dyDescent="0.25">
      <c r="A8" s="1523"/>
      <c r="B8" s="1499"/>
      <c r="C8" s="1519"/>
      <c r="D8" s="1477">
        <f>BS!E10</f>
        <v>223320</v>
      </c>
      <c r="E8" s="1477"/>
      <c r="F8" s="1477"/>
      <c r="G8" s="570"/>
      <c r="H8" s="1473">
        <f>BS!G10</f>
        <v>2216815</v>
      </c>
      <c r="I8" s="1474"/>
      <c r="J8" s="1475"/>
      <c r="M8" s="573" t="s">
        <v>1177</v>
      </c>
    </row>
    <row r="9" spans="1:13" s="573" customFormat="1" ht="27.95" customHeight="1" x14ac:dyDescent="0.25">
      <c r="A9" s="1517" t="s">
        <v>523</v>
      </c>
      <c r="B9" s="1518" t="s">
        <v>1316</v>
      </c>
      <c r="C9" s="1519" t="s">
        <v>525</v>
      </c>
      <c r="D9" s="1477">
        <f>BS!D11</f>
        <v>38844</v>
      </c>
      <c r="E9" s="1477"/>
      <c r="F9" s="1477"/>
      <c r="G9" s="1473">
        <f>BS!F11</f>
        <v>18240</v>
      </c>
      <c r="H9" s="1474"/>
      <c r="I9" s="1476"/>
      <c r="J9" s="572"/>
    </row>
    <row r="10" spans="1:13" s="573" customFormat="1" ht="27.95" customHeight="1" x14ac:dyDescent="0.25">
      <c r="A10" s="1517"/>
      <c r="B10" s="1499"/>
      <c r="C10" s="1519"/>
      <c r="D10" s="1477">
        <f>BS!E11</f>
        <v>20604</v>
      </c>
      <c r="E10" s="1477"/>
      <c r="F10" s="1477"/>
      <c r="G10" s="644"/>
      <c r="H10" s="1473">
        <f>BS!G11</f>
        <v>26010</v>
      </c>
      <c r="I10" s="1474"/>
      <c r="J10" s="1475"/>
    </row>
    <row r="11" spans="1:13" s="573" customFormat="1" ht="27.95" customHeight="1" x14ac:dyDescent="0.25">
      <c r="A11" s="1517" t="s">
        <v>526</v>
      </c>
      <c r="B11" s="1518" t="s">
        <v>1315</v>
      </c>
      <c r="C11" s="1519" t="s">
        <v>528</v>
      </c>
      <c r="D11" s="1477">
        <f>BS!D12</f>
        <v>0</v>
      </c>
      <c r="E11" s="1477"/>
      <c r="F11" s="1477"/>
      <c r="G11" s="1473">
        <f>BS!F12</f>
        <v>0</v>
      </c>
      <c r="H11" s="1474"/>
      <c r="I11" s="1476"/>
      <c r="J11" s="572"/>
    </row>
    <row r="12" spans="1:13" s="573" customFormat="1" ht="27.95" customHeight="1" x14ac:dyDescent="0.25">
      <c r="A12" s="1517"/>
      <c r="B12" s="1499"/>
      <c r="C12" s="1519"/>
      <c r="D12" s="1477">
        <f>BS!E12</f>
        <v>0</v>
      </c>
      <c r="E12" s="1477"/>
      <c r="F12" s="1477"/>
      <c r="G12" s="644"/>
      <c r="H12" s="1473">
        <f>BS!G12</f>
        <v>0</v>
      </c>
      <c r="I12" s="1474"/>
      <c r="J12" s="1475"/>
    </row>
    <row r="13" spans="1:13" s="571" customFormat="1" ht="27.95" customHeight="1" x14ac:dyDescent="0.25">
      <c r="A13" s="1513" t="s">
        <v>529</v>
      </c>
      <c r="B13" s="1497" t="s">
        <v>1314</v>
      </c>
      <c r="C13" s="1515" t="s">
        <v>531</v>
      </c>
      <c r="D13" s="1477">
        <f>BS!D13</f>
        <v>0</v>
      </c>
      <c r="E13" s="1477"/>
      <c r="F13" s="1477"/>
      <c r="G13" s="1473">
        <f>BS!F13</f>
        <v>0</v>
      </c>
      <c r="H13" s="1474"/>
      <c r="I13" s="1476"/>
      <c r="J13" s="572"/>
    </row>
    <row r="14" spans="1:13" s="571" customFormat="1" ht="27.95" customHeight="1" x14ac:dyDescent="0.25">
      <c r="A14" s="1514"/>
      <c r="B14" s="1497"/>
      <c r="C14" s="1516"/>
      <c r="D14" s="1477">
        <f>BS!E13</f>
        <v>0</v>
      </c>
      <c r="E14" s="1477"/>
      <c r="F14" s="1477"/>
      <c r="G14" s="644"/>
      <c r="H14" s="1473">
        <f>BS!G13</f>
        <v>0</v>
      </c>
      <c r="I14" s="1474"/>
      <c r="J14" s="1475"/>
    </row>
    <row r="15" spans="1:13" s="571" customFormat="1" ht="27.95" customHeight="1" x14ac:dyDescent="0.25">
      <c r="A15" s="1512" t="s">
        <v>532</v>
      </c>
      <c r="B15" s="1497" t="s">
        <v>1313</v>
      </c>
      <c r="C15" s="1515" t="s">
        <v>534</v>
      </c>
      <c r="D15" s="1477">
        <f>BS!D14</f>
        <v>0</v>
      </c>
      <c r="E15" s="1477"/>
      <c r="F15" s="1477"/>
      <c r="G15" s="1473">
        <f>BS!F14</f>
        <v>0</v>
      </c>
      <c r="H15" s="1474"/>
      <c r="I15" s="1476"/>
      <c r="J15" s="572"/>
    </row>
    <row r="16" spans="1:13" s="571" customFormat="1" ht="27.95" customHeight="1" x14ac:dyDescent="0.25">
      <c r="A16" s="1512"/>
      <c r="B16" s="1497"/>
      <c r="C16" s="1516"/>
      <c r="D16" s="1477">
        <f>BS!E14</f>
        <v>0</v>
      </c>
      <c r="E16" s="1477"/>
      <c r="F16" s="1477"/>
      <c r="G16" s="644"/>
      <c r="H16" s="1473">
        <f>BS!G14</f>
        <v>0</v>
      </c>
      <c r="I16" s="1474"/>
      <c r="J16" s="1475"/>
    </row>
    <row r="17" spans="1:10" s="571" customFormat="1" ht="27.95" customHeight="1" x14ac:dyDescent="0.25">
      <c r="A17" s="1512" t="s">
        <v>535</v>
      </c>
      <c r="B17" s="1497" t="s">
        <v>1312</v>
      </c>
      <c r="C17" s="1515" t="s">
        <v>537</v>
      </c>
      <c r="D17" s="1477">
        <f>BS!D15</f>
        <v>0</v>
      </c>
      <c r="E17" s="1477"/>
      <c r="F17" s="1477"/>
      <c r="G17" s="1473">
        <f>BS!F15</f>
        <v>0</v>
      </c>
      <c r="H17" s="1474"/>
      <c r="I17" s="1476"/>
      <c r="J17" s="572"/>
    </row>
    <row r="18" spans="1:10" s="571" customFormat="1" ht="27.95" customHeight="1" x14ac:dyDescent="0.25">
      <c r="A18" s="1512"/>
      <c r="B18" s="1497"/>
      <c r="C18" s="1516"/>
      <c r="D18" s="1477">
        <f>BS!E15</f>
        <v>0</v>
      </c>
      <c r="E18" s="1477"/>
      <c r="F18" s="1477"/>
      <c r="G18" s="644"/>
      <c r="H18" s="1473">
        <f>BS!G15</f>
        <v>0</v>
      </c>
      <c r="I18" s="1474"/>
      <c r="J18" s="1475"/>
    </row>
    <row r="19" spans="1:10" s="571" customFormat="1" ht="27.95" customHeight="1" x14ac:dyDescent="0.25">
      <c r="A19" s="1512" t="s">
        <v>538</v>
      </c>
      <c r="B19" s="1497" t="s">
        <v>1311</v>
      </c>
      <c r="C19" s="1515" t="s">
        <v>540</v>
      </c>
      <c r="D19" s="1477">
        <f>BS!D16</f>
        <v>0</v>
      </c>
      <c r="E19" s="1477"/>
      <c r="F19" s="1477"/>
      <c r="G19" s="1473">
        <f>BS!F16</f>
        <v>0</v>
      </c>
      <c r="H19" s="1474"/>
      <c r="I19" s="1476"/>
      <c r="J19" s="572"/>
    </row>
    <row r="20" spans="1:10" s="571" customFormat="1" ht="27.95" customHeight="1" x14ac:dyDescent="0.25">
      <c r="A20" s="1512"/>
      <c r="B20" s="1497"/>
      <c r="C20" s="1516"/>
      <c r="D20" s="1477">
        <f>BS!E16</f>
        <v>0</v>
      </c>
      <c r="E20" s="1477"/>
      <c r="F20" s="1477"/>
      <c r="G20" s="644"/>
      <c r="H20" s="1473">
        <f>BS!G16</f>
        <v>0</v>
      </c>
      <c r="I20" s="1474"/>
      <c r="J20" s="1475"/>
    </row>
    <row r="21" spans="1:10" s="571" customFormat="1" ht="27.95" customHeight="1" x14ac:dyDescent="0.25">
      <c r="A21" s="1512" t="s">
        <v>541</v>
      </c>
      <c r="B21" s="1497" t="s">
        <v>1310</v>
      </c>
      <c r="C21" s="1515" t="s">
        <v>543</v>
      </c>
      <c r="D21" s="1477">
        <f>BS!D17</f>
        <v>0</v>
      </c>
      <c r="E21" s="1477"/>
      <c r="F21" s="1477"/>
      <c r="G21" s="1473">
        <f>BS!F17</f>
        <v>0</v>
      </c>
      <c r="H21" s="1474"/>
      <c r="I21" s="1476"/>
      <c r="J21" s="572"/>
    </row>
    <row r="22" spans="1:10" s="571" customFormat="1" ht="27.95" customHeight="1" x14ac:dyDescent="0.25">
      <c r="A22" s="1512"/>
      <c r="B22" s="1497"/>
      <c r="C22" s="1516"/>
      <c r="D22" s="1477">
        <f>BS!E17</f>
        <v>0</v>
      </c>
      <c r="E22" s="1477"/>
      <c r="F22" s="1477"/>
      <c r="G22" s="644"/>
      <c r="H22" s="1473">
        <f>BS!G17</f>
        <v>0</v>
      </c>
      <c r="I22" s="1474"/>
      <c r="J22" s="1475"/>
    </row>
    <row r="23" spans="1:10" s="571" customFormat="1" ht="27.95" customHeight="1" x14ac:dyDescent="0.25">
      <c r="A23" s="1512" t="s">
        <v>544</v>
      </c>
      <c r="B23" s="1497" t="s">
        <v>1309</v>
      </c>
      <c r="C23" s="1515" t="s">
        <v>546</v>
      </c>
      <c r="D23" s="1477">
        <f>BS!D18</f>
        <v>0</v>
      </c>
      <c r="E23" s="1477"/>
      <c r="F23" s="1477"/>
      <c r="G23" s="1473">
        <f>BS!F18</f>
        <v>0</v>
      </c>
      <c r="H23" s="1474"/>
      <c r="I23" s="1476"/>
      <c r="J23" s="572"/>
    </row>
    <row r="24" spans="1:10" s="571" customFormat="1" ht="27.95" customHeight="1" x14ac:dyDescent="0.25">
      <c r="A24" s="1512"/>
      <c r="B24" s="1497"/>
      <c r="C24" s="1516"/>
      <c r="D24" s="1477">
        <f>BS!E18</f>
        <v>0</v>
      </c>
      <c r="E24" s="1477"/>
      <c r="F24" s="1477"/>
      <c r="G24" s="644"/>
      <c r="H24" s="1473">
        <f>BS!G18</f>
        <v>0</v>
      </c>
      <c r="I24" s="1474"/>
      <c r="J24" s="1475"/>
    </row>
    <row r="25" spans="1:10" s="571" customFormat="1" ht="27.95" customHeight="1" x14ac:dyDescent="0.25">
      <c r="A25" s="1512" t="s">
        <v>547</v>
      </c>
      <c r="B25" s="1497" t="s">
        <v>1308</v>
      </c>
      <c r="C25" s="1515" t="s">
        <v>549</v>
      </c>
      <c r="D25" s="1477">
        <f>BS!D19</f>
        <v>0</v>
      </c>
      <c r="E25" s="1477"/>
      <c r="F25" s="1477"/>
      <c r="G25" s="1473">
        <f>BS!F19</f>
        <v>0</v>
      </c>
      <c r="H25" s="1474"/>
      <c r="I25" s="1476"/>
      <c r="J25" s="572"/>
    </row>
    <row r="26" spans="1:10" s="571" customFormat="1" ht="27.95" customHeight="1" x14ac:dyDescent="0.25">
      <c r="A26" s="1512"/>
      <c r="B26" s="1497"/>
      <c r="C26" s="1516"/>
      <c r="D26" s="1477">
        <f>BS!E19</f>
        <v>0</v>
      </c>
      <c r="E26" s="1477"/>
      <c r="F26" s="1477"/>
      <c r="G26" s="644"/>
      <c r="H26" s="1473">
        <f>BS!G19</f>
        <v>0</v>
      </c>
      <c r="I26" s="1474"/>
      <c r="J26" s="1475"/>
    </row>
    <row r="27" spans="1:10" s="573" customFormat="1" ht="27.95" customHeight="1" x14ac:dyDescent="0.25">
      <c r="A27" s="1526" t="s">
        <v>550</v>
      </c>
      <c r="B27" s="1499" t="s">
        <v>1307</v>
      </c>
      <c r="C27" s="1527" t="s">
        <v>552</v>
      </c>
      <c r="D27" s="1477">
        <f>BS!D20</f>
        <v>38844</v>
      </c>
      <c r="E27" s="1477"/>
      <c r="F27" s="1477"/>
      <c r="G27" s="1473">
        <f>BS!F20</f>
        <v>18240</v>
      </c>
      <c r="H27" s="1474"/>
      <c r="I27" s="1476"/>
      <c r="J27" s="572"/>
    </row>
    <row r="28" spans="1:10" s="573" customFormat="1" ht="27.95" customHeight="1" x14ac:dyDescent="0.25">
      <c r="A28" s="1517"/>
      <c r="B28" s="1499"/>
      <c r="C28" s="1528"/>
      <c r="D28" s="1477">
        <f>BS!E20</f>
        <v>20604</v>
      </c>
      <c r="E28" s="1477"/>
      <c r="F28" s="1477"/>
      <c r="G28" s="644"/>
      <c r="H28" s="1473">
        <f>BS!G20</f>
        <v>26010</v>
      </c>
      <c r="I28" s="1474"/>
      <c r="J28" s="1475"/>
    </row>
    <row r="29" spans="1:10" s="571" customFormat="1" ht="27.95" customHeight="1" x14ac:dyDescent="0.25">
      <c r="A29" s="1513" t="s">
        <v>553</v>
      </c>
      <c r="B29" s="1497" t="s">
        <v>1306</v>
      </c>
      <c r="C29" s="1515" t="s">
        <v>555</v>
      </c>
      <c r="D29" s="1477">
        <f>BS!D21</f>
        <v>0</v>
      </c>
      <c r="E29" s="1477"/>
      <c r="F29" s="1477"/>
      <c r="G29" s="1473">
        <f>BS!F21</f>
        <v>0</v>
      </c>
      <c r="H29" s="1474"/>
      <c r="I29" s="1476"/>
      <c r="J29" s="572"/>
    </row>
    <row r="30" spans="1:10" s="571" customFormat="1" ht="27.95" customHeight="1" x14ac:dyDescent="0.25">
      <c r="A30" s="1529"/>
      <c r="B30" s="1497"/>
      <c r="C30" s="1516"/>
      <c r="D30" s="1477">
        <f>BS!E21</f>
        <v>0</v>
      </c>
      <c r="E30" s="1477"/>
      <c r="F30" s="1477"/>
      <c r="G30" s="644"/>
      <c r="H30" s="1473">
        <f>BS!G21</f>
        <v>0</v>
      </c>
      <c r="I30" s="1474"/>
      <c r="J30" s="1475"/>
    </row>
    <row r="31" spans="1:10" s="571" customFormat="1" ht="27.95" customHeight="1" x14ac:dyDescent="0.25">
      <c r="A31" s="1512" t="s">
        <v>532</v>
      </c>
      <c r="B31" s="1497" t="s">
        <v>1305</v>
      </c>
      <c r="C31" s="1515" t="s">
        <v>557</v>
      </c>
      <c r="D31" s="1477">
        <f>BS!D22</f>
        <v>0</v>
      </c>
      <c r="E31" s="1477"/>
      <c r="F31" s="1477"/>
      <c r="G31" s="1473">
        <f>BS!F22</f>
        <v>0</v>
      </c>
      <c r="H31" s="1474"/>
      <c r="I31" s="1476"/>
      <c r="J31" s="572"/>
    </row>
    <row r="32" spans="1:10" s="571" customFormat="1" ht="27.95" customHeight="1" x14ac:dyDescent="0.25">
      <c r="A32" s="1512"/>
      <c r="B32" s="1497"/>
      <c r="C32" s="1516"/>
      <c r="D32" s="1477">
        <f>BS!E22</f>
        <v>0</v>
      </c>
      <c r="E32" s="1477"/>
      <c r="F32" s="1477"/>
      <c r="G32" s="644"/>
      <c r="H32" s="1473">
        <f>BS!G22</f>
        <v>0</v>
      </c>
      <c r="I32" s="1474"/>
      <c r="J32" s="1475"/>
    </row>
    <row r="33" spans="1:10" s="571" customFormat="1" ht="11.25" customHeight="1" x14ac:dyDescent="0.25">
      <c r="A33" s="1532" t="s">
        <v>1221</v>
      </c>
      <c r="B33" s="1531" t="s">
        <v>1265</v>
      </c>
      <c r="C33" s="1538" t="s">
        <v>1219</v>
      </c>
      <c r="D33" s="1480" t="s">
        <v>2</v>
      </c>
      <c r="E33" s="1481"/>
      <c r="F33" s="1481"/>
      <c r="G33" s="1481"/>
      <c r="H33" s="1482"/>
      <c r="I33" s="1487" t="s">
        <v>1264</v>
      </c>
      <c r="J33" s="1488"/>
    </row>
    <row r="34" spans="1:10" s="571" customFormat="1" ht="11.25" customHeight="1" x14ac:dyDescent="0.15">
      <c r="A34" s="1521"/>
      <c r="B34" s="1495"/>
      <c r="C34" s="1525"/>
      <c r="D34" s="1496">
        <v>1</v>
      </c>
      <c r="E34" s="1495" t="s">
        <v>1263</v>
      </c>
      <c r="F34" s="1495"/>
      <c r="G34" s="1485" t="s">
        <v>1262</v>
      </c>
      <c r="H34" s="1486"/>
      <c r="I34" s="1480"/>
      <c r="J34" s="1489"/>
    </row>
    <row r="35" spans="1:10" s="571" customFormat="1" ht="12" customHeight="1" x14ac:dyDescent="0.15">
      <c r="A35" s="1521"/>
      <c r="B35" s="1495"/>
      <c r="C35" s="1525"/>
      <c r="D35" s="1496"/>
      <c r="E35" s="1495" t="s">
        <v>1261</v>
      </c>
      <c r="F35" s="1495"/>
      <c r="G35" s="1483"/>
      <c r="H35" s="1484"/>
      <c r="I35" s="1478" t="s">
        <v>1260</v>
      </c>
      <c r="J35" s="1479"/>
    </row>
    <row r="36" spans="1:10" ht="27.95" customHeight="1" x14ac:dyDescent="0.25">
      <c r="A36" s="1541" t="s">
        <v>535</v>
      </c>
      <c r="B36" s="1542" t="s">
        <v>1304</v>
      </c>
      <c r="C36" s="1516" t="s">
        <v>559</v>
      </c>
      <c r="D36" s="1477">
        <f>BS!D23</f>
        <v>38844</v>
      </c>
      <c r="E36" s="1477"/>
      <c r="F36" s="1477"/>
      <c r="G36" s="1473">
        <f>BS!F23</f>
        <v>18240</v>
      </c>
      <c r="H36" s="1474"/>
      <c r="I36" s="1476"/>
      <c r="J36" s="572"/>
    </row>
    <row r="37" spans="1:10" ht="27.95" customHeight="1" x14ac:dyDescent="0.25">
      <c r="A37" s="1512"/>
      <c r="B37" s="1497"/>
      <c r="C37" s="1507"/>
      <c r="D37" s="1477">
        <f>BS!E23</f>
        <v>20604</v>
      </c>
      <c r="E37" s="1477"/>
      <c r="F37" s="1477"/>
      <c r="G37" s="644"/>
      <c r="H37" s="1473">
        <f>BS!G23</f>
        <v>26010</v>
      </c>
      <c r="I37" s="1474"/>
      <c r="J37" s="1475"/>
    </row>
    <row r="38" spans="1:10" ht="27.95" customHeight="1" x14ac:dyDescent="0.25">
      <c r="A38" s="1512" t="s">
        <v>538</v>
      </c>
      <c r="B38" s="1497" t="s">
        <v>1303</v>
      </c>
      <c r="C38" s="1507" t="s">
        <v>561</v>
      </c>
      <c r="D38" s="1477">
        <f>BS!D24</f>
        <v>0</v>
      </c>
      <c r="E38" s="1477"/>
      <c r="F38" s="1477"/>
      <c r="G38" s="1473">
        <f>BS!F24</f>
        <v>0</v>
      </c>
      <c r="H38" s="1474"/>
      <c r="I38" s="1476"/>
      <c r="J38" s="572"/>
    </row>
    <row r="39" spans="1:10" ht="27.95" customHeight="1" x14ac:dyDescent="0.25">
      <c r="A39" s="1512"/>
      <c r="B39" s="1497"/>
      <c r="C39" s="1507"/>
      <c r="D39" s="1477">
        <f>BS!E24</f>
        <v>0</v>
      </c>
      <c r="E39" s="1477"/>
      <c r="F39" s="1477"/>
      <c r="G39" s="644"/>
      <c r="H39" s="1473">
        <f>BS!G24</f>
        <v>0</v>
      </c>
      <c r="I39" s="1474"/>
      <c r="J39" s="1475"/>
    </row>
    <row r="40" spans="1:10" ht="27.95" customHeight="1" x14ac:dyDescent="0.25">
      <c r="A40" s="1512" t="s">
        <v>541</v>
      </c>
      <c r="B40" s="1497" t="s">
        <v>1302</v>
      </c>
      <c r="C40" s="1516" t="s">
        <v>563</v>
      </c>
      <c r="D40" s="1477">
        <f>BS!D25</f>
        <v>0</v>
      </c>
      <c r="E40" s="1477"/>
      <c r="F40" s="1477"/>
      <c r="G40" s="1473">
        <f>BS!F25</f>
        <v>0</v>
      </c>
      <c r="H40" s="1474"/>
      <c r="I40" s="1476"/>
      <c r="J40" s="572"/>
    </row>
    <row r="41" spans="1:10" ht="27.95" customHeight="1" x14ac:dyDescent="0.25">
      <c r="A41" s="1512"/>
      <c r="B41" s="1497"/>
      <c r="C41" s="1507"/>
      <c r="D41" s="1477">
        <f>BS!E25</f>
        <v>0</v>
      </c>
      <c r="E41" s="1477"/>
      <c r="F41" s="1477"/>
      <c r="G41" s="644"/>
      <c r="H41" s="1473">
        <f>BS!G25</f>
        <v>0</v>
      </c>
      <c r="I41" s="1474"/>
      <c r="J41" s="1475"/>
    </row>
    <row r="42" spans="1:10" ht="27.95" customHeight="1" x14ac:dyDescent="0.25">
      <c r="A42" s="1512" t="s">
        <v>544</v>
      </c>
      <c r="B42" s="1497" t="s">
        <v>1301</v>
      </c>
      <c r="C42" s="1507" t="s">
        <v>565</v>
      </c>
      <c r="D42" s="1477">
        <f>BS!D26</f>
        <v>0</v>
      </c>
      <c r="E42" s="1477"/>
      <c r="F42" s="1477"/>
      <c r="G42" s="1473">
        <f>BS!F26</f>
        <v>0</v>
      </c>
      <c r="H42" s="1474"/>
      <c r="I42" s="1476"/>
      <c r="J42" s="572"/>
    </row>
    <row r="43" spans="1:10" ht="27.95" customHeight="1" x14ac:dyDescent="0.25">
      <c r="A43" s="1512"/>
      <c r="B43" s="1497"/>
      <c r="C43" s="1507"/>
      <c r="D43" s="1477">
        <f>BS!E26</f>
        <v>0</v>
      </c>
      <c r="E43" s="1477"/>
      <c r="F43" s="1477"/>
      <c r="G43" s="644"/>
      <c r="H43" s="1473">
        <f>BS!G26</f>
        <v>0</v>
      </c>
      <c r="I43" s="1474"/>
      <c r="J43" s="1475"/>
    </row>
    <row r="44" spans="1:10" ht="27.95" customHeight="1" x14ac:dyDescent="0.25">
      <c r="A44" s="1512" t="s">
        <v>547</v>
      </c>
      <c r="B44" s="1497" t="s">
        <v>1300</v>
      </c>
      <c r="C44" s="1516" t="s">
        <v>567</v>
      </c>
      <c r="D44" s="1477">
        <f>BS!D27</f>
        <v>0</v>
      </c>
      <c r="E44" s="1477"/>
      <c r="F44" s="1477"/>
      <c r="G44" s="1473">
        <f>BS!F27</f>
        <v>0</v>
      </c>
      <c r="H44" s="1474"/>
      <c r="I44" s="1476"/>
      <c r="J44" s="572"/>
    </row>
    <row r="45" spans="1:10" ht="27.95" customHeight="1" x14ac:dyDescent="0.25">
      <c r="A45" s="1512"/>
      <c r="B45" s="1497"/>
      <c r="C45" s="1507"/>
      <c r="D45" s="1477">
        <f>BS!E27</f>
        <v>0</v>
      </c>
      <c r="E45" s="1477"/>
      <c r="F45" s="1477"/>
      <c r="G45" s="644"/>
      <c r="H45" s="1473">
        <f>BS!G27</f>
        <v>0</v>
      </c>
      <c r="I45" s="1474"/>
      <c r="J45" s="1475"/>
    </row>
    <row r="46" spans="1:10" ht="27.95" customHeight="1" x14ac:dyDescent="0.25">
      <c r="A46" s="1512" t="s">
        <v>568</v>
      </c>
      <c r="B46" s="1497" t="s">
        <v>1299</v>
      </c>
      <c r="C46" s="1507" t="s">
        <v>570</v>
      </c>
      <c r="D46" s="1477">
        <f>BS!D28</f>
        <v>0</v>
      </c>
      <c r="E46" s="1477"/>
      <c r="F46" s="1477"/>
      <c r="G46" s="1473">
        <f>BS!F28</f>
        <v>0</v>
      </c>
      <c r="H46" s="1474"/>
      <c r="I46" s="1476"/>
      <c r="J46" s="572"/>
    </row>
    <row r="47" spans="1:10" ht="27.95" customHeight="1" x14ac:dyDescent="0.25">
      <c r="A47" s="1512"/>
      <c r="B47" s="1497"/>
      <c r="C47" s="1507"/>
      <c r="D47" s="1477">
        <f>BS!E28</f>
        <v>0</v>
      </c>
      <c r="E47" s="1477"/>
      <c r="F47" s="1477"/>
      <c r="G47" s="644"/>
      <c r="H47" s="1473">
        <f>BS!G28</f>
        <v>0</v>
      </c>
      <c r="I47" s="1474"/>
      <c r="J47" s="1475"/>
    </row>
    <row r="48" spans="1:10" ht="27.95" customHeight="1" x14ac:dyDescent="0.25">
      <c r="A48" s="1512" t="s">
        <v>571</v>
      </c>
      <c r="B48" s="1497" t="s">
        <v>1298</v>
      </c>
      <c r="C48" s="1516" t="s">
        <v>573</v>
      </c>
      <c r="D48" s="1477">
        <f>BS!D29</f>
        <v>0</v>
      </c>
      <c r="E48" s="1477"/>
      <c r="F48" s="1477"/>
      <c r="G48" s="1473">
        <f>BS!F29</f>
        <v>0</v>
      </c>
      <c r="H48" s="1474"/>
      <c r="I48" s="1476"/>
      <c r="J48" s="572"/>
    </row>
    <row r="49" spans="1:10" ht="27.95" customHeight="1" x14ac:dyDescent="0.25">
      <c r="A49" s="1512"/>
      <c r="B49" s="1497"/>
      <c r="C49" s="1507"/>
      <c r="D49" s="1477">
        <f>BS!E29</f>
        <v>0</v>
      </c>
      <c r="E49" s="1477"/>
      <c r="F49" s="1477"/>
      <c r="G49" s="644"/>
      <c r="H49" s="1473">
        <f>BS!G29</f>
        <v>0</v>
      </c>
      <c r="I49" s="1474"/>
      <c r="J49" s="1475"/>
    </row>
    <row r="50" spans="1:10" ht="27.95" customHeight="1" x14ac:dyDescent="0.25">
      <c r="A50" s="1526" t="s">
        <v>574</v>
      </c>
      <c r="B50" s="1518" t="s">
        <v>1297</v>
      </c>
      <c r="C50" s="1507" t="s">
        <v>576</v>
      </c>
      <c r="D50" s="1477">
        <f>BS!D30</f>
        <v>0</v>
      </c>
      <c r="E50" s="1477"/>
      <c r="F50" s="1477"/>
      <c r="G50" s="1473">
        <f>BS!F30</f>
        <v>0</v>
      </c>
      <c r="H50" s="1474"/>
      <c r="I50" s="1476"/>
      <c r="J50" s="572"/>
    </row>
    <row r="51" spans="1:10" ht="27.95" customHeight="1" x14ac:dyDescent="0.25">
      <c r="A51" s="1526"/>
      <c r="B51" s="1518"/>
      <c r="C51" s="1507"/>
      <c r="D51" s="1477">
        <f>BS!E30</f>
        <v>0</v>
      </c>
      <c r="E51" s="1477"/>
      <c r="F51" s="1477"/>
      <c r="G51" s="644"/>
      <c r="H51" s="1473">
        <f>BS!G30</f>
        <v>0</v>
      </c>
      <c r="I51" s="1474"/>
      <c r="J51" s="1475"/>
    </row>
    <row r="52" spans="1:10" s="501" customFormat="1" ht="27.95" customHeight="1" x14ac:dyDescent="0.25">
      <c r="A52" s="1530" t="s">
        <v>577</v>
      </c>
      <c r="B52" s="1497" t="s">
        <v>1296</v>
      </c>
      <c r="C52" s="1516" t="s">
        <v>579</v>
      </c>
      <c r="D52" s="1477">
        <f>BS!D31</f>
        <v>0</v>
      </c>
      <c r="E52" s="1477"/>
      <c r="F52" s="1477"/>
      <c r="G52" s="1473">
        <f>BS!F31</f>
        <v>0</v>
      </c>
      <c r="H52" s="1474"/>
      <c r="I52" s="1476"/>
      <c r="J52" s="572"/>
    </row>
    <row r="53" spans="1:10" s="501" customFormat="1" ht="27.95" customHeight="1" x14ac:dyDescent="0.25">
      <c r="A53" s="1530"/>
      <c r="B53" s="1497"/>
      <c r="C53" s="1507"/>
      <c r="D53" s="1477">
        <f>BS!E31</f>
        <v>0</v>
      </c>
      <c r="E53" s="1477"/>
      <c r="F53" s="1477"/>
      <c r="G53" s="644"/>
      <c r="H53" s="1473">
        <f>BS!G31</f>
        <v>0</v>
      </c>
      <c r="I53" s="1474"/>
      <c r="J53" s="1475"/>
    </row>
    <row r="54" spans="1:10" ht="27.95" customHeight="1" x14ac:dyDescent="0.25">
      <c r="A54" s="1512" t="s">
        <v>532</v>
      </c>
      <c r="B54" s="1497" t="s">
        <v>1295</v>
      </c>
      <c r="C54" s="1507" t="s">
        <v>581</v>
      </c>
      <c r="D54" s="1477">
        <f>BS!D32</f>
        <v>0</v>
      </c>
      <c r="E54" s="1477"/>
      <c r="F54" s="1477"/>
      <c r="G54" s="1473">
        <f>BS!F32</f>
        <v>0</v>
      </c>
      <c r="H54" s="1474"/>
      <c r="I54" s="1476"/>
      <c r="J54" s="572"/>
    </row>
    <row r="55" spans="1:10" ht="27.95" customHeight="1" x14ac:dyDescent="0.25">
      <c r="A55" s="1512"/>
      <c r="B55" s="1497"/>
      <c r="C55" s="1507"/>
      <c r="D55" s="1477">
        <f>BS!E32</f>
        <v>0</v>
      </c>
      <c r="E55" s="1477"/>
      <c r="F55" s="1477"/>
      <c r="G55" s="644"/>
      <c r="H55" s="1473">
        <f>BS!G32</f>
        <v>0</v>
      </c>
      <c r="I55" s="1474"/>
      <c r="J55" s="1475"/>
    </row>
    <row r="56" spans="1:10" ht="27.95" customHeight="1" x14ac:dyDescent="0.25">
      <c r="A56" s="1512" t="s">
        <v>535</v>
      </c>
      <c r="B56" s="1497" t="s">
        <v>1294</v>
      </c>
      <c r="C56" s="1516" t="s">
        <v>583</v>
      </c>
      <c r="D56" s="1477">
        <f>BS!D33</f>
        <v>0</v>
      </c>
      <c r="E56" s="1477"/>
      <c r="F56" s="1477"/>
      <c r="G56" s="1473">
        <f>BS!F33</f>
        <v>0</v>
      </c>
      <c r="H56" s="1474"/>
      <c r="I56" s="1476"/>
      <c r="J56" s="572"/>
    </row>
    <row r="57" spans="1:10" ht="27.95" customHeight="1" x14ac:dyDescent="0.25">
      <c r="A57" s="1512"/>
      <c r="B57" s="1497"/>
      <c r="C57" s="1507"/>
      <c r="D57" s="1477">
        <f>BS!E33</f>
        <v>0</v>
      </c>
      <c r="E57" s="1477"/>
      <c r="F57" s="1477"/>
      <c r="G57" s="644"/>
      <c r="H57" s="1473">
        <f>BS!G33</f>
        <v>0</v>
      </c>
      <c r="I57" s="1474"/>
      <c r="J57" s="1475"/>
    </row>
    <row r="58" spans="1:10" ht="27.95" customHeight="1" x14ac:dyDescent="0.25">
      <c r="A58" s="1512" t="s">
        <v>538</v>
      </c>
      <c r="B58" s="1497" t="s">
        <v>1293</v>
      </c>
      <c r="C58" s="1507" t="s">
        <v>585</v>
      </c>
      <c r="D58" s="1477">
        <f>BS!D34</f>
        <v>0</v>
      </c>
      <c r="E58" s="1477"/>
      <c r="F58" s="1477"/>
      <c r="G58" s="1473">
        <f>BS!F34</f>
        <v>0</v>
      </c>
      <c r="H58" s="1474"/>
      <c r="I58" s="1476"/>
      <c r="J58" s="572"/>
    </row>
    <row r="59" spans="1:10" ht="27.95" customHeight="1" x14ac:dyDescent="0.25">
      <c r="A59" s="1512"/>
      <c r="B59" s="1497"/>
      <c r="C59" s="1507"/>
      <c r="D59" s="1477">
        <f>BS!E34</f>
        <v>0</v>
      </c>
      <c r="E59" s="1477"/>
      <c r="F59" s="1477"/>
      <c r="G59" s="644"/>
      <c r="H59" s="1473">
        <f>BS!G34</f>
        <v>0</v>
      </c>
      <c r="I59" s="1474"/>
      <c r="J59" s="1475"/>
    </row>
    <row r="60" spans="1:10" ht="27.95" customHeight="1" x14ac:dyDescent="0.25">
      <c r="A60" s="1512" t="s">
        <v>541</v>
      </c>
      <c r="B60" s="1497" t="s">
        <v>1292</v>
      </c>
      <c r="C60" s="1516" t="s">
        <v>587</v>
      </c>
      <c r="D60" s="1477">
        <f>BS!D35</f>
        <v>0</v>
      </c>
      <c r="E60" s="1477"/>
      <c r="F60" s="1477"/>
      <c r="G60" s="1473">
        <f>BS!F35</f>
        <v>0</v>
      </c>
      <c r="H60" s="1474"/>
      <c r="I60" s="1476"/>
      <c r="J60" s="572"/>
    </row>
    <row r="61" spans="1:10" ht="27.95" customHeight="1" x14ac:dyDescent="0.25">
      <c r="A61" s="1512"/>
      <c r="B61" s="1497"/>
      <c r="C61" s="1507"/>
      <c r="D61" s="1477">
        <f>BS!E35</f>
        <v>0</v>
      </c>
      <c r="E61" s="1477"/>
      <c r="F61" s="1477"/>
      <c r="G61" s="644"/>
      <c r="H61" s="1473">
        <f>BS!G35</f>
        <v>0</v>
      </c>
      <c r="I61" s="1474"/>
      <c r="J61" s="1475"/>
    </row>
    <row r="62" spans="1:10" ht="27.95" customHeight="1" x14ac:dyDescent="0.25">
      <c r="A62" s="1512" t="s">
        <v>544</v>
      </c>
      <c r="B62" s="1497" t="s">
        <v>1291</v>
      </c>
      <c r="C62" s="1507" t="s">
        <v>589</v>
      </c>
      <c r="D62" s="1477">
        <f>BS!D36</f>
        <v>0</v>
      </c>
      <c r="E62" s="1477"/>
      <c r="F62" s="1477"/>
      <c r="G62" s="1473">
        <f>BS!F36</f>
        <v>0</v>
      </c>
      <c r="H62" s="1474"/>
      <c r="I62" s="1476"/>
      <c r="J62" s="572"/>
    </row>
    <row r="63" spans="1:10" ht="27.95" customHeight="1" x14ac:dyDescent="0.25">
      <c r="A63" s="1512"/>
      <c r="B63" s="1497"/>
      <c r="C63" s="1507"/>
      <c r="D63" s="1477">
        <f>BS!E36</f>
        <v>0</v>
      </c>
      <c r="E63" s="1477"/>
      <c r="F63" s="1477"/>
      <c r="G63" s="644"/>
      <c r="H63" s="1473">
        <f>BS!G36</f>
        <v>0</v>
      </c>
      <c r="I63" s="1474"/>
      <c r="J63" s="1475"/>
    </row>
    <row r="64" spans="1:10" ht="11.25" customHeight="1" x14ac:dyDescent="0.25">
      <c r="A64" s="1532" t="s">
        <v>1221</v>
      </c>
      <c r="B64" s="1531" t="s">
        <v>1265</v>
      </c>
      <c r="C64" s="1538" t="s">
        <v>1219</v>
      </c>
      <c r="D64" s="1480" t="s">
        <v>2</v>
      </c>
      <c r="E64" s="1481"/>
      <c r="F64" s="1481"/>
      <c r="G64" s="1481"/>
      <c r="H64" s="1482"/>
      <c r="I64" s="1487" t="s">
        <v>1264</v>
      </c>
      <c r="J64" s="1488"/>
    </row>
    <row r="65" spans="1:10" ht="11.25" customHeight="1" x14ac:dyDescent="0.15">
      <c r="A65" s="1521"/>
      <c r="B65" s="1495"/>
      <c r="C65" s="1525"/>
      <c r="D65" s="1496">
        <v>1</v>
      </c>
      <c r="E65" s="1495" t="s">
        <v>1263</v>
      </c>
      <c r="F65" s="1495"/>
      <c r="G65" s="1485" t="s">
        <v>1262</v>
      </c>
      <c r="H65" s="1486"/>
      <c r="I65" s="1480"/>
      <c r="J65" s="1489"/>
    </row>
    <row r="66" spans="1:10" ht="11.25" customHeight="1" x14ac:dyDescent="0.15">
      <c r="A66" s="1521"/>
      <c r="B66" s="1495"/>
      <c r="C66" s="1525"/>
      <c r="D66" s="1496"/>
      <c r="E66" s="1495" t="s">
        <v>1261</v>
      </c>
      <c r="F66" s="1495"/>
      <c r="G66" s="1503"/>
      <c r="H66" s="1504"/>
      <c r="I66" s="1510" t="s">
        <v>1260</v>
      </c>
      <c r="J66" s="1479"/>
    </row>
    <row r="67" spans="1:10" ht="27.95" customHeight="1" x14ac:dyDescent="0.25">
      <c r="A67" s="1512" t="s">
        <v>547</v>
      </c>
      <c r="B67" s="1497" t="s">
        <v>1290</v>
      </c>
      <c r="C67" s="1507" t="s">
        <v>888</v>
      </c>
      <c r="D67" s="1477">
        <f>BS!D37</f>
        <v>0</v>
      </c>
      <c r="E67" s="1477"/>
      <c r="F67" s="1477"/>
      <c r="G67" s="1473">
        <f>BS!F37</f>
        <v>0</v>
      </c>
      <c r="H67" s="1474"/>
      <c r="I67" s="1476"/>
      <c r="J67" s="572"/>
    </row>
    <row r="68" spans="1:10" ht="27.95" customHeight="1" x14ac:dyDescent="0.25">
      <c r="A68" s="1512"/>
      <c r="B68" s="1497"/>
      <c r="C68" s="1507"/>
      <c r="D68" s="1477">
        <f>BS!E37</f>
        <v>0</v>
      </c>
      <c r="E68" s="1477"/>
      <c r="F68" s="1477"/>
      <c r="G68" s="644"/>
      <c r="H68" s="1473">
        <f>BS!G37</f>
        <v>0</v>
      </c>
      <c r="I68" s="1474"/>
      <c r="J68" s="1475"/>
    </row>
    <row r="69" spans="1:10" ht="27.95" customHeight="1" x14ac:dyDescent="0.25">
      <c r="A69" s="1512" t="s">
        <v>568</v>
      </c>
      <c r="B69" s="1497" t="s">
        <v>1289</v>
      </c>
      <c r="C69" s="1507" t="s">
        <v>891</v>
      </c>
      <c r="D69" s="1477">
        <f>BS!D38</f>
        <v>0</v>
      </c>
      <c r="E69" s="1477"/>
      <c r="F69" s="1477"/>
      <c r="G69" s="1473">
        <f>BS!F38</f>
        <v>0</v>
      </c>
      <c r="H69" s="1474"/>
      <c r="I69" s="1476"/>
      <c r="J69" s="572"/>
    </row>
    <row r="70" spans="1:10" ht="27.95" customHeight="1" x14ac:dyDescent="0.25">
      <c r="A70" s="1512"/>
      <c r="B70" s="1497"/>
      <c r="C70" s="1507"/>
      <c r="D70" s="1477">
        <f>BS!E38</f>
        <v>0</v>
      </c>
      <c r="E70" s="1477"/>
      <c r="F70" s="1477"/>
      <c r="G70" s="644"/>
      <c r="H70" s="1473">
        <f>BS!G38</f>
        <v>0</v>
      </c>
      <c r="I70" s="1474"/>
      <c r="J70" s="1475"/>
    </row>
    <row r="71" spans="1:10" ht="27.95" customHeight="1" x14ac:dyDescent="0.25">
      <c r="A71" s="1517" t="s">
        <v>594</v>
      </c>
      <c r="B71" s="1518" t="s">
        <v>1288</v>
      </c>
      <c r="C71" s="1507" t="s">
        <v>894</v>
      </c>
      <c r="D71" s="1477">
        <f>BS!D39</f>
        <v>2847082</v>
      </c>
      <c r="E71" s="1477"/>
      <c r="F71" s="1477"/>
      <c r="G71" s="1473">
        <f>BS!F39</f>
        <v>2845366</v>
      </c>
      <c r="H71" s="1474"/>
      <c r="I71" s="1476"/>
      <c r="J71" s="572"/>
    </row>
    <row r="72" spans="1:10" ht="27.95" customHeight="1" x14ac:dyDescent="0.25">
      <c r="A72" s="1517"/>
      <c r="B72" s="1499"/>
      <c r="C72" s="1507"/>
      <c r="D72" s="1477">
        <f>BS!E39</f>
        <v>1716</v>
      </c>
      <c r="E72" s="1477"/>
      <c r="F72" s="1477"/>
      <c r="G72" s="644"/>
      <c r="H72" s="1473">
        <f>BS!G39</f>
        <v>2170868</v>
      </c>
      <c r="I72" s="1474"/>
      <c r="J72" s="1475"/>
    </row>
    <row r="73" spans="1:10" s="501" customFormat="1" ht="27.95" customHeight="1" x14ac:dyDescent="0.25">
      <c r="A73" s="1526" t="s">
        <v>597</v>
      </c>
      <c r="B73" s="1518" t="s">
        <v>1287</v>
      </c>
      <c r="C73" s="1507" t="s">
        <v>897</v>
      </c>
      <c r="D73" s="1477">
        <f>BS!D40</f>
        <v>0</v>
      </c>
      <c r="E73" s="1477"/>
      <c r="F73" s="1477"/>
      <c r="G73" s="1473">
        <f>BS!F40</f>
        <v>0</v>
      </c>
      <c r="H73" s="1474"/>
      <c r="I73" s="1476"/>
      <c r="J73" s="572"/>
    </row>
    <row r="74" spans="1:10" s="501" customFormat="1" ht="27.95" customHeight="1" x14ac:dyDescent="0.25">
      <c r="A74" s="1517"/>
      <c r="B74" s="1499"/>
      <c r="C74" s="1507"/>
      <c r="D74" s="1477">
        <f>BS!E40</f>
        <v>0</v>
      </c>
      <c r="E74" s="1477"/>
      <c r="F74" s="1477"/>
      <c r="G74" s="644"/>
      <c r="H74" s="1473">
        <f>BS!G40</f>
        <v>0</v>
      </c>
      <c r="I74" s="1474"/>
      <c r="J74" s="1475"/>
    </row>
    <row r="75" spans="1:10" s="501" customFormat="1" ht="27.95" customHeight="1" x14ac:dyDescent="0.25">
      <c r="A75" s="1513" t="s">
        <v>600</v>
      </c>
      <c r="B75" s="1497" t="s">
        <v>1286</v>
      </c>
      <c r="C75" s="1507" t="s">
        <v>900</v>
      </c>
      <c r="D75" s="1477">
        <f>BS!D41</f>
        <v>0</v>
      </c>
      <c r="E75" s="1477"/>
      <c r="F75" s="1477"/>
      <c r="G75" s="1473">
        <f>BS!F41</f>
        <v>0</v>
      </c>
      <c r="H75" s="1474"/>
      <c r="I75" s="1476"/>
      <c r="J75" s="572"/>
    </row>
    <row r="76" spans="1:10" s="501" customFormat="1" ht="27.95" customHeight="1" x14ac:dyDescent="0.25">
      <c r="A76" s="1529"/>
      <c r="B76" s="1497"/>
      <c r="C76" s="1507"/>
      <c r="D76" s="1477">
        <f>BS!E41</f>
        <v>0</v>
      </c>
      <c r="E76" s="1477"/>
      <c r="F76" s="1477"/>
      <c r="G76" s="644"/>
      <c r="H76" s="1473">
        <f>BS!G41</f>
        <v>0</v>
      </c>
      <c r="I76" s="1474"/>
      <c r="J76" s="1475"/>
    </row>
    <row r="77" spans="1:10" ht="27.95" customHeight="1" x14ac:dyDescent="0.25">
      <c r="A77" s="1512" t="s">
        <v>532</v>
      </c>
      <c r="B77" s="1497" t="s">
        <v>1285</v>
      </c>
      <c r="C77" s="1507" t="s">
        <v>903</v>
      </c>
      <c r="D77" s="1477">
        <f>BS!D42</f>
        <v>0</v>
      </c>
      <c r="E77" s="1477"/>
      <c r="F77" s="1477"/>
      <c r="G77" s="1473">
        <f>BS!F42</f>
        <v>0</v>
      </c>
      <c r="H77" s="1474"/>
      <c r="I77" s="1476"/>
      <c r="J77" s="572"/>
    </row>
    <row r="78" spans="1:10" ht="27.95" customHeight="1" x14ac:dyDescent="0.25">
      <c r="A78" s="1512"/>
      <c r="B78" s="1497"/>
      <c r="C78" s="1507"/>
      <c r="D78" s="1477">
        <f>BS!E42</f>
        <v>0</v>
      </c>
      <c r="E78" s="1477"/>
      <c r="F78" s="1477"/>
      <c r="G78" s="644"/>
      <c r="H78" s="1473">
        <f>BS!G42</f>
        <v>0</v>
      </c>
      <c r="I78" s="1474"/>
      <c r="J78" s="1475"/>
    </row>
    <row r="79" spans="1:10" ht="27.95" customHeight="1" x14ac:dyDescent="0.25">
      <c r="A79" s="1512" t="s">
        <v>535</v>
      </c>
      <c r="B79" s="1497" t="s">
        <v>1284</v>
      </c>
      <c r="C79" s="1507" t="s">
        <v>906</v>
      </c>
      <c r="D79" s="1477">
        <f>BS!D43</f>
        <v>0</v>
      </c>
      <c r="E79" s="1477"/>
      <c r="F79" s="1477"/>
      <c r="G79" s="1473">
        <f>BS!F43</f>
        <v>0</v>
      </c>
      <c r="H79" s="1474"/>
      <c r="I79" s="1476"/>
      <c r="J79" s="572"/>
    </row>
    <row r="80" spans="1:10" ht="27.95" customHeight="1" x14ac:dyDescent="0.25">
      <c r="A80" s="1512"/>
      <c r="B80" s="1497"/>
      <c r="C80" s="1507"/>
      <c r="D80" s="1477">
        <f>BS!E43</f>
        <v>0</v>
      </c>
      <c r="E80" s="1477"/>
      <c r="F80" s="1477"/>
      <c r="G80" s="644"/>
      <c r="H80" s="1473">
        <f>BS!G43</f>
        <v>0</v>
      </c>
      <c r="I80" s="1474"/>
      <c r="J80" s="1475"/>
    </row>
    <row r="81" spans="1:10" ht="27.95" customHeight="1" x14ac:dyDescent="0.25">
      <c r="A81" s="1512" t="s">
        <v>538</v>
      </c>
      <c r="B81" s="1497" t="s">
        <v>1283</v>
      </c>
      <c r="C81" s="1507" t="s">
        <v>909</v>
      </c>
      <c r="D81" s="1477">
        <f>BS!D44</f>
        <v>0</v>
      </c>
      <c r="E81" s="1477"/>
      <c r="F81" s="1477"/>
      <c r="G81" s="1473">
        <f>BS!F44</f>
        <v>0</v>
      </c>
      <c r="H81" s="1474"/>
      <c r="I81" s="1476"/>
      <c r="J81" s="572"/>
    </row>
    <row r="82" spans="1:10" ht="27.95" customHeight="1" x14ac:dyDescent="0.25">
      <c r="A82" s="1512"/>
      <c r="B82" s="1497"/>
      <c r="C82" s="1507"/>
      <c r="D82" s="1477">
        <f>BS!E44</f>
        <v>0</v>
      </c>
      <c r="E82" s="1477"/>
      <c r="F82" s="1477"/>
      <c r="G82" s="644"/>
      <c r="H82" s="1473">
        <f>BS!G44</f>
        <v>0</v>
      </c>
      <c r="I82" s="1474"/>
      <c r="J82" s="1475"/>
    </row>
    <row r="83" spans="1:10" ht="27.95" customHeight="1" x14ac:dyDescent="0.25">
      <c r="A83" s="1512" t="s">
        <v>541</v>
      </c>
      <c r="B83" s="1497" t="s">
        <v>1282</v>
      </c>
      <c r="C83" s="1507" t="s">
        <v>912</v>
      </c>
      <c r="D83" s="1477">
        <f>BS!D45</f>
        <v>0</v>
      </c>
      <c r="E83" s="1477"/>
      <c r="F83" s="1477"/>
      <c r="G83" s="1473">
        <f>BS!F45</f>
        <v>0</v>
      </c>
      <c r="H83" s="1474"/>
      <c r="I83" s="1476"/>
      <c r="J83" s="572"/>
    </row>
    <row r="84" spans="1:10" ht="27.95" customHeight="1" x14ac:dyDescent="0.25">
      <c r="A84" s="1512"/>
      <c r="B84" s="1497"/>
      <c r="C84" s="1507"/>
      <c r="D84" s="1477">
        <f>BS!E45</f>
        <v>0</v>
      </c>
      <c r="E84" s="1477"/>
      <c r="F84" s="1477"/>
      <c r="G84" s="644"/>
      <c r="H84" s="1473">
        <f>BS!G45</f>
        <v>0</v>
      </c>
      <c r="I84" s="1474"/>
      <c r="J84" s="1475"/>
    </row>
    <row r="85" spans="1:10" ht="27.95" customHeight="1" x14ac:dyDescent="0.25">
      <c r="A85" s="1512" t="s">
        <v>544</v>
      </c>
      <c r="B85" s="1497" t="s">
        <v>1281</v>
      </c>
      <c r="C85" s="1507" t="s">
        <v>915</v>
      </c>
      <c r="D85" s="1477">
        <f>BS!D46</f>
        <v>0</v>
      </c>
      <c r="E85" s="1477"/>
      <c r="F85" s="1477"/>
      <c r="G85" s="1473">
        <f>BS!F46</f>
        <v>0</v>
      </c>
      <c r="H85" s="1474"/>
      <c r="I85" s="1476"/>
      <c r="J85" s="572"/>
    </row>
    <row r="86" spans="1:10" ht="27.95" customHeight="1" x14ac:dyDescent="0.25">
      <c r="A86" s="1512"/>
      <c r="B86" s="1497"/>
      <c r="C86" s="1507"/>
      <c r="D86" s="1477">
        <f>BS!E46</f>
        <v>0</v>
      </c>
      <c r="E86" s="1477"/>
      <c r="F86" s="1477"/>
      <c r="G86" s="644"/>
      <c r="H86" s="1473">
        <f>BS!G46</f>
        <v>0</v>
      </c>
      <c r="I86" s="1474"/>
      <c r="J86" s="1475"/>
    </row>
    <row r="87" spans="1:10" ht="27.95" customHeight="1" x14ac:dyDescent="0.25">
      <c r="A87" s="1526" t="s">
        <v>613</v>
      </c>
      <c r="B87" s="1499" t="s">
        <v>1280</v>
      </c>
      <c r="C87" s="1507" t="s">
        <v>918</v>
      </c>
      <c r="D87" s="1477">
        <f>BS!D47</f>
        <v>25577</v>
      </c>
      <c r="E87" s="1477"/>
      <c r="F87" s="1477"/>
      <c r="G87" s="1473">
        <f>BS!F47</f>
        <v>25577</v>
      </c>
      <c r="H87" s="1474"/>
      <c r="I87" s="1476"/>
      <c r="J87" s="572"/>
    </row>
    <row r="88" spans="1:10" ht="27.95" customHeight="1" x14ac:dyDescent="0.25">
      <c r="A88" s="1517"/>
      <c r="B88" s="1499"/>
      <c r="C88" s="1507"/>
      <c r="D88" s="1477">
        <f>BS!E47</f>
        <v>0</v>
      </c>
      <c r="E88" s="1477"/>
      <c r="F88" s="1477"/>
      <c r="G88" s="644"/>
      <c r="H88" s="1473">
        <f>BS!G47</f>
        <v>19858</v>
      </c>
      <c r="I88" s="1474"/>
      <c r="J88" s="1475"/>
    </row>
    <row r="89" spans="1:10" s="501" customFormat="1" ht="27.95" customHeight="1" x14ac:dyDescent="0.25">
      <c r="A89" s="1513" t="s">
        <v>616</v>
      </c>
      <c r="B89" s="1497" t="s">
        <v>1279</v>
      </c>
      <c r="C89" s="1507" t="s">
        <v>921</v>
      </c>
      <c r="D89" s="1477">
        <f>BS!D48</f>
        <v>0</v>
      </c>
      <c r="E89" s="1477"/>
      <c r="F89" s="1477"/>
      <c r="G89" s="1473">
        <f>BS!F48</f>
        <v>0</v>
      </c>
      <c r="H89" s="1474"/>
      <c r="I89" s="1476"/>
      <c r="J89" s="572"/>
    </row>
    <row r="90" spans="1:10" s="501" customFormat="1" ht="27.95" customHeight="1" x14ac:dyDescent="0.25">
      <c r="A90" s="1529"/>
      <c r="B90" s="1497"/>
      <c r="C90" s="1507"/>
      <c r="D90" s="1477">
        <f>BS!E48</f>
        <v>0</v>
      </c>
      <c r="E90" s="1477"/>
      <c r="F90" s="1477"/>
      <c r="G90" s="644"/>
      <c r="H90" s="1473">
        <f>BS!G48</f>
        <v>0</v>
      </c>
      <c r="I90" s="1474"/>
      <c r="J90" s="1475"/>
    </row>
    <row r="91" spans="1:10" s="501" customFormat="1" ht="27.95" customHeight="1" x14ac:dyDescent="0.25">
      <c r="A91" s="1512" t="s">
        <v>532</v>
      </c>
      <c r="B91" s="1497" t="s">
        <v>1274</v>
      </c>
      <c r="C91" s="1507" t="s">
        <v>924</v>
      </c>
      <c r="D91" s="1477">
        <f>BS!D49</f>
        <v>0</v>
      </c>
      <c r="E91" s="1477"/>
      <c r="F91" s="1477"/>
      <c r="G91" s="1473">
        <f>BS!F49</f>
        <v>0</v>
      </c>
      <c r="H91" s="1474"/>
      <c r="I91" s="1476"/>
      <c r="J91" s="572"/>
    </row>
    <row r="92" spans="1:10" s="501" customFormat="1" ht="27.95" customHeight="1" x14ac:dyDescent="0.25">
      <c r="A92" s="1512"/>
      <c r="B92" s="1497"/>
      <c r="C92" s="1507"/>
      <c r="D92" s="1477">
        <f>BS!E49</f>
        <v>0</v>
      </c>
      <c r="E92" s="1477"/>
      <c r="F92" s="1477"/>
      <c r="G92" s="644"/>
      <c r="H92" s="1473">
        <f>BS!G49</f>
        <v>0</v>
      </c>
      <c r="I92" s="1474"/>
      <c r="J92" s="1475"/>
    </row>
    <row r="93" spans="1:10" ht="27.95" customHeight="1" x14ac:dyDescent="0.25">
      <c r="A93" s="1512" t="s">
        <v>535</v>
      </c>
      <c r="B93" s="1497" t="s">
        <v>1273</v>
      </c>
      <c r="C93" s="1507" t="s">
        <v>927</v>
      </c>
      <c r="D93" s="1477">
        <f>BS!D50</f>
        <v>0</v>
      </c>
      <c r="E93" s="1477"/>
      <c r="F93" s="1477"/>
      <c r="G93" s="1473">
        <f>BS!F50</f>
        <v>0</v>
      </c>
      <c r="H93" s="1474"/>
      <c r="I93" s="1476"/>
      <c r="J93" s="572"/>
    </row>
    <row r="94" spans="1:10" ht="27.95" customHeight="1" x14ac:dyDescent="0.25">
      <c r="A94" s="1512"/>
      <c r="B94" s="1497"/>
      <c r="C94" s="1507"/>
      <c r="D94" s="1477">
        <f>BS!E50</f>
        <v>0</v>
      </c>
      <c r="E94" s="1477"/>
      <c r="F94" s="1477"/>
      <c r="G94" s="644"/>
      <c r="H94" s="1473">
        <f>BS!G50</f>
        <v>0</v>
      </c>
      <c r="I94" s="1474"/>
      <c r="J94" s="1475"/>
    </row>
    <row r="95" spans="1:10" ht="11.25" customHeight="1" x14ac:dyDescent="0.25">
      <c r="A95" s="1532" t="s">
        <v>1221</v>
      </c>
      <c r="B95" s="1531" t="s">
        <v>1265</v>
      </c>
      <c r="C95" s="1538" t="s">
        <v>1219</v>
      </c>
      <c r="D95" s="1480" t="s">
        <v>2</v>
      </c>
      <c r="E95" s="1481"/>
      <c r="F95" s="1481"/>
      <c r="G95" s="1481"/>
      <c r="H95" s="1482"/>
      <c r="I95" s="1487" t="s">
        <v>1264</v>
      </c>
      <c r="J95" s="1488"/>
    </row>
    <row r="96" spans="1:10" ht="11.25" customHeight="1" x14ac:dyDescent="0.15">
      <c r="A96" s="1521"/>
      <c r="B96" s="1495"/>
      <c r="C96" s="1525"/>
      <c r="D96" s="1496">
        <v>1</v>
      </c>
      <c r="E96" s="1495" t="s">
        <v>1263</v>
      </c>
      <c r="F96" s="1495"/>
      <c r="G96" s="1485" t="s">
        <v>1262</v>
      </c>
      <c r="H96" s="1486"/>
      <c r="I96" s="1480"/>
      <c r="J96" s="1489"/>
    </row>
    <row r="97" spans="1:12" ht="12" customHeight="1" x14ac:dyDescent="0.15">
      <c r="A97" s="1533"/>
      <c r="B97" s="1534"/>
      <c r="C97" s="1525"/>
      <c r="D97" s="1511"/>
      <c r="E97" s="1534" t="s">
        <v>1261</v>
      </c>
      <c r="F97" s="1534"/>
      <c r="G97" s="1503"/>
      <c r="H97" s="1504"/>
      <c r="I97" s="1510" t="s">
        <v>1260</v>
      </c>
      <c r="J97" s="1479"/>
    </row>
    <row r="98" spans="1:12" ht="27.95" customHeight="1" x14ac:dyDescent="0.25">
      <c r="A98" s="1512" t="s">
        <v>538</v>
      </c>
      <c r="B98" s="1497" t="s">
        <v>1272</v>
      </c>
      <c r="C98" s="1516" t="s">
        <v>930</v>
      </c>
      <c r="D98" s="1477">
        <f>BS!D51</f>
        <v>0</v>
      </c>
      <c r="E98" s="1477"/>
      <c r="F98" s="1477"/>
      <c r="G98" s="1473">
        <f>BS!F51</f>
        <v>0</v>
      </c>
      <c r="H98" s="1474"/>
      <c r="I98" s="1476"/>
      <c r="J98" s="572"/>
      <c r="L98" s="553" t="s">
        <v>1177</v>
      </c>
    </row>
    <row r="99" spans="1:12" ht="27.95" customHeight="1" x14ac:dyDescent="0.25">
      <c r="A99" s="1512"/>
      <c r="B99" s="1497"/>
      <c r="C99" s="1507"/>
      <c r="D99" s="1477">
        <f>BS!E51</f>
        <v>0</v>
      </c>
      <c r="E99" s="1477"/>
      <c r="F99" s="1477"/>
      <c r="G99" s="644"/>
      <c r="H99" s="1473">
        <f>BS!G51</f>
        <v>0</v>
      </c>
      <c r="I99" s="1474"/>
      <c r="J99" s="1475"/>
    </row>
    <row r="100" spans="1:12" ht="27.95" customHeight="1" x14ac:dyDescent="0.25">
      <c r="A100" s="1512" t="s">
        <v>541</v>
      </c>
      <c r="B100" s="1497" t="s">
        <v>1278</v>
      </c>
      <c r="C100" s="1507" t="s">
        <v>933</v>
      </c>
      <c r="D100" s="1477">
        <f>BS!D52</f>
        <v>0</v>
      </c>
      <c r="E100" s="1477"/>
      <c r="F100" s="1477"/>
      <c r="G100" s="1473">
        <f>BS!F52</f>
        <v>0</v>
      </c>
      <c r="H100" s="1474"/>
      <c r="I100" s="1476"/>
      <c r="J100" s="572"/>
    </row>
    <row r="101" spans="1:12" ht="27.95" customHeight="1" x14ac:dyDescent="0.25">
      <c r="A101" s="1512"/>
      <c r="B101" s="1497"/>
      <c r="C101" s="1507"/>
      <c r="D101" s="1477">
        <f>BS!E52</f>
        <v>0</v>
      </c>
      <c r="E101" s="1477"/>
      <c r="F101" s="1477"/>
      <c r="G101" s="644"/>
      <c r="H101" s="1473">
        <f>BS!G52</f>
        <v>0</v>
      </c>
      <c r="I101" s="1474"/>
      <c r="J101" s="1475"/>
    </row>
    <row r="102" spans="1:12" ht="27.95" customHeight="1" x14ac:dyDescent="0.25">
      <c r="A102" s="1512" t="s">
        <v>544</v>
      </c>
      <c r="B102" s="1497" t="s">
        <v>1268</v>
      </c>
      <c r="C102" s="1516" t="s">
        <v>936</v>
      </c>
      <c r="D102" s="1477">
        <f>BS!D53</f>
        <v>0</v>
      </c>
      <c r="E102" s="1477"/>
      <c r="F102" s="1477"/>
      <c r="G102" s="1473">
        <f>BS!F53</f>
        <v>0</v>
      </c>
      <c r="H102" s="1474"/>
      <c r="I102" s="1476"/>
      <c r="J102" s="572"/>
    </row>
    <row r="103" spans="1:12" ht="27.95" customHeight="1" x14ac:dyDescent="0.25">
      <c r="A103" s="1512"/>
      <c r="B103" s="1497"/>
      <c r="C103" s="1507"/>
      <c r="D103" s="1477">
        <f>BS!E53</f>
        <v>0</v>
      </c>
      <c r="E103" s="1477"/>
      <c r="F103" s="1477"/>
      <c r="G103" s="644"/>
      <c r="H103" s="1473">
        <f>BS!G53</f>
        <v>0</v>
      </c>
      <c r="I103" s="1474"/>
      <c r="J103" s="1475"/>
    </row>
    <row r="104" spans="1:12" ht="27.95" customHeight="1" x14ac:dyDescent="0.25">
      <c r="A104" s="1512" t="s">
        <v>547</v>
      </c>
      <c r="B104" s="1497" t="s">
        <v>1277</v>
      </c>
      <c r="C104" s="1507" t="s">
        <v>939</v>
      </c>
      <c r="D104" s="1477">
        <f>BS!D54</f>
        <v>25577</v>
      </c>
      <c r="E104" s="1477"/>
      <c r="F104" s="1477"/>
      <c r="G104" s="1473">
        <f>BS!F54</f>
        <v>25577</v>
      </c>
      <c r="H104" s="1474"/>
      <c r="I104" s="1476"/>
      <c r="J104" s="572"/>
    </row>
    <row r="105" spans="1:12" ht="27.95" customHeight="1" x14ac:dyDescent="0.25">
      <c r="A105" s="1512"/>
      <c r="B105" s="1497"/>
      <c r="C105" s="1507"/>
      <c r="D105" s="1477">
        <f>BS!E54</f>
        <v>0</v>
      </c>
      <c r="E105" s="1477"/>
      <c r="F105" s="1477"/>
      <c r="G105" s="644"/>
      <c r="H105" s="1473">
        <f>BS!G54</f>
        <v>19858</v>
      </c>
      <c r="I105" s="1474"/>
      <c r="J105" s="1475"/>
    </row>
    <row r="106" spans="1:12" ht="27.95" customHeight="1" x14ac:dyDescent="0.25">
      <c r="A106" s="1536" t="s">
        <v>631</v>
      </c>
      <c r="B106" s="1518" t="s">
        <v>1276</v>
      </c>
      <c r="C106" s="1516" t="s">
        <v>941</v>
      </c>
      <c r="D106" s="1477">
        <f>BS!D55</f>
        <v>2821219</v>
      </c>
      <c r="E106" s="1477"/>
      <c r="F106" s="1477"/>
      <c r="G106" s="1473">
        <f>BS!F55</f>
        <v>2819503</v>
      </c>
      <c r="H106" s="1474"/>
      <c r="I106" s="1476"/>
      <c r="J106" s="572"/>
    </row>
    <row r="107" spans="1:12" ht="27.95" customHeight="1" x14ac:dyDescent="0.25">
      <c r="A107" s="1537"/>
      <c r="B107" s="1499"/>
      <c r="C107" s="1507"/>
      <c r="D107" s="1477">
        <f>BS!E55</f>
        <v>1716</v>
      </c>
      <c r="E107" s="1477"/>
      <c r="F107" s="1477"/>
      <c r="G107" s="644"/>
      <c r="H107" s="1473">
        <f>BS!G55</f>
        <v>2150321</v>
      </c>
      <c r="I107" s="1474"/>
      <c r="J107" s="1475"/>
    </row>
    <row r="108" spans="1:12" s="501" customFormat="1" ht="27.95" customHeight="1" x14ac:dyDescent="0.25">
      <c r="A108" s="1535" t="s">
        <v>634</v>
      </c>
      <c r="B108" s="1497" t="s">
        <v>1275</v>
      </c>
      <c r="C108" s="1507" t="s">
        <v>944</v>
      </c>
      <c r="D108" s="1477">
        <f>BS!D56</f>
        <v>2820567</v>
      </c>
      <c r="E108" s="1477"/>
      <c r="F108" s="1477"/>
      <c r="G108" s="1473">
        <f>BS!F56</f>
        <v>2818851</v>
      </c>
      <c r="H108" s="1474"/>
      <c r="I108" s="1476"/>
      <c r="J108" s="572"/>
    </row>
    <row r="109" spans="1:12" s="501" customFormat="1" ht="27.95" customHeight="1" x14ac:dyDescent="0.25">
      <c r="A109" s="1535"/>
      <c r="B109" s="1497"/>
      <c r="C109" s="1507"/>
      <c r="D109" s="1477">
        <f>BS!E56</f>
        <v>1716</v>
      </c>
      <c r="E109" s="1477"/>
      <c r="F109" s="1477"/>
      <c r="G109" s="644"/>
      <c r="H109" s="1473">
        <f>BS!G56</f>
        <v>2123075</v>
      </c>
      <c r="I109" s="1474"/>
      <c r="J109" s="1475"/>
    </row>
    <row r="110" spans="1:12" s="501" customFormat="1" ht="27.95" customHeight="1" x14ac:dyDescent="0.25">
      <c r="A110" s="1512" t="s">
        <v>532</v>
      </c>
      <c r="B110" s="1497" t="s">
        <v>1274</v>
      </c>
      <c r="C110" s="1516" t="s">
        <v>947</v>
      </c>
      <c r="D110" s="1477">
        <f>BS!D57</f>
        <v>0</v>
      </c>
      <c r="E110" s="1477"/>
      <c r="F110" s="1477"/>
      <c r="G110" s="1473">
        <f>BS!F57</f>
        <v>0</v>
      </c>
      <c r="H110" s="1474"/>
      <c r="I110" s="1476"/>
      <c r="J110" s="572"/>
    </row>
    <row r="111" spans="1:12" s="501" customFormat="1" ht="27.95" customHeight="1" x14ac:dyDescent="0.25">
      <c r="A111" s="1512"/>
      <c r="B111" s="1497"/>
      <c r="C111" s="1507"/>
      <c r="D111" s="1477">
        <f>BS!E57</f>
        <v>0</v>
      </c>
      <c r="E111" s="1477"/>
      <c r="F111" s="1477"/>
      <c r="G111" s="644"/>
      <c r="H111" s="1473">
        <f>BS!G57</f>
        <v>0</v>
      </c>
      <c r="I111" s="1474"/>
      <c r="J111" s="1475"/>
    </row>
    <row r="112" spans="1:12" ht="27.95" customHeight="1" x14ac:dyDescent="0.25">
      <c r="A112" s="1512" t="s">
        <v>535</v>
      </c>
      <c r="B112" s="1497" t="s">
        <v>1273</v>
      </c>
      <c r="C112" s="1507" t="s">
        <v>950</v>
      </c>
      <c r="D112" s="1477">
        <f>BS!D58</f>
        <v>0</v>
      </c>
      <c r="E112" s="1477"/>
      <c r="F112" s="1477"/>
      <c r="G112" s="1473">
        <f>BS!F58</f>
        <v>0</v>
      </c>
      <c r="H112" s="1474"/>
      <c r="I112" s="1476"/>
      <c r="J112" s="572"/>
    </row>
    <row r="113" spans="1:10" ht="27.95" customHeight="1" x14ac:dyDescent="0.25">
      <c r="A113" s="1512"/>
      <c r="B113" s="1497"/>
      <c r="C113" s="1507"/>
      <c r="D113" s="1477">
        <f>BS!E58</f>
        <v>0</v>
      </c>
      <c r="E113" s="1477"/>
      <c r="F113" s="1477"/>
      <c r="G113" s="644"/>
      <c r="H113" s="1473">
        <f>BS!G58</f>
        <v>0</v>
      </c>
      <c r="I113" s="1474"/>
      <c r="J113" s="1475"/>
    </row>
    <row r="114" spans="1:10" ht="27.95" customHeight="1" x14ac:dyDescent="0.25">
      <c r="A114" s="1512" t="s">
        <v>538</v>
      </c>
      <c r="B114" s="1497" t="s">
        <v>1272</v>
      </c>
      <c r="C114" s="1516" t="s">
        <v>952</v>
      </c>
      <c r="D114" s="1477">
        <f>BS!D59</f>
        <v>0</v>
      </c>
      <c r="E114" s="1477"/>
      <c r="F114" s="1477"/>
      <c r="G114" s="1473">
        <f>BS!F59</f>
        <v>0</v>
      </c>
      <c r="H114" s="1474"/>
      <c r="I114" s="1476"/>
      <c r="J114" s="572"/>
    </row>
    <row r="115" spans="1:10" ht="27.95" customHeight="1" x14ac:dyDescent="0.25">
      <c r="A115" s="1512"/>
      <c r="B115" s="1497"/>
      <c r="C115" s="1507"/>
      <c r="D115" s="1477">
        <f>BS!E59</f>
        <v>0</v>
      </c>
      <c r="E115" s="1477"/>
      <c r="F115" s="1477"/>
      <c r="G115" s="644"/>
      <c r="H115" s="1473">
        <f>BS!G59</f>
        <v>0</v>
      </c>
      <c r="I115" s="1474"/>
      <c r="J115" s="1475"/>
    </row>
    <row r="116" spans="1:10" ht="27.95" customHeight="1" x14ac:dyDescent="0.25">
      <c r="A116" s="1512" t="s">
        <v>541</v>
      </c>
      <c r="B116" s="1497" t="s">
        <v>1271</v>
      </c>
      <c r="C116" s="1507" t="s">
        <v>954</v>
      </c>
      <c r="D116" s="1477">
        <f>BS!D60</f>
        <v>0</v>
      </c>
      <c r="E116" s="1477"/>
      <c r="F116" s="1477"/>
      <c r="G116" s="1473">
        <f>BS!F60</f>
        <v>0</v>
      </c>
      <c r="H116" s="1474"/>
      <c r="I116" s="1476"/>
      <c r="J116" s="572"/>
    </row>
    <row r="117" spans="1:10" ht="27.95" customHeight="1" x14ac:dyDescent="0.25">
      <c r="A117" s="1512"/>
      <c r="B117" s="1497"/>
      <c r="C117" s="1507"/>
      <c r="D117" s="1477">
        <f>BS!E60</f>
        <v>0</v>
      </c>
      <c r="E117" s="1477"/>
      <c r="F117" s="1477"/>
      <c r="G117" s="644"/>
      <c r="H117" s="1473">
        <f>BS!G60</f>
        <v>0</v>
      </c>
      <c r="I117" s="1474"/>
      <c r="J117" s="1475"/>
    </row>
    <row r="118" spans="1:10" ht="27.95" customHeight="1" x14ac:dyDescent="0.25">
      <c r="A118" s="1512" t="s">
        <v>544</v>
      </c>
      <c r="B118" s="1497" t="s">
        <v>1270</v>
      </c>
      <c r="C118" s="1516" t="s">
        <v>957</v>
      </c>
      <c r="D118" s="1477">
        <f>BS!D61</f>
        <v>0</v>
      </c>
      <c r="E118" s="1477"/>
      <c r="F118" s="1477"/>
      <c r="G118" s="1473">
        <f>BS!F61</f>
        <v>0</v>
      </c>
      <c r="H118" s="1474"/>
      <c r="I118" s="1476"/>
      <c r="J118" s="572"/>
    </row>
    <row r="119" spans="1:10" ht="27.95" customHeight="1" x14ac:dyDescent="0.25">
      <c r="A119" s="1512"/>
      <c r="B119" s="1497"/>
      <c r="C119" s="1507"/>
      <c r="D119" s="1477">
        <f>BS!E61</f>
        <v>0</v>
      </c>
      <c r="E119" s="1477"/>
      <c r="F119" s="1477"/>
      <c r="G119" s="644"/>
      <c r="H119" s="1473">
        <f>BS!G61</f>
        <v>0</v>
      </c>
      <c r="I119" s="1474"/>
      <c r="J119" s="1475"/>
    </row>
    <row r="120" spans="1:10" ht="27.95" customHeight="1" x14ac:dyDescent="0.25">
      <c r="A120" s="1512" t="s">
        <v>547</v>
      </c>
      <c r="B120" s="1497" t="s">
        <v>1269</v>
      </c>
      <c r="C120" s="1507" t="s">
        <v>960</v>
      </c>
      <c r="D120" s="1477">
        <f>BS!D62</f>
        <v>0</v>
      </c>
      <c r="E120" s="1477"/>
      <c r="F120" s="1477"/>
      <c r="G120" s="1473">
        <f>BS!F62</f>
        <v>0</v>
      </c>
      <c r="H120" s="1474"/>
      <c r="I120" s="1476"/>
      <c r="J120" s="572"/>
    </row>
    <row r="121" spans="1:10" ht="27.95" customHeight="1" x14ac:dyDescent="0.25">
      <c r="A121" s="1512"/>
      <c r="B121" s="1497"/>
      <c r="C121" s="1507"/>
      <c r="D121" s="1477">
        <f>BS!E62</f>
        <v>0</v>
      </c>
      <c r="E121" s="1477"/>
      <c r="F121" s="1477"/>
      <c r="G121" s="644"/>
      <c r="H121" s="1473">
        <f>BS!G62</f>
        <v>0</v>
      </c>
      <c r="I121" s="1474"/>
      <c r="J121" s="1475"/>
    </row>
    <row r="122" spans="1:10" ht="27.95" customHeight="1" x14ac:dyDescent="0.25">
      <c r="A122" s="1512" t="s">
        <v>568</v>
      </c>
      <c r="B122" s="1497" t="s">
        <v>1268</v>
      </c>
      <c r="C122" s="1516" t="s">
        <v>962</v>
      </c>
      <c r="D122" s="1477">
        <f>BS!D63</f>
        <v>652</v>
      </c>
      <c r="E122" s="1477"/>
      <c r="F122" s="1477"/>
      <c r="G122" s="1473">
        <f>BS!F63</f>
        <v>652</v>
      </c>
      <c r="H122" s="1474"/>
      <c r="I122" s="1476"/>
      <c r="J122" s="572"/>
    </row>
    <row r="123" spans="1:10" ht="27.95" customHeight="1" x14ac:dyDescent="0.25">
      <c r="A123" s="1512"/>
      <c r="B123" s="1497"/>
      <c r="C123" s="1507"/>
      <c r="D123" s="1477">
        <f>BS!E63</f>
        <v>0</v>
      </c>
      <c r="E123" s="1477"/>
      <c r="F123" s="1477"/>
      <c r="G123" s="644"/>
      <c r="H123" s="1473">
        <f>BS!G63</f>
        <v>652</v>
      </c>
      <c r="I123" s="1474"/>
      <c r="J123" s="1475"/>
    </row>
    <row r="124" spans="1:10" ht="27.95" customHeight="1" x14ac:dyDescent="0.25">
      <c r="A124" s="1540" t="s">
        <v>649</v>
      </c>
      <c r="B124" s="1539" t="s">
        <v>1267</v>
      </c>
      <c r="C124" s="1507" t="s">
        <v>965</v>
      </c>
      <c r="D124" s="1477">
        <f>BS!D64</f>
        <v>286</v>
      </c>
      <c r="E124" s="1477"/>
      <c r="F124" s="1477"/>
      <c r="G124" s="1473">
        <f>BS!F64</f>
        <v>286</v>
      </c>
      <c r="H124" s="1474"/>
      <c r="I124" s="1476"/>
      <c r="J124" s="572"/>
    </row>
    <row r="125" spans="1:10" ht="27.95" customHeight="1" x14ac:dyDescent="0.25">
      <c r="A125" s="1537"/>
      <c r="B125" s="1499"/>
      <c r="C125" s="1507"/>
      <c r="D125" s="1477">
        <f>BS!E64</f>
        <v>0</v>
      </c>
      <c r="E125" s="1477"/>
      <c r="F125" s="1477"/>
      <c r="G125" s="644"/>
      <c r="H125" s="1473">
        <f>BS!G64</f>
        <v>689</v>
      </c>
      <c r="I125" s="1474"/>
      <c r="J125" s="1475"/>
    </row>
    <row r="126" spans="1:10" s="501" customFormat="1" ht="27.95" customHeight="1" x14ac:dyDescent="0.25">
      <c r="A126" s="1529" t="s">
        <v>652</v>
      </c>
      <c r="B126" s="1497" t="s">
        <v>1266</v>
      </c>
      <c r="C126" s="1516" t="s">
        <v>968</v>
      </c>
      <c r="D126" s="1477">
        <f>BS!D65</f>
        <v>286</v>
      </c>
      <c r="E126" s="1477"/>
      <c r="F126" s="1477"/>
      <c r="G126" s="1473">
        <f>BS!F65</f>
        <v>286</v>
      </c>
      <c r="H126" s="1474"/>
      <c r="I126" s="1476"/>
      <c r="J126" s="572"/>
    </row>
    <row r="127" spans="1:10" s="501" customFormat="1" ht="27.95" customHeight="1" x14ac:dyDescent="0.25">
      <c r="A127" s="1529"/>
      <c r="B127" s="1497"/>
      <c r="C127" s="1507"/>
      <c r="D127" s="1477">
        <f>BS!E65</f>
        <v>0</v>
      </c>
      <c r="E127" s="1477"/>
      <c r="F127" s="1477"/>
      <c r="G127" s="644"/>
      <c r="H127" s="1473">
        <f>BS!G65</f>
        <v>689</v>
      </c>
      <c r="I127" s="1474"/>
      <c r="J127" s="1475"/>
    </row>
    <row r="128" spans="1:10" ht="11.25" customHeight="1" x14ac:dyDescent="0.25">
      <c r="A128" s="1532" t="s">
        <v>1221</v>
      </c>
      <c r="B128" s="1531" t="s">
        <v>1265</v>
      </c>
      <c r="C128" s="1538" t="s">
        <v>1219</v>
      </c>
      <c r="D128" s="1480" t="s">
        <v>2</v>
      </c>
      <c r="E128" s="1481"/>
      <c r="F128" s="1481"/>
      <c r="G128" s="1481"/>
      <c r="H128" s="1482"/>
      <c r="I128" s="1487" t="s">
        <v>1264</v>
      </c>
      <c r="J128" s="1488"/>
    </row>
    <row r="129" spans="1:10" ht="11.25" customHeight="1" x14ac:dyDescent="0.15">
      <c r="A129" s="1521"/>
      <c r="B129" s="1495"/>
      <c r="C129" s="1525"/>
      <c r="D129" s="1496">
        <v>1</v>
      </c>
      <c r="E129" s="1495" t="s">
        <v>1263</v>
      </c>
      <c r="F129" s="1495"/>
      <c r="G129" s="1485" t="s">
        <v>1262</v>
      </c>
      <c r="H129" s="1486"/>
      <c r="I129" s="1480"/>
      <c r="J129" s="1489"/>
    </row>
    <row r="130" spans="1:10" ht="11.25" customHeight="1" x14ac:dyDescent="0.15">
      <c r="A130" s="1521"/>
      <c r="B130" s="1495"/>
      <c r="C130" s="1525"/>
      <c r="D130" s="1496"/>
      <c r="E130" s="1495" t="s">
        <v>1261</v>
      </c>
      <c r="F130" s="1495"/>
      <c r="G130" s="1485"/>
      <c r="H130" s="1486"/>
      <c r="I130" s="1478" t="s">
        <v>1260</v>
      </c>
      <c r="J130" s="1479"/>
    </row>
    <row r="131" spans="1:10" s="571" customFormat="1" ht="27.95" customHeight="1" x14ac:dyDescent="0.25">
      <c r="A131" s="1512" t="s">
        <v>532</v>
      </c>
      <c r="B131" s="1497" t="s">
        <v>1259</v>
      </c>
      <c r="C131" s="1507" t="s">
        <v>656</v>
      </c>
      <c r="D131" s="1477">
        <f>BS!D66</f>
        <v>0</v>
      </c>
      <c r="E131" s="1477"/>
      <c r="F131" s="1477"/>
      <c r="G131" s="1473">
        <f>BS!F66</f>
        <v>0</v>
      </c>
      <c r="H131" s="1474"/>
      <c r="I131" s="1476"/>
      <c r="J131" s="572"/>
    </row>
    <row r="132" spans="1:10" s="571" customFormat="1" ht="27.95" customHeight="1" x14ac:dyDescent="0.25">
      <c r="A132" s="1512"/>
      <c r="B132" s="1497"/>
      <c r="C132" s="1507"/>
      <c r="D132" s="1477">
        <f>BS!E66</f>
        <v>0</v>
      </c>
      <c r="E132" s="1477"/>
      <c r="F132" s="1477"/>
      <c r="G132" s="644"/>
      <c r="H132" s="1473">
        <f>BS!G66</f>
        <v>0</v>
      </c>
      <c r="I132" s="1474"/>
      <c r="J132" s="1475"/>
    </row>
    <row r="133" spans="1:10" s="571" customFormat="1" ht="27.95" customHeight="1" x14ac:dyDescent="0.25">
      <c r="A133" s="1512" t="s">
        <v>535</v>
      </c>
      <c r="B133" s="1497" t="s">
        <v>1258</v>
      </c>
      <c r="C133" s="1507" t="s">
        <v>658</v>
      </c>
      <c r="D133" s="1477">
        <f>BS!D67</f>
        <v>0</v>
      </c>
      <c r="E133" s="1477"/>
      <c r="F133" s="1477"/>
      <c r="G133" s="1473">
        <f>BS!F67</f>
        <v>0</v>
      </c>
      <c r="H133" s="1474"/>
      <c r="I133" s="1476"/>
      <c r="J133" s="572"/>
    </row>
    <row r="134" spans="1:10" ht="27.95" customHeight="1" x14ac:dyDescent="0.25">
      <c r="A134" s="1512"/>
      <c r="B134" s="1497"/>
      <c r="C134" s="1507"/>
      <c r="D134" s="1477">
        <f>BS!E67</f>
        <v>0</v>
      </c>
      <c r="E134" s="1477"/>
      <c r="F134" s="1477"/>
      <c r="G134" s="644"/>
      <c r="H134" s="1473">
        <f>BS!G67</f>
        <v>0</v>
      </c>
      <c r="I134" s="1474"/>
      <c r="J134" s="1475"/>
    </row>
    <row r="135" spans="1:10" ht="27.95" customHeight="1" x14ac:dyDescent="0.25">
      <c r="A135" s="1512" t="s">
        <v>538</v>
      </c>
      <c r="B135" s="1497" t="s">
        <v>1257</v>
      </c>
      <c r="C135" s="1507" t="s">
        <v>660</v>
      </c>
      <c r="D135" s="1477">
        <f>BS!D68</f>
        <v>0</v>
      </c>
      <c r="E135" s="1477"/>
      <c r="F135" s="1477"/>
      <c r="G135" s="1473">
        <f>BS!F68</f>
        <v>0</v>
      </c>
      <c r="H135" s="1474"/>
      <c r="I135" s="1476"/>
      <c r="J135" s="572"/>
    </row>
    <row r="136" spans="1:10" ht="27.95" customHeight="1" x14ac:dyDescent="0.25">
      <c r="A136" s="1512"/>
      <c r="B136" s="1497"/>
      <c r="C136" s="1507"/>
      <c r="D136" s="1477">
        <f>BS!E68</f>
        <v>0</v>
      </c>
      <c r="E136" s="1477"/>
      <c r="F136" s="1477"/>
      <c r="G136" s="644"/>
      <c r="H136" s="1473">
        <f>BS!G68</f>
        <v>0</v>
      </c>
      <c r="I136" s="1474"/>
      <c r="J136" s="1475"/>
    </row>
    <row r="137" spans="1:10" ht="27.95" customHeight="1" x14ac:dyDescent="0.25">
      <c r="A137" s="1512" t="s">
        <v>541</v>
      </c>
      <c r="B137" s="1497" t="s">
        <v>1256</v>
      </c>
      <c r="C137" s="1507" t="s">
        <v>662</v>
      </c>
      <c r="D137" s="1477">
        <f>BS!D69</f>
        <v>0</v>
      </c>
      <c r="E137" s="1477"/>
      <c r="F137" s="1477"/>
      <c r="G137" s="1473">
        <f>BS!F69</f>
        <v>0</v>
      </c>
      <c r="H137" s="1474"/>
      <c r="I137" s="1476"/>
      <c r="J137" s="572"/>
    </row>
    <row r="138" spans="1:10" ht="27.95" customHeight="1" x14ac:dyDescent="0.25">
      <c r="A138" s="1512"/>
      <c r="B138" s="1497"/>
      <c r="C138" s="1507"/>
      <c r="D138" s="1477">
        <f>BS!E69</f>
        <v>0</v>
      </c>
      <c r="E138" s="1477"/>
      <c r="F138" s="1477"/>
      <c r="G138" s="644"/>
      <c r="H138" s="1473">
        <f>BS!G69</f>
        <v>0</v>
      </c>
      <c r="I138" s="1474"/>
      <c r="J138" s="1475"/>
    </row>
    <row r="139" spans="1:10" ht="27.95" customHeight="1" x14ac:dyDescent="0.25">
      <c r="A139" s="1517" t="s">
        <v>663</v>
      </c>
      <c r="B139" s="1499" t="s">
        <v>1255</v>
      </c>
      <c r="C139" s="1519" t="s">
        <v>665</v>
      </c>
      <c r="D139" s="1477">
        <f>BS!D70</f>
        <v>4022</v>
      </c>
      <c r="E139" s="1477"/>
      <c r="F139" s="1477"/>
      <c r="G139" s="1473">
        <f>BS!F70</f>
        <v>4022</v>
      </c>
      <c r="H139" s="1474"/>
      <c r="I139" s="1476"/>
      <c r="J139" s="572"/>
    </row>
    <row r="140" spans="1:10" ht="27.95" customHeight="1" x14ac:dyDescent="0.25">
      <c r="A140" s="1517"/>
      <c r="B140" s="1499"/>
      <c r="C140" s="1519"/>
      <c r="D140" s="1477">
        <f>BS!E70</f>
        <v>0</v>
      </c>
      <c r="E140" s="1477"/>
      <c r="F140" s="1477"/>
      <c r="G140" s="644"/>
      <c r="H140" s="1473">
        <f>BS!G70</f>
        <v>19937</v>
      </c>
      <c r="I140" s="1474"/>
      <c r="J140" s="1475"/>
    </row>
    <row r="141" spans="1:10" ht="27.95" customHeight="1" x14ac:dyDescent="0.25">
      <c r="A141" s="1529" t="s">
        <v>666</v>
      </c>
      <c r="B141" s="1497" t="s">
        <v>1254</v>
      </c>
      <c r="C141" s="1507" t="s">
        <v>668</v>
      </c>
      <c r="D141" s="1477">
        <f>BS!D71</f>
        <v>0</v>
      </c>
      <c r="E141" s="1477"/>
      <c r="F141" s="1477"/>
      <c r="G141" s="1473">
        <f>BS!F71</f>
        <v>0</v>
      </c>
      <c r="H141" s="1474"/>
      <c r="I141" s="1476"/>
      <c r="J141" s="572"/>
    </row>
    <row r="142" spans="1:10" ht="27.95" customHeight="1" x14ac:dyDescent="0.25">
      <c r="A142" s="1529"/>
      <c r="B142" s="1497"/>
      <c r="C142" s="1507"/>
      <c r="D142" s="1477">
        <f>BS!E71</f>
        <v>0</v>
      </c>
      <c r="E142" s="1477"/>
      <c r="F142" s="1477"/>
      <c r="G142" s="644"/>
      <c r="H142" s="1473">
        <f>BS!G71</f>
        <v>0</v>
      </c>
      <c r="I142" s="1474"/>
      <c r="J142" s="1475"/>
    </row>
    <row r="143" spans="1:10" ht="27.95" customHeight="1" x14ac:dyDescent="0.25">
      <c r="A143" s="1512" t="s">
        <v>532</v>
      </c>
      <c r="B143" s="1497" t="s">
        <v>1253</v>
      </c>
      <c r="C143" s="1507" t="s">
        <v>670</v>
      </c>
      <c r="D143" s="1477">
        <f>BS!D72</f>
        <v>2033</v>
      </c>
      <c r="E143" s="1477"/>
      <c r="F143" s="1477"/>
      <c r="G143" s="1473">
        <f>BS!F72</f>
        <v>2033</v>
      </c>
      <c r="H143" s="1474"/>
      <c r="I143" s="1476"/>
      <c r="J143" s="572"/>
    </row>
    <row r="144" spans="1:10" s="501" customFormat="1" ht="27.95" customHeight="1" x14ac:dyDescent="0.25">
      <c r="A144" s="1512"/>
      <c r="B144" s="1497"/>
      <c r="C144" s="1507"/>
      <c r="D144" s="1477">
        <f>BS!E72</f>
        <v>0</v>
      </c>
      <c r="E144" s="1477"/>
      <c r="F144" s="1477"/>
      <c r="G144" s="644"/>
      <c r="H144" s="1473">
        <f>BS!G72</f>
        <v>766</v>
      </c>
      <c r="I144" s="1474"/>
      <c r="J144" s="1475"/>
    </row>
    <row r="145" spans="1:10" s="501" customFormat="1" ht="27.95" customHeight="1" x14ac:dyDescent="0.25">
      <c r="A145" s="1512" t="s">
        <v>535</v>
      </c>
      <c r="B145" s="1497" t="s">
        <v>1252</v>
      </c>
      <c r="C145" s="1507" t="s">
        <v>672</v>
      </c>
      <c r="D145" s="1477">
        <f>BS!D73</f>
        <v>0</v>
      </c>
      <c r="E145" s="1477"/>
      <c r="F145" s="1477"/>
      <c r="G145" s="1473">
        <f>BS!F73</f>
        <v>0</v>
      </c>
      <c r="H145" s="1474"/>
      <c r="I145" s="1476"/>
      <c r="J145" s="572"/>
    </row>
    <row r="146" spans="1:10" ht="27.95" customHeight="1" x14ac:dyDescent="0.25">
      <c r="A146" s="1512"/>
      <c r="B146" s="1497"/>
      <c r="C146" s="1507"/>
      <c r="D146" s="1477">
        <f>BS!E73</f>
        <v>0</v>
      </c>
      <c r="E146" s="1477"/>
      <c r="F146" s="1477"/>
      <c r="G146" s="644"/>
      <c r="H146" s="1473">
        <f>BS!G73</f>
        <v>0</v>
      </c>
      <c r="I146" s="1474"/>
      <c r="J146" s="1475"/>
    </row>
    <row r="147" spans="1:10" ht="27.95" customHeight="1" x14ac:dyDescent="0.25">
      <c r="A147" s="1512" t="s">
        <v>538</v>
      </c>
      <c r="B147" s="1497" t="s">
        <v>1251</v>
      </c>
      <c r="C147" s="1507" t="s">
        <v>674</v>
      </c>
      <c r="D147" s="1477">
        <f>BS!D74</f>
        <v>1989</v>
      </c>
      <c r="E147" s="1477"/>
      <c r="F147" s="1477"/>
      <c r="G147" s="1473">
        <f>BS!F74</f>
        <v>1989</v>
      </c>
      <c r="H147" s="1474"/>
      <c r="I147" s="1476"/>
      <c r="J147" s="572"/>
    </row>
    <row r="148" spans="1:10" s="566" customFormat="1" ht="27.95" customHeight="1" x14ac:dyDescent="0.2">
      <c r="A148" s="1512"/>
      <c r="B148" s="1497"/>
      <c r="C148" s="1507"/>
      <c r="D148" s="1477">
        <f>BS!E74</f>
        <v>0</v>
      </c>
      <c r="E148" s="1477"/>
      <c r="F148" s="1477"/>
      <c r="G148" s="644"/>
      <c r="H148" s="1473">
        <f>BS!G74</f>
        <v>19171</v>
      </c>
      <c r="I148" s="1474"/>
      <c r="J148" s="1475"/>
    </row>
    <row r="149" spans="1:10" s="566" customFormat="1" ht="30" customHeight="1" x14ac:dyDescent="0.2">
      <c r="A149" s="569" t="s">
        <v>1221</v>
      </c>
      <c r="B149" s="1480" t="s">
        <v>1220</v>
      </c>
      <c r="C149" s="1481"/>
      <c r="D149" s="1481"/>
      <c r="E149" s="1482"/>
      <c r="F149" s="568" t="s">
        <v>1219</v>
      </c>
      <c r="G149" s="1480" t="s">
        <v>1218</v>
      </c>
      <c r="H149" s="1482"/>
      <c r="I149" s="1480" t="s">
        <v>1217</v>
      </c>
      <c r="J149" s="1489"/>
    </row>
    <row r="150" spans="1:10" s="566" customFormat="1" ht="27.75" customHeight="1" x14ac:dyDescent="0.2">
      <c r="A150" s="567"/>
      <c r="B150" s="1499" t="s">
        <v>1250</v>
      </c>
      <c r="C150" s="1500"/>
      <c r="D150" s="1500"/>
      <c r="E150" s="1500"/>
      <c r="F150" s="564" t="s">
        <v>681</v>
      </c>
      <c r="G150" s="1473">
        <f>BS!D81</f>
        <v>2867628</v>
      </c>
      <c r="H150" s="1476"/>
      <c r="I150" s="1473">
        <f>BS!E81</f>
        <v>2216815</v>
      </c>
      <c r="J150" s="1475"/>
    </row>
    <row r="151" spans="1:10" s="566" customFormat="1" ht="27.75" customHeight="1" x14ac:dyDescent="0.2">
      <c r="A151" s="558" t="s">
        <v>523</v>
      </c>
      <c r="B151" s="1499" t="s">
        <v>1249</v>
      </c>
      <c r="C151" s="1500"/>
      <c r="D151" s="1500"/>
      <c r="E151" s="1500"/>
      <c r="F151" s="564" t="s">
        <v>683</v>
      </c>
      <c r="G151" s="1473">
        <f>BS!D82</f>
        <v>331785</v>
      </c>
      <c r="H151" s="1476"/>
      <c r="I151" s="1473">
        <f>BS!E82</f>
        <v>196262</v>
      </c>
      <c r="J151" s="1475"/>
    </row>
    <row r="152" spans="1:10" ht="27.75" customHeight="1" x14ac:dyDescent="0.25">
      <c r="A152" s="558" t="s">
        <v>526</v>
      </c>
      <c r="B152" s="1499" t="s">
        <v>1248</v>
      </c>
      <c r="C152" s="1500"/>
      <c r="D152" s="1500"/>
      <c r="E152" s="1500"/>
      <c r="F152" s="564" t="s">
        <v>685</v>
      </c>
      <c r="G152" s="1473">
        <f>BS!D83</f>
        <v>132776</v>
      </c>
      <c r="H152" s="1476"/>
      <c r="I152" s="1473">
        <f>BS!E83</f>
        <v>132776</v>
      </c>
      <c r="J152" s="1475"/>
    </row>
    <row r="153" spans="1:10" s="501" customFormat="1" ht="27.75" customHeight="1" x14ac:dyDescent="0.25">
      <c r="A153" s="557" t="s">
        <v>529</v>
      </c>
      <c r="B153" s="1497" t="s">
        <v>1247</v>
      </c>
      <c r="C153" s="1498"/>
      <c r="D153" s="1498"/>
      <c r="E153" s="1498"/>
      <c r="F153" s="554" t="s">
        <v>687</v>
      </c>
      <c r="G153" s="1473">
        <f>BS!D84</f>
        <v>132776</v>
      </c>
      <c r="H153" s="1476"/>
      <c r="I153" s="1473">
        <f>BS!E84</f>
        <v>132776</v>
      </c>
      <c r="J153" s="1475"/>
    </row>
    <row r="154" spans="1:10" s="501" customFormat="1" ht="27.75" customHeight="1" x14ac:dyDescent="0.25">
      <c r="A154" s="556" t="s">
        <v>532</v>
      </c>
      <c r="B154" s="1497" t="s">
        <v>1246</v>
      </c>
      <c r="C154" s="1498"/>
      <c r="D154" s="1498"/>
      <c r="E154" s="1498"/>
      <c r="F154" s="554" t="s">
        <v>689</v>
      </c>
      <c r="G154" s="1473">
        <f>BS!D85</f>
        <v>0</v>
      </c>
      <c r="H154" s="1476"/>
      <c r="I154" s="1473">
        <f>BS!E85</f>
        <v>0</v>
      </c>
      <c r="J154" s="1475"/>
    </row>
    <row r="155" spans="1:10" s="501" customFormat="1" ht="27.75" customHeight="1" x14ac:dyDescent="0.25">
      <c r="A155" s="556" t="s">
        <v>535</v>
      </c>
      <c r="B155" s="1497" t="s">
        <v>1245</v>
      </c>
      <c r="C155" s="1498"/>
      <c r="D155" s="1498"/>
      <c r="E155" s="1498"/>
      <c r="F155" s="554" t="s">
        <v>691</v>
      </c>
      <c r="G155" s="1473">
        <f>BS!D86</f>
        <v>0</v>
      </c>
      <c r="H155" s="1476"/>
      <c r="I155" s="1473">
        <f>BS!E86</f>
        <v>0</v>
      </c>
      <c r="J155" s="1475"/>
    </row>
    <row r="156" spans="1:10" ht="27.75" customHeight="1" x14ac:dyDescent="0.25">
      <c r="A156" s="556" t="s">
        <v>538</v>
      </c>
      <c r="B156" s="1497" t="s">
        <v>1244</v>
      </c>
      <c r="C156" s="1498"/>
      <c r="D156" s="1498"/>
      <c r="E156" s="1498"/>
      <c r="F156" s="554" t="s">
        <v>693</v>
      </c>
      <c r="G156" s="1473">
        <f>BS!D87</f>
        <v>0</v>
      </c>
      <c r="H156" s="1476"/>
      <c r="I156" s="1473">
        <f>BS!E87</f>
        <v>0</v>
      </c>
      <c r="J156" s="1475"/>
    </row>
    <row r="157" spans="1:10" ht="27.75" customHeight="1" x14ac:dyDescent="0.25">
      <c r="A157" s="558" t="s">
        <v>550</v>
      </c>
      <c r="B157" s="1499" t="s">
        <v>1243</v>
      </c>
      <c r="C157" s="1500"/>
      <c r="D157" s="1500"/>
      <c r="E157" s="1500"/>
      <c r="F157" s="564" t="s">
        <v>695</v>
      </c>
      <c r="G157" s="1473">
        <f>BS!D88</f>
        <v>1427</v>
      </c>
      <c r="H157" s="1476"/>
      <c r="I157" s="1473">
        <f>BS!E88</f>
        <v>1427</v>
      </c>
      <c r="J157" s="1475"/>
    </row>
    <row r="158" spans="1:10" ht="27.75" customHeight="1" x14ac:dyDescent="0.25">
      <c r="A158" s="557" t="s">
        <v>553</v>
      </c>
      <c r="B158" s="1497" t="s">
        <v>1242</v>
      </c>
      <c r="C158" s="1498"/>
      <c r="D158" s="1498"/>
      <c r="E158" s="1498"/>
      <c r="F158" s="554" t="s">
        <v>697</v>
      </c>
      <c r="G158" s="1473">
        <f>BS!D89</f>
        <v>0</v>
      </c>
      <c r="H158" s="1476"/>
      <c r="I158" s="1473">
        <f>BS!E89</f>
        <v>0</v>
      </c>
      <c r="J158" s="1475"/>
    </row>
    <row r="159" spans="1:10" ht="27.75" customHeight="1" x14ac:dyDescent="0.25">
      <c r="A159" s="556" t="s">
        <v>532</v>
      </c>
      <c r="B159" s="1497" t="s">
        <v>1241</v>
      </c>
      <c r="C159" s="1498"/>
      <c r="D159" s="1498"/>
      <c r="E159" s="1498"/>
      <c r="F159" s="554" t="s">
        <v>699</v>
      </c>
      <c r="G159" s="1473">
        <f>BS!D90</f>
        <v>1427</v>
      </c>
      <c r="H159" s="1476"/>
      <c r="I159" s="1473">
        <f>BS!E90</f>
        <v>1427</v>
      </c>
      <c r="J159" s="1475"/>
    </row>
    <row r="160" spans="1:10" s="501" customFormat="1" ht="27.75" customHeight="1" x14ac:dyDescent="0.25">
      <c r="A160" s="556" t="s">
        <v>535</v>
      </c>
      <c r="B160" s="1497" t="s">
        <v>1240</v>
      </c>
      <c r="C160" s="1498"/>
      <c r="D160" s="1498"/>
      <c r="E160" s="1498"/>
      <c r="F160" s="554" t="s">
        <v>701</v>
      </c>
      <c r="G160" s="1473">
        <f>BS!D91</f>
        <v>0</v>
      </c>
      <c r="H160" s="1476"/>
      <c r="I160" s="1473">
        <f>BS!E91</f>
        <v>0</v>
      </c>
      <c r="J160" s="1475"/>
    </row>
    <row r="161" spans="1:10" ht="27.75" customHeight="1" x14ac:dyDescent="0.25">
      <c r="A161" s="556" t="s">
        <v>538</v>
      </c>
      <c r="B161" s="1497" t="s">
        <v>1239</v>
      </c>
      <c r="C161" s="1498"/>
      <c r="D161" s="1498"/>
      <c r="E161" s="1498"/>
      <c r="F161" s="554" t="s">
        <v>703</v>
      </c>
      <c r="G161" s="1473">
        <f>BS!D92</f>
        <v>0</v>
      </c>
      <c r="H161" s="1476"/>
      <c r="I161" s="1473">
        <f>BS!E92</f>
        <v>0</v>
      </c>
      <c r="J161" s="1475"/>
    </row>
    <row r="162" spans="1:10" ht="27.75" customHeight="1" x14ac:dyDescent="0.25">
      <c r="A162" s="556" t="s">
        <v>541</v>
      </c>
      <c r="B162" s="1497" t="s">
        <v>1238</v>
      </c>
      <c r="C162" s="1498"/>
      <c r="D162" s="1498"/>
      <c r="E162" s="1498"/>
      <c r="F162" s="554" t="s">
        <v>705</v>
      </c>
      <c r="G162" s="1473">
        <f>BS!D93</f>
        <v>0</v>
      </c>
      <c r="H162" s="1476"/>
      <c r="I162" s="1473">
        <f>BS!E93</f>
        <v>0</v>
      </c>
      <c r="J162" s="1475"/>
    </row>
    <row r="163" spans="1:10" ht="27.75" customHeight="1" x14ac:dyDescent="0.25">
      <c r="A163" s="556" t="s">
        <v>544</v>
      </c>
      <c r="B163" s="1497" t="s">
        <v>1237</v>
      </c>
      <c r="C163" s="1498"/>
      <c r="D163" s="1498"/>
      <c r="E163" s="1498"/>
      <c r="F163" s="554" t="s">
        <v>707</v>
      </c>
      <c r="G163" s="1473">
        <f>BS!D94</f>
        <v>0</v>
      </c>
      <c r="H163" s="1476"/>
      <c r="I163" s="1473">
        <f>BS!E94</f>
        <v>0</v>
      </c>
      <c r="J163" s="1475"/>
    </row>
    <row r="164" spans="1:10" ht="27.75" customHeight="1" x14ac:dyDescent="0.25">
      <c r="A164" s="558" t="s">
        <v>574</v>
      </c>
      <c r="B164" s="1499" t="s">
        <v>1236</v>
      </c>
      <c r="C164" s="1500"/>
      <c r="D164" s="1500"/>
      <c r="E164" s="1500"/>
      <c r="F164" s="564" t="s">
        <v>709</v>
      </c>
      <c r="G164" s="1473">
        <f>BS!D95</f>
        <v>13278</v>
      </c>
      <c r="H164" s="1476"/>
      <c r="I164" s="1473">
        <f>BS!E95</f>
        <v>13278</v>
      </c>
      <c r="J164" s="1475"/>
    </row>
    <row r="165" spans="1:10" ht="27.75" customHeight="1" x14ac:dyDescent="0.25">
      <c r="A165" s="556" t="s">
        <v>577</v>
      </c>
      <c r="B165" s="1497" t="s">
        <v>1235</v>
      </c>
      <c r="C165" s="1498"/>
      <c r="D165" s="1498"/>
      <c r="E165" s="1498"/>
      <c r="F165" s="554" t="s">
        <v>711</v>
      </c>
      <c r="G165" s="1473">
        <f>BS!D96</f>
        <v>13278</v>
      </c>
      <c r="H165" s="1476"/>
      <c r="I165" s="1473">
        <f>BS!E96</f>
        <v>13278</v>
      </c>
      <c r="J165" s="1475"/>
    </row>
    <row r="166" spans="1:10" ht="27.75" customHeight="1" x14ac:dyDescent="0.25">
      <c r="A166" s="556" t="s">
        <v>532</v>
      </c>
      <c r="B166" s="1497" t="s">
        <v>1234</v>
      </c>
      <c r="C166" s="1498"/>
      <c r="D166" s="1498"/>
      <c r="E166" s="1498"/>
      <c r="F166" s="554" t="s">
        <v>713</v>
      </c>
      <c r="G166" s="1473">
        <f>BS!D97</f>
        <v>0</v>
      </c>
      <c r="H166" s="1476"/>
      <c r="I166" s="1473">
        <f>BS!E97</f>
        <v>0</v>
      </c>
      <c r="J166" s="1475"/>
    </row>
    <row r="167" spans="1:10" s="501" customFormat="1" ht="27.75" customHeight="1" x14ac:dyDescent="0.25">
      <c r="A167" s="556" t="s">
        <v>535</v>
      </c>
      <c r="B167" s="1497" t="s">
        <v>1233</v>
      </c>
      <c r="C167" s="1498"/>
      <c r="D167" s="1498"/>
      <c r="E167" s="1498"/>
      <c r="F167" s="554" t="s">
        <v>715</v>
      </c>
      <c r="G167" s="1473">
        <f>BS!D98</f>
        <v>0</v>
      </c>
      <c r="H167" s="1476"/>
      <c r="I167" s="1473">
        <f>BS!E98</f>
        <v>0</v>
      </c>
      <c r="J167" s="1475"/>
    </row>
    <row r="168" spans="1:10" ht="27.75" customHeight="1" x14ac:dyDescent="0.25">
      <c r="A168" s="558" t="s">
        <v>716</v>
      </c>
      <c r="B168" s="1499" t="s">
        <v>1232</v>
      </c>
      <c r="C168" s="1500"/>
      <c r="D168" s="1500"/>
      <c r="E168" s="1500"/>
      <c r="F168" s="564" t="s">
        <v>718</v>
      </c>
      <c r="G168" s="1473">
        <f>BS!D99</f>
        <v>0</v>
      </c>
      <c r="H168" s="1476"/>
      <c r="I168" s="1473">
        <f>BS!E99</f>
        <v>45857</v>
      </c>
      <c r="J168" s="1475"/>
    </row>
    <row r="169" spans="1:10" ht="27.75" customHeight="1" x14ac:dyDescent="0.25">
      <c r="A169" s="565" t="s">
        <v>719</v>
      </c>
      <c r="B169" s="1497" t="s">
        <v>1231</v>
      </c>
      <c r="C169" s="1498"/>
      <c r="D169" s="1498"/>
      <c r="E169" s="1498"/>
      <c r="F169" s="554" t="s">
        <v>721</v>
      </c>
      <c r="G169" s="1473">
        <f>BS!D100</f>
        <v>0</v>
      </c>
      <c r="H169" s="1476"/>
      <c r="I169" s="1473">
        <f>BS!E100</f>
        <v>45857</v>
      </c>
      <c r="J169" s="1475"/>
    </row>
    <row r="170" spans="1:10" ht="27.75" customHeight="1" x14ac:dyDescent="0.25">
      <c r="A170" s="556" t="s">
        <v>532</v>
      </c>
      <c r="B170" s="1497" t="s">
        <v>1230</v>
      </c>
      <c r="C170" s="1498"/>
      <c r="D170" s="1498"/>
      <c r="E170" s="1498"/>
      <c r="F170" s="554" t="s">
        <v>723</v>
      </c>
      <c r="G170" s="1473">
        <f>BS!D101</f>
        <v>0</v>
      </c>
      <c r="H170" s="1476"/>
      <c r="I170" s="1473">
        <f>BS!E101</f>
        <v>0</v>
      </c>
      <c r="J170" s="1475"/>
    </row>
    <row r="171" spans="1:10" s="501" customFormat="1" ht="31.5" customHeight="1" x14ac:dyDescent="0.25">
      <c r="A171" s="558" t="s">
        <v>724</v>
      </c>
      <c r="B171" s="1499" t="s">
        <v>1229</v>
      </c>
      <c r="C171" s="1500"/>
      <c r="D171" s="1500"/>
      <c r="E171" s="1500"/>
      <c r="F171" s="564" t="s">
        <v>726</v>
      </c>
      <c r="G171" s="1473">
        <f>BS!D102</f>
        <v>184304</v>
      </c>
      <c r="H171" s="1476"/>
      <c r="I171" s="1473">
        <f>BS!E102</f>
        <v>2924</v>
      </c>
      <c r="J171" s="1475"/>
    </row>
    <row r="172" spans="1:10" ht="27.75" customHeight="1" x14ac:dyDescent="0.25">
      <c r="A172" s="558" t="s">
        <v>594</v>
      </c>
      <c r="B172" s="1499" t="s">
        <v>1228</v>
      </c>
      <c r="C172" s="1500"/>
      <c r="D172" s="1500"/>
      <c r="E172" s="1500"/>
      <c r="F172" s="564" t="s">
        <v>728</v>
      </c>
      <c r="G172" s="1473">
        <f>BS!D103</f>
        <v>2534343</v>
      </c>
      <c r="H172" s="1476"/>
      <c r="I172" s="1473">
        <f>BS!E103</f>
        <v>2020553</v>
      </c>
      <c r="J172" s="1475"/>
    </row>
    <row r="173" spans="1:10" ht="27.75" customHeight="1" x14ac:dyDescent="0.25">
      <c r="A173" s="558" t="s">
        <v>597</v>
      </c>
      <c r="B173" s="1499" t="s">
        <v>1227</v>
      </c>
      <c r="C173" s="1500"/>
      <c r="D173" s="1500"/>
      <c r="E173" s="1500"/>
      <c r="F173" s="564" t="s">
        <v>730</v>
      </c>
      <c r="G173" s="1473">
        <f>BS!D104</f>
        <v>125226</v>
      </c>
      <c r="H173" s="1476"/>
      <c r="I173" s="1473">
        <f>BS!E104</f>
        <v>93989</v>
      </c>
      <c r="J173" s="1475"/>
    </row>
    <row r="174" spans="1:10" s="501" customFormat="1" ht="27.75" customHeight="1" x14ac:dyDescent="0.25">
      <c r="A174" s="557" t="s">
        <v>600</v>
      </c>
      <c r="B174" s="1497" t="s">
        <v>1226</v>
      </c>
      <c r="C174" s="1498"/>
      <c r="D174" s="1498"/>
      <c r="E174" s="1498"/>
      <c r="F174" s="554" t="s">
        <v>732</v>
      </c>
      <c r="G174" s="1473">
        <f>BS!D105</f>
        <v>0</v>
      </c>
      <c r="H174" s="1476"/>
      <c r="I174" s="1473">
        <f>BS!E105</f>
        <v>0</v>
      </c>
      <c r="J174" s="1475"/>
    </row>
    <row r="175" spans="1:10" s="501" customFormat="1" ht="27.75" customHeight="1" x14ac:dyDescent="0.25">
      <c r="A175" s="556" t="s">
        <v>532</v>
      </c>
      <c r="B175" s="1497" t="s">
        <v>1225</v>
      </c>
      <c r="C175" s="1498"/>
      <c r="D175" s="1498"/>
      <c r="E175" s="1498"/>
      <c r="F175" s="554" t="s">
        <v>734</v>
      </c>
      <c r="G175" s="1473">
        <f>BS!D106</f>
        <v>62283</v>
      </c>
      <c r="H175" s="1476"/>
      <c r="I175" s="1473">
        <f>BS!E106</f>
        <v>27949</v>
      </c>
      <c r="J175" s="1475"/>
    </row>
    <row r="176" spans="1:10" s="501" customFormat="1" ht="27.75" customHeight="1" x14ac:dyDescent="0.25">
      <c r="A176" s="556" t="s">
        <v>535</v>
      </c>
      <c r="B176" s="1497" t="s">
        <v>1224</v>
      </c>
      <c r="C176" s="1498"/>
      <c r="D176" s="1498"/>
      <c r="E176" s="1498"/>
      <c r="F176" s="554" t="s">
        <v>736</v>
      </c>
      <c r="G176" s="1473">
        <f>BS!D107</f>
        <v>0</v>
      </c>
      <c r="H176" s="1476"/>
      <c r="I176" s="1473">
        <f>BS!E107</f>
        <v>0</v>
      </c>
      <c r="J176" s="1475"/>
    </row>
    <row r="177" spans="1:10" ht="27.75" customHeight="1" x14ac:dyDescent="0.25">
      <c r="A177" s="556" t="s">
        <v>538</v>
      </c>
      <c r="B177" s="1497" t="s">
        <v>1223</v>
      </c>
      <c r="C177" s="1498"/>
      <c r="D177" s="1498"/>
      <c r="E177" s="1498"/>
      <c r="F177" s="554" t="s">
        <v>738</v>
      </c>
      <c r="G177" s="1473">
        <f>BS!D108</f>
        <v>62943</v>
      </c>
      <c r="H177" s="1476"/>
      <c r="I177" s="1473">
        <f>BS!E108</f>
        <v>66040</v>
      </c>
      <c r="J177" s="1475"/>
    </row>
    <row r="178" spans="1:10" ht="25.5" customHeight="1" thickBot="1" x14ac:dyDescent="0.3">
      <c r="A178" s="563" t="s">
        <v>613</v>
      </c>
      <c r="B178" s="1508" t="s">
        <v>1222</v>
      </c>
      <c r="C178" s="1509"/>
      <c r="D178" s="1509"/>
      <c r="E178" s="1509"/>
      <c r="F178" s="562" t="s">
        <v>740</v>
      </c>
      <c r="G178" s="1473">
        <f>BS!D109</f>
        <v>3501</v>
      </c>
      <c r="H178" s="1476"/>
      <c r="I178" s="1473">
        <f>BS!E109</f>
        <v>9736</v>
      </c>
      <c r="J178" s="1475"/>
    </row>
    <row r="179" spans="1:10" ht="30" customHeight="1" x14ac:dyDescent="0.15">
      <c r="A179" s="561" t="s">
        <v>1221</v>
      </c>
      <c r="B179" s="1492" t="s">
        <v>1220</v>
      </c>
      <c r="C179" s="1501"/>
      <c r="D179" s="1501"/>
      <c r="E179" s="1502"/>
      <c r="F179" s="560" t="s">
        <v>1219</v>
      </c>
      <c r="G179" s="1492" t="s">
        <v>1218</v>
      </c>
      <c r="H179" s="1494"/>
      <c r="I179" s="1492" t="s">
        <v>1217</v>
      </c>
      <c r="J179" s="1543"/>
    </row>
    <row r="180" spans="1:10" ht="27.75" customHeight="1" x14ac:dyDescent="0.25">
      <c r="A180" s="557" t="s">
        <v>616</v>
      </c>
      <c r="B180" s="1497" t="s">
        <v>1216</v>
      </c>
      <c r="C180" s="1498"/>
      <c r="D180" s="1498"/>
      <c r="E180" s="1498"/>
      <c r="F180" s="554" t="s">
        <v>742</v>
      </c>
      <c r="G180" s="1473">
        <f>BS!D110</f>
        <v>0</v>
      </c>
      <c r="H180" s="1476"/>
      <c r="I180" s="1473">
        <f>BS!E110</f>
        <v>0</v>
      </c>
      <c r="J180" s="1475"/>
    </row>
    <row r="181" spans="1:10" ht="27.75" customHeight="1" x14ac:dyDescent="0.25">
      <c r="A181" s="556" t="s">
        <v>532</v>
      </c>
      <c r="B181" s="1497" t="s">
        <v>1204</v>
      </c>
      <c r="C181" s="1498"/>
      <c r="D181" s="1498"/>
      <c r="E181" s="1498"/>
      <c r="F181" s="554" t="s">
        <v>743</v>
      </c>
      <c r="G181" s="1473">
        <f>BS!D111</f>
        <v>0</v>
      </c>
      <c r="H181" s="1476"/>
      <c r="I181" s="1473">
        <f>BS!E111</f>
        <v>0</v>
      </c>
      <c r="J181" s="1475"/>
    </row>
    <row r="182" spans="1:10" s="501" customFormat="1" ht="27.75" customHeight="1" x14ac:dyDescent="0.25">
      <c r="A182" s="556" t="s">
        <v>535</v>
      </c>
      <c r="B182" s="1497" t="s">
        <v>1215</v>
      </c>
      <c r="C182" s="1498"/>
      <c r="D182" s="1498"/>
      <c r="E182" s="1498"/>
      <c r="F182" s="554" t="s">
        <v>745</v>
      </c>
      <c r="G182" s="1473">
        <f>BS!D112</f>
        <v>0</v>
      </c>
      <c r="H182" s="1476"/>
      <c r="I182" s="1473">
        <f>BS!E112</f>
        <v>0</v>
      </c>
      <c r="J182" s="1475"/>
    </row>
    <row r="183" spans="1:10" ht="27.75" customHeight="1" x14ac:dyDescent="0.25">
      <c r="A183" s="556" t="s">
        <v>538</v>
      </c>
      <c r="B183" s="1497" t="s">
        <v>1214</v>
      </c>
      <c r="C183" s="1498"/>
      <c r="D183" s="1498"/>
      <c r="E183" s="1498"/>
      <c r="F183" s="554" t="s">
        <v>747</v>
      </c>
      <c r="G183" s="1473">
        <f>BS!D113</f>
        <v>0</v>
      </c>
      <c r="H183" s="1476"/>
      <c r="I183" s="1473">
        <f>BS!E113</f>
        <v>0</v>
      </c>
      <c r="J183" s="1475"/>
    </row>
    <row r="184" spans="1:10" ht="27.75" customHeight="1" x14ac:dyDescent="0.25">
      <c r="A184" s="556" t="s">
        <v>541</v>
      </c>
      <c r="B184" s="1497" t="s">
        <v>1213</v>
      </c>
      <c r="C184" s="1498"/>
      <c r="D184" s="1498"/>
      <c r="E184" s="1498"/>
      <c r="F184" s="554" t="s">
        <v>749</v>
      </c>
      <c r="G184" s="1473">
        <f>BS!D114</f>
        <v>0</v>
      </c>
      <c r="H184" s="1476"/>
      <c r="I184" s="1473">
        <f>BS!E114</f>
        <v>0</v>
      </c>
      <c r="J184" s="1475"/>
    </row>
    <row r="185" spans="1:10" ht="27.75" customHeight="1" x14ac:dyDescent="0.25">
      <c r="A185" s="556" t="s">
        <v>544</v>
      </c>
      <c r="B185" s="1497" t="s">
        <v>1212</v>
      </c>
      <c r="C185" s="1498"/>
      <c r="D185" s="1498"/>
      <c r="E185" s="1498"/>
      <c r="F185" s="554" t="s">
        <v>751</v>
      </c>
      <c r="G185" s="1473">
        <f>BS!D115</f>
        <v>0</v>
      </c>
      <c r="H185" s="1476"/>
      <c r="I185" s="1473">
        <f>BS!E115</f>
        <v>0</v>
      </c>
      <c r="J185" s="1475"/>
    </row>
    <row r="186" spans="1:10" ht="27.75" customHeight="1" x14ac:dyDescent="0.25">
      <c r="A186" s="556" t="s">
        <v>547</v>
      </c>
      <c r="B186" s="1497" t="s">
        <v>1211</v>
      </c>
      <c r="C186" s="1498"/>
      <c r="D186" s="1498"/>
      <c r="E186" s="1498"/>
      <c r="F186" s="554" t="s">
        <v>753</v>
      </c>
      <c r="G186" s="1473">
        <f>BS!D116</f>
        <v>0</v>
      </c>
      <c r="H186" s="1476"/>
      <c r="I186" s="1473">
        <f>BS!E116</f>
        <v>0</v>
      </c>
      <c r="J186" s="1475"/>
    </row>
    <row r="187" spans="1:10" ht="27.75" customHeight="1" x14ac:dyDescent="0.25">
      <c r="A187" s="556" t="s">
        <v>568</v>
      </c>
      <c r="B187" s="1497" t="s">
        <v>1210</v>
      </c>
      <c r="C187" s="1498"/>
      <c r="D187" s="1498"/>
      <c r="E187" s="1498"/>
      <c r="F187" s="554" t="s">
        <v>755</v>
      </c>
      <c r="G187" s="1473">
        <f>BS!D117</f>
        <v>0</v>
      </c>
      <c r="H187" s="1476"/>
      <c r="I187" s="1473">
        <f>BS!E117</f>
        <v>0</v>
      </c>
      <c r="J187" s="1475"/>
    </row>
    <row r="188" spans="1:10" ht="27.75" customHeight="1" x14ac:dyDescent="0.25">
      <c r="A188" s="556" t="s">
        <v>571</v>
      </c>
      <c r="B188" s="1497" t="s">
        <v>1209</v>
      </c>
      <c r="C188" s="1498"/>
      <c r="D188" s="1498"/>
      <c r="E188" s="1498"/>
      <c r="F188" s="554" t="s">
        <v>757</v>
      </c>
      <c r="G188" s="1473">
        <f>BS!D118</f>
        <v>1201</v>
      </c>
      <c r="H188" s="1476"/>
      <c r="I188" s="1473">
        <f>BS!E118</f>
        <v>849</v>
      </c>
      <c r="J188" s="1475"/>
    </row>
    <row r="189" spans="1:10" ht="27.75" customHeight="1" x14ac:dyDescent="0.25">
      <c r="A189" s="556" t="s">
        <v>758</v>
      </c>
      <c r="B189" s="1497" t="s">
        <v>1208</v>
      </c>
      <c r="C189" s="1498"/>
      <c r="D189" s="1498"/>
      <c r="E189" s="1498"/>
      <c r="F189" s="554" t="s">
        <v>760</v>
      </c>
      <c r="G189" s="1473">
        <f>BS!D119</f>
        <v>2300</v>
      </c>
      <c r="H189" s="1476"/>
      <c r="I189" s="1473">
        <f>BS!E119</f>
        <v>8887</v>
      </c>
      <c r="J189" s="1475"/>
    </row>
    <row r="190" spans="1:10" ht="27.75" customHeight="1" x14ac:dyDescent="0.25">
      <c r="A190" s="556" t="s">
        <v>761</v>
      </c>
      <c r="B190" s="1497" t="s">
        <v>1207</v>
      </c>
      <c r="C190" s="1498"/>
      <c r="D190" s="1498"/>
      <c r="E190" s="1498"/>
      <c r="F190" s="554" t="s">
        <v>763</v>
      </c>
      <c r="G190" s="1473">
        <f>BS!D120</f>
        <v>0</v>
      </c>
      <c r="H190" s="1476"/>
      <c r="I190" s="1473">
        <f>BS!E120</f>
        <v>0</v>
      </c>
      <c r="J190" s="1475"/>
    </row>
    <row r="191" spans="1:10" ht="27.75" customHeight="1" x14ac:dyDescent="0.25">
      <c r="A191" s="558" t="s">
        <v>631</v>
      </c>
      <c r="B191" s="1499" t="s">
        <v>1206</v>
      </c>
      <c r="C191" s="1500"/>
      <c r="D191" s="1500"/>
      <c r="E191" s="1500"/>
      <c r="F191" s="554" t="s">
        <v>765</v>
      </c>
      <c r="G191" s="1473">
        <f>BS!D121</f>
        <v>2405616</v>
      </c>
      <c r="H191" s="1476"/>
      <c r="I191" s="1473">
        <f>BS!E121</f>
        <v>1916828</v>
      </c>
      <c r="J191" s="1475"/>
    </row>
    <row r="192" spans="1:10" ht="27.75" customHeight="1" x14ac:dyDescent="0.25">
      <c r="A192" s="556" t="s">
        <v>634</v>
      </c>
      <c r="B192" s="1497" t="s">
        <v>1205</v>
      </c>
      <c r="C192" s="1498"/>
      <c r="D192" s="1498"/>
      <c r="E192" s="1498"/>
      <c r="F192" s="554" t="s">
        <v>767</v>
      </c>
      <c r="G192" s="1473">
        <f>BS!D122</f>
        <v>2343772</v>
      </c>
      <c r="H192" s="1476"/>
      <c r="I192" s="1473">
        <f>BS!E122</f>
        <v>1893144</v>
      </c>
      <c r="J192" s="1475"/>
    </row>
    <row r="193" spans="1:10" ht="27.75" customHeight="1" x14ac:dyDescent="0.25">
      <c r="A193" s="556" t="s">
        <v>532</v>
      </c>
      <c r="B193" s="1497" t="s">
        <v>1204</v>
      </c>
      <c r="C193" s="1498"/>
      <c r="D193" s="1498"/>
      <c r="E193" s="1498"/>
      <c r="F193" s="554" t="s">
        <v>768</v>
      </c>
      <c r="G193" s="1473">
        <f>BS!D123</f>
        <v>0</v>
      </c>
      <c r="H193" s="1476"/>
      <c r="I193" s="1473">
        <f>BS!E123</f>
        <v>0</v>
      </c>
      <c r="J193" s="1475"/>
    </row>
    <row r="194" spans="1:10" ht="27.75" customHeight="1" x14ac:dyDescent="0.25">
      <c r="A194" s="556" t="s">
        <v>535</v>
      </c>
      <c r="B194" s="1497" t="s">
        <v>1203</v>
      </c>
      <c r="C194" s="1498"/>
      <c r="D194" s="1498"/>
      <c r="E194" s="1498"/>
      <c r="F194" s="554" t="s">
        <v>770</v>
      </c>
      <c r="G194" s="1473">
        <f>BS!D124</f>
        <v>299</v>
      </c>
      <c r="H194" s="1476"/>
      <c r="I194" s="1473">
        <f>BS!E124</f>
        <v>336</v>
      </c>
      <c r="J194" s="1475"/>
    </row>
    <row r="195" spans="1:10" s="501" customFormat="1" ht="27.75" customHeight="1" x14ac:dyDescent="0.25">
      <c r="A195" s="556" t="s">
        <v>538</v>
      </c>
      <c r="B195" s="1497" t="s">
        <v>1202</v>
      </c>
      <c r="C195" s="1498"/>
      <c r="D195" s="1498"/>
      <c r="E195" s="1498"/>
      <c r="F195" s="554" t="s">
        <v>772</v>
      </c>
      <c r="G195" s="1473">
        <f>BS!D125</f>
        <v>0</v>
      </c>
      <c r="H195" s="1476"/>
      <c r="I195" s="1473">
        <f>BS!E125</f>
        <v>0</v>
      </c>
      <c r="J195" s="1475"/>
    </row>
    <row r="196" spans="1:10" ht="27.75" customHeight="1" x14ac:dyDescent="0.25">
      <c r="A196" s="556" t="s">
        <v>541</v>
      </c>
      <c r="B196" s="1497" t="s">
        <v>1201</v>
      </c>
      <c r="C196" s="1498"/>
      <c r="D196" s="1498"/>
      <c r="E196" s="1498"/>
      <c r="F196" s="554" t="s">
        <v>774</v>
      </c>
      <c r="G196" s="1473">
        <f>BS!D126</f>
        <v>0</v>
      </c>
      <c r="H196" s="1476"/>
      <c r="I196" s="1473">
        <f>BS!E126</f>
        <v>0</v>
      </c>
      <c r="J196" s="1475"/>
    </row>
    <row r="197" spans="1:10" ht="27.75" customHeight="1" x14ac:dyDescent="0.25">
      <c r="A197" s="556" t="s">
        <v>544</v>
      </c>
      <c r="B197" s="1497" t="s">
        <v>1200</v>
      </c>
      <c r="C197" s="1498"/>
      <c r="D197" s="1498"/>
      <c r="E197" s="1498"/>
      <c r="F197" s="554" t="s">
        <v>776</v>
      </c>
      <c r="G197" s="1473">
        <f>BS!D127</f>
        <v>0</v>
      </c>
      <c r="H197" s="1476"/>
      <c r="I197" s="1473">
        <f>BS!E127</f>
        <v>0</v>
      </c>
      <c r="J197" s="1475"/>
    </row>
    <row r="198" spans="1:10" ht="27.75" customHeight="1" x14ac:dyDescent="0.25">
      <c r="A198" s="556" t="s">
        <v>547</v>
      </c>
      <c r="B198" s="1497" t="s">
        <v>1199</v>
      </c>
      <c r="C198" s="1498"/>
      <c r="D198" s="1498"/>
      <c r="E198" s="1498"/>
      <c r="F198" s="554" t="s">
        <v>778</v>
      </c>
      <c r="G198" s="1473">
        <f>BS!D128</f>
        <v>11269</v>
      </c>
      <c r="H198" s="1476"/>
      <c r="I198" s="1473">
        <f>BS!E128</f>
        <v>8281</v>
      </c>
      <c r="J198" s="1475"/>
    </row>
    <row r="199" spans="1:10" ht="27.75" customHeight="1" x14ac:dyDescent="0.25">
      <c r="A199" s="556" t="s">
        <v>568</v>
      </c>
      <c r="B199" s="1497" t="s">
        <v>1198</v>
      </c>
      <c r="C199" s="1498"/>
      <c r="D199" s="1498"/>
      <c r="E199" s="1498"/>
      <c r="F199" s="554" t="s">
        <v>780</v>
      </c>
      <c r="G199" s="1473">
        <f>BS!D129</f>
        <v>6603</v>
      </c>
      <c r="H199" s="1476"/>
      <c r="I199" s="1473">
        <f>BS!E129</f>
        <v>4455</v>
      </c>
      <c r="J199" s="1475"/>
    </row>
    <row r="200" spans="1:10" ht="27.75" customHeight="1" x14ac:dyDescent="0.25">
      <c r="A200" s="556" t="s">
        <v>571</v>
      </c>
      <c r="B200" s="1497" t="s">
        <v>1197</v>
      </c>
      <c r="C200" s="1498"/>
      <c r="D200" s="1498"/>
      <c r="E200" s="1498"/>
      <c r="F200" s="554" t="s">
        <v>782</v>
      </c>
      <c r="G200" s="1473">
        <f>BS!D130</f>
        <v>36816</v>
      </c>
      <c r="H200" s="1476"/>
      <c r="I200" s="1473">
        <f>BS!E130</f>
        <v>2007</v>
      </c>
      <c r="J200" s="1475"/>
    </row>
    <row r="201" spans="1:10" ht="27.75" customHeight="1" x14ac:dyDescent="0.25">
      <c r="A201" s="556" t="s">
        <v>758</v>
      </c>
      <c r="B201" s="1497" t="s">
        <v>1196</v>
      </c>
      <c r="C201" s="1498"/>
      <c r="D201" s="1498"/>
      <c r="E201" s="1498"/>
      <c r="F201" s="554" t="s">
        <v>784</v>
      </c>
      <c r="G201" s="1473">
        <f>BS!D131</f>
        <v>6857</v>
      </c>
      <c r="H201" s="1476"/>
      <c r="I201" s="1473">
        <f>BS!E131</f>
        <v>8605</v>
      </c>
      <c r="J201" s="1475"/>
    </row>
    <row r="202" spans="1:10" ht="27.75" customHeight="1" x14ac:dyDescent="0.25">
      <c r="A202" s="558" t="s">
        <v>649</v>
      </c>
      <c r="B202" s="1499" t="s">
        <v>1195</v>
      </c>
      <c r="C202" s="1500"/>
      <c r="D202" s="1500"/>
      <c r="E202" s="1500"/>
      <c r="F202" s="554" t="s">
        <v>786</v>
      </c>
      <c r="G202" s="1473">
        <f>BS!D132</f>
        <v>0</v>
      </c>
      <c r="H202" s="1476"/>
      <c r="I202" s="1473">
        <f>BS!E132</f>
        <v>0</v>
      </c>
      <c r="J202" s="1475"/>
    </row>
    <row r="203" spans="1:10" ht="27.75" customHeight="1" x14ac:dyDescent="0.25">
      <c r="A203" s="559" t="s">
        <v>787</v>
      </c>
      <c r="B203" s="1499" t="s">
        <v>1194</v>
      </c>
      <c r="C203" s="1500"/>
      <c r="D203" s="1500"/>
      <c r="E203" s="1500"/>
      <c r="F203" s="554" t="s">
        <v>789</v>
      </c>
      <c r="G203" s="1473">
        <f>BS!D133</f>
        <v>0</v>
      </c>
      <c r="H203" s="1476"/>
      <c r="I203" s="1473">
        <f>BS!E133</f>
        <v>0</v>
      </c>
      <c r="J203" s="1475"/>
    </row>
    <row r="204" spans="1:10" ht="27.75" customHeight="1" x14ac:dyDescent="0.25">
      <c r="A204" s="556" t="s">
        <v>790</v>
      </c>
      <c r="B204" s="1499" t="s">
        <v>1193</v>
      </c>
      <c r="C204" s="1500"/>
      <c r="D204" s="1500"/>
      <c r="E204" s="1500"/>
      <c r="F204" s="554" t="s">
        <v>792</v>
      </c>
      <c r="G204" s="1473">
        <f>BS!D134</f>
        <v>0</v>
      </c>
      <c r="H204" s="1476"/>
      <c r="I204" s="1473">
        <f>BS!E134</f>
        <v>0</v>
      </c>
      <c r="J204" s="1475"/>
    </row>
    <row r="205" spans="1:10" s="501" customFormat="1" ht="27.75" customHeight="1" x14ac:dyDescent="0.25">
      <c r="A205" s="556" t="s">
        <v>532</v>
      </c>
      <c r="B205" s="1497" t="s">
        <v>1192</v>
      </c>
      <c r="C205" s="1498"/>
      <c r="D205" s="1498"/>
      <c r="E205" s="1498"/>
      <c r="F205" s="554" t="s">
        <v>794</v>
      </c>
      <c r="G205" s="1473">
        <f>BS!D135</f>
        <v>0</v>
      </c>
      <c r="H205" s="1476"/>
      <c r="I205" s="1473">
        <f>BS!E135</f>
        <v>0</v>
      </c>
      <c r="J205" s="1475"/>
    </row>
    <row r="206" spans="1:10" ht="27.75" customHeight="1" x14ac:dyDescent="0.25">
      <c r="A206" s="558" t="s">
        <v>663</v>
      </c>
      <c r="B206" s="1499" t="s">
        <v>1191</v>
      </c>
      <c r="C206" s="1500"/>
      <c r="D206" s="1500"/>
      <c r="E206" s="1500"/>
      <c r="F206" s="554" t="s">
        <v>796</v>
      </c>
      <c r="G206" s="1473">
        <f>BS!D136</f>
        <v>1500</v>
      </c>
      <c r="H206" s="1476"/>
      <c r="I206" s="1473">
        <f>BS!E136</f>
        <v>0</v>
      </c>
      <c r="J206" s="1475"/>
    </row>
    <row r="207" spans="1:10" ht="27.75" customHeight="1" x14ac:dyDescent="0.25">
      <c r="A207" s="557" t="s">
        <v>666</v>
      </c>
      <c r="B207" s="1497" t="s">
        <v>1190</v>
      </c>
      <c r="C207" s="1498"/>
      <c r="D207" s="1498"/>
      <c r="E207" s="1498"/>
      <c r="F207" s="554" t="s">
        <v>798</v>
      </c>
      <c r="G207" s="1473">
        <f>BS!D137</f>
        <v>0</v>
      </c>
      <c r="H207" s="1476"/>
      <c r="I207" s="1473">
        <f>BS!E137</f>
        <v>0</v>
      </c>
      <c r="J207" s="1475"/>
    </row>
    <row r="208" spans="1:10" ht="27.75" customHeight="1" x14ac:dyDescent="0.25">
      <c r="A208" s="556" t="s">
        <v>532</v>
      </c>
      <c r="B208" s="1497" t="s">
        <v>1189</v>
      </c>
      <c r="C208" s="1498"/>
      <c r="D208" s="1498"/>
      <c r="E208" s="1498"/>
      <c r="F208" s="554" t="s">
        <v>800</v>
      </c>
      <c r="G208" s="1473">
        <f>BS!D138</f>
        <v>0</v>
      </c>
      <c r="H208" s="1476"/>
      <c r="I208" s="1473">
        <f>BS!E138</f>
        <v>0</v>
      </c>
      <c r="J208" s="1475"/>
    </row>
    <row r="209" spans="1:10" s="501" customFormat="1" ht="27.75" customHeight="1" x14ac:dyDescent="0.25">
      <c r="A209" s="556" t="s">
        <v>535</v>
      </c>
      <c r="B209" s="1497" t="s">
        <v>1188</v>
      </c>
      <c r="C209" s="1498"/>
      <c r="D209" s="1498"/>
      <c r="E209" s="1498"/>
      <c r="F209" s="554" t="s">
        <v>802</v>
      </c>
      <c r="G209" s="1473">
        <f>BS!D139</f>
        <v>0</v>
      </c>
      <c r="H209" s="1476"/>
      <c r="I209" s="1473">
        <f>BS!E139</f>
        <v>0</v>
      </c>
      <c r="J209" s="1475"/>
    </row>
    <row r="210" spans="1:10" ht="27.75" customHeight="1" thickBot="1" x14ac:dyDescent="0.3">
      <c r="A210" s="555" t="s">
        <v>538</v>
      </c>
      <c r="B210" s="1505" t="s">
        <v>1187</v>
      </c>
      <c r="C210" s="1506"/>
      <c r="D210" s="1506"/>
      <c r="E210" s="1506"/>
      <c r="F210" s="554" t="s">
        <v>804</v>
      </c>
      <c r="G210" s="1473">
        <f>BS!D140</f>
        <v>1500</v>
      </c>
      <c r="H210" s="1476"/>
      <c r="I210" s="1473">
        <f>BS!E140</f>
        <v>0</v>
      </c>
      <c r="J210" s="1475"/>
    </row>
    <row r="211" spans="1:10" ht="24.75" customHeight="1" x14ac:dyDescent="0.25"/>
    <row r="212" spans="1:10" ht="24.75" customHeight="1" x14ac:dyDescent="0.25"/>
    <row r="213" spans="1:10" ht="24.75" customHeight="1" x14ac:dyDescent="0.25"/>
  </sheetData>
  <mergeCells count="696">
    <mergeCell ref="I208:J208"/>
    <mergeCell ref="I195:J195"/>
    <mergeCell ref="I196:J196"/>
    <mergeCell ref="I197:J197"/>
    <mergeCell ref="I198:J198"/>
    <mergeCell ref="I209:J209"/>
    <mergeCell ref="I210:J210"/>
    <mergeCell ref="I201:J201"/>
    <mergeCell ref="I202:J202"/>
    <mergeCell ref="I203:J203"/>
    <mergeCell ref="I204:J204"/>
    <mergeCell ref="I205:J205"/>
    <mergeCell ref="I206:J206"/>
    <mergeCell ref="I194:J194"/>
    <mergeCell ref="I186:J186"/>
    <mergeCell ref="I187:J187"/>
    <mergeCell ref="I188:J188"/>
    <mergeCell ref="I189:J189"/>
    <mergeCell ref="I193:J193"/>
    <mergeCell ref="I199:J199"/>
    <mergeCell ref="I200:J200"/>
    <mergeCell ref="I207:J207"/>
    <mergeCell ref="I184:J184"/>
    <mergeCell ref="I185:J185"/>
    <mergeCell ref="I177:J177"/>
    <mergeCell ref="I178:J178"/>
    <mergeCell ref="I179:J179"/>
    <mergeCell ref="I180:J180"/>
    <mergeCell ref="I190:J190"/>
    <mergeCell ref="I191:J191"/>
    <mergeCell ref="I192:J192"/>
    <mergeCell ref="I175:J175"/>
    <mergeCell ref="I176:J176"/>
    <mergeCell ref="I181:J181"/>
    <mergeCell ref="I169:J169"/>
    <mergeCell ref="I170:J170"/>
    <mergeCell ref="I171:J171"/>
    <mergeCell ref="I172:J172"/>
    <mergeCell ref="I182:J182"/>
    <mergeCell ref="I183:J183"/>
    <mergeCell ref="I166:J166"/>
    <mergeCell ref="I167:J167"/>
    <mergeCell ref="I168:J168"/>
    <mergeCell ref="I161:J161"/>
    <mergeCell ref="I162:J162"/>
    <mergeCell ref="I163:J163"/>
    <mergeCell ref="I164:J164"/>
    <mergeCell ref="I173:J173"/>
    <mergeCell ref="I174:J174"/>
    <mergeCell ref="G210:H210"/>
    <mergeCell ref="G203:H203"/>
    <mergeCell ref="G204:H204"/>
    <mergeCell ref="G205:H205"/>
    <mergeCell ref="G206:H206"/>
    <mergeCell ref="I149:J149"/>
    <mergeCell ref="I150:J150"/>
    <mergeCell ref="I151:J151"/>
    <mergeCell ref="I152:J152"/>
    <mergeCell ref="G207:H207"/>
    <mergeCell ref="G208:H208"/>
    <mergeCell ref="G199:H199"/>
    <mergeCell ref="G200:H200"/>
    <mergeCell ref="G201:H201"/>
    <mergeCell ref="G202:H202"/>
    <mergeCell ref="I157:J157"/>
    <mergeCell ref="I158:J158"/>
    <mergeCell ref="I159:J159"/>
    <mergeCell ref="I160:J160"/>
    <mergeCell ref="I153:J153"/>
    <mergeCell ref="I154:J154"/>
    <mergeCell ref="I155:J155"/>
    <mergeCell ref="I156:J156"/>
    <mergeCell ref="I165:J165"/>
    <mergeCell ref="G195:H195"/>
    <mergeCell ref="G196:H196"/>
    <mergeCell ref="G197:H197"/>
    <mergeCell ref="G198:H198"/>
    <mergeCell ref="G190:H190"/>
    <mergeCell ref="G191:H191"/>
    <mergeCell ref="G192:H192"/>
    <mergeCell ref="G194:H194"/>
    <mergeCell ref="G209:H209"/>
    <mergeCell ref="G186:H186"/>
    <mergeCell ref="G187:H187"/>
    <mergeCell ref="G188:H188"/>
    <mergeCell ref="G189:H189"/>
    <mergeCell ref="G193:H193"/>
    <mergeCell ref="G182:H182"/>
    <mergeCell ref="G183:H183"/>
    <mergeCell ref="G184:H184"/>
    <mergeCell ref="G185:H185"/>
    <mergeCell ref="G162:H162"/>
    <mergeCell ref="G163:H163"/>
    <mergeCell ref="G164:H164"/>
    <mergeCell ref="G157:H157"/>
    <mergeCell ref="G158:H158"/>
    <mergeCell ref="G159:H159"/>
    <mergeCell ref="G160:H160"/>
    <mergeCell ref="G181:H181"/>
    <mergeCell ref="G169:H169"/>
    <mergeCell ref="G170:H170"/>
    <mergeCell ref="G171:H171"/>
    <mergeCell ref="G172:H172"/>
    <mergeCell ref="G165:H165"/>
    <mergeCell ref="G166:H166"/>
    <mergeCell ref="G167:H167"/>
    <mergeCell ref="G168:H168"/>
    <mergeCell ref="G177:H177"/>
    <mergeCell ref="G178:H178"/>
    <mergeCell ref="G179:H179"/>
    <mergeCell ref="G180:H180"/>
    <mergeCell ref="G173:H173"/>
    <mergeCell ref="G174:H174"/>
    <mergeCell ref="G175:H175"/>
    <mergeCell ref="G176:H176"/>
    <mergeCell ref="G153:H153"/>
    <mergeCell ref="G154:H154"/>
    <mergeCell ref="G155:H155"/>
    <mergeCell ref="G156:H156"/>
    <mergeCell ref="G149:H149"/>
    <mergeCell ref="G150:H150"/>
    <mergeCell ref="G151:H151"/>
    <mergeCell ref="G152:H152"/>
    <mergeCell ref="G161:H161"/>
    <mergeCell ref="G114:I114"/>
    <mergeCell ref="H113:J113"/>
    <mergeCell ref="G110:I110"/>
    <mergeCell ref="H111:J111"/>
    <mergeCell ref="H138:J138"/>
    <mergeCell ref="G137:I137"/>
    <mergeCell ref="H134:J134"/>
    <mergeCell ref="G133:I133"/>
    <mergeCell ref="H105:J105"/>
    <mergeCell ref="G106:I106"/>
    <mergeCell ref="G116:I116"/>
    <mergeCell ref="H115:J115"/>
    <mergeCell ref="G120:I120"/>
    <mergeCell ref="H119:J119"/>
    <mergeCell ref="G118:I118"/>
    <mergeCell ref="H117:J117"/>
    <mergeCell ref="H132:J132"/>
    <mergeCell ref="G131:I131"/>
    <mergeCell ref="H123:J123"/>
    <mergeCell ref="H99:J99"/>
    <mergeCell ref="G112:I112"/>
    <mergeCell ref="H109:J109"/>
    <mergeCell ref="G108:I108"/>
    <mergeCell ref="H107:J107"/>
    <mergeCell ref="H103:J103"/>
    <mergeCell ref="G102:I102"/>
    <mergeCell ref="H101:J101"/>
    <mergeCell ref="G100:I100"/>
    <mergeCell ref="G104:I104"/>
    <mergeCell ref="H148:J148"/>
    <mergeCell ref="G147:I147"/>
    <mergeCell ref="H146:J146"/>
    <mergeCell ref="G145:I145"/>
    <mergeCell ref="G93:I93"/>
    <mergeCell ref="H90:J90"/>
    <mergeCell ref="G89:I89"/>
    <mergeCell ref="H88:J88"/>
    <mergeCell ref="H41:J41"/>
    <mergeCell ref="G79:I79"/>
    <mergeCell ref="H78:J78"/>
    <mergeCell ref="G83:I83"/>
    <mergeCell ref="H140:J140"/>
    <mergeCell ref="G139:I139"/>
    <mergeCell ref="I128:J129"/>
    <mergeCell ref="G129:H129"/>
    <mergeCell ref="G130:H130"/>
    <mergeCell ref="H136:J136"/>
    <mergeCell ref="G135:I135"/>
    <mergeCell ref="H144:J144"/>
    <mergeCell ref="G143:I143"/>
    <mergeCell ref="H142:J142"/>
    <mergeCell ref="G141:I141"/>
    <mergeCell ref="I130:J130"/>
    <mergeCell ref="G62:I62"/>
    <mergeCell ref="H61:J61"/>
    <mergeCell ref="G60:I60"/>
    <mergeCell ref="G77:I77"/>
    <mergeCell ref="H76:J76"/>
    <mergeCell ref="G75:I75"/>
    <mergeCell ref="H74:J74"/>
    <mergeCell ref="G69:I69"/>
    <mergeCell ref="H68:J68"/>
    <mergeCell ref="G73:I73"/>
    <mergeCell ref="H72:J72"/>
    <mergeCell ref="G71:I71"/>
    <mergeCell ref="H70:J70"/>
    <mergeCell ref="G67:I67"/>
    <mergeCell ref="I64:J65"/>
    <mergeCell ref="G65:H65"/>
    <mergeCell ref="A33:A35"/>
    <mergeCell ref="A36:A37"/>
    <mergeCell ref="B36:B37"/>
    <mergeCell ref="C36:C37"/>
    <mergeCell ref="B33:B35"/>
    <mergeCell ref="A38:A39"/>
    <mergeCell ref="C40:C41"/>
    <mergeCell ref="B42:B43"/>
    <mergeCell ref="H59:J59"/>
    <mergeCell ref="G58:I58"/>
    <mergeCell ref="H57:J57"/>
    <mergeCell ref="H37:J37"/>
    <mergeCell ref="H53:J53"/>
    <mergeCell ref="H51:J51"/>
    <mergeCell ref="G56:I56"/>
    <mergeCell ref="H55:J55"/>
    <mergeCell ref="G46:I46"/>
    <mergeCell ref="H45:J45"/>
    <mergeCell ref="A54:A55"/>
    <mergeCell ref="B54:B55"/>
    <mergeCell ref="C54:C55"/>
    <mergeCell ref="A48:A49"/>
    <mergeCell ref="C52:C53"/>
    <mergeCell ref="A46:A47"/>
    <mergeCell ref="B69:B70"/>
    <mergeCell ref="C64:C66"/>
    <mergeCell ref="D71:F71"/>
    <mergeCell ref="C73:C74"/>
    <mergeCell ref="D63:F63"/>
    <mergeCell ref="C62:C63"/>
    <mergeCell ref="D57:F57"/>
    <mergeCell ref="D70:F70"/>
    <mergeCell ref="C60:C61"/>
    <mergeCell ref="D61:F61"/>
    <mergeCell ref="D59:F59"/>
    <mergeCell ref="E66:F66"/>
    <mergeCell ref="D147:F147"/>
    <mergeCell ref="D145:F145"/>
    <mergeCell ref="A145:A146"/>
    <mergeCell ref="B145:B146"/>
    <mergeCell ref="C145:C146"/>
    <mergeCell ref="A147:A148"/>
    <mergeCell ref="B147:B148"/>
    <mergeCell ref="C147:C148"/>
    <mergeCell ref="D148:F148"/>
    <mergeCell ref="D146:F146"/>
    <mergeCell ref="D10:F10"/>
    <mergeCell ref="D122:F122"/>
    <mergeCell ref="D7:F7"/>
    <mergeCell ref="D58:F58"/>
    <mergeCell ref="D52:F52"/>
    <mergeCell ref="D53:F53"/>
    <mergeCell ref="D8:F8"/>
    <mergeCell ref="D11:F11"/>
    <mergeCell ref="D12:F12"/>
    <mergeCell ref="D17:F17"/>
    <mergeCell ref="D116:F116"/>
    <mergeCell ref="D88:F88"/>
    <mergeCell ref="D113:F113"/>
    <mergeCell ref="D112:F112"/>
    <mergeCell ref="D104:F104"/>
    <mergeCell ref="D119:F119"/>
    <mergeCell ref="D18:F18"/>
    <mergeCell ref="D15:F15"/>
    <mergeCell ref="D49:F49"/>
    <mergeCell ref="D56:F56"/>
    <mergeCell ref="D108:F108"/>
    <mergeCell ref="D109:F109"/>
    <mergeCell ref="D101:F101"/>
    <mergeCell ref="D98:F98"/>
    <mergeCell ref="D99:F99"/>
    <mergeCell ref="D39:F39"/>
    <mergeCell ref="D36:F36"/>
    <mergeCell ref="D37:F37"/>
    <mergeCell ref="D34:D35"/>
    <mergeCell ref="E34:F34"/>
    <mergeCell ref="E35:F35"/>
    <mergeCell ref="B143:B144"/>
    <mergeCell ref="C143:C144"/>
    <mergeCell ref="D140:F140"/>
    <mergeCell ref="D144:F144"/>
    <mergeCell ref="D143:F143"/>
    <mergeCell ref="D134:F134"/>
    <mergeCell ref="D135:F135"/>
    <mergeCell ref="D138:F138"/>
    <mergeCell ref="C137:C138"/>
    <mergeCell ref="D137:F137"/>
    <mergeCell ref="C98:C99"/>
    <mergeCell ref="D93:F93"/>
    <mergeCell ref="B46:B47"/>
    <mergeCell ref="C33:C35"/>
    <mergeCell ref="D38:F38"/>
    <mergeCell ref="C38:C39"/>
    <mergeCell ref="D40:F40"/>
    <mergeCell ref="D141:F141"/>
    <mergeCell ref="D142:F142"/>
    <mergeCell ref="A143:A144"/>
    <mergeCell ref="C131:C132"/>
    <mergeCell ref="C89:C90"/>
    <mergeCell ref="C95:C97"/>
    <mergeCell ref="D115:F115"/>
    <mergeCell ref="D117:F117"/>
    <mergeCell ref="D133:F133"/>
    <mergeCell ref="D114:F114"/>
    <mergeCell ref="D126:F126"/>
    <mergeCell ref="D127:F127"/>
    <mergeCell ref="C120:C121"/>
    <mergeCell ref="C126:C127"/>
    <mergeCell ref="D118:F118"/>
    <mergeCell ref="D120:F120"/>
    <mergeCell ref="D121:F121"/>
    <mergeCell ref="A118:A119"/>
    <mergeCell ref="B118:B119"/>
    <mergeCell ref="B122:B123"/>
    <mergeCell ref="A122:A123"/>
    <mergeCell ref="A120:A121"/>
    <mergeCell ref="B126:B127"/>
    <mergeCell ref="B131:B132"/>
    <mergeCell ref="A141:A142"/>
    <mergeCell ref="B141:B142"/>
    <mergeCell ref="C141:C142"/>
    <mergeCell ref="A133:A134"/>
    <mergeCell ref="B133:B134"/>
    <mergeCell ref="C133:C134"/>
    <mergeCell ref="B128:B130"/>
    <mergeCell ref="B120:B121"/>
    <mergeCell ref="A128:A130"/>
    <mergeCell ref="A124:A125"/>
    <mergeCell ref="A126:A127"/>
    <mergeCell ref="A135:A136"/>
    <mergeCell ref="A137:A138"/>
    <mergeCell ref="B137:B138"/>
    <mergeCell ref="A131:A132"/>
    <mergeCell ref="B135:B136"/>
    <mergeCell ref="B139:B140"/>
    <mergeCell ref="C139:C140"/>
    <mergeCell ref="D124:F124"/>
    <mergeCell ref="D123:F123"/>
    <mergeCell ref="G122:I122"/>
    <mergeCell ref="H121:J121"/>
    <mergeCell ref="A139:A140"/>
    <mergeCell ref="D139:F139"/>
    <mergeCell ref="C118:C119"/>
    <mergeCell ref="C122:C123"/>
    <mergeCell ref="D125:F125"/>
    <mergeCell ref="E129:F129"/>
    <mergeCell ref="D131:F131"/>
    <mergeCell ref="D132:F132"/>
    <mergeCell ref="D128:H128"/>
    <mergeCell ref="E130:F130"/>
    <mergeCell ref="C128:C130"/>
    <mergeCell ref="C135:C136"/>
    <mergeCell ref="D136:F136"/>
    <mergeCell ref="D129:D130"/>
    <mergeCell ref="B124:B125"/>
    <mergeCell ref="C124:C125"/>
    <mergeCell ref="H127:J127"/>
    <mergeCell ref="G126:I126"/>
    <mergeCell ref="H125:J125"/>
    <mergeCell ref="G124:I124"/>
    <mergeCell ref="A114:A115"/>
    <mergeCell ref="B114:B115"/>
    <mergeCell ref="C114:C115"/>
    <mergeCell ref="A112:A113"/>
    <mergeCell ref="B112:B113"/>
    <mergeCell ref="C112:C113"/>
    <mergeCell ref="A116:A117"/>
    <mergeCell ref="B116:B117"/>
    <mergeCell ref="C116:C117"/>
    <mergeCell ref="D107:F107"/>
    <mergeCell ref="B104:B105"/>
    <mergeCell ref="C104:C105"/>
    <mergeCell ref="D102:F102"/>
    <mergeCell ref="D103:F103"/>
    <mergeCell ref="C100:C101"/>
    <mergeCell ref="D100:F100"/>
    <mergeCell ref="A108:A109"/>
    <mergeCell ref="B108:B109"/>
    <mergeCell ref="C108:C109"/>
    <mergeCell ref="C106:C107"/>
    <mergeCell ref="A106:A107"/>
    <mergeCell ref="B106:B107"/>
    <mergeCell ref="G98:I98"/>
    <mergeCell ref="I97:J97"/>
    <mergeCell ref="D90:F90"/>
    <mergeCell ref="D85:F85"/>
    <mergeCell ref="A79:A80"/>
    <mergeCell ref="B79:B80"/>
    <mergeCell ref="C79:C80"/>
    <mergeCell ref="D87:F87"/>
    <mergeCell ref="D86:F86"/>
    <mergeCell ref="A98:A99"/>
    <mergeCell ref="A93:A94"/>
    <mergeCell ref="B93:B94"/>
    <mergeCell ref="C93:C94"/>
    <mergeCell ref="B95:B97"/>
    <mergeCell ref="D94:F94"/>
    <mergeCell ref="D95:H95"/>
    <mergeCell ref="E96:F96"/>
    <mergeCell ref="E97:F97"/>
    <mergeCell ref="G97:H97"/>
    <mergeCell ref="A85:A86"/>
    <mergeCell ref="B85:B86"/>
    <mergeCell ref="C85:C86"/>
    <mergeCell ref="A89:A90"/>
    <mergeCell ref="B89:B90"/>
    <mergeCell ref="A91:A92"/>
    <mergeCell ref="D81:F81"/>
    <mergeCell ref="B83:B84"/>
    <mergeCell ref="C83:C84"/>
    <mergeCell ref="A87:A88"/>
    <mergeCell ref="A110:A111"/>
    <mergeCell ref="C110:C111"/>
    <mergeCell ref="D110:F110"/>
    <mergeCell ref="A81:A82"/>
    <mergeCell ref="B81:B82"/>
    <mergeCell ref="C81:C82"/>
    <mergeCell ref="D82:F82"/>
    <mergeCell ref="D111:F111"/>
    <mergeCell ref="C91:C92"/>
    <mergeCell ref="A83:A84"/>
    <mergeCell ref="A100:A101"/>
    <mergeCell ref="A95:A97"/>
    <mergeCell ref="A104:A105"/>
    <mergeCell ref="D106:F106"/>
    <mergeCell ref="D105:F105"/>
    <mergeCell ref="B102:B103"/>
    <mergeCell ref="C102:C103"/>
    <mergeCell ref="A102:A103"/>
    <mergeCell ref="B100:B101"/>
    <mergeCell ref="A77:A78"/>
    <mergeCell ref="B77:B78"/>
    <mergeCell ref="C77:C78"/>
    <mergeCell ref="D77:F77"/>
    <mergeCell ref="D78:F78"/>
    <mergeCell ref="A75:A76"/>
    <mergeCell ref="B75:B76"/>
    <mergeCell ref="C75:C76"/>
    <mergeCell ref="D75:F75"/>
    <mergeCell ref="D76:F76"/>
    <mergeCell ref="A62:A63"/>
    <mergeCell ref="A56:A57"/>
    <mergeCell ref="B56:B57"/>
    <mergeCell ref="B44:B45"/>
    <mergeCell ref="A58:A59"/>
    <mergeCell ref="A67:A68"/>
    <mergeCell ref="E65:F65"/>
    <mergeCell ref="D73:F73"/>
    <mergeCell ref="B67:B68"/>
    <mergeCell ref="A69:A70"/>
    <mergeCell ref="C67:C68"/>
    <mergeCell ref="A71:A72"/>
    <mergeCell ref="B71:B72"/>
    <mergeCell ref="C71:C72"/>
    <mergeCell ref="C69:C70"/>
    <mergeCell ref="D72:F72"/>
    <mergeCell ref="C46:C47"/>
    <mergeCell ref="B58:B59"/>
    <mergeCell ref="C56:C57"/>
    <mergeCell ref="C58:C59"/>
    <mergeCell ref="A73:A74"/>
    <mergeCell ref="B73:B74"/>
    <mergeCell ref="B64:B66"/>
    <mergeCell ref="A64:A66"/>
    <mergeCell ref="A50:A51"/>
    <mergeCell ref="A60:A61"/>
    <mergeCell ref="B60:B61"/>
    <mergeCell ref="C42:C43"/>
    <mergeCell ref="A42:A43"/>
    <mergeCell ref="A40:A41"/>
    <mergeCell ref="C48:C49"/>
    <mergeCell ref="A44:A45"/>
    <mergeCell ref="B48:B49"/>
    <mergeCell ref="B50:B51"/>
    <mergeCell ref="B52:B53"/>
    <mergeCell ref="A52:A53"/>
    <mergeCell ref="C44:C45"/>
    <mergeCell ref="C50:C51"/>
    <mergeCell ref="B40:B41"/>
    <mergeCell ref="C31:C32"/>
    <mergeCell ref="D31:F31"/>
    <mergeCell ref="D32:F32"/>
    <mergeCell ref="A17:A18"/>
    <mergeCell ref="B17:B18"/>
    <mergeCell ref="C17:C18"/>
    <mergeCell ref="A19:A20"/>
    <mergeCell ref="A21:A22"/>
    <mergeCell ref="D27:F27"/>
    <mergeCell ref="C29:C30"/>
    <mergeCell ref="D29:F29"/>
    <mergeCell ref="A27:A28"/>
    <mergeCell ref="B27:B28"/>
    <mergeCell ref="C27:C28"/>
    <mergeCell ref="A25:A26"/>
    <mergeCell ref="B25:B26"/>
    <mergeCell ref="C25:C26"/>
    <mergeCell ref="D25:F25"/>
    <mergeCell ref="D28:F28"/>
    <mergeCell ref="A31:A32"/>
    <mergeCell ref="A29:A30"/>
    <mergeCell ref="B29:B30"/>
    <mergeCell ref="B31:B32"/>
    <mergeCell ref="A23:A24"/>
    <mergeCell ref="C23:C24"/>
    <mergeCell ref="D24:F24"/>
    <mergeCell ref="D23:F23"/>
    <mergeCell ref="B21:B22"/>
    <mergeCell ref="C21:C22"/>
    <mergeCell ref="B19:B20"/>
    <mergeCell ref="C19:C20"/>
    <mergeCell ref="D22:F22"/>
    <mergeCell ref="D16:F16"/>
    <mergeCell ref="B23:B24"/>
    <mergeCell ref="A15:A16"/>
    <mergeCell ref="B15:B16"/>
    <mergeCell ref="A13:A14"/>
    <mergeCell ref="B13:B14"/>
    <mergeCell ref="C13:C14"/>
    <mergeCell ref="A11:A12"/>
    <mergeCell ref="B11:B12"/>
    <mergeCell ref="C11:C12"/>
    <mergeCell ref="A4:A6"/>
    <mergeCell ref="B4:B6"/>
    <mergeCell ref="A7:A8"/>
    <mergeCell ref="B7:B8"/>
    <mergeCell ref="C7:C8"/>
    <mergeCell ref="A9:A10"/>
    <mergeCell ref="B9:B10"/>
    <mergeCell ref="C9:C10"/>
    <mergeCell ref="C4:C6"/>
    <mergeCell ref="C15:C16"/>
    <mergeCell ref="B185:E185"/>
    <mergeCell ref="B184:E184"/>
    <mergeCell ref="I66:J66"/>
    <mergeCell ref="D26:F26"/>
    <mergeCell ref="D30:F30"/>
    <mergeCell ref="B38:B39"/>
    <mergeCell ref="B180:E180"/>
    <mergeCell ref="B182:E182"/>
    <mergeCell ref="B183:E183"/>
    <mergeCell ref="B167:E167"/>
    <mergeCell ref="B176:E176"/>
    <mergeCell ref="B181:E181"/>
    <mergeCell ref="D46:F46"/>
    <mergeCell ref="D54:F54"/>
    <mergeCell ref="B153:E153"/>
    <mergeCell ref="B158:E158"/>
    <mergeCell ref="B159:E159"/>
    <mergeCell ref="B154:E154"/>
    <mergeCell ref="B155:E155"/>
    <mergeCell ref="B98:B99"/>
    <mergeCell ref="H82:J82"/>
    <mergeCell ref="D96:D97"/>
    <mergeCell ref="I95:J96"/>
    <mergeCell ref="H94:J94"/>
    <mergeCell ref="B186:E186"/>
    <mergeCell ref="D62:F62"/>
    <mergeCell ref="D51:F51"/>
    <mergeCell ref="D60:F60"/>
    <mergeCell ref="D55:F55"/>
    <mergeCell ref="B164:E164"/>
    <mergeCell ref="B165:E165"/>
    <mergeCell ref="B156:E156"/>
    <mergeCell ref="B157:E157"/>
    <mergeCell ref="B162:E162"/>
    <mergeCell ref="B163:E163"/>
    <mergeCell ref="B62:B63"/>
    <mergeCell ref="B87:B88"/>
    <mergeCell ref="C87:C88"/>
    <mergeCell ref="B160:E160"/>
    <mergeCell ref="B161:E161"/>
    <mergeCell ref="D74:F74"/>
    <mergeCell ref="D84:F84"/>
    <mergeCell ref="B178:E178"/>
    <mergeCell ref="B172:E172"/>
    <mergeCell ref="B173:E173"/>
    <mergeCell ref="D64:H64"/>
    <mergeCell ref="G91:I91"/>
    <mergeCell ref="B149:E149"/>
    <mergeCell ref="B210:E210"/>
    <mergeCell ref="B200:E200"/>
    <mergeCell ref="B201:E201"/>
    <mergeCell ref="B202:E202"/>
    <mergeCell ref="B203:E203"/>
    <mergeCell ref="B204:E204"/>
    <mergeCell ref="B199:E199"/>
    <mergeCell ref="B207:E207"/>
    <mergeCell ref="B189:E189"/>
    <mergeCell ref="B190:E190"/>
    <mergeCell ref="B192:E192"/>
    <mergeCell ref="B197:E197"/>
    <mergeCell ref="B194:E194"/>
    <mergeCell ref="B195:E195"/>
    <mergeCell ref="B196:E196"/>
    <mergeCell ref="B193:E193"/>
    <mergeCell ref="B198:E198"/>
    <mergeCell ref="B191:E191"/>
    <mergeCell ref="B209:E209"/>
    <mergeCell ref="B205:E205"/>
    <mergeCell ref="B206:E206"/>
    <mergeCell ref="B208:E208"/>
    <mergeCell ref="B187:E187"/>
    <mergeCell ref="B168:E168"/>
    <mergeCell ref="B169:E169"/>
    <mergeCell ref="B179:E179"/>
    <mergeCell ref="G66:H66"/>
    <mergeCell ref="G96:H96"/>
    <mergeCell ref="B188:E188"/>
    <mergeCell ref="B166:E166"/>
    <mergeCell ref="D80:F80"/>
    <mergeCell ref="D79:F79"/>
    <mergeCell ref="D91:F91"/>
    <mergeCell ref="D92:F92"/>
    <mergeCell ref="B91:B92"/>
    <mergeCell ref="D65:D66"/>
    <mergeCell ref="D69:F69"/>
    <mergeCell ref="B177:E177"/>
    <mergeCell ref="B170:E170"/>
    <mergeCell ref="B171:E171"/>
    <mergeCell ref="B174:E174"/>
    <mergeCell ref="B175:E175"/>
    <mergeCell ref="B110:B111"/>
    <mergeCell ref="B150:E150"/>
    <mergeCell ref="B151:E151"/>
    <mergeCell ref="B152:E152"/>
    <mergeCell ref="G11:I11"/>
    <mergeCell ref="H14:J14"/>
    <mergeCell ref="G13:I13"/>
    <mergeCell ref="H92:J92"/>
    <mergeCell ref="D83:F83"/>
    <mergeCell ref="G81:I81"/>
    <mergeCell ref="H80:J80"/>
    <mergeCell ref="G87:I87"/>
    <mergeCell ref="H86:J86"/>
    <mergeCell ref="G85:I85"/>
    <mergeCell ref="H84:J84"/>
    <mergeCell ref="G25:I25"/>
    <mergeCell ref="D68:F68"/>
    <mergeCell ref="D67:F67"/>
    <mergeCell ref="D89:F89"/>
    <mergeCell ref="D50:F50"/>
    <mergeCell ref="H49:J49"/>
    <mergeCell ref="D47:F47"/>
    <mergeCell ref="G44:I44"/>
    <mergeCell ref="H43:J43"/>
    <mergeCell ref="D14:F14"/>
    <mergeCell ref="D13:F13"/>
    <mergeCell ref="G36:I36"/>
    <mergeCell ref="H63:J63"/>
    <mergeCell ref="I4:J5"/>
    <mergeCell ref="H8:J8"/>
    <mergeCell ref="G5:H5"/>
    <mergeCell ref="G6:H6"/>
    <mergeCell ref="D4:H4"/>
    <mergeCell ref="G9:I9"/>
    <mergeCell ref="G7:I7"/>
    <mergeCell ref="E5:F5"/>
    <mergeCell ref="E6:F6"/>
    <mergeCell ref="D5:D6"/>
    <mergeCell ref="D9:F9"/>
    <mergeCell ref="I6:J6"/>
    <mergeCell ref="H32:J32"/>
    <mergeCell ref="D48:F48"/>
    <mergeCell ref="G54:I54"/>
    <mergeCell ref="G50:I50"/>
    <mergeCell ref="G52:I52"/>
    <mergeCell ref="H20:J20"/>
    <mergeCell ref="G19:I19"/>
    <mergeCell ref="H18:J18"/>
    <mergeCell ref="G17:I17"/>
    <mergeCell ref="G21:I21"/>
    <mergeCell ref="H26:J26"/>
    <mergeCell ref="G34:H34"/>
    <mergeCell ref="H22:J22"/>
    <mergeCell ref="H30:J30"/>
    <mergeCell ref="G29:I29"/>
    <mergeCell ref="H28:J28"/>
    <mergeCell ref="I33:J34"/>
    <mergeCell ref="D21:F21"/>
    <mergeCell ref="H10:J10"/>
    <mergeCell ref="H12:J12"/>
    <mergeCell ref="G15:I15"/>
    <mergeCell ref="D19:F19"/>
    <mergeCell ref="D44:F44"/>
    <mergeCell ref="D45:F45"/>
    <mergeCell ref="G48:I48"/>
    <mergeCell ref="H47:J47"/>
    <mergeCell ref="H16:J16"/>
    <mergeCell ref="G31:I31"/>
    <mergeCell ref="I35:J35"/>
    <mergeCell ref="D33:H33"/>
    <mergeCell ref="G23:I23"/>
    <mergeCell ref="G40:I40"/>
    <mergeCell ref="H39:J39"/>
    <mergeCell ref="D41:F41"/>
    <mergeCell ref="D20:F20"/>
    <mergeCell ref="D42:F42"/>
    <mergeCell ref="D43:F43"/>
    <mergeCell ref="G38:I38"/>
    <mergeCell ref="G42:I42"/>
    <mergeCell ref="G35:H35"/>
    <mergeCell ref="H24:J24"/>
    <mergeCell ref="G27:I27"/>
  </mergeCells>
  <pageMargins left="0.74803149606299213" right="0.55118110236220474" top="0.31496062992125984" bottom="0.35433070866141736" header="0.31496062992125984" footer="0.15748031496062992"/>
  <pageSetup paperSize="9" scale="88" firstPageNumber="2" orientation="portrait" useFirstPageNumber="1" r:id="rId1"/>
  <headerFooter alignWithMargins="0">
    <oddFooter>&amp;LMF SR č. 25947/1/2010&amp;RStrana &amp;P</oddFooter>
  </headerFooter>
  <rowBreaks count="6" manualBreakCount="6">
    <brk id="32" max="16383" man="1"/>
    <brk id="63" max="16383" man="1"/>
    <brk id="94" max="16383" man="1"/>
    <brk id="127" max="16383" man="1"/>
    <brk id="148" max="16383" man="1"/>
    <brk id="178" max="16383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</sheetPr>
  <dimension ref="A1:AO55"/>
  <sheetViews>
    <sheetView showGridLines="0" view="pageBreakPreview" zoomScaleNormal="100" zoomScaleSheetLayoutView="100" workbookViewId="0">
      <selection activeCell="AC38" sqref="AC38:AK38"/>
    </sheetView>
  </sheetViews>
  <sheetFormatPr defaultRowHeight="12.75" x14ac:dyDescent="0.25"/>
  <cols>
    <col min="1" max="41" width="2.5703125" style="441" customWidth="1"/>
    <col min="42" max="42" width="9.140625" style="441"/>
    <col min="43" max="45" width="2.5703125" style="441" customWidth="1"/>
    <col min="46" max="46" width="7.7109375" style="441" customWidth="1"/>
    <col min="47" max="61" width="2.5703125" style="441" customWidth="1"/>
    <col min="62" max="16384" width="9.140625" style="441"/>
  </cols>
  <sheetData>
    <row r="1" spans="1:39" s="551" customFormat="1" ht="10.5" customHeight="1" x14ac:dyDescent="0.25">
      <c r="B1" s="552" t="s">
        <v>1321</v>
      </c>
      <c r="N1" s="1544" t="s">
        <v>1320</v>
      </c>
      <c r="O1" s="1544"/>
      <c r="P1" s="1544"/>
      <c r="Q1" s="1544"/>
      <c r="R1" s="1544"/>
      <c r="S1" s="1544"/>
      <c r="T1" s="1544"/>
      <c r="U1" s="1544"/>
      <c r="V1" s="1544"/>
      <c r="W1" s="1544"/>
      <c r="AM1" s="552"/>
    </row>
    <row r="2" spans="1:39" s="448" customFormat="1" ht="21" customHeight="1" x14ac:dyDescent="0.25">
      <c r="B2" s="550" t="s">
        <v>1319</v>
      </c>
      <c r="C2" s="549"/>
      <c r="D2" s="549"/>
      <c r="E2" s="549"/>
      <c r="F2" s="549"/>
      <c r="G2" s="549"/>
      <c r="H2" s="549"/>
      <c r="I2" s="549"/>
      <c r="J2" s="586"/>
      <c r="K2" s="549"/>
      <c r="L2" s="549"/>
      <c r="M2" s="585"/>
      <c r="N2" s="1544"/>
      <c r="O2" s="1544"/>
      <c r="P2" s="1544"/>
      <c r="Q2" s="1544"/>
      <c r="R2" s="1544"/>
      <c r="S2" s="1544"/>
      <c r="T2" s="1544"/>
      <c r="U2" s="1544"/>
      <c r="V2" s="1544"/>
      <c r="W2" s="1544"/>
      <c r="AM2" s="584"/>
    </row>
    <row r="3" spans="1:39" ht="13.5" customHeight="1" thickBot="1" x14ac:dyDescent="0.3">
      <c r="N3" s="1545"/>
      <c r="O3" s="1545"/>
      <c r="P3" s="1545"/>
      <c r="Q3" s="1545"/>
      <c r="R3" s="1545"/>
      <c r="S3" s="1545"/>
      <c r="T3" s="1545"/>
      <c r="U3" s="1545"/>
      <c r="V3" s="1545"/>
      <c r="W3" s="1545"/>
    </row>
    <row r="4" spans="1:39" ht="28.5" customHeight="1" thickBot="1" x14ac:dyDescent="0.3">
      <c r="K4" s="546" t="s">
        <v>1146</v>
      </c>
      <c r="L4" s="545" t="str">
        <f>+MID('Input data'!$B$11,1,1)</f>
        <v>3</v>
      </c>
      <c r="M4" s="545" t="str">
        <f>+MID('Input data'!$B$11,2,1)</f>
        <v>1</v>
      </c>
      <c r="N4" s="545" t="s">
        <v>1147</v>
      </c>
      <c r="O4" s="545" t="str">
        <f>LEFT('Input data'!B13,1)</f>
        <v>1</v>
      </c>
      <c r="P4" s="545" t="str">
        <f>RIGHT('Input data'!B13,1)</f>
        <v>2</v>
      </c>
      <c r="Q4" s="545" t="s">
        <v>1147</v>
      </c>
      <c r="R4" s="545" t="str">
        <f>+LEFT('Input data'!$B$14,1)</f>
        <v>2</v>
      </c>
      <c r="S4" s="545" t="str">
        <f>+MID('Input data'!$B$14,2,1)</f>
        <v>0</v>
      </c>
      <c r="T4" s="545" t="str">
        <f>+MID('Input data'!$B$14,3,1)</f>
        <v>1</v>
      </c>
      <c r="U4" s="545" t="str">
        <f>+MID('Input data'!$B$14,4,1)</f>
        <v>3</v>
      </c>
      <c r="V4" s="544" t="s">
        <v>1148</v>
      </c>
      <c r="W4" s="543"/>
      <c r="X4" s="543"/>
      <c r="Y4" s="543"/>
      <c r="Z4" s="542"/>
    </row>
    <row r="5" spans="1:39" ht="7.5" customHeight="1" thickBot="1" x14ac:dyDescent="0.3"/>
    <row r="6" spans="1:39" s="538" customFormat="1" ht="14.25" customHeight="1" x14ac:dyDescent="0.25">
      <c r="A6" s="541" t="s">
        <v>1149</v>
      </c>
      <c r="B6" s="540"/>
      <c r="C6" s="540"/>
      <c r="D6" s="540"/>
      <c r="E6" s="540"/>
      <c r="F6" s="540"/>
      <c r="G6" s="540"/>
      <c r="H6" s="540"/>
      <c r="I6" s="540"/>
      <c r="J6" s="540"/>
      <c r="K6" s="540"/>
      <c r="L6" s="540"/>
      <c r="M6" s="540"/>
      <c r="N6" s="540"/>
      <c r="O6" s="540"/>
      <c r="P6" s="540"/>
      <c r="Q6" s="540"/>
      <c r="R6" s="540"/>
      <c r="S6" s="539"/>
      <c r="T6" s="540"/>
      <c r="U6" s="540"/>
      <c r="V6" s="540"/>
      <c r="W6" s="540"/>
      <c r="X6" s="540"/>
      <c r="Y6" s="540"/>
      <c r="Z6" s="540"/>
      <c r="AA6" s="540"/>
      <c r="AB6" s="540"/>
      <c r="AC6" s="540"/>
      <c r="AD6" s="540"/>
      <c r="AE6" s="540"/>
      <c r="AF6" s="540"/>
      <c r="AG6" s="540"/>
      <c r="AH6" s="540"/>
      <c r="AI6" s="540"/>
      <c r="AJ6" s="540"/>
      <c r="AK6" s="539"/>
    </row>
    <row r="7" spans="1:39" s="442" customFormat="1" ht="15" customHeight="1" x14ac:dyDescent="0.25">
      <c r="A7" s="454" t="s">
        <v>1150</v>
      </c>
      <c r="B7" s="453"/>
      <c r="C7" s="453"/>
      <c r="D7" s="453"/>
      <c r="E7" s="453"/>
      <c r="F7" s="453"/>
      <c r="G7" s="453"/>
      <c r="H7" s="453"/>
      <c r="I7" s="453"/>
      <c r="J7" s="453"/>
      <c r="K7" s="453"/>
      <c r="L7" s="453"/>
      <c r="M7" s="453"/>
      <c r="N7" s="453"/>
      <c r="O7" s="453"/>
      <c r="P7" s="453"/>
      <c r="Q7" s="453"/>
      <c r="R7" s="453"/>
      <c r="S7" s="537"/>
      <c r="T7" s="453"/>
      <c r="U7" s="453"/>
      <c r="V7" s="453"/>
      <c r="W7" s="453"/>
      <c r="X7" s="453"/>
      <c r="Y7" s="453"/>
      <c r="Z7" s="453"/>
      <c r="AA7" s="453"/>
      <c r="AB7" s="453"/>
      <c r="AC7" s="453"/>
      <c r="AD7" s="453"/>
      <c r="AE7" s="453"/>
      <c r="AF7" s="453"/>
      <c r="AG7" s="453"/>
      <c r="AH7" s="453"/>
      <c r="AI7" s="453"/>
      <c r="AJ7" s="453"/>
      <c r="AK7" s="537"/>
    </row>
    <row r="8" spans="1:39" s="533" customFormat="1" ht="18" customHeight="1" thickBot="1" x14ac:dyDescent="0.3">
      <c r="A8" s="536" t="s">
        <v>1151</v>
      </c>
      <c r="B8" s="535"/>
      <c r="C8" s="535"/>
      <c r="D8" s="535"/>
      <c r="E8" s="536"/>
      <c r="F8" s="535"/>
      <c r="G8" s="535"/>
      <c r="H8" s="535"/>
      <c r="I8" s="535"/>
      <c r="J8" s="535"/>
      <c r="K8" s="535"/>
      <c r="L8" s="535"/>
      <c r="M8" s="535"/>
      <c r="N8" s="535"/>
      <c r="O8" s="535"/>
      <c r="P8" s="535"/>
      <c r="Q8" s="535"/>
      <c r="R8" s="535"/>
      <c r="S8" s="534"/>
      <c r="T8" s="535"/>
      <c r="U8" s="535"/>
      <c r="V8" s="535"/>
      <c r="W8" s="535"/>
      <c r="X8" s="535"/>
      <c r="Y8" s="535"/>
      <c r="Z8" s="535"/>
      <c r="AA8" s="535"/>
      <c r="AB8" s="535"/>
      <c r="AC8" s="535"/>
      <c r="AD8" s="535"/>
      <c r="AE8" s="535"/>
      <c r="AF8" s="535"/>
      <c r="AG8" s="535"/>
      <c r="AH8" s="535"/>
      <c r="AI8" s="535"/>
      <c r="AJ8" s="535"/>
      <c r="AK8" s="534"/>
    </row>
    <row r="9" spans="1:39" s="513" customFormat="1" ht="3.75" customHeight="1" thickBot="1" x14ac:dyDescent="0.3"/>
    <row r="10" spans="1:39" s="513" customFormat="1" ht="14.25" customHeight="1" x14ac:dyDescent="0.25">
      <c r="A10" s="515" t="s">
        <v>1152</v>
      </c>
      <c r="B10" s="514"/>
      <c r="C10" s="514"/>
      <c r="D10" s="514"/>
      <c r="E10" s="514"/>
      <c r="F10" s="514"/>
      <c r="G10" s="514"/>
      <c r="H10" s="514"/>
      <c r="I10" s="458"/>
      <c r="J10" s="457"/>
      <c r="K10" s="531" t="s">
        <v>1153</v>
      </c>
      <c r="L10" s="514"/>
      <c r="M10" s="532"/>
      <c r="N10" s="532"/>
      <c r="O10" s="532"/>
      <c r="P10" s="514"/>
      <c r="Q10" s="531" t="s">
        <v>1153</v>
      </c>
      <c r="R10" s="514"/>
      <c r="S10" s="458"/>
      <c r="T10" s="514"/>
      <c r="U10" s="514"/>
      <c r="V10" s="530"/>
      <c r="W10" s="514"/>
      <c r="X10" s="514"/>
      <c r="Y10" s="514"/>
      <c r="Z10" s="514"/>
      <c r="AA10" s="514"/>
      <c r="AB10" s="514"/>
      <c r="AC10" s="514"/>
      <c r="AD10" s="531" t="s">
        <v>1154</v>
      </c>
      <c r="AE10" s="531"/>
      <c r="AF10" s="531"/>
      <c r="AG10" s="531" t="s">
        <v>1155</v>
      </c>
      <c r="AH10" s="514"/>
      <c r="AI10" s="514"/>
      <c r="AJ10" s="514"/>
      <c r="AK10" s="530"/>
    </row>
    <row r="11" spans="1:39" s="513" customFormat="1" ht="19.5" customHeight="1" x14ac:dyDescent="0.2">
      <c r="A11" s="527" t="str">
        <f>LEFT('Input data'!C24,1)</f>
        <v>2</v>
      </c>
      <c r="B11" s="492" t="str">
        <f>MID('Input data'!$C$24,2,1)</f>
        <v>0</v>
      </c>
      <c r="C11" s="492" t="str">
        <f>MID('Input data'!$C$24,3,1)</f>
        <v>2</v>
      </c>
      <c r="D11" s="492" t="str">
        <f>MID('Input data'!$C$24,4,1)</f>
        <v>0</v>
      </c>
      <c r="E11" s="492" t="str">
        <f>MID('Input data'!$C$24,5,1)</f>
        <v>3</v>
      </c>
      <c r="F11" s="492" t="str">
        <f>MID('Input data'!$C$24,6,1)</f>
        <v>3</v>
      </c>
      <c r="G11" s="492" t="str">
        <f>MID('Input data'!$C$24,7,1)</f>
        <v>6</v>
      </c>
      <c r="H11" s="492" t="str">
        <f>MID('Input data'!$C$24,8,1)</f>
        <v>4</v>
      </c>
      <c r="I11" s="492" t="str">
        <f>MID('Input data'!$C$24,9,1)</f>
        <v>0</v>
      </c>
      <c r="J11" s="499" t="str">
        <f>MID('Input data'!$C$24,10,1)</f>
        <v>6</v>
      </c>
      <c r="K11" s="450"/>
      <c r="L11" s="516"/>
      <c r="M11" s="516"/>
      <c r="N11" s="516"/>
      <c r="O11" s="516"/>
      <c r="P11" s="516"/>
      <c r="Q11" s="516"/>
      <c r="R11" s="516"/>
      <c r="S11" s="516"/>
      <c r="T11" s="516"/>
      <c r="U11" s="516"/>
      <c r="V11" s="522"/>
      <c r="W11" s="521" t="s">
        <v>1156</v>
      </c>
      <c r="X11" s="516"/>
      <c r="Y11" s="516"/>
      <c r="Z11" s="516"/>
      <c r="AA11" s="516"/>
      <c r="AB11" s="521" t="s">
        <v>1157</v>
      </c>
      <c r="AC11" s="516"/>
      <c r="AD11" s="492" t="str">
        <f>MID('Input data'!$B$8,1,1)</f>
        <v>0</v>
      </c>
      <c r="AE11" s="492" t="str">
        <f>MID('Input data'!$B$8,2,1)</f>
        <v>1</v>
      </c>
      <c r="AF11" s="492"/>
      <c r="AG11" s="492" t="str">
        <f>MID('Input data'!$B$9,1,1)</f>
        <v>2</v>
      </c>
      <c r="AH11" s="492" t="str">
        <f>MID('Input data'!$B$9,2,1)</f>
        <v>0</v>
      </c>
      <c r="AI11" s="492" t="str">
        <f>MID('Input data'!$B$9,3,1)</f>
        <v>1</v>
      </c>
      <c r="AJ11" s="492" t="str">
        <f>MID('Input data'!$B$9,4,1)</f>
        <v>3</v>
      </c>
      <c r="AK11" s="522"/>
    </row>
    <row r="12" spans="1:39" s="513" customFormat="1" ht="19.5" customHeight="1" thickBot="1" x14ac:dyDescent="0.3">
      <c r="A12" s="454" t="s">
        <v>1158</v>
      </c>
      <c r="B12" s="516"/>
      <c r="C12" s="516"/>
      <c r="D12" s="516"/>
      <c r="E12" s="516"/>
      <c r="F12" s="516"/>
      <c r="G12" s="516"/>
      <c r="H12" s="450"/>
      <c r="I12" s="450"/>
      <c r="J12" s="449"/>
      <c r="K12" s="450"/>
      <c r="L12" s="529" t="str">
        <f>IF('Input data'!D7="x","x"," ")</f>
        <v>x</v>
      </c>
      <c r="M12" s="521" t="s">
        <v>1159</v>
      </c>
      <c r="N12" s="523"/>
      <c r="O12" s="523"/>
      <c r="P12" s="523"/>
      <c r="Q12" s="523"/>
      <c r="R12" s="529" t="str">
        <f>IF('Input data'!D16="x","x"," ")</f>
        <v>x</v>
      </c>
      <c r="S12" s="521" t="s">
        <v>1160</v>
      </c>
      <c r="T12" s="516"/>
      <c r="U12" s="516"/>
      <c r="V12" s="522"/>
      <c r="W12" s="528"/>
      <c r="X12" s="518"/>
      <c r="Y12" s="518"/>
      <c r="Z12" s="518"/>
      <c r="AA12" s="518"/>
      <c r="AB12" s="517" t="s">
        <v>1161</v>
      </c>
      <c r="AC12" s="518"/>
      <c r="AD12" s="490" t="str">
        <f>MID('Input data'!$B$13,1,1)</f>
        <v>1</v>
      </c>
      <c r="AE12" s="490" t="str">
        <f>MID('Input data'!$B$13,2,1)</f>
        <v>2</v>
      </c>
      <c r="AF12" s="490"/>
      <c r="AG12" s="490" t="str">
        <f>MID('Input data'!$B$14,1,1)</f>
        <v>2</v>
      </c>
      <c r="AH12" s="490" t="str">
        <f>MID('Input data'!$B$14,2,1)</f>
        <v>0</v>
      </c>
      <c r="AI12" s="490" t="str">
        <f>MID('Input data'!$B$14,3,1)</f>
        <v>1</v>
      </c>
      <c r="AJ12" s="490" t="str">
        <f>MID('Input data'!$B$14,4,1)</f>
        <v>3</v>
      </c>
      <c r="AK12" s="519"/>
    </row>
    <row r="13" spans="1:39" s="513" customFormat="1" ht="19.5" customHeight="1" x14ac:dyDescent="0.2">
      <c r="A13" s="527" t="str">
        <f>LEFT('Input data'!C26,1)</f>
        <v>3</v>
      </c>
      <c r="B13" s="492" t="str">
        <f>MID('Input data'!$C$26,2,1)</f>
        <v>1</v>
      </c>
      <c r="C13" s="492" t="str">
        <f>MID('Input data'!$C$26,3,1)</f>
        <v>3</v>
      </c>
      <c r="D13" s="492" t="str">
        <f>MID('Input data'!$C$26,4,1)</f>
        <v>5</v>
      </c>
      <c r="E13" s="492" t="str">
        <f>MID('Input data'!$C$26,5,1)</f>
        <v>8</v>
      </c>
      <c r="F13" s="492" t="str">
        <f>MID('Input data'!$C$26,6,1)</f>
        <v>7</v>
      </c>
      <c r="G13" s="492" t="str">
        <f>MID('Input data'!$C$26,7,1)</f>
        <v>3</v>
      </c>
      <c r="H13" s="492" t="str">
        <f>MID('Input data'!$C$26,8,1)</f>
        <v>0</v>
      </c>
      <c r="I13" s="450"/>
      <c r="J13" s="449"/>
      <c r="K13" s="450"/>
      <c r="L13" s="525" t="str">
        <f>IF('Input data'!D8="x","x", "")</f>
        <v/>
      </c>
      <c r="M13" s="521" t="s">
        <v>1162</v>
      </c>
      <c r="N13" s="523"/>
      <c r="O13" s="523"/>
      <c r="P13" s="523"/>
      <c r="Q13" s="523"/>
      <c r="R13" s="526" t="str">
        <f>IF('Input data'!D17="x","x"," ")</f>
        <v xml:space="preserve"> </v>
      </c>
      <c r="S13" s="521" t="s">
        <v>1163</v>
      </c>
      <c r="T13" s="516"/>
      <c r="U13" s="516"/>
      <c r="V13" s="522"/>
      <c r="W13" s="521" t="s">
        <v>1164</v>
      </c>
      <c r="X13" s="516"/>
      <c r="Y13" s="453"/>
      <c r="Z13" s="450"/>
      <c r="AA13" s="450"/>
      <c r="AB13" s="523"/>
      <c r="AC13" s="450"/>
      <c r="AD13" s="525"/>
      <c r="AE13" s="525"/>
      <c r="AF13" s="525"/>
      <c r="AG13" s="525"/>
      <c r="AH13" s="525"/>
      <c r="AI13" s="525"/>
      <c r="AJ13" s="525"/>
      <c r="AK13" s="449"/>
    </row>
    <row r="14" spans="1:39" s="513" customFormat="1" ht="19.5" customHeight="1" x14ac:dyDescent="0.2">
      <c r="A14" s="454" t="s">
        <v>1165</v>
      </c>
      <c r="B14" s="516"/>
      <c r="C14" s="516"/>
      <c r="D14" s="516"/>
      <c r="E14" s="516"/>
      <c r="F14" s="516"/>
      <c r="G14" s="516"/>
      <c r="H14" s="516"/>
      <c r="I14" s="450"/>
      <c r="J14" s="449"/>
      <c r="K14" s="450"/>
      <c r="L14" s="450"/>
      <c r="M14" s="521"/>
      <c r="N14" s="523"/>
      <c r="O14" s="523"/>
      <c r="P14" s="523"/>
      <c r="Q14" s="523"/>
      <c r="R14" s="524" t="s">
        <v>1166</v>
      </c>
      <c r="S14" s="523"/>
      <c r="T14" s="516"/>
      <c r="U14" s="516"/>
      <c r="V14" s="522"/>
      <c r="W14" s="521" t="s">
        <v>987</v>
      </c>
      <c r="X14" s="516"/>
      <c r="Y14" s="453"/>
      <c r="Z14" s="450"/>
      <c r="AA14" s="450"/>
      <c r="AB14" s="521" t="s">
        <v>1157</v>
      </c>
      <c r="AC14" s="450"/>
      <c r="AD14" s="492" t="str">
        <f>MID('Input data'!$B$18,1,1)</f>
        <v>0</v>
      </c>
      <c r="AE14" s="492" t="str">
        <f>MID('Input data'!$B$18,2,1)</f>
        <v>1</v>
      </c>
      <c r="AF14" s="492"/>
      <c r="AG14" s="492" t="str">
        <f>MID('Input data'!$B$19,1,1)</f>
        <v>2</v>
      </c>
      <c r="AH14" s="492" t="str">
        <f>MID('Input data'!$B$19,2,1)</f>
        <v>0</v>
      </c>
      <c r="AI14" s="492" t="str">
        <f>MID('Input data'!$B$19,3,1)</f>
        <v>1</v>
      </c>
      <c r="AJ14" s="492" t="str">
        <f>MID('Input data'!$B$19,4,1)</f>
        <v>2</v>
      </c>
      <c r="AK14" s="449"/>
    </row>
    <row r="15" spans="1:39" s="513" customFormat="1" ht="19.5" customHeight="1" thickBot="1" x14ac:dyDescent="0.25">
      <c r="A15" s="520" t="str">
        <f>LEFT('Input data'!$E$12,1)</f>
        <v>7</v>
      </c>
      <c r="B15" s="445" t="str">
        <f>MID('Input data'!$E$12,2,1)</f>
        <v>3</v>
      </c>
      <c r="C15" s="518" t="s">
        <v>1147</v>
      </c>
      <c r="D15" s="445" t="str">
        <f>MID('Input data'!$E$12,3,1)</f>
        <v>1</v>
      </c>
      <c r="E15" s="445" t="str">
        <f>MID('Input data'!$E$12,4,1)</f>
        <v>1</v>
      </c>
      <c r="F15" s="469" t="s">
        <v>1147</v>
      </c>
      <c r="G15" s="445" t="str">
        <f>MID('Input data'!$E$12,5,1)</f>
        <v>0</v>
      </c>
      <c r="H15" s="445"/>
      <c r="I15" s="445"/>
      <c r="J15" s="444"/>
      <c r="K15" s="445"/>
      <c r="L15" s="445"/>
      <c r="M15" s="445"/>
      <c r="N15" s="445"/>
      <c r="O15" s="445"/>
      <c r="P15" s="445"/>
      <c r="Q15" s="445"/>
      <c r="R15" s="445"/>
      <c r="S15" s="445"/>
      <c r="T15" s="518"/>
      <c r="U15" s="518"/>
      <c r="V15" s="519"/>
      <c r="W15" s="517" t="s">
        <v>1167</v>
      </c>
      <c r="X15" s="518"/>
      <c r="Y15" s="446"/>
      <c r="Z15" s="445"/>
      <c r="AA15" s="445"/>
      <c r="AB15" s="517" t="s">
        <v>1161</v>
      </c>
      <c r="AC15" s="445"/>
      <c r="AD15" s="490" t="str">
        <f>MID('Input data'!$B$21,1,1)</f>
        <v>1</v>
      </c>
      <c r="AE15" s="490" t="str">
        <f>MID('Input data'!$B$21,2,1)</f>
        <v>2</v>
      </c>
      <c r="AF15" s="490"/>
      <c r="AG15" s="490" t="str">
        <f>MID('Input data'!$B$22,1,1)</f>
        <v>2</v>
      </c>
      <c r="AH15" s="490" t="str">
        <f>MID('Input data'!$B$22,2,1)</f>
        <v>0</v>
      </c>
      <c r="AI15" s="490" t="str">
        <f>MID('Input data'!$B$22,3,1)</f>
        <v>1</v>
      </c>
      <c r="AJ15" s="490" t="str">
        <f>MID('Input data'!$B$22,4,1)</f>
        <v>2</v>
      </c>
      <c r="AK15" s="444"/>
    </row>
    <row r="16" spans="1:39" s="513" customFormat="1" ht="4.5" customHeight="1" x14ac:dyDescent="0.25">
      <c r="A16" s="516"/>
      <c r="B16" s="516"/>
      <c r="C16" s="516"/>
      <c r="D16" s="516"/>
      <c r="E16" s="516"/>
      <c r="F16" s="514"/>
      <c r="G16" s="516"/>
      <c r="H16" s="450"/>
      <c r="I16" s="450"/>
      <c r="J16" s="450"/>
      <c r="K16" s="450"/>
      <c r="L16" s="450"/>
      <c r="M16" s="450"/>
      <c r="N16" s="450"/>
      <c r="O16" s="450"/>
      <c r="P16" s="450"/>
      <c r="Q16" s="450"/>
      <c r="R16" s="450"/>
      <c r="S16" s="450"/>
      <c r="T16" s="516"/>
      <c r="U16" s="516"/>
      <c r="V16" s="450"/>
      <c r="W16" s="450"/>
      <c r="X16" s="450"/>
      <c r="Y16" s="450"/>
      <c r="Z16" s="450"/>
      <c r="AA16" s="450"/>
      <c r="AB16" s="450"/>
      <c r="AC16" s="450"/>
      <c r="AD16" s="450"/>
      <c r="AE16" s="450"/>
      <c r="AF16" s="450"/>
      <c r="AG16" s="450"/>
      <c r="AH16" s="450"/>
      <c r="AI16" s="450"/>
      <c r="AJ16" s="450"/>
      <c r="AK16" s="450"/>
    </row>
    <row r="17" spans="1:39" s="513" customFormat="1" ht="3" customHeight="1" thickBot="1" x14ac:dyDescent="0.3">
      <c r="H17" s="443"/>
      <c r="I17" s="443"/>
      <c r="J17" s="443"/>
      <c r="K17" s="443"/>
      <c r="L17" s="443"/>
      <c r="M17" s="443"/>
      <c r="N17" s="443"/>
      <c r="O17" s="443"/>
      <c r="P17" s="443"/>
      <c r="Q17" s="443"/>
      <c r="R17" s="443"/>
      <c r="S17" s="443"/>
      <c r="W17" s="443"/>
      <c r="X17" s="443"/>
      <c r="Y17" s="443"/>
      <c r="Z17" s="443"/>
      <c r="AA17" s="443"/>
      <c r="AB17" s="443"/>
      <c r="AC17" s="443"/>
      <c r="AD17" s="443"/>
      <c r="AE17" s="443"/>
      <c r="AF17" s="443"/>
      <c r="AG17" s="443"/>
      <c r="AH17" s="443"/>
      <c r="AI17" s="443"/>
      <c r="AJ17" s="443"/>
      <c r="AK17" s="443"/>
    </row>
    <row r="18" spans="1:39" s="513" customFormat="1" ht="16.5" x14ac:dyDescent="0.25">
      <c r="A18" s="515" t="s">
        <v>1168</v>
      </c>
      <c r="B18" s="514"/>
      <c r="C18" s="514"/>
      <c r="D18" s="514"/>
      <c r="E18" s="514"/>
      <c r="F18" s="514"/>
      <c r="G18" s="514"/>
      <c r="H18" s="458"/>
      <c r="I18" s="458"/>
      <c r="J18" s="458"/>
      <c r="K18" s="458"/>
      <c r="L18" s="458"/>
      <c r="M18" s="458"/>
      <c r="N18" s="458"/>
      <c r="O18" s="458"/>
      <c r="P18" s="458"/>
      <c r="Q18" s="458"/>
      <c r="R18" s="458"/>
      <c r="S18" s="458"/>
      <c r="T18" s="514"/>
      <c r="U18" s="514"/>
      <c r="V18" s="514"/>
      <c r="W18" s="458"/>
      <c r="X18" s="458"/>
      <c r="Y18" s="458"/>
      <c r="Z18" s="458"/>
      <c r="AA18" s="458"/>
      <c r="AB18" s="458"/>
      <c r="AC18" s="458"/>
      <c r="AD18" s="458"/>
      <c r="AE18" s="458"/>
      <c r="AF18" s="458"/>
      <c r="AG18" s="458"/>
      <c r="AH18" s="458"/>
      <c r="AI18" s="458"/>
      <c r="AJ18" s="458"/>
      <c r="AK18" s="457"/>
    </row>
    <row r="19" spans="1:39" s="443" customFormat="1" ht="19.5" customHeight="1" x14ac:dyDescent="0.25">
      <c r="A19" s="500" t="str">
        <f>+LEFT('Input data'!$F$3,1)</f>
        <v>C</v>
      </c>
      <c r="B19" s="492" t="str">
        <f>+MID('Input data'!$F$3,2,1)</f>
        <v>a</v>
      </c>
      <c r="C19" s="492" t="str">
        <f>+MID('Input data'!$F$3,3,1)</f>
        <v>r</v>
      </c>
      <c r="D19" s="492" t="str">
        <f>+MID('Input data'!$F$3,4,1)</f>
        <v>a</v>
      </c>
      <c r="E19" s="492" t="str">
        <f>+MID('Input data'!$F$3,5,1)</f>
        <v>t</v>
      </c>
      <c r="F19" s="492" t="str">
        <f>+MID('Input data'!$F$3,6,1)</f>
        <v xml:space="preserve"> </v>
      </c>
      <c r="G19" s="492" t="str">
        <f>+MID('Input data'!$F$3,7,1)</f>
        <v>-</v>
      </c>
      <c r="H19" s="492" t="str">
        <f>+MID('Input data'!$F$3,8,1)</f>
        <v xml:space="preserve"> </v>
      </c>
      <c r="I19" s="492" t="str">
        <f>+MID('Input data'!$F$3,9,1)</f>
        <v>S</v>
      </c>
      <c r="J19" s="492" t="str">
        <f>+MID('Input data'!$F$3,10,1)</f>
        <v>l</v>
      </c>
      <c r="K19" s="492" t="str">
        <f>+MID('Input data'!$F$3,11,1)</f>
        <v>o</v>
      </c>
      <c r="L19" s="492" t="str">
        <f>+MID('Input data'!$F$3,12,1)</f>
        <v>v</v>
      </c>
      <c r="M19" s="492" t="str">
        <f>+MID('Input data'!$F$3,13,1)</f>
        <v>a</v>
      </c>
      <c r="N19" s="492" t="str">
        <f>+MID('Input data'!$F$3,14,1)</f>
        <v>k</v>
      </c>
      <c r="O19" s="492" t="str">
        <f>+MID('Input data'!$F$3,15,1)</f>
        <v>i</v>
      </c>
      <c r="P19" s="492" t="str">
        <f>+MID('Input data'!$F$3,16,1)</f>
        <v>a</v>
      </c>
      <c r="Q19" s="492" t="str">
        <f>+MID('Input data'!$F$3,17,1)</f>
        <v>,</v>
      </c>
      <c r="R19" s="492" t="str">
        <f>+MID('Input data'!$F$3,18,1)</f>
        <v xml:space="preserve"> </v>
      </c>
      <c r="S19" s="492" t="str">
        <f>+MID('Input data'!$F$3,19,1)</f>
        <v>s</v>
      </c>
      <c r="T19" s="492" t="str">
        <f>+MID('Input data'!$F$3,20,1)</f>
        <v>.</v>
      </c>
      <c r="U19" s="492" t="str">
        <f>+MID('Input data'!$F$3,21,1)</f>
        <v>r</v>
      </c>
      <c r="V19" s="492" t="str">
        <f>+MID('Input data'!$F$3,22,1)</f>
        <v>.</v>
      </c>
      <c r="W19" s="492" t="str">
        <f>+MID('Input data'!$F$3,23,1)</f>
        <v>o</v>
      </c>
      <c r="X19" s="492" t="str">
        <f>+MID('Input data'!$F$3,24,1)</f>
        <v>.</v>
      </c>
      <c r="Y19" s="492" t="str">
        <f>+MID('Input data'!$F$3,25,1)</f>
        <v/>
      </c>
      <c r="Z19" s="492" t="str">
        <f>+MID('Input data'!$F$3,26,1)</f>
        <v/>
      </c>
      <c r="AA19" s="492" t="str">
        <f>+MID('Input data'!$F$3,27,1)</f>
        <v/>
      </c>
      <c r="AB19" s="492" t="str">
        <f>+MID('Input data'!$F$3,28,1)</f>
        <v/>
      </c>
      <c r="AC19" s="492" t="str">
        <f>+MID('Input data'!$F$3,29,1)</f>
        <v/>
      </c>
      <c r="AD19" s="492" t="str">
        <f>+MID('Input data'!$F$3,30,1)</f>
        <v/>
      </c>
      <c r="AE19" s="492" t="str">
        <f>+MID('Input data'!$F$3,31,1)</f>
        <v/>
      </c>
      <c r="AF19" s="492" t="str">
        <f>+MID('Input data'!$F$3,32,1)</f>
        <v/>
      </c>
      <c r="AG19" s="492" t="str">
        <f>+MID('Input data'!$F$3,33,1)</f>
        <v/>
      </c>
      <c r="AH19" s="492" t="str">
        <f>+MID('Input data'!$E$3,34,1)</f>
        <v/>
      </c>
      <c r="AI19" s="492" t="str">
        <f>+MID('Input data'!$E$3,35,1)</f>
        <v/>
      </c>
      <c r="AJ19" s="492" t="str">
        <f>+MID('Input data'!$E$3,36,1)</f>
        <v/>
      </c>
      <c r="AK19" s="499" t="str">
        <f>+MID('Input data'!$E$3,37,1)</f>
        <v/>
      </c>
      <c r="AL19" s="513"/>
      <c r="AM19" s="513"/>
    </row>
    <row r="20" spans="1:39" s="582" customFormat="1" ht="19.5" customHeight="1" x14ac:dyDescent="0.25">
      <c r="A20" s="500" t="str">
        <f>+MID('Input data'!$E$3,38,1)</f>
        <v/>
      </c>
      <c r="B20" s="492" t="str">
        <f>+MID('Input data'!$E$3,39,1)</f>
        <v/>
      </c>
      <c r="C20" s="492" t="str">
        <f>+MID('Input data'!$E$3,40,1)</f>
        <v/>
      </c>
      <c r="D20" s="492" t="str">
        <f>+MID('Input data'!$E$3,41,1)</f>
        <v/>
      </c>
      <c r="E20" s="492" t="str">
        <f>+MID('Input data'!$E$3,42,1)</f>
        <v/>
      </c>
      <c r="F20" s="492" t="str">
        <f>+MID('Input data'!$E$3,43,1)</f>
        <v/>
      </c>
      <c r="G20" s="492" t="str">
        <f>+MID('Input data'!$E$3,44,1)</f>
        <v/>
      </c>
      <c r="H20" s="492" t="str">
        <f>+MID('Input data'!$E$3,45,1)</f>
        <v/>
      </c>
      <c r="I20" s="492" t="str">
        <f>+MID('Input data'!$E$3,46,1)</f>
        <v/>
      </c>
      <c r="J20" s="492" t="str">
        <f>+MID('Input data'!$E$3,47,1)</f>
        <v/>
      </c>
      <c r="K20" s="492" t="str">
        <f>+MID('Input data'!$E$3,48,1)</f>
        <v/>
      </c>
      <c r="L20" s="492" t="str">
        <f>+MID('Input data'!$E$3,49,1)</f>
        <v/>
      </c>
      <c r="M20" s="492" t="str">
        <f>+MID('Input data'!$E$3,50,1)</f>
        <v/>
      </c>
      <c r="N20" s="492" t="str">
        <f>+MID('Input data'!$E$3,51,1)</f>
        <v/>
      </c>
      <c r="O20" s="492" t="str">
        <f>+MID('Input data'!$E$3,52,1)</f>
        <v/>
      </c>
      <c r="P20" s="492" t="str">
        <f>+MID('Input data'!$E$3,53,1)</f>
        <v/>
      </c>
      <c r="Q20" s="492" t="str">
        <f>+MID('Input data'!$E$3,54,1)</f>
        <v/>
      </c>
      <c r="R20" s="492" t="str">
        <f>+MID('Input data'!$E$3,55,1)</f>
        <v/>
      </c>
      <c r="S20" s="492" t="str">
        <f>+MID('Input data'!$E$3,56,1)</f>
        <v/>
      </c>
      <c r="T20" s="492" t="str">
        <f>+MID('Input data'!$E$3,57,1)</f>
        <v/>
      </c>
      <c r="U20" s="492" t="str">
        <f>+MID('Input data'!$E$3,58,1)</f>
        <v/>
      </c>
      <c r="V20" s="492" t="str">
        <f>+MID('Input data'!$E$3,59,1)</f>
        <v/>
      </c>
      <c r="W20" s="492" t="str">
        <f>+MID('Input data'!$E$3,60,1)</f>
        <v/>
      </c>
      <c r="X20" s="492" t="str">
        <f>+MID('Input data'!$E$3,61,1)</f>
        <v/>
      </c>
      <c r="Y20" s="492" t="str">
        <f>+MID('Input data'!$E$3,62,1)</f>
        <v/>
      </c>
      <c r="Z20" s="492" t="str">
        <f>+MID('Input data'!$E$3,63,1)</f>
        <v/>
      </c>
      <c r="AA20" s="492" t="str">
        <f>+MID('Input data'!$E$3,64,1)</f>
        <v/>
      </c>
      <c r="AB20" s="492" t="str">
        <f>+MID('Input data'!$E$3,65,1)</f>
        <v/>
      </c>
      <c r="AC20" s="492" t="str">
        <f>+MID('Input data'!$E$3,66,1)</f>
        <v/>
      </c>
      <c r="AD20" s="492" t="str">
        <f>+MID('Input data'!$E$3,67,1)</f>
        <v/>
      </c>
      <c r="AE20" s="492" t="str">
        <f>+MID('Input data'!$E$3,68,1)</f>
        <v/>
      </c>
      <c r="AF20" s="492" t="str">
        <f>+MID('Input data'!$E$3,69,1)</f>
        <v/>
      </c>
      <c r="AG20" s="492" t="str">
        <f>+MID('Input data'!$E$3,70,1)</f>
        <v/>
      </c>
      <c r="AH20" s="492" t="str">
        <f>+MID('Input data'!$E$3,71,1)</f>
        <v/>
      </c>
      <c r="AI20" s="492" t="str">
        <f>+MID('Input data'!$E$3,72,1)</f>
        <v/>
      </c>
      <c r="AJ20" s="492" t="str">
        <f>+MID('Input data'!$E$3,73,1)</f>
        <v/>
      </c>
      <c r="AK20" s="499" t="str">
        <f>+MID('Input data'!$E$3,74,1)</f>
        <v/>
      </c>
    </row>
    <row r="21" spans="1:39" ht="12.75" customHeight="1" x14ac:dyDescent="0.25">
      <c r="A21" s="512"/>
      <c r="B21" s="511"/>
      <c r="C21" s="511"/>
      <c r="D21" s="511"/>
      <c r="E21" s="511"/>
      <c r="F21" s="511"/>
      <c r="G21" s="511"/>
      <c r="H21" s="511"/>
      <c r="I21" s="511"/>
      <c r="J21" s="511"/>
      <c r="K21" s="511"/>
      <c r="L21" s="511"/>
      <c r="M21" s="511"/>
      <c r="N21" s="511"/>
      <c r="O21" s="511"/>
      <c r="P21" s="511"/>
      <c r="Q21" s="511"/>
      <c r="R21" s="511"/>
      <c r="S21" s="511"/>
      <c r="T21" s="511"/>
      <c r="U21" s="511"/>
      <c r="V21" s="511"/>
      <c r="W21" s="510"/>
      <c r="X21" s="510"/>
      <c r="Y21" s="510"/>
      <c r="Z21" s="510"/>
      <c r="AA21" s="510"/>
      <c r="AB21" s="510"/>
      <c r="AC21" s="510"/>
      <c r="AD21" s="510"/>
      <c r="AE21" s="510"/>
      <c r="AF21" s="510"/>
      <c r="AG21" s="510"/>
      <c r="AH21" s="510"/>
      <c r="AI21" s="510"/>
      <c r="AJ21" s="510"/>
      <c r="AK21" s="509"/>
    </row>
    <row r="22" spans="1:39" s="583" customFormat="1" ht="19.5" hidden="1" customHeight="1" x14ac:dyDescent="0.25">
      <c r="A22" s="508"/>
      <c r="B22" s="507"/>
      <c r="C22" s="507"/>
      <c r="D22" s="507"/>
      <c r="E22" s="507"/>
      <c r="F22" s="507"/>
      <c r="G22" s="507" t="e">
        <f>+MID('Input data'!#REF!,7,1)</f>
        <v>#REF!</v>
      </c>
      <c r="H22" s="507" t="e">
        <f>+MID('Input data'!#REF!,8,1)</f>
        <v>#REF!</v>
      </c>
      <c r="I22" s="507" t="e">
        <f>+MID('Input data'!#REF!,9,1)</f>
        <v>#REF!</v>
      </c>
      <c r="J22" s="507" t="e">
        <f>+MID('Input data'!#REF!,10,1)</f>
        <v>#REF!</v>
      </c>
      <c r="K22" s="507" t="e">
        <f>+MID('Input data'!#REF!,11,1)</f>
        <v>#REF!</v>
      </c>
      <c r="L22" s="507" t="e">
        <f>+MID('Input data'!#REF!,12,1)</f>
        <v>#REF!</v>
      </c>
      <c r="M22" s="507" t="e">
        <f>+MID('Input data'!#REF!,13,1)</f>
        <v>#REF!</v>
      </c>
      <c r="N22" s="507" t="e">
        <f>+MID('Input data'!#REF!,14,1)</f>
        <v>#REF!</v>
      </c>
      <c r="O22" s="507" t="e">
        <f>+MID('Input data'!#REF!,15,1)</f>
        <v>#REF!</v>
      </c>
      <c r="P22" s="507" t="e">
        <f>+MID('Input data'!#REF!,16,1)</f>
        <v>#REF!</v>
      </c>
      <c r="Q22" s="507" t="e">
        <f>+MID('Input data'!#REF!,17,1)</f>
        <v>#REF!</v>
      </c>
      <c r="R22" s="507" t="e">
        <f>+MID('Input data'!#REF!,18,1)</f>
        <v>#REF!</v>
      </c>
      <c r="S22" s="507" t="e">
        <f>+MID('Input data'!#REF!,19,1)</f>
        <v>#REF!</v>
      </c>
      <c r="T22" s="507" t="e">
        <f>+MID('Input data'!#REF!,20,1)</f>
        <v>#REF!</v>
      </c>
      <c r="U22" s="507" t="e">
        <f>+MID('Input data'!#REF!,21,1)</f>
        <v>#REF!</v>
      </c>
      <c r="V22" s="507" t="e">
        <f>+MID('Input data'!#REF!,22,1)</f>
        <v>#REF!</v>
      </c>
      <c r="W22" s="507" t="e">
        <f>+MID('Input data'!#REF!,23,1)</f>
        <v>#REF!</v>
      </c>
      <c r="X22" s="507" t="e">
        <f>+MID('Input data'!#REF!,24,1)</f>
        <v>#REF!</v>
      </c>
      <c r="Y22" s="507" t="e">
        <f>+MID('Input data'!#REF!,25,1)</f>
        <v>#REF!</v>
      </c>
      <c r="Z22" s="507" t="e">
        <f>+MID('Input data'!#REF!,26,1)</f>
        <v>#REF!</v>
      </c>
      <c r="AA22" s="507" t="e">
        <f>+MID('Input data'!#REF!,27,1)</f>
        <v>#REF!</v>
      </c>
      <c r="AB22" s="507" t="e">
        <f>+MID('Input data'!#REF!,28,1)</f>
        <v>#REF!</v>
      </c>
      <c r="AC22" s="507" t="e">
        <f>+MID('Input data'!#REF!,29,1)</f>
        <v>#REF!</v>
      </c>
      <c r="AD22" s="507" t="e">
        <f>+MID('Input data'!#REF!,30,1)</f>
        <v>#REF!</v>
      </c>
      <c r="AE22" s="507" t="e">
        <f>+MID('Input data'!#REF!,31,1)</f>
        <v>#REF!</v>
      </c>
      <c r="AF22" s="507" t="e">
        <f>+MID('Input data'!#REF!,32,1)</f>
        <v>#REF!</v>
      </c>
      <c r="AG22" s="507" t="e">
        <f>+MID('Input data'!#REF!,33,1)</f>
        <v>#REF!</v>
      </c>
      <c r="AH22" s="507" t="e">
        <f>+MID('Input data'!#REF!,34,1)</f>
        <v>#REF!</v>
      </c>
      <c r="AI22" s="507" t="e">
        <f>+MID('Input data'!#REF!,35,1)</f>
        <v>#REF!</v>
      </c>
      <c r="AJ22" s="507" t="e">
        <f>+MID('Input data'!#REF!,36,1)</f>
        <v>#REF!</v>
      </c>
      <c r="AK22" s="506" t="e">
        <f>+MID('Input data'!#REF!,37,1)</f>
        <v>#REF!</v>
      </c>
      <c r="AL22" s="441"/>
      <c r="AM22" s="441"/>
    </row>
    <row r="23" spans="1:39" s="501" customFormat="1" ht="14.25" customHeight="1" x14ac:dyDescent="0.25">
      <c r="A23" s="505" t="s">
        <v>1169</v>
      </c>
      <c r="B23" s="504"/>
      <c r="C23" s="504"/>
      <c r="D23" s="504"/>
      <c r="E23" s="504"/>
      <c r="F23" s="504"/>
      <c r="G23" s="504"/>
      <c r="H23" s="504"/>
      <c r="I23" s="504"/>
      <c r="J23" s="504"/>
      <c r="K23" s="504"/>
      <c r="L23" s="504"/>
      <c r="M23" s="504"/>
      <c r="N23" s="504"/>
      <c r="O23" s="504"/>
      <c r="P23" s="504"/>
      <c r="Q23" s="504"/>
      <c r="R23" s="504"/>
      <c r="S23" s="504"/>
      <c r="T23" s="504"/>
      <c r="U23" s="504"/>
      <c r="V23" s="504"/>
      <c r="W23" s="503"/>
      <c r="X23" s="503"/>
      <c r="Y23" s="503"/>
      <c r="Z23" s="503"/>
      <c r="AA23" s="503"/>
      <c r="AB23" s="503"/>
      <c r="AC23" s="503"/>
      <c r="AD23" s="503"/>
      <c r="AE23" s="503"/>
      <c r="AF23" s="503"/>
      <c r="AG23" s="503"/>
      <c r="AH23" s="503"/>
      <c r="AI23" s="503"/>
      <c r="AJ23" s="503"/>
      <c r="AK23" s="502"/>
    </row>
    <row r="24" spans="1:39" x14ac:dyDescent="0.25">
      <c r="A24" s="497" t="s">
        <v>1170</v>
      </c>
      <c r="B24" s="455"/>
      <c r="C24" s="455"/>
      <c r="D24" s="455"/>
      <c r="E24" s="455"/>
      <c r="F24" s="455"/>
      <c r="G24" s="455"/>
      <c r="H24" s="455"/>
      <c r="I24" s="455"/>
      <c r="J24" s="455"/>
      <c r="K24" s="455"/>
      <c r="L24" s="455"/>
      <c r="M24" s="455"/>
      <c r="N24" s="455"/>
      <c r="O24" s="455"/>
      <c r="P24" s="455"/>
      <c r="Q24" s="455"/>
      <c r="R24" s="455"/>
      <c r="S24" s="455"/>
      <c r="T24" s="455"/>
      <c r="U24" s="455"/>
      <c r="V24" s="455"/>
      <c r="W24" s="450"/>
      <c r="X24" s="450"/>
      <c r="Y24" s="450"/>
      <c r="Z24" s="450"/>
      <c r="AA24" s="450"/>
      <c r="AB24" s="455"/>
      <c r="AC24" s="450"/>
      <c r="AD24" s="453" t="s">
        <v>1171</v>
      </c>
      <c r="AE24" s="450"/>
      <c r="AF24" s="450"/>
      <c r="AG24" s="450"/>
      <c r="AH24" s="450"/>
      <c r="AI24" s="450"/>
      <c r="AJ24" s="450"/>
      <c r="AK24" s="449"/>
    </row>
    <row r="25" spans="1:39" s="582" customFormat="1" ht="19.5" customHeight="1" x14ac:dyDescent="0.25">
      <c r="A25" s="500" t="str">
        <f>+LEFT('Input data'!$C$28,1)</f>
        <v>T</v>
      </c>
      <c r="B25" s="492" t="str">
        <f>+MID('Input data'!$C$28,2,1)</f>
        <v>e</v>
      </c>
      <c r="C25" s="492" t="str">
        <f>+MID('Input data'!$C$28,3,1)</f>
        <v>s</v>
      </c>
      <c r="D25" s="492" t="str">
        <f>+MID('Input data'!$C$28,4,1)</f>
        <v>l</v>
      </c>
      <c r="E25" s="492" t="str">
        <f>+MID('Input data'!$C$28,5,1)</f>
        <v>o</v>
      </c>
      <c r="F25" s="492" t="str">
        <f>+MID('Input data'!$C$28,6,1)</f>
        <v>v</v>
      </c>
      <c r="G25" s="492" t="str">
        <f>+MID('Input data'!$C$28,7,1)</f>
        <v>a</v>
      </c>
      <c r="H25" s="492" t="str">
        <f>+MID('Input data'!$C$28,8,1)</f>
        <v/>
      </c>
      <c r="I25" s="492" t="str">
        <f>+MID('Input data'!$C$28,9,1)</f>
        <v/>
      </c>
      <c r="J25" s="492" t="str">
        <f>+MID('Input data'!$C$28,10,1)</f>
        <v/>
      </c>
      <c r="K25" s="492" t="str">
        <f>+MID('Input data'!$C$28,11,1)</f>
        <v/>
      </c>
      <c r="L25" s="492" t="str">
        <f>+MID('Input data'!$C$28,12,1)</f>
        <v/>
      </c>
      <c r="M25" s="492" t="str">
        <f>+MID('Input data'!$C$28,13,1)</f>
        <v/>
      </c>
      <c r="N25" s="492" t="str">
        <f>+MID('Input data'!$C$28,14,1)</f>
        <v/>
      </c>
      <c r="O25" s="492" t="str">
        <f>+MID('Input data'!$C$28,15,1)</f>
        <v/>
      </c>
      <c r="P25" s="492" t="str">
        <f>+MID('Input data'!$C$28,16,1)</f>
        <v/>
      </c>
      <c r="Q25" s="492" t="str">
        <f>+MID('Input data'!$C$28,17,1)</f>
        <v/>
      </c>
      <c r="R25" s="492" t="str">
        <f>+MID('Input data'!$C$28,18,1)</f>
        <v/>
      </c>
      <c r="S25" s="492" t="str">
        <f>+MID('Input data'!$C$28,19,1)</f>
        <v/>
      </c>
      <c r="T25" s="492" t="str">
        <f>+MID('Input data'!$C$28,20,1)</f>
        <v/>
      </c>
      <c r="U25" s="492" t="str">
        <f>+MID('Input data'!$C$28,21,1)</f>
        <v/>
      </c>
      <c r="V25" s="492" t="str">
        <f>+MID('Input data'!$C$28,22,1)</f>
        <v/>
      </c>
      <c r="W25" s="492" t="str">
        <f>+MID('Input data'!$C$28,23,1)</f>
        <v/>
      </c>
      <c r="X25" s="492" t="str">
        <f>+MID('Input data'!$C$28,24,1)</f>
        <v/>
      </c>
      <c r="Y25" s="492" t="str">
        <f>+MID('Input data'!$C$28,25,1)</f>
        <v/>
      </c>
      <c r="Z25" s="492" t="str">
        <f>+MID('Input data'!$C$28,26,1)</f>
        <v/>
      </c>
      <c r="AA25" s="492" t="str">
        <f>+MID('Input data'!$C$28,27,1)</f>
        <v/>
      </c>
      <c r="AB25" s="492" t="str">
        <f>+MID('Input data'!$C$28,28,1)</f>
        <v/>
      </c>
      <c r="AC25" s="494"/>
      <c r="AD25" s="492" t="str">
        <f>+LEFT('Input data'!$C$30,1)</f>
        <v>2</v>
      </c>
      <c r="AE25" s="492" t="str">
        <f>+MID('Input data'!$C$30,2,1)</f>
        <v>0</v>
      </c>
      <c r="AF25" s="492" t="str">
        <f>+MID('Input data'!$C$30,3,1)</f>
        <v/>
      </c>
      <c r="AG25" s="492" t="str">
        <f>+MID('Input data'!$C$30,4,1)</f>
        <v/>
      </c>
      <c r="AH25" s="492" t="str">
        <f>+MID('Input data'!$C$30,5,1)</f>
        <v/>
      </c>
      <c r="AI25" s="492" t="str">
        <f>+MID('Input data'!$C$30,6,1)</f>
        <v/>
      </c>
      <c r="AJ25" s="492" t="str">
        <f>+MID('Input data'!$C$30,7,1)</f>
        <v/>
      </c>
      <c r="AK25" s="499" t="str">
        <f>+MID('Input data'!$C$30,8,1)</f>
        <v/>
      </c>
    </row>
    <row r="26" spans="1:39" x14ac:dyDescent="0.25">
      <c r="A26" s="497" t="s">
        <v>1172</v>
      </c>
      <c r="B26" s="455"/>
      <c r="C26" s="455"/>
      <c r="D26" s="455"/>
      <c r="E26" s="455"/>
      <c r="F26" s="455"/>
      <c r="G26" s="496" t="s">
        <v>1173</v>
      </c>
      <c r="H26" s="496"/>
      <c r="I26" s="496"/>
      <c r="J26" s="496"/>
      <c r="K26" s="496"/>
      <c r="L26" s="496"/>
      <c r="M26" s="496"/>
      <c r="N26" s="496"/>
      <c r="O26" s="496"/>
      <c r="P26" s="496"/>
      <c r="Q26" s="496"/>
      <c r="R26" s="496"/>
      <c r="S26" s="496"/>
      <c r="T26" s="496"/>
      <c r="U26" s="496"/>
      <c r="V26" s="496"/>
      <c r="W26" s="496"/>
      <c r="X26" s="496"/>
      <c r="Y26" s="496"/>
      <c r="Z26" s="496"/>
      <c r="AA26" s="496"/>
      <c r="AB26" s="496"/>
      <c r="AC26" s="496"/>
      <c r="AD26" s="496"/>
      <c r="AE26" s="450"/>
      <c r="AF26" s="450"/>
      <c r="AG26" s="450"/>
      <c r="AH26" s="450"/>
      <c r="AI26" s="450"/>
      <c r="AJ26" s="450"/>
      <c r="AK26" s="449"/>
    </row>
    <row r="27" spans="1:39" s="582" customFormat="1" ht="19.5" customHeight="1" x14ac:dyDescent="0.25">
      <c r="A27" s="500" t="str">
        <f>+LEFT('Input data'!$C$32,1)</f>
        <v>8</v>
      </c>
      <c r="B27" s="492" t="str">
        <f>+MID('Input data'!$C$32,2,1)</f>
        <v>2</v>
      </c>
      <c r="C27" s="492" t="str">
        <f>+MID('Input data'!$C$32,3,1)</f>
        <v>1</v>
      </c>
      <c r="D27" s="492" t="str">
        <f>+MID('Input data'!$C$32,4,1)</f>
        <v>0</v>
      </c>
      <c r="E27" s="492" t="str">
        <f>+MID('Input data'!$C$32,5,1)</f>
        <v>2</v>
      </c>
      <c r="F27" s="492"/>
      <c r="G27" s="492" t="str">
        <f>+LEFT('Input data'!$C$34,1)</f>
        <v>B</v>
      </c>
      <c r="H27" s="492" t="str">
        <f>+MID('Input data'!$C$34,2,1)</f>
        <v>r</v>
      </c>
      <c r="I27" s="492" t="str">
        <f>+MID('Input data'!$C$34,3,1)</f>
        <v>a</v>
      </c>
      <c r="J27" s="492" t="str">
        <f>+MID('Input data'!$C$34,4,1)</f>
        <v>t</v>
      </c>
      <c r="K27" s="492" t="str">
        <f>+MID('Input data'!$C$34,5,1)</f>
        <v>i</v>
      </c>
      <c r="L27" s="492" t="str">
        <f>+MID('Input data'!$C$34,6,1)</f>
        <v>s</v>
      </c>
      <c r="M27" s="492" t="str">
        <f>+MID('Input data'!$C$34,7,1)</f>
        <v>l</v>
      </c>
      <c r="N27" s="492" t="str">
        <f>+MID('Input data'!$C$34,8,1)</f>
        <v>a</v>
      </c>
      <c r="O27" s="492" t="str">
        <f>+MID('Input data'!$C$34,9,1)</f>
        <v>v</v>
      </c>
      <c r="P27" s="492" t="str">
        <f>+MID('Input data'!$C$34,10,1)</f>
        <v>a</v>
      </c>
      <c r="Q27" s="492" t="str">
        <f>+MID('Input data'!$C$34,11,1)</f>
        <v/>
      </c>
      <c r="R27" s="492" t="str">
        <f>+MID('Input data'!$C$34,12,1)</f>
        <v/>
      </c>
      <c r="S27" s="492" t="str">
        <f>+MID('Input data'!$C$34,13,1)</f>
        <v/>
      </c>
      <c r="T27" s="492" t="str">
        <f>+MID('Input data'!$C$34,14,1)</f>
        <v/>
      </c>
      <c r="U27" s="492" t="str">
        <f>+MID('Input data'!$C$34,15,1)</f>
        <v/>
      </c>
      <c r="V27" s="492" t="str">
        <f>+MID('Input data'!$C$34,16,1)</f>
        <v/>
      </c>
      <c r="W27" s="492" t="str">
        <f>+MID('Input data'!$C$34,17,1)</f>
        <v/>
      </c>
      <c r="X27" s="492" t="str">
        <f>+MID('Input data'!$C$34,18,1)</f>
        <v/>
      </c>
      <c r="Y27" s="492" t="str">
        <f>+MID('Input data'!$C$34,19,1)</f>
        <v/>
      </c>
      <c r="Z27" s="492" t="str">
        <f>+MID('Input data'!$C$34,20,1)</f>
        <v/>
      </c>
      <c r="AA27" s="492" t="str">
        <f>+MID('Input data'!$C$34,21,1)</f>
        <v/>
      </c>
      <c r="AB27" s="492" t="str">
        <f>+MID('Input data'!$C$34,22,1)</f>
        <v/>
      </c>
      <c r="AC27" s="492" t="str">
        <f>+MID('Input data'!$C$34,23,1)</f>
        <v/>
      </c>
      <c r="AD27" s="492" t="str">
        <f>+MID('Input data'!$C$34,24,1)</f>
        <v/>
      </c>
      <c r="AE27" s="492" t="str">
        <f>+MID('Input data'!$C$34,25,1)</f>
        <v/>
      </c>
      <c r="AF27" s="492" t="str">
        <f>+MID('Input data'!$C$34,26,1)</f>
        <v/>
      </c>
      <c r="AG27" s="492" t="str">
        <f>+MID('Input data'!$C$34,27,1)</f>
        <v/>
      </c>
      <c r="AH27" s="492" t="str">
        <f>+MID('Input data'!$C$34,28,1)</f>
        <v/>
      </c>
      <c r="AI27" s="492" t="str">
        <f>+MID('Input data'!$C$34,29,1)</f>
        <v/>
      </c>
      <c r="AJ27" s="492" t="str">
        <f>+MID('Input data'!$C$34,30,1)</f>
        <v/>
      </c>
      <c r="AK27" s="499" t="str">
        <f>+MID('Input data'!$C$34,31,1)</f>
        <v/>
      </c>
    </row>
    <row r="28" spans="1:39" x14ac:dyDescent="0.25">
      <c r="A28" s="497" t="s">
        <v>1174</v>
      </c>
      <c r="B28" s="455"/>
      <c r="C28" s="455"/>
      <c r="D28" s="455"/>
      <c r="E28" s="455"/>
      <c r="F28" s="455"/>
      <c r="G28" s="496"/>
      <c r="H28" s="496"/>
      <c r="I28" s="496"/>
      <c r="J28" s="496"/>
      <c r="K28" s="496"/>
      <c r="L28" s="496"/>
      <c r="M28" s="496"/>
      <c r="N28" s="455"/>
      <c r="O28" s="496" t="s">
        <v>1175</v>
      </c>
      <c r="P28" s="496"/>
      <c r="Q28" s="496"/>
      <c r="R28" s="496"/>
      <c r="S28" s="496"/>
      <c r="T28" s="496"/>
      <c r="U28" s="496"/>
      <c r="V28" s="496"/>
      <c r="W28" s="496"/>
      <c r="X28" s="496"/>
      <c r="Y28" s="496"/>
      <c r="Z28" s="496"/>
      <c r="AA28" s="496"/>
      <c r="AB28" s="496"/>
      <c r="AC28" s="496"/>
      <c r="AD28" s="496"/>
      <c r="AE28" s="450"/>
      <c r="AF28" s="450"/>
      <c r="AG28" s="450"/>
      <c r="AH28" s="450"/>
      <c r="AI28" s="450"/>
      <c r="AJ28" s="450"/>
      <c r="AK28" s="449"/>
    </row>
    <row r="29" spans="1:39" s="582" customFormat="1" ht="19.5" customHeight="1" x14ac:dyDescent="0.25">
      <c r="A29" s="495">
        <v>0</v>
      </c>
      <c r="B29" s="492" t="str">
        <f>+LEFT('Input data'!$C$36,1)</f>
        <v>2</v>
      </c>
      <c r="C29" s="492" t="str">
        <f>+MID('Input data'!$C$36,2,1)</f>
        <v/>
      </c>
      <c r="D29" s="492" t="str">
        <f>+MID('Input data'!$C$36,3,1)</f>
        <v/>
      </c>
      <c r="E29" s="492" t="s">
        <v>1176</v>
      </c>
      <c r="F29" s="492" t="str">
        <f>+LEFT('Input data'!$C$38,1)</f>
        <v>4</v>
      </c>
      <c r="G29" s="492" t="str">
        <f>+MID('Input data'!$C$38,2,1)</f>
        <v>9</v>
      </c>
      <c r="H29" s="492" t="str">
        <f>+MID('Input data'!$C$38,3,1)</f>
        <v>3</v>
      </c>
      <c r="I29" s="492" t="str">
        <f>+MID('Input data'!$C$38,4,1)</f>
        <v>0</v>
      </c>
      <c r="J29" s="492" t="str">
        <f>+MID('Input data'!$C$38,5,1)</f>
        <v>0</v>
      </c>
      <c r="K29" s="492" t="str">
        <f>+MID('Input data'!$C$38,6,1)</f>
        <v>5</v>
      </c>
      <c r="L29" s="492" t="str">
        <f>+MID('Input data'!$C$38,7,1)</f>
        <v>1</v>
      </c>
      <c r="M29" s="492" t="str">
        <f>+MID('Input data'!$C$38,8,1)</f>
        <v>3</v>
      </c>
      <c r="N29" s="494"/>
      <c r="O29" s="493">
        <v>0</v>
      </c>
      <c r="P29" s="492" t="str">
        <f>+LEFT('Input data'!$C$36,1)</f>
        <v>2</v>
      </c>
      <c r="Q29" s="492" t="str">
        <f>+MID('Input data'!$C$36,2,1)</f>
        <v/>
      </c>
      <c r="R29" s="492" t="str">
        <f>+MID('Input data'!$C$36,3,1)</f>
        <v/>
      </c>
      <c r="S29" s="492" t="s">
        <v>1176</v>
      </c>
      <c r="T29" s="492" t="str">
        <f>+LEFT('Input data'!$C$40,1)</f>
        <v>4</v>
      </c>
      <c r="U29" s="492" t="str">
        <f>+MID('Input data'!$C$40,2,1)</f>
        <v>9</v>
      </c>
      <c r="V29" s="492" t="str">
        <f>+MID('Input data'!$C$40,3,1)</f>
        <v>3</v>
      </c>
      <c r="W29" s="492" t="str">
        <f>+MID('Input data'!$C$40,4,1)</f>
        <v>0</v>
      </c>
      <c r="X29" s="492" t="str">
        <f>+MID('Input data'!$C$40,5,1)</f>
        <v>0</v>
      </c>
      <c r="Y29" s="492" t="str">
        <f>+MID('Input data'!$C$40,6,1)</f>
        <v>5</v>
      </c>
      <c r="Z29" s="492" t="str">
        <f>+MID('Input data'!$C$40,7,1)</f>
        <v>5</v>
      </c>
      <c r="AA29" s="492" t="str">
        <f>+MID('Input data'!$C$40,8,1)</f>
        <v>0</v>
      </c>
      <c r="AB29" s="492"/>
      <c r="AC29" s="492"/>
      <c r="AD29" s="492"/>
      <c r="AE29" s="450"/>
      <c r="AF29" s="450"/>
      <c r="AG29" s="450"/>
      <c r="AH29" s="450"/>
      <c r="AI29" s="450"/>
      <c r="AJ29" s="450"/>
      <c r="AK29" s="449"/>
    </row>
    <row r="30" spans="1:39" s="442" customFormat="1" x14ac:dyDescent="0.25">
      <c r="A30" s="454" t="s">
        <v>1178</v>
      </c>
      <c r="B30" s="453"/>
      <c r="C30" s="453"/>
      <c r="D30" s="453"/>
      <c r="E30" s="453"/>
      <c r="F30" s="453"/>
      <c r="G30" s="453"/>
      <c r="H30" s="453"/>
      <c r="I30" s="453"/>
      <c r="J30" s="453"/>
      <c r="K30" s="453"/>
      <c r="L30" s="453"/>
      <c r="M30" s="453"/>
      <c r="N30" s="453"/>
      <c r="O30" s="453"/>
      <c r="P30" s="453"/>
      <c r="Q30" s="453"/>
      <c r="R30" s="453"/>
      <c r="S30" s="453"/>
      <c r="T30" s="453"/>
      <c r="U30" s="453"/>
      <c r="V30" s="453"/>
      <c r="W30" s="450"/>
      <c r="X30" s="450"/>
      <c r="Y30" s="450"/>
      <c r="Z30" s="450"/>
      <c r="AA30" s="450"/>
      <c r="AB30" s="450"/>
      <c r="AC30" s="450"/>
      <c r="AD30" s="450"/>
      <c r="AE30" s="450"/>
      <c r="AF30" s="450"/>
      <c r="AG30" s="450"/>
      <c r="AH30" s="450"/>
      <c r="AI30" s="450"/>
      <c r="AJ30" s="450"/>
      <c r="AK30" s="449"/>
    </row>
    <row r="31" spans="1:39" s="582" customFormat="1" ht="19.5" customHeight="1" thickBot="1" x14ac:dyDescent="0.3">
      <c r="A31" s="491" t="str">
        <f>+LEFT('Input data'!$B$42,1)</f>
        <v/>
      </c>
      <c r="B31" s="490" t="str">
        <f>+MID('Input data'!$B$42,2,1)</f>
        <v/>
      </c>
      <c r="C31" s="490" t="str">
        <f>+MID('Input data'!$B$42,3,1)</f>
        <v/>
      </c>
      <c r="D31" s="490" t="str">
        <f>+MID('Input data'!$B$42,4,1)</f>
        <v/>
      </c>
      <c r="E31" s="490" t="str">
        <f>+MID('Input data'!$B$42,5,1)</f>
        <v/>
      </c>
      <c r="F31" s="490" t="str">
        <f>+MID('Input data'!$B$42,6,1)</f>
        <v/>
      </c>
      <c r="G31" s="490" t="str">
        <f>+MID('Input data'!$B$42,7,1)</f>
        <v/>
      </c>
      <c r="H31" s="490" t="str">
        <f>+MID('Input data'!$B$42,8,1)</f>
        <v/>
      </c>
      <c r="I31" s="490" t="str">
        <f>+MID('Input data'!$B$42,9,1)</f>
        <v/>
      </c>
      <c r="J31" s="490" t="str">
        <f>+MID('Input data'!$B$42,10,1)</f>
        <v/>
      </c>
      <c r="K31" s="490" t="str">
        <f>+MID('Input data'!$B$42,11,1)</f>
        <v/>
      </c>
      <c r="L31" s="490" t="str">
        <f>+MID('Input data'!$B$42,12,1)</f>
        <v/>
      </c>
      <c r="M31" s="490" t="str">
        <f>+MID('Input data'!$B$42,13,1)</f>
        <v/>
      </c>
      <c r="N31" s="490" t="str">
        <f>+MID('Input data'!$B$42,14,1)</f>
        <v/>
      </c>
      <c r="O31" s="490" t="str">
        <f>+MID('Input data'!$B$42,15,1)</f>
        <v/>
      </c>
      <c r="P31" s="490" t="str">
        <f>+MID('Input data'!$B$42,16,1)</f>
        <v/>
      </c>
      <c r="Q31" s="490" t="str">
        <f>+MID('Input data'!$B$42,17,1)</f>
        <v/>
      </c>
      <c r="R31" s="490" t="str">
        <f>+MID('Input data'!$B$42,18,1)</f>
        <v/>
      </c>
      <c r="S31" s="490" t="str">
        <f>+MID('Input data'!$B$42,19,1)</f>
        <v/>
      </c>
      <c r="T31" s="490" t="str">
        <f>+MID('Input data'!$B$42,20,1)</f>
        <v/>
      </c>
      <c r="U31" s="490" t="str">
        <f>+MID('Input data'!$B$42,21,1)</f>
        <v/>
      </c>
      <c r="V31" s="490" t="str">
        <f>+MID('Input data'!$B$42,22,1)</f>
        <v/>
      </c>
      <c r="W31" s="490" t="str">
        <f>+MID('Input data'!$B$42,23,1)</f>
        <v/>
      </c>
      <c r="X31" s="490" t="str">
        <f>+MID('Input data'!$B$42,24,1)</f>
        <v/>
      </c>
      <c r="Y31" s="490" t="str">
        <f>+MID('Input data'!$B$42,25,1)</f>
        <v/>
      </c>
      <c r="Z31" s="490" t="str">
        <f>+MID('Input data'!$B$42,26,1)</f>
        <v/>
      </c>
      <c r="AA31" s="490" t="str">
        <f>+MID('Input data'!$B$42,27,1)</f>
        <v/>
      </c>
      <c r="AB31" s="490" t="str">
        <f>+MID('Input data'!$B$42,28,1)</f>
        <v/>
      </c>
      <c r="AC31" s="490" t="str">
        <f>+MID('Input data'!$B$42,29,1)</f>
        <v/>
      </c>
      <c r="AD31" s="490" t="str">
        <f>+MID('Input data'!$B$42,30,1)</f>
        <v/>
      </c>
      <c r="AE31" s="490" t="str">
        <f>+MID('Input data'!$B$42,31,1)</f>
        <v/>
      </c>
      <c r="AF31" s="490" t="str">
        <f>+MID('Input data'!$B$42,32,1)</f>
        <v/>
      </c>
      <c r="AG31" s="490" t="str">
        <f>+MID('Input data'!$B$42,33,1)</f>
        <v/>
      </c>
      <c r="AH31" s="490" t="str">
        <f>+MID('Input data'!$B$42,34,1)</f>
        <v/>
      </c>
      <c r="AI31" s="490" t="str">
        <f>+MID('Input data'!$B$42,35,1)</f>
        <v/>
      </c>
      <c r="AJ31" s="490" t="str">
        <f>+MID('Input data'!$B$42,36,1)</f>
        <v/>
      </c>
      <c r="AK31" s="489" t="str">
        <f>+MID('Input data'!$B$42,37,1)</f>
        <v/>
      </c>
    </row>
    <row r="32" spans="1:39" s="442" customFormat="1" ht="4.5" customHeight="1" thickBot="1" x14ac:dyDescent="0.3">
      <c r="W32" s="443"/>
      <c r="X32" s="443"/>
      <c r="Y32" s="443"/>
      <c r="Z32" s="443"/>
      <c r="AA32" s="443"/>
      <c r="AB32" s="443"/>
      <c r="AC32" s="443"/>
      <c r="AD32" s="443"/>
      <c r="AE32" s="443"/>
      <c r="AF32" s="443"/>
      <c r="AG32" s="443"/>
      <c r="AH32" s="443"/>
      <c r="AI32" s="443"/>
      <c r="AJ32" s="443"/>
      <c r="AK32" s="443"/>
    </row>
    <row r="33" spans="1:41" s="485" customFormat="1" ht="12.75" customHeight="1" x14ac:dyDescent="0.25">
      <c r="A33" s="488" t="s">
        <v>1179</v>
      </c>
      <c r="B33" s="487"/>
      <c r="C33" s="487"/>
      <c r="D33" s="487"/>
      <c r="E33" s="487"/>
      <c r="F33" s="487"/>
      <c r="G33" s="487"/>
      <c r="H33" s="487"/>
      <c r="I33" s="487"/>
      <c r="J33" s="487"/>
      <c r="K33" s="486"/>
      <c r="L33" s="1465" t="s">
        <v>1182</v>
      </c>
      <c r="M33" s="1466"/>
      <c r="N33" s="1466"/>
      <c r="O33" s="1466"/>
      <c r="P33" s="1466"/>
      <c r="Q33" s="1466"/>
      <c r="R33" s="1466"/>
      <c r="S33" s="1466"/>
      <c r="T33" s="1471"/>
      <c r="U33" s="1018" t="s">
        <v>1181</v>
      </c>
      <c r="V33" s="1018"/>
      <c r="W33" s="1018"/>
      <c r="X33" s="1018"/>
      <c r="Y33" s="1018"/>
      <c r="Z33" s="1018"/>
      <c r="AA33" s="1018"/>
      <c r="AB33" s="1019"/>
      <c r="AC33" s="1465" t="s">
        <v>1180</v>
      </c>
      <c r="AD33" s="1466"/>
      <c r="AE33" s="1466"/>
      <c r="AF33" s="1466"/>
      <c r="AG33" s="1466"/>
      <c r="AH33" s="1466"/>
      <c r="AI33" s="1466"/>
      <c r="AJ33" s="1466"/>
      <c r="AK33" s="1467"/>
    </row>
    <row r="34" spans="1:41" s="442" customFormat="1" ht="19.5" customHeight="1" x14ac:dyDescent="0.25">
      <c r="A34" s="471" t="str">
        <f>LEFT(TEXT('Input data'!F25,"dd.m.yyyy"),1)</f>
        <v>1</v>
      </c>
      <c r="B34" s="470" t="str">
        <f>MID(TEXT('Input data'!$F$25,"dd.mm.yyyy"),2,1)</f>
        <v>3</v>
      </c>
      <c r="C34" s="469" t="s">
        <v>1147</v>
      </c>
      <c r="D34" s="470" t="str">
        <f>MID(TEXT('Input data'!$F$25,"dd.mm.yyyy"),4,1)</f>
        <v>0</v>
      </c>
      <c r="E34" s="470" t="str">
        <f>MID(TEXT('Input data'!$F$25,"dd.mm.yyyy"),5,1)</f>
        <v>6</v>
      </c>
      <c r="F34" s="469" t="s">
        <v>1147</v>
      </c>
      <c r="G34" s="468" t="str">
        <f>MID(TEXT('Input data'!$F$25,"dd.mm.yyyy"),7,1)</f>
        <v>2</v>
      </c>
      <c r="H34" s="468" t="str">
        <f>MID(TEXT('Input data'!$F$25,"dd.mm.yyyy"),8,1)</f>
        <v>0</v>
      </c>
      <c r="I34" s="468" t="str">
        <f>MID(TEXT('Input data'!$F$25,"dd.mm.yyyy"),9,1)</f>
        <v>1</v>
      </c>
      <c r="J34" s="468" t="str">
        <f>MID(TEXT('Input data'!$F$25,"dd.mm.yyyy"),10,1)</f>
        <v>4</v>
      </c>
      <c r="K34" s="484"/>
      <c r="L34" s="1468"/>
      <c r="M34" s="1469"/>
      <c r="N34" s="1469"/>
      <c r="O34" s="1469"/>
      <c r="P34" s="1469"/>
      <c r="Q34" s="1469"/>
      <c r="R34" s="1469"/>
      <c r="S34" s="1469"/>
      <c r="T34" s="1472"/>
      <c r="U34" s="1021"/>
      <c r="V34" s="1021"/>
      <c r="W34" s="1021"/>
      <c r="X34" s="1021"/>
      <c r="Y34" s="1021"/>
      <c r="Z34" s="1021"/>
      <c r="AA34" s="1021"/>
      <c r="AB34" s="1022"/>
      <c r="AC34" s="1468"/>
      <c r="AD34" s="1469"/>
      <c r="AE34" s="1469"/>
      <c r="AF34" s="1469"/>
      <c r="AG34" s="1469"/>
      <c r="AH34" s="1469"/>
      <c r="AI34" s="1469"/>
      <c r="AJ34" s="1469"/>
      <c r="AK34" s="1470"/>
      <c r="AO34" s="581"/>
    </row>
    <row r="35" spans="1:41" s="442" customFormat="1" ht="13.5" customHeight="1" x14ac:dyDescent="0.25">
      <c r="A35" s="483"/>
      <c r="B35" s="482"/>
      <c r="C35" s="482"/>
      <c r="D35" s="482"/>
      <c r="E35" s="482"/>
      <c r="F35" s="482"/>
      <c r="G35" s="481"/>
      <c r="H35" s="481"/>
      <c r="I35" s="481"/>
      <c r="J35" s="481"/>
      <c r="K35" s="480"/>
      <c r="L35" s="1468"/>
      <c r="M35" s="1469"/>
      <c r="N35" s="1469"/>
      <c r="O35" s="1469"/>
      <c r="P35" s="1469"/>
      <c r="Q35" s="1469"/>
      <c r="R35" s="1469"/>
      <c r="S35" s="1469"/>
      <c r="T35" s="1472"/>
      <c r="U35" s="1021"/>
      <c r="V35" s="1021"/>
      <c r="W35" s="1021"/>
      <c r="X35" s="1021"/>
      <c r="Y35" s="1021"/>
      <c r="Z35" s="1021"/>
      <c r="AA35" s="1021"/>
      <c r="AB35" s="1022"/>
      <c r="AC35" s="1468"/>
      <c r="AD35" s="1469"/>
      <c r="AE35" s="1469"/>
      <c r="AF35" s="1469"/>
      <c r="AG35" s="1469"/>
      <c r="AH35" s="1469"/>
      <c r="AI35" s="1469"/>
      <c r="AJ35" s="1469"/>
      <c r="AK35" s="1470"/>
    </row>
    <row r="36" spans="1:41" s="442" customFormat="1" x14ac:dyDescent="0.2">
      <c r="A36" s="454" t="s">
        <v>1183</v>
      </c>
      <c r="B36" s="453"/>
      <c r="C36" s="453"/>
      <c r="D36" s="453"/>
      <c r="E36" s="453"/>
      <c r="F36" s="453"/>
      <c r="G36" s="479"/>
      <c r="H36" s="479"/>
      <c r="I36" s="479"/>
      <c r="J36" s="479"/>
      <c r="K36" s="478"/>
      <c r="L36" s="477"/>
      <c r="M36" s="477"/>
      <c r="N36" s="477"/>
      <c r="O36" s="477"/>
      <c r="P36" s="477"/>
      <c r="Q36" s="477"/>
      <c r="R36" s="477"/>
      <c r="S36" s="453"/>
      <c r="T36" s="475"/>
      <c r="U36" s="476"/>
      <c r="V36" s="476"/>
      <c r="W36" s="476"/>
      <c r="X36" s="476"/>
      <c r="Y36" s="476"/>
      <c r="Z36" s="450"/>
      <c r="AA36" s="476"/>
      <c r="AB36" s="475"/>
      <c r="AC36" s="474"/>
      <c r="AD36" s="473"/>
      <c r="AE36" s="473"/>
      <c r="AF36" s="473"/>
      <c r="AG36" s="473"/>
      <c r="AH36" s="473"/>
      <c r="AI36" s="473"/>
      <c r="AJ36" s="473"/>
      <c r="AK36" s="472"/>
    </row>
    <row r="37" spans="1:41" s="442" customFormat="1" ht="19.5" customHeight="1" x14ac:dyDescent="0.25">
      <c r="A37" s="471" t="str">
        <f>IF('Input data'!$F$27="","",LEFT(TEXT('Input data'!$F$27,"dd.mm.yyyy"),1))</f>
        <v/>
      </c>
      <c r="B37" s="470" t="str">
        <f>IF('Input data'!$F$27="","",MID(TEXT('Input data'!$F$27,"dd.mm.yyyy"),2,1))</f>
        <v/>
      </c>
      <c r="C37" s="469" t="s">
        <v>1147</v>
      </c>
      <c r="D37" s="470" t="str">
        <f>IF('Input data'!$F$27="","",MID(TEXT('Input data'!$F$27,"dd.mm.yyyy"),4,1))</f>
        <v/>
      </c>
      <c r="E37" s="470" t="str">
        <f>IF('Input data'!$F$27="","",MID(TEXT('Input data'!$F$27,"dd.mm.yyyy"),5,1))</f>
        <v/>
      </c>
      <c r="F37" s="469" t="s">
        <v>1147</v>
      </c>
      <c r="G37" s="468" t="str">
        <f>IF('Input data'!$F$27="","",MID(TEXT('Input data'!$F$27,"dd.mm.yyyy"),7,1))</f>
        <v/>
      </c>
      <c r="H37" s="468" t="str">
        <f>IF('Input data'!$F$27="","",MID(TEXT('Input data'!$F$27,"dd.mm.yyyy"),8,1))</f>
        <v/>
      </c>
      <c r="I37" s="468" t="str">
        <f>IF('Input data'!$F$27="","",MID(TEXT('Input data'!$F$27,"dd.mm.yyyy"),9,1))</f>
        <v/>
      </c>
      <c r="J37" s="468" t="str">
        <f>IF('Input data'!$F$27="","",MID(TEXT('Input data'!$F$27,"dd.mm.yyyy"),10,1))</f>
        <v/>
      </c>
      <c r="K37" s="467"/>
      <c r="L37" s="453"/>
      <c r="M37" s="453"/>
      <c r="N37" s="453"/>
      <c r="O37" s="453"/>
      <c r="P37" s="453"/>
      <c r="Q37" s="453"/>
      <c r="R37" s="453"/>
      <c r="S37" s="453"/>
      <c r="T37" s="580"/>
      <c r="U37" s="453"/>
      <c r="V37" s="450"/>
      <c r="W37" s="450"/>
      <c r="X37" s="450"/>
      <c r="Y37" s="450"/>
      <c r="Z37" s="450"/>
      <c r="AA37" s="450"/>
      <c r="AB37" s="579"/>
      <c r="AC37" s="450"/>
      <c r="AD37" s="450"/>
      <c r="AE37" s="450"/>
      <c r="AF37" s="450"/>
      <c r="AG37" s="450"/>
      <c r="AH37" s="450"/>
      <c r="AI37" s="450"/>
      <c r="AJ37" s="450"/>
      <c r="AK37" s="449"/>
    </row>
    <row r="38" spans="1:41" s="448" customFormat="1" thickBot="1" x14ac:dyDescent="0.3">
      <c r="A38" s="463"/>
      <c r="B38" s="462"/>
      <c r="C38" s="462"/>
      <c r="D38" s="462"/>
      <c r="E38" s="462"/>
      <c r="F38" s="462"/>
      <c r="G38" s="462"/>
      <c r="H38" s="462"/>
      <c r="I38" s="462"/>
      <c r="J38" s="462"/>
      <c r="K38" s="461"/>
      <c r="L38" s="1025">
        <f>'Input data'!F31</f>
        <v>0</v>
      </c>
      <c r="M38" s="1026"/>
      <c r="N38" s="1026"/>
      <c r="O38" s="1026"/>
      <c r="P38" s="1026"/>
      <c r="Q38" s="1026"/>
      <c r="R38" s="1026"/>
      <c r="S38" s="1026"/>
      <c r="T38" s="1027"/>
      <c r="U38" s="1025">
        <f>'Input data'!F35</f>
        <v>0</v>
      </c>
      <c r="V38" s="1026"/>
      <c r="W38" s="1026"/>
      <c r="X38" s="1026"/>
      <c r="Y38" s="1026"/>
      <c r="Z38" s="1026"/>
      <c r="AA38" s="1026"/>
      <c r="AB38" s="1027"/>
      <c r="AC38" s="1028">
        <f>'Input data'!F39</f>
        <v>0</v>
      </c>
      <c r="AD38" s="1026"/>
      <c r="AE38" s="1026"/>
      <c r="AF38" s="1026"/>
      <c r="AG38" s="1026"/>
      <c r="AH38" s="1026"/>
      <c r="AI38" s="1026"/>
      <c r="AJ38" s="1026"/>
      <c r="AK38" s="1029"/>
    </row>
    <row r="39" spans="1:41" s="448" customFormat="1" x14ac:dyDescent="0.25">
      <c r="W39" s="443"/>
      <c r="X39" s="443"/>
      <c r="Y39" s="443"/>
      <c r="Z39" s="443"/>
      <c r="AA39" s="443"/>
      <c r="AB39" s="443"/>
      <c r="AC39" s="443"/>
      <c r="AD39" s="443"/>
      <c r="AE39" s="443"/>
      <c r="AF39" s="443"/>
      <c r="AG39" s="443"/>
      <c r="AH39" s="443"/>
      <c r="AI39" s="443"/>
      <c r="AJ39" s="443"/>
      <c r="AK39" s="443"/>
    </row>
    <row r="40" spans="1:41" s="448" customFormat="1" x14ac:dyDescent="0.25">
      <c r="W40" s="443"/>
      <c r="X40" s="443"/>
      <c r="Y40" s="443"/>
      <c r="Z40" s="443"/>
      <c r="AA40" s="443"/>
      <c r="AB40" s="443"/>
      <c r="AC40" s="443"/>
      <c r="AD40" s="443"/>
      <c r="AE40" s="443"/>
      <c r="AF40" s="443"/>
      <c r="AG40" s="443"/>
      <c r="AH40" s="443"/>
      <c r="AI40" s="443"/>
      <c r="AJ40" s="443"/>
      <c r="AK40" s="443"/>
    </row>
    <row r="41" spans="1:41" s="448" customFormat="1" x14ac:dyDescent="0.25">
      <c r="W41" s="443"/>
      <c r="X41" s="443"/>
      <c r="Y41" s="443"/>
      <c r="Z41" s="443"/>
      <c r="AA41" s="443"/>
      <c r="AB41" s="443"/>
      <c r="AC41" s="443"/>
      <c r="AD41" s="443"/>
      <c r="AE41" s="443"/>
      <c r="AF41" s="443"/>
      <c r="AG41" s="443"/>
      <c r="AH41" s="443"/>
      <c r="AI41" s="443"/>
      <c r="AJ41" s="443"/>
      <c r="AK41" s="443"/>
    </row>
    <row r="42" spans="1:41" ht="13.5" thickBot="1" x14ac:dyDescent="0.3">
      <c r="W42" s="443"/>
      <c r="X42" s="443"/>
      <c r="Y42" s="443"/>
      <c r="Z42" s="443"/>
      <c r="AA42" s="443"/>
      <c r="AB42" s="443"/>
      <c r="AC42" s="443"/>
      <c r="AD42" s="443"/>
      <c r="AE42" s="443"/>
      <c r="AF42" s="443"/>
      <c r="AG42" s="443"/>
      <c r="AH42" s="443"/>
      <c r="AI42" s="443"/>
      <c r="AJ42" s="443"/>
      <c r="AK42" s="443"/>
    </row>
    <row r="43" spans="1:41" s="448" customFormat="1" x14ac:dyDescent="0.25">
      <c r="B43" s="460" t="s">
        <v>1184</v>
      </c>
      <c r="C43" s="459"/>
      <c r="D43" s="459"/>
      <c r="E43" s="459"/>
      <c r="F43" s="459"/>
      <c r="G43" s="459"/>
      <c r="H43" s="459"/>
      <c r="I43" s="459"/>
      <c r="J43" s="459"/>
      <c r="K43" s="459"/>
      <c r="L43" s="459"/>
      <c r="M43" s="459"/>
      <c r="N43" s="459"/>
      <c r="O43" s="459"/>
      <c r="P43" s="459"/>
      <c r="Q43" s="459"/>
      <c r="R43" s="459"/>
      <c r="S43" s="459"/>
      <c r="T43" s="459"/>
      <c r="U43" s="459"/>
      <c r="V43" s="459"/>
      <c r="W43" s="458"/>
      <c r="X43" s="458"/>
      <c r="Y43" s="458"/>
      <c r="Z43" s="458"/>
      <c r="AA43" s="458"/>
      <c r="AB43" s="458"/>
      <c r="AC43" s="458"/>
      <c r="AD43" s="458"/>
      <c r="AE43" s="458"/>
      <c r="AF43" s="458"/>
      <c r="AG43" s="458"/>
      <c r="AH43" s="458"/>
      <c r="AI43" s="458"/>
      <c r="AJ43" s="457"/>
      <c r="AK43" s="443"/>
    </row>
    <row r="44" spans="1:41" s="448" customFormat="1" x14ac:dyDescent="0.25">
      <c r="B44" s="452"/>
      <c r="C44" s="451"/>
      <c r="D44" s="451"/>
      <c r="E44" s="451"/>
      <c r="F44" s="451"/>
      <c r="G44" s="451"/>
      <c r="H44" s="451"/>
      <c r="I44" s="451"/>
      <c r="J44" s="451"/>
      <c r="K44" s="451"/>
      <c r="L44" s="451"/>
      <c r="M44" s="451"/>
      <c r="N44" s="451"/>
      <c r="O44" s="451"/>
      <c r="P44" s="451"/>
      <c r="Q44" s="451"/>
      <c r="R44" s="451"/>
      <c r="S44" s="451"/>
      <c r="T44" s="451"/>
      <c r="U44" s="451"/>
      <c r="V44" s="451"/>
      <c r="W44" s="450"/>
      <c r="X44" s="450"/>
      <c r="Y44" s="450"/>
      <c r="Z44" s="450"/>
      <c r="AA44" s="450"/>
      <c r="AB44" s="450"/>
      <c r="AC44" s="450"/>
      <c r="AD44" s="450"/>
      <c r="AE44" s="450"/>
      <c r="AF44" s="450"/>
      <c r="AG44" s="450"/>
      <c r="AH44" s="450"/>
      <c r="AI44" s="450"/>
      <c r="AJ44" s="449"/>
      <c r="AK44" s="443"/>
    </row>
    <row r="45" spans="1:41" x14ac:dyDescent="0.25">
      <c r="B45" s="456"/>
      <c r="C45" s="455"/>
      <c r="D45" s="455"/>
      <c r="E45" s="455"/>
      <c r="F45" s="455"/>
      <c r="G45" s="455"/>
      <c r="H45" s="455"/>
      <c r="I45" s="455"/>
      <c r="J45" s="455"/>
      <c r="K45" s="455"/>
      <c r="L45" s="455"/>
      <c r="M45" s="455"/>
      <c r="N45" s="455"/>
      <c r="O45" s="455"/>
      <c r="P45" s="455"/>
      <c r="Q45" s="455"/>
      <c r="R45" s="455"/>
      <c r="S45" s="455"/>
      <c r="T45" s="455"/>
      <c r="U45" s="455"/>
      <c r="V45" s="455"/>
      <c r="W45" s="450"/>
      <c r="X45" s="450"/>
      <c r="Y45" s="450"/>
      <c r="Z45" s="450"/>
      <c r="AA45" s="450"/>
      <c r="AB45" s="450"/>
      <c r="AC45" s="450"/>
      <c r="AD45" s="450"/>
      <c r="AE45" s="450"/>
      <c r="AF45" s="450"/>
      <c r="AG45" s="450"/>
      <c r="AH45" s="450"/>
      <c r="AI45" s="450"/>
      <c r="AJ45" s="449"/>
      <c r="AK45" s="443"/>
    </row>
    <row r="46" spans="1:41" s="448" customFormat="1" x14ac:dyDescent="0.25">
      <c r="B46" s="452"/>
      <c r="C46" s="451"/>
      <c r="D46" s="451"/>
      <c r="E46" s="451"/>
      <c r="F46" s="451"/>
      <c r="G46" s="451"/>
      <c r="H46" s="451"/>
      <c r="I46" s="451"/>
      <c r="J46" s="451"/>
      <c r="K46" s="451"/>
      <c r="L46" s="451"/>
      <c r="M46" s="451"/>
      <c r="N46" s="451"/>
      <c r="O46" s="451"/>
      <c r="P46" s="451"/>
      <c r="Q46" s="451"/>
      <c r="R46" s="451"/>
      <c r="S46" s="451"/>
      <c r="T46" s="451"/>
      <c r="U46" s="451"/>
      <c r="V46" s="451"/>
      <c r="W46" s="450"/>
      <c r="X46" s="450"/>
      <c r="Y46" s="450"/>
      <c r="Z46" s="450"/>
      <c r="AA46" s="450"/>
      <c r="AB46" s="450"/>
      <c r="AC46" s="450"/>
      <c r="AD46" s="450"/>
      <c r="AE46" s="450"/>
      <c r="AF46" s="450"/>
      <c r="AG46" s="450"/>
      <c r="AH46" s="450"/>
      <c r="AI46" s="450"/>
      <c r="AJ46" s="449"/>
      <c r="AK46" s="443"/>
    </row>
    <row r="47" spans="1:41" s="442" customFormat="1" x14ac:dyDescent="0.25">
      <c r="B47" s="454"/>
      <c r="C47" s="453"/>
      <c r="D47" s="453"/>
      <c r="E47" s="453"/>
      <c r="F47" s="453"/>
      <c r="G47" s="453"/>
      <c r="H47" s="453"/>
      <c r="I47" s="453"/>
      <c r="J47" s="453"/>
      <c r="K47" s="453"/>
      <c r="L47" s="453"/>
      <c r="M47" s="453"/>
      <c r="N47" s="453"/>
      <c r="O47" s="453"/>
      <c r="P47" s="453"/>
      <c r="Q47" s="453"/>
      <c r="R47" s="453"/>
      <c r="S47" s="453"/>
      <c r="T47" s="453"/>
      <c r="U47" s="453"/>
      <c r="V47" s="453"/>
      <c r="W47" s="450"/>
      <c r="X47" s="450"/>
      <c r="Y47" s="450"/>
      <c r="Z47" s="450"/>
      <c r="AA47" s="450"/>
      <c r="AB47" s="450"/>
      <c r="AC47" s="450"/>
      <c r="AD47" s="450"/>
      <c r="AE47" s="450"/>
      <c r="AF47" s="450"/>
      <c r="AG47" s="450"/>
      <c r="AH47" s="450"/>
      <c r="AI47" s="450"/>
      <c r="AJ47" s="449"/>
      <c r="AK47" s="443"/>
    </row>
    <row r="48" spans="1:41" s="442" customFormat="1" x14ac:dyDescent="0.25">
      <c r="B48" s="454"/>
      <c r="C48" s="453"/>
      <c r="D48" s="453"/>
      <c r="E48" s="453"/>
      <c r="F48" s="453"/>
      <c r="G48" s="453"/>
      <c r="H48" s="453"/>
      <c r="I48" s="453"/>
      <c r="J48" s="453"/>
      <c r="K48" s="453"/>
      <c r="L48" s="453"/>
      <c r="M48" s="453"/>
      <c r="N48" s="453"/>
      <c r="O48" s="453"/>
      <c r="P48" s="453"/>
      <c r="Q48" s="453"/>
      <c r="R48" s="453"/>
      <c r="S48" s="453"/>
      <c r="T48" s="453"/>
      <c r="U48" s="453"/>
      <c r="V48" s="453"/>
      <c r="W48" s="450"/>
      <c r="X48" s="450"/>
      <c r="Y48" s="450"/>
      <c r="Z48" s="450"/>
      <c r="AA48" s="450"/>
      <c r="AB48" s="450"/>
      <c r="AC48" s="450"/>
      <c r="AD48" s="450"/>
      <c r="AE48" s="450"/>
      <c r="AF48" s="450"/>
      <c r="AG48" s="450"/>
      <c r="AH48" s="450"/>
      <c r="AI48" s="450"/>
      <c r="AJ48" s="449"/>
      <c r="AK48" s="443"/>
    </row>
    <row r="49" spans="1:39" s="448" customFormat="1" x14ac:dyDescent="0.25">
      <c r="B49" s="452"/>
      <c r="C49" s="451"/>
      <c r="D49" s="451"/>
      <c r="E49" s="451"/>
      <c r="F49" s="451"/>
      <c r="G49" s="451"/>
      <c r="H49" s="451"/>
      <c r="I49" s="451"/>
      <c r="J49" s="451"/>
      <c r="K49" s="451"/>
      <c r="L49" s="451"/>
      <c r="M49" s="451"/>
      <c r="N49" s="451"/>
      <c r="O49" s="451"/>
      <c r="P49" s="451"/>
      <c r="Q49" s="451"/>
      <c r="R49" s="451"/>
      <c r="S49" s="451"/>
      <c r="T49" s="451"/>
      <c r="U49" s="451"/>
      <c r="V49" s="451"/>
      <c r="W49" s="450"/>
      <c r="X49" s="450"/>
      <c r="Y49" s="450"/>
      <c r="Z49" s="450"/>
      <c r="AA49" s="450"/>
      <c r="AB49" s="450"/>
      <c r="AC49" s="450"/>
      <c r="AD49" s="450"/>
      <c r="AE49" s="450"/>
      <c r="AF49" s="450"/>
      <c r="AG49" s="450"/>
      <c r="AH49" s="450"/>
      <c r="AI49" s="450"/>
      <c r="AJ49" s="449"/>
      <c r="AK49" s="443"/>
    </row>
    <row r="50" spans="1:39" s="448" customFormat="1" x14ac:dyDescent="0.25">
      <c r="B50" s="452"/>
      <c r="C50" s="451"/>
      <c r="D50" s="451"/>
      <c r="E50" s="451"/>
      <c r="F50" s="451"/>
      <c r="G50" s="451"/>
      <c r="H50" s="451"/>
      <c r="I50" s="451"/>
      <c r="J50" s="451"/>
      <c r="K50" s="451"/>
      <c r="L50" s="451"/>
      <c r="M50" s="451"/>
      <c r="N50" s="451"/>
      <c r="O50" s="451"/>
      <c r="P50" s="451"/>
      <c r="Q50" s="451"/>
      <c r="R50" s="451"/>
      <c r="S50" s="451"/>
      <c r="T50" s="451"/>
      <c r="U50" s="451"/>
      <c r="V50" s="451"/>
      <c r="W50" s="450"/>
      <c r="X50" s="450"/>
      <c r="Y50" s="450"/>
      <c r="Z50" s="450"/>
      <c r="AA50" s="450"/>
      <c r="AB50" s="450"/>
      <c r="AC50" s="450"/>
      <c r="AD50" s="450"/>
      <c r="AE50" s="450"/>
      <c r="AF50" s="450"/>
      <c r="AG50" s="450"/>
      <c r="AH50" s="450"/>
      <c r="AI50" s="450"/>
      <c r="AJ50" s="449"/>
      <c r="AK50" s="443"/>
    </row>
    <row r="51" spans="1:39" s="448" customFormat="1" x14ac:dyDescent="0.25">
      <c r="B51" s="452"/>
      <c r="C51" s="451"/>
      <c r="D51" s="451"/>
      <c r="E51" s="451"/>
      <c r="F51" s="451"/>
      <c r="G51" s="451"/>
      <c r="H51" s="451"/>
      <c r="I51" s="451"/>
      <c r="J51" s="451"/>
      <c r="K51" s="451"/>
      <c r="L51" s="451"/>
      <c r="M51" s="451"/>
      <c r="N51" s="451"/>
      <c r="O51" s="451"/>
      <c r="P51" s="451"/>
      <c r="Q51" s="451"/>
      <c r="R51" s="451"/>
      <c r="S51" s="451"/>
      <c r="T51" s="451"/>
      <c r="U51" s="451"/>
      <c r="V51" s="451"/>
      <c r="W51" s="450"/>
      <c r="X51" s="450"/>
      <c r="Y51" s="450"/>
      <c r="Z51" s="450"/>
      <c r="AA51" s="450"/>
      <c r="AB51" s="450"/>
      <c r="AC51" s="450"/>
      <c r="AD51" s="450"/>
      <c r="AE51" s="450"/>
      <c r="AF51" s="450"/>
      <c r="AG51" s="450"/>
      <c r="AH51" s="450"/>
      <c r="AI51" s="450"/>
      <c r="AJ51" s="449"/>
      <c r="AK51" s="443"/>
    </row>
    <row r="52" spans="1:39" s="448" customFormat="1" x14ac:dyDescent="0.25">
      <c r="B52" s="452"/>
      <c r="C52" s="451"/>
      <c r="D52" s="451"/>
      <c r="E52" s="451"/>
      <c r="F52" s="451"/>
      <c r="G52" s="451"/>
      <c r="H52" s="451"/>
      <c r="I52" s="451"/>
      <c r="J52" s="451"/>
      <c r="K52" s="451"/>
      <c r="L52" s="451"/>
      <c r="M52" s="451"/>
      <c r="N52" s="451"/>
      <c r="O52" s="451"/>
      <c r="P52" s="451"/>
      <c r="Q52" s="451"/>
      <c r="R52" s="451"/>
      <c r="S52" s="451"/>
      <c r="T52" s="451"/>
      <c r="U52" s="451"/>
      <c r="V52" s="451"/>
      <c r="W52" s="450"/>
      <c r="X52" s="450"/>
      <c r="Y52" s="450"/>
      <c r="Z52" s="450"/>
      <c r="AA52" s="450"/>
      <c r="AB52" s="450"/>
      <c r="AC52" s="450"/>
      <c r="AD52" s="450"/>
      <c r="AE52" s="450"/>
      <c r="AF52" s="450"/>
      <c r="AG52" s="450"/>
      <c r="AH52" s="450"/>
      <c r="AI52" s="450"/>
      <c r="AJ52" s="449"/>
      <c r="AK52" s="443"/>
    </row>
    <row r="53" spans="1:39" s="442" customFormat="1" ht="13.5" thickBot="1" x14ac:dyDescent="0.3">
      <c r="B53" s="447"/>
      <c r="C53" s="446"/>
      <c r="D53" s="446"/>
      <c r="E53" s="446"/>
      <c r="F53" s="446"/>
      <c r="G53" s="446" t="s">
        <v>1185</v>
      </c>
      <c r="H53" s="446"/>
      <c r="I53" s="446"/>
      <c r="J53" s="446"/>
      <c r="K53" s="446"/>
      <c r="L53" s="446"/>
      <c r="M53" s="446"/>
      <c r="N53" s="446"/>
      <c r="O53" s="446"/>
      <c r="P53" s="446"/>
      <c r="Q53" s="446"/>
      <c r="R53" s="446"/>
      <c r="S53" s="446"/>
      <c r="T53" s="446"/>
      <c r="U53" s="446" t="s">
        <v>1186</v>
      </c>
      <c r="V53" s="446"/>
      <c r="W53" s="445"/>
      <c r="X53" s="445"/>
      <c r="Y53" s="445"/>
      <c r="Z53" s="445"/>
      <c r="AA53" s="445"/>
      <c r="AB53" s="445"/>
      <c r="AC53" s="445"/>
      <c r="AD53" s="445"/>
      <c r="AE53" s="445"/>
      <c r="AF53" s="445"/>
      <c r="AG53" s="445"/>
      <c r="AH53" s="445"/>
      <c r="AI53" s="445"/>
      <c r="AJ53" s="444"/>
      <c r="AK53" s="443"/>
    </row>
    <row r="55" spans="1:39" x14ac:dyDescent="0.25">
      <c r="A55" s="551"/>
      <c r="B55" s="551"/>
      <c r="C55" s="552"/>
      <c r="D55" s="551"/>
      <c r="E55" s="551"/>
      <c r="F55" s="551"/>
      <c r="G55" s="551"/>
      <c r="H55" s="551"/>
      <c r="I55" s="551"/>
      <c r="J55" s="551"/>
      <c r="K55" s="551"/>
      <c r="L55" s="551"/>
      <c r="M55" s="551"/>
      <c r="N55" s="551"/>
      <c r="O55" s="551"/>
      <c r="P55" s="551"/>
      <c r="Q55" s="551"/>
      <c r="R55" s="551"/>
      <c r="S55" s="551"/>
      <c r="T55" s="551"/>
      <c r="U55" s="551"/>
      <c r="V55" s="551"/>
      <c r="W55" s="551"/>
      <c r="X55" s="551"/>
      <c r="Y55" s="551"/>
      <c r="Z55" s="551"/>
      <c r="AA55" s="551"/>
      <c r="AB55" s="551"/>
      <c r="AC55" s="551"/>
      <c r="AD55" s="551"/>
      <c r="AE55" s="551"/>
      <c r="AF55" s="551"/>
      <c r="AG55" s="551"/>
      <c r="AH55" s="551"/>
      <c r="AI55" s="551"/>
      <c r="AJ55" s="551"/>
      <c r="AK55" s="551"/>
      <c r="AL55" s="551"/>
      <c r="AM55" s="551"/>
    </row>
  </sheetData>
  <mergeCells count="7">
    <mergeCell ref="L38:T38"/>
    <mergeCell ref="U38:AB38"/>
    <mergeCell ref="AC38:AK38"/>
    <mergeCell ref="U33:AB35"/>
    <mergeCell ref="N1:W3"/>
    <mergeCell ref="L33:T35"/>
    <mergeCell ref="AC33:AK35"/>
  </mergeCells>
  <pageMargins left="0.39370078740157483" right="0.39370078740157483" top="0.35433070866141736" bottom="0.35433070866141736" header="0.23622047244094491" footer="0.23622047244094491"/>
  <pageSetup scale="98" orientation="portrait" r:id="rId1"/>
  <headerFooter alignWithMargins="0">
    <oddFooter>&amp;LMF SR č. 24219/3/2008/1&amp;RStrana 1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</sheetPr>
  <dimension ref="A1:J66"/>
  <sheetViews>
    <sheetView view="pageBreakPreview" zoomScaleNormal="100" zoomScaleSheetLayoutView="100" workbookViewId="0">
      <selection activeCell="E6" sqref="E6"/>
    </sheetView>
  </sheetViews>
  <sheetFormatPr defaultRowHeight="10.5" x14ac:dyDescent="0.25"/>
  <cols>
    <col min="1" max="1" width="4.42578125" style="587" customWidth="1"/>
    <col min="2" max="2" width="37.5703125" style="587" customWidth="1"/>
    <col min="3" max="3" width="1.42578125" style="587" customWidth="1"/>
    <col min="4" max="4" width="6.42578125" style="587" customWidth="1"/>
    <col min="5" max="6" width="29.5703125" style="587" customWidth="1"/>
    <col min="7" max="16384" width="9.140625" style="587"/>
  </cols>
  <sheetData>
    <row r="1" spans="1:10" s="553" customFormat="1" ht="7.5" customHeight="1" x14ac:dyDescent="0.25">
      <c r="A1" s="552"/>
      <c r="G1" s="496"/>
      <c r="H1" s="496"/>
    </row>
    <row r="2" spans="1:10" s="553" customFormat="1" ht="17.25" customHeight="1" x14ac:dyDescent="0.25">
      <c r="A2" s="552"/>
      <c r="B2" s="578" t="s">
        <v>1319</v>
      </c>
      <c r="C2" s="496"/>
      <c r="D2" s="577" t="s">
        <v>1318</v>
      </c>
      <c r="E2" s="633" t="str">
        <f>" "&amp;'BS-SK Cover sheet'!A11&amp;"  "&amp;'BS-SK Cover sheet'!B11&amp;"  "&amp;'BS-SK Cover sheet'!C11&amp;"  "&amp;'BS-SK Cover sheet'!D11&amp;"  "&amp;'BS-SK Cover sheet'!E11&amp;"  "&amp;'BS-SK Cover sheet'!F11&amp;"  "&amp;'BS-SK Cover sheet'!G11&amp;"  "&amp;'BS-SK Cover sheet'!H11&amp;"  "&amp;'BS-SK Cover sheet'!I11&amp;"  "&amp;'BS-SK Cover sheet'!J11</f>
        <v xml:space="preserve"> 2  0  2  0  3  3  6  4  0  6</v>
      </c>
    </row>
    <row r="3" spans="1:10" s="553" customFormat="1" ht="7.5" customHeight="1" thickBot="1" x14ac:dyDescent="0.3">
      <c r="A3" s="552"/>
      <c r="B3" s="632"/>
      <c r="C3" s="496"/>
    </row>
    <row r="4" spans="1:10" s="612" customFormat="1" ht="11.25" customHeight="1" x14ac:dyDescent="0.25">
      <c r="A4" s="631"/>
      <c r="B4" s="630"/>
      <c r="C4" s="629"/>
      <c r="D4" s="628"/>
      <c r="E4" s="1522" t="s">
        <v>1386</v>
      </c>
      <c r="F4" s="1546"/>
    </row>
    <row r="5" spans="1:10" s="612" customFormat="1" ht="33.75" customHeight="1" x14ac:dyDescent="0.15">
      <c r="A5" s="627" t="s">
        <v>1221</v>
      </c>
      <c r="B5" s="626" t="s">
        <v>1385</v>
      </c>
      <c r="C5" s="625"/>
      <c r="D5" s="624" t="s">
        <v>1219</v>
      </c>
      <c r="E5" s="623" t="s">
        <v>1384</v>
      </c>
      <c r="F5" s="622" t="s">
        <v>1383</v>
      </c>
    </row>
    <row r="6" spans="1:10" s="612" customFormat="1" ht="29.65" customHeight="1" x14ac:dyDescent="0.25">
      <c r="A6" s="557" t="s">
        <v>813</v>
      </c>
      <c r="B6" s="593" t="s">
        <v>1382</v>
      </c>
      <c r="C6" s="592"/>
      <c r="D6" s="554" t="s">
        <v>814</v>
      </c>
      <c r="E6" s="591">
        <f>'P&amp;L'!D9</f>
        <v>0</v>
      </c>
      <c r="F6" s="591">
        <f>'P&amp;L'!E9</f>
        <v>0</v>
      </c>
    </row>
    <row r="7" spans="1:10" s="612" customFormat="1" ht="29.65" customHeight="1" x14ac:dyDescent="0.25">
      <c r="A7" s="557" t="s">
        <v>815</v>
      </c>
      <c r="B7" s="593" t="s">
        <v>1381</v>
      </c>
      <c r="C7" s="592"/>
      <c r="D7" s="554" t="s">
        <v>817</v>
      </c>
      <c r="E7" s="644">
        <f>'P&amp;L'!D10</f>
        <v>0</v>
      </c>
      <c r="F7" s="591">
        <f>'P&amp;L'!E10</f>
        <v>0</v>
      </c>
    </row>
    <row r="8" spans="1:10" s="617" customFormat="1" ht="29.65" customHeight="1" x14ac:dyDescent="0.25">
      <c r="A8" s="558" t="s">
        <v>818</v>
      </c>
      <c r="B8" s="595" t="s">
        <v>1380</v>
      </c>
      <c r="C8" s="594"/>
      <c r="D8" s="564" t="s">
        <v>820</v>
      </c>
      <c r="E8" s="644">
        <f>'P&amp;L'!D11</f>
        <v>0</v>
      </c>
      <c r="F8" s="591">
        <f>'P&amp;L'!E11</f>
        <v>0</v>
      </c>
    </row>
    <row r="9" spans="1:10" s="617" customFormat="1" ht="29.65" customHeight="1" x14ac:dyDescent="0.25">
      <c r="A9" s="558" t="s">
        <v>821</v>
      </c>
      <c r="B9" s="595" t="s">
        <v>1379</v>
      </c>
      <c r="C9" s="594"/>
      <c r="D9" s="564" t="s">
        <v>823</v>
      </c>
      <c r="E9" s="644">
        <f>'P&amp;L'!D12</f>
        <v>8560306</v>
      </c>
      <c r="F9" s="591">
        <f>'P&amp;L'!E12</f>
        <v>7374403</v>
      </c>
    </row>
    <row r="10" spans="1:10" s="612" customFormat="1" ht="29.65" customHeight="1" x14ac:dyDescent="0.25">
      <c r="A10" s="556" t="s">
        <v>824</v>
      </c>
      <c r="B10" s="593" t="s">
        <v>1378</v>
      </c>
      <c r="C10" s="592"/>
      <c r="D10" s="554" t="s">
        <v>826</v>
      </c>
      <c r="E10" s="644">
        <f>'P&amp;L'!D13</f>
        <v>8560306</v>
      </c>
      <c r="F10" s="591">
        <f>'P&amp;L'!E13</f>
        <v>7374403</v>
      </c>
    </row>
    <row r="11" spans="1:10" s="612" customFormat="1" ht="29.65" customHeight="1" x14ac:dyDescent="0.25">
      <c r="A11" s="556" t="s">
        <v>532</v>
      </c>
      <c r="B11" s="593" t="s">
        <v>1377</v>
      </c>
      <c r="C11" s="592"/>
      <c r="D11" s="554" t="s">
        <v>828</v>
      </c>
      <c r="E11" s="644">
        <f>'P&amp;L'!D14</f>
        <v>0</v>
      </c>
      <c r="F11" s="591">
        <f>'P&amp;L'!E14</f>
        <v>0</v>
      </c>
    </row>
    <row r="12" spans="1:10" s="612" customFormat="1" ht="29.65" customHeight="1" x14ac:dyDescent="0.25">
      <c r="A12" s="556" t="s">
        <v>535</v>
      </c>
      <c r="B12" s="593" t="s">
        <v>1376</v>
      </c>
      <c r="C12" s="592"/>
      <c r="D12" s="554" t="s">
        <v>830</v>
      </c>
      <c r="E12" s="644">
        <f>'P&amp;L'!D15</f>
        <v>0</v>
      </c>
      <c r="F12" s="591">
        <f>'P&amp;L'!E15</f>
        <v>0</v>
      </c>
    </row>
    <row r="13" spans="1:10" s="617" customFormat="1" ht="29.65" customHeight="1" x14ac:dyDescent="0.25">
      <c r="A13" s="558" t="s">
        <v>594</v>
      </c>
      <c r="B13" s="595" t="s">
        <v>1375</v>
      </c>
      <c r="C13" s="594"/>
      <c r="D13" s="564" t="s">
        <v>832</v>
      </c>
      <c r="E13" s="644">
        <f>'P&amp;L'!D16</f>
        <v>8246068</v>
      </c>
      <c r="F13" s="591">
        <f>'P&amp;L'!E16</f>
        <v>7117044</v>
      </c>
      <c r="J13" s="612"/>
    </row>
    <row r="14" spans="1:10" s="612" customFormat="1" ht="29.65" customHeight="1" x14ac:dyDescent="0.25">
      <c r="A14" s="557" t="s">
        <v>833</v>
      </c>
      <c r="B14" s="593" t="s">
        <v>1374</v>
      </c>
      <c r="C14" s="592"/>
      <c r="D14" s="554" t="s">
        <v>835</v>
      </c>
      <c r="E14" s="644">
        <f>'P&amp;L'!D17</f>
        <v>7367</v>
      </c>
      <c r="F14" s="591">
        <f>'P&amp;L'!E17</f>
        <v>8207</v>
      </c>
    </row>
    <row r="15" spans="1:10" s="612" customFormat="1" ht="29.65" customHeight="1" x14ac:dyDescent="0.25">
      <c r="A15" s="557" t="s">
        <v>836</v>
      </c>
      <c r="B15" s="593" t="s">
        <v>1373</v>
      </c>
      <c r="C15" s="592"/>
      <c r="D15" s="554" t="s">
        <v>838</v>
      </c>
      <c r="E15" s="644">
        <f>'P&amp;L'!D18</f>
        <v>8238701</v>
      </c>
      <c r="F15" s="591">
        <f>'P&amp;L'!E18</f>
        <v>7108837</v>
      </c>
    </row>
    <row r="16" spans="1:10" s="617" customFormat="1" ht="29.65" customHeight="1" x14ac:dyDescent="0.25">
      <c r="A16" s="558" t="s">
        <v>818</v>
      </c>
      <c r="B16" s="595" t="s">
        <v>1372</v>
      </c>
      <c r="C16" s="594"/>
      <c r="D16" s="564" t="s">
        <v>840</v>
      </c>
      <c r="E16" s="644">
        <f>'P&amp;L'!D19</f>
        <v>314238</v>
      </c>
      <c r="F16" s="591">
        <f>'P&amp;L'!E19</f>
        <v>257359</v>
      </c>
    </row>
    <row r="17" spans="1:6" s="612" customFormat="1" ht="29.65" customHeight="1" x14ac:dyDescent="0.25">
      <c r="A17" s="557" t="s">
        <v>663</v>
      </c>
      <c r="B17" s="593" t="s">
        <v>1371</v>
      </c>
      <c r="C17" s="592"/>
      <c r="D17" s="554" t="s">
        <v>842</v>
      </c>
      <c r="E17" s="644">
        <f>'P&amp;L'!D20</f>
        <v>201246</v>
      </c>
      <c r="F17" s="591">
        <f>'P&amp;L'!E20</f>
        <v>168325</v>
      </c>
    </row>
    <row r="18" spans="1:6" s="612" customFormat="1" ht="29.65" customHeight="1" x14ac:dyDescent="0.25">
      <c r="A18" s="557" t="s">
        <v>666</v>
      </c>
      <c r="B18" s="593" t="s">
        <v>1370</v>
      </c>
      <c r="C18" s="592"/>
      <c r="D18" s="554" t="s">
        <v>844</v>
      </c>
      <c r="E18" s="644">
        <f>'P&amp;L'!D21</f>
        <v>149026</v>
      </c>
      <c r="F18" s="591">
        <f>'P&amp;L'!E21</f>
        <v>131857</v>
      </c>
    </row>
    <row r="19" spans="1:6" s="612" customFormat="1" ht="29.65" customHeight="1" x14ac:dyDescent="0.25">
      <c r="A19" s="557" t="s">
        <v>836</v>
      </c>
      <c r="B19" s="593" t="s">
        <v>1369</v>
      </c>
      <c r="C19" s="592"/>
      <c r="D19" s="554" t="s">
        <v>846</v>
      </c>
      <c r="E19" s="644">
        <f>'P&amp;L'!D22</f>
        <v>0</v>
      </c>
      <c r="F19" s="591">
        <f>'P&amp;L'!E22</f>
        <v>0</v>
      </c>
    </row>
    <row r="20" spans="1:6" s="612" customFormat="1" ht="29.65" customHeight="1" x14ac:dyDescent="0.25">
      <c r="A20" s="557" t="s">
        <v>847</v>
      </c>
      <c r="B20" s="593" t="s">
        <v>1368</v>
      </c>
      <c r="C20" s="592"/>
      <c r="D20" s="554" t="s">
        <v>849</v>
      </c>
      <c r="E20" s="644">
        <f>'P&amp;L'!D23</f>
        <v>49605</v>
      </c>
      <c r="F20" s="591">
        <f>'P&amp;L'!E23</f>
        <v>34441</v>
      </c>
    </row>
    <row r="21" spans="1:6" s="612" customFormat="1" ht="29.65" customHeight="1" x14ac:dyDescent="0.25">
      <c r="A21" s="557" t="s">
        <v>850</v>
      </c>
      <c r="B21" s="593" t="s">
        <v>1367</v>
      </c>
      <c r="C21" s="592"/>
      <c r="D21" s="554" t="s">
        <v>852</v>
      </c>
      <c r="E21" s="644">
        <f>'P&amp;L'!D24</f>
        <v>2615</v>
      </c>
      <c r="F21" s="591">
        <f>'P&amp;L'!E24</f>
        <v>2027</v>
      </c>
    </row>
    <row r="22" spans="1:6" s="612" customFormat="1" ht="29.65" customHeight="1" x14ac:dyDescent="0.25">
      <c r="A22" s="557" t="s">
        <v>853</v>
      </c>
      <c r="B22" s="593" t="s">
        <v>1366</v>
      </c>
      <c r="C22" s="592"/>
      <c r="D22" s="554" t="s">
        <v>855</v>
      </c>
      <c r="E22" s="644">
        <f>'P&amp;L'!D25</f>
        <v>255</v>
      </c>
      <c r="F22" s="591">
        <f>'P&amp;L'!E25</f>
        <v>355</v>
      </c>
    </row>
    <row r="23" spans="1:6" s="612" customFormat="1" ht="29.65" customHeight="1" x14ac:dyDescent="0.25">
      <c r="A23" s="557" t="s">
        <v>856</v>
      </c>
      <c r="B23" s="593" t="s">
        <v>1365</v>
      </c>
      <c r="C23" s="592"/>
      <c r="D23" s="554" t="s">
        <v>858</v>
      </c>
      <c r="E23" s="644">
        <f>'P&amp;L'!D26</f>
        <v>7770</v>
      </c>
      <c r="F23" s="591">
        <f>'P&amp;L'!E26</f>
        <v>7770</v>
      </c>
    </row>
    <row r="24" spans="1:6" s="612" customFormat="1" ht="29.65" customHeight="1" x14ac:dyDescent="0.25">
      <c r="A24" s="557" t="s">
        <v>859</v>
      </c>
      <c r="B24" s="593" t="s">
        <v>1364</v>
      </c>
      <c r="C24" s="592"/>
      <c r="D24" s="554" t="s">
        <v>861</v>
      </c>
      <c r="E24" s="644">
        <f>'P&amp;L'!D27</f>
        <v>0</v>
      </c>
      <c r="F24" s="591">
        <f>'P&amp;L'!E27</f>
        <v>0</v>
      </c>
    </row>
    <row r="25" spans="1:6" s="612" customFormat="1" ht="29.65" customHeight="1" x14ac:dyDescent="0.25">
      <c r="A25" s="557" t="s">
        <v>862</v>
      </c>
      <c r="B25" s="593" t="s">
        <v>1363</v>
      </c>
      <c r="C25" s="592"/>
      <c r="D25" s="554" t="s">
        <v>864</v>
      </c>
      <c r="E25" s="644">
        <f>'P&amp;L'!D28</f>
        <v>0</v>
      </c>
      <c r="F25" s="591">
        <f>'P&amp;L'!E28</f>
        <v>0</v>
      </c>
    </row>
    <row r="26" spans="1:6" s="612" customFormat="1" ht="29.65" customHeight="1" x14ac:dyDescent="0.25">
      <c r="A26" s="557" t="s">
        <v>865</v>
      </c>
      <c r="B26" s="621" t="s">
        <v>1362</v>
      </c>
      <c r="C26" s="620"/>
      <c r="D26" s="554" t="s">
        <v>867</v>
      </c>
      <c r="E26" s="644">
        <f>'P&amp;L'!D29</f>
        <v>-47976</v>
      </c>
      <c r="F26" s="591">
        <f>'P&amp;L'!E29</f>
        <v>49692</v>
      </c>
    </row>
    <row r="27" spans="1:6" s="612" customFormat="1" ht="29.65" customHeight="1" x14ac:dyDescent="0.25">
      <c r="A27" s="557" t="s">
        <v>868</v>
      </c>
      <c r="B27" s="593" t="s">
        <v>1361</v>
      </c>
      <c r="C27" s="592"/>
      <c r="D27" s="554" t="s">
        <v>870</v>
      </c>
      <c r="E27" s="644">
        <f>'P&amp;L'!D30</f>
        <v>69681</v>
      </c>
      <c r="F27" s="591">
        <f>'P&amp;L'!E30</f>
        <v>100</v>
      </c>
    </row>
    <row r="28" spans="1:6" s="612" customFormat="1" ht="29.65" customHeight="1" x14ac:dyDescent="0.25">
      <c r="A28" s="557" t="s">
        <v>871</v>
      </c>
      <c r="B28" s="621" t="s">
        <v>1360</v>
      </c>
      <c r="C28" s="620"/>
      <c r="D28" s="554" t="s">
        <v>873</v>
      </c>
      <c r="E28" s="644">
        <f>'P&amp;L'!D31</f>
        <v>651</v>
      </c>
      <c r="F28" s="591">
        <f>'P&amp;L'!E31</f>
        <v>300</v>
      </c>
    </row>
    <row r="29" spans="1:6" s="612" customFormat="1" ht="29.65" customHeight="1" x14ac:dyDescent="0.25">
      <c r="A29" s="557" t="s">
        <v>874</v>
      </c>
      <c r="B29" s="593" t="s">
        <v>1359</v>
      </c>
      <c r="C29" s="592"/>
      <c r="D29" s="554" t="s">
        <v>876</v>
      </c>
      <c r="E29" s="644">
        <f>'P&amp;L'!D32</f>
        <v>0</v>
      </c>
      <c r="F29" s="591">
        <f>'P&amp;L'!E32</f>
        <v>0</v>
      </c>
    </row>
    <row r="30" spans="1:6" s="612" customFormat="1" ht="29.65" customHeight="1" x14ac:dyDescent="0.25">
      <c r="A30" s="557" t="s">
        <v>877</v>
      </c>
      <c r="B30" s="593" t="s">
        <v>1358</v>
      </c>
      <c r="C30" s="592"/>
      <c r="D30" s="554" t="s">
        <v>879</v>
      </c>
      <c r="E30" s="644">
        <f>'P&amp;L'!D33</f>
        <v>0</v>
      </c>
      <c r="F30" s="591">
        <f>'P&amp;L'!E33</f>
        <v>0</v>
      </c>
    </row>
    <row r="31" spans="1:6" s="617" customFormat="1" ht="33.75" customHeight="1" x14ac:dyDescent="0.25">
      <c r="A31" s="558" t="s">
        <v>880</v>
      </c>
      <c r="B31" s="619" t="s">
        <v>1357</v>
      </c>
      <c r="C31" s="618"/>
      <c r="D31" s="564" t="s">
        <v>882</v>
      </c>
      <c r="E31" s="644">
        <f>'P&amp;L'!D34</f>
        <v>221973</v>
      </c>
      <c r="F31" s="591">
        <f>'P&amp;L'!E34</f>
        <v>31017</v>
      </c>
    </row>
    <row r="32" spans="1:6" s="612" customFormat="1" ht="29.65" customHeight="1" thickBot="1" x14ac:dyDescent="0.3">
      <c r="A32" s="616" t="s">
        <v>883</v>
      </c>
      <c r="B32" s="615" t="s">
        <v>1356</v>
      </c>
      <c r="C32" s="614"/>
      <c r="D32" s="613" t="s">
        <v>885</v>
      </c>
      <c r="E32" s="644">
        <f>'P&amp;L'!D35</f>
        <v>0</v>
      </c>
      <c r="F32" s="591">
        <f>'P&amp;L'!E35</f>
        <v>0</v>
      </c>
    </row>
    <row r="33" spans="1:6" ht="24.75" customHeight="1" x14ac:dyDescent="0.25">
      <c r="A33" s="604" t="s">
        <v>886</v>
      </c>
      <c r="B33" s="603" t="s">
        <v>1355</v>
      </c>
      <c r="C33" s="602"/>
      <c r="D33" s="601" t="s">
        <v>888</v>
      </c>
      <c r="E33" s="644">
        <f>'P&amp;L'!D36</f>
        <v>0</v>
      </c>
      <c r="F33" s="591">
        <f>'P&amp;L'!E36</f>
        <v>0</v>
      </c>
    </row>
    <row r="34" spans="1:6" ht="30.75" customHeight="1" x14ac:dyDescent="0.25">
      <c r="A34" s="604" t="s">
        <v>889</v>
      </c>
      <c r="B34" s="611" t="s">
        <v>1354</v>
      </c>
      <c r="C34" s="610"/>
      <c r="D34" s="601" t="s">
        <v>891</v>
      </c>
      <c r="E34" s="644">
        <f>'P&amp;L'!D37</f>
        <v>0</v>
      </c>
      <c r="F34" s="591">
        <f>'P&amp;L'!E37</f>
        <v>0</v>
      </c>
    </row>
    <row r="35" spans="1:6" ht="36.75" customHeight="1" x14ac:dyDescent="0.25">
      <c r="A35" s="557" t="s">
        <v>892</v>
      </c>
      <c r="B35" s="593" t="s">
        <v>1353</v>
      </c>
      <c r="C35" s="592"/>
      <c r="D35" s="554" t="s">
        <v>894</v>
      </c>
      <c r="E35" s="644">
        <f>'P&amp;L'!D38</f>
        <v>0</v>
      </c>
      <c r="F35" s="591">
        <f>'P&amp;L'!E38</f>
        <v>0</v>
      </c>
    </row>
    <row r="36" spans="1:6" ht="30.75" customHeight="1" x14ac:dyDescent="0.25">
      <c r="A36" s="557" t="s">
        <v>895</v>
      </c>
      <c r="B36" s="593" t="s">
        <v>1352</v>
      </c>
      <c r="C36" s="592"/>
      <c r="D36" s="554" t="s">
        <v>897</v>
      </c>
      <c r="E36" s="644">
        <f>'P&amp;L'!D39</f>
        <v>0</v>
      </c>
      <c r="F36" s="591">
        <f>'P&amp;L'!E39</f>
        <v>0</v>
      </c>
    </row>
    <row r="37" spans="1:6" ht="30" customHeight="1" x14ac:dyDescent="0.25">
      <c r="A37" s="557" t="s">
        <v>898</v>
      </c>
      <c r="B37" s="593" t="s">
        <v>1351</v>
      </c>
      <c r="C37" s="592"/>
      <c r="D37" s="554" t="s">
        <v>900</v>
      </c>
      <c r="E37" s="644">
        <f>'P&amp;L'!D40</f>
        <v>0</v>
      </c>
      <c r="F37" s="591">
        <f>'P&amp;L'!E40</f>
        <v>0</v>
      </c>
    </row>
    <row r="38" spans="1:6" ht="26.25" customHeight="1" x14ac:dyDescent="0.25">
      <c r="A38" s="557" t="s">
        <v>901</v>
      </c>
      <c r="B38" s="593" t="s">
        <v>1350</v>
      </c>
      <c r="C38" s="592"/>
      <c r="D38" s="554" t="s">
        <v>903</v>
      </c>
      <c r="E38" s="644">
        <f>'P&amp;L'!D41</f>
        <v>0</v>
      </c>
      <c r="F38" s="591">
        <f>'P&amp;L'!E41</f>
        <v>0</v>
      </c>
    </row>
    <row r="39" spans="1:6" ht="22.5" customHeight="1" x14ac:dyDescent="0.25">
      <c r="A39" s="557" t="s">
        <v>904</v>
      </c>
      <c r="B39" s="593" t="s">
        <v>1349</v>
      </c>
      <c r="C39" s="592"/>
      <c r="D39" s="554" t="s">
        <v>906</v>
      </c>
      <c r="E39" s="644">
        <f>'P&amp;L'!D42</f>
        <v>0</v>
      </c>
      <c r="F39" s="591">
        <f>'P&amp;L'!E42</f>
        <v>0</v>
      </c>
    </row>
    <row r="40" spans="1:6" ht="30.75" customHeight="1" x14ac:dyDescent="0.25">
      <c r="A40" s="557" t="s">
        <v>907</v>
      </c>
      <c r="B40" s="593" t="s">
        <v>1348</v>
      </c>
      <c r="C40" s="592"/>
      <c r="D40" s="554" t="s">
        <v>909</v>
      </c>
      <c r="E40" s="644">
        <f>'P&amp;L'!D43</f>
        <v>0</v>
      </c>
      <c r="F40" s="591">
        <f>'P&amp;L'!E43</f>
        <v>0</v>
      </c>
    </row>
    <row r="41" spans="1:6" ht="30" customHeight="1" x14ac:dyDescent="0.25">
      <c r="A41" s="557" t="s">
        <v>910</v>
      </c>
      <c r="B41" s="593" t="s">
        <v>1347</v>
      </c>
      <c r="C41" s="592"/>
      <c r="D41" s="554" t="s">
        <v>912</v>
      </c>
      <c r="E41" s="644">
        <f>'P&amp;L'!D44</f>
        <v>0</v>
      </c>
      <c r="F41" s="591">
        <f>'P&amp;L'!E44</f>
        <v>0</v>
      </c>
    </row>
    <row r="42" spans="1:6" ht="32.25" customHeight="1" x14ac:dyDescent="0.25">
      <c r="A42" s="557" t="s">
        <v>913</v>
      </c>
      <c r="B42" s="593" t="s">
        <v>1346</v>
      </c>
      <c r="C42" s="592"/>
      <c r="D42" s="554" t="s">
        <v>915</v>
      </c>
      <c r="E42" s="644">
        <f>'P&amp;L'!D45</f>
        <v>0</v>
      </c>
      <c r="F42" s="591">
        <f>'P&amp;L'!E45</f>
        <v>0</v>
      </c>
    </row>
    <row r="43" spans="1:6" ht="24" customHeight="1" x14ac:dyDescent="0.25">
      <c r="A43" s="557" t="s">
        <v>916</v>
      </c>
      <c r="B43" s="593" t="s">
        <v>1345</v>
      </c>
      <c r="C43" s="592"/>
      <c r="D43" s="554" t="s">
        <v>918</v>
      </c>
      <c r="E43" s="644">
        <f>'P&amp;L'!D46</f>
        <v>4</v>
      </c>
      <c r="F43" s="591">
        <f>'P&amp;L'!E46</f>
        <v>149</v>
      </c>
    </row>
    <row r="44" spans="1:6" ht="26.25" customHeight="1" x14ac:dyDescent="0.25">
      <c r="A44" s="557" t="s">
        <v>919</v>
      </c>
      <c r="B44" s="593" t="s">
        <v>1344</v>
      </c>
      <c r="C44" s="592"/>
      <c r="D44" s="554" t="s">
        <v>921</v>
      </c>
      <c r="E44" s="644">
        <f>'P&amp;L'!D47</f>
        <v>889</v>
      </c>
      <c r="F44" s="591">
        <f>'P&amp;L'!E47</f>
        <v>1307</v>
      </c>
    </row>
    <row r="45" spans="1:6" ht="24.75" customHeight="1" x14ac:dyDescent="0.25">
      <c r="A45" s="557" t="s">
        <v>922</v>
      </c>
      <c r="B45" s="593" t="s">
        <v>1343</v>
      </c>
      <c r="C45" s="592"/>
      <c r="D45" s="554" t="s">
        <v>924</v>
      </c>
      <c r="E45" s="644">
        <f>'P&amp;L'!D48</f>
        <v>130</v>
      </c>
      <c r="F45" s="591">
        <f>'P&amp;L'!E48</f>
        <v>8</v>
      </c>
    </row>
    <row r="46" spans="1:6" ht="27" customHeight="1" x14ac:dyDescent="0.25">
      <c r="A46" s="557" t="s">
        <v>925</v>
      </c>
      <c r="B46" s="593" t="s">
        <v>1342</v>
      </c>
      <c r="C46" s="592"/>
      <c r="D46" s="554" t="s">
        <v>927</v>
      </c>
      <c r="E46" s="644">
        <f>'P&amp;L'!D49</f>
        <v>96</v>
      </c>
      <c r="F46" s="591">
        <f>'P&amp;L'!E49</f>
        <v>18</v>
      </c>
    </row>
    <row r="47" spans="1:6" ht="29.25" customHeight="1" x14ac:dyDescent="0.25">
      <c r="A47" s="557" t="s">
        <v>928</v>
      </c>
      <c r="B47" s="593" t="s">
        <v>1341</v>
      </c>
      <c r="C47" s="592"/>
      <c r="D47" s="554" t="s">
        <v>930</v>
      </c>
      <c r="E47" s="644">
        <f>'P&amp;L'!D50</f>
        <v>0</v>
      </c>
      <c r="F47" s="591">
        <f>'P&amp;L'!E50</f>
        <v>0</v>
      </c>
    </row>
    <row r="48" spans="1:6" ht="27.75" customHeight="1" x14ac:dyDescent="0.25">
      <c r="A48" s="557" t="s">
        <v>931</v>
      </c>
      <c r="B48" s="593" t="s">
        <v>1340</v>
      </c>
      <c r="C48" s="592"/>
      <c r="D48" s="554" t="s">
        <v>933</v>
      </c>
      <c r="E48" s="644">
        <f>'P&amp;L'!D51</f>
        <v>2591</v>
      </c>
      <c r="F48" s="591">
        <f>'P&amp;L'!E51</f>
        <v>6724</v>
      </c>
    </row>
    <row r="49" spans="1:6" ht="27.75" customHeight="1" x14ac:dyDescent="0.25">
      <c r="A49" s="557" t="s">
        <v>934</v>
      </c>
      <c r="B49" s="593" t="s">
        <v>1339</v>
      </c>
      <c r="C49" s="592"/>
      <c r="D49" s="554" t="s">
        <v>936</v>
      </c>
      <c r="E49" s="644">
        <f>'P&amp;L'!D52</f>
        <v>0</v>
      </c>
      <c r="F49" s="591">
        <f>'P&amp;L'!E52</f>
        <v>0</v>
      </c>
    </row>
    <row r="50" spans="1:6" ht="27.75" customHeight="1" x14ac:dyDescent="0.25">
      <c r="A50" s="557" t="s">
        <v>937</v>
      </c>
      <c r="B50" s="593" t="s">
        <v>1338</v>
      </c>
      <c r="C50" s="592"/>
      <c r="D50" s="554" t="s">
        <v>939</v>
      </c>
      <c r="E50" s="644">
        <f>'P&amp;L'!D53</f>
        <v>0</v>
      </c>
      <c r="F50" s="591">
        <f>'P&amp;L'!E53</f>
        <v>0</v>
      </c>
    </row>
    <row r="51" spans="1:6" s="588" customFormat="1" ht="44.25" customHeight="1" x14ac:dyDescent="0.25">
      <c r="A51" s="607" t="s">
        <v>880</v>
      </c>
      <c r="B51" s="609" t="s">
        <v>1337</v>
      </c>
      <c r="C51" s="608"/>
      <c r="D51" s="564" t="s">
        <v>941</v>
      </c>
      <c r="E51" s="644">
        <f>'P&amp;L'!D54</f>
        <v>-3442</v>
      </c>
      <c r="F51" s="591">
        <f>'P&amp;L'!E54</f>
        <v>-7892</v>
      </c>
    </row>
    <row r="52" spans="1:6" s="588" customFormat="1" ht="29.25" customHeight="1" x14ac:dyDescent="0.25">
      <c r="A52" s="607" t="s">
        <v>942</v>
      </c>
      <c r="B52" s="606" t="s">
        <v>1336</v>
      </c>
      <c r="C52" s="605"/>
      <c r="D52" s="564" t="s">
        <v>944</v>
      </c>
      <c r="E52" s="644">
        <f>'P&amp;L'!D55</f>
        <v>218531</v>
      </c>
      <c r="F52" s="591">
        <f>'P&amp;L'!E55</f>
        <v>23125</v>
      </c>
    </row>
    <row r="53" spans="1:6" ht="30.75" customHeight="1" x14ac:dyDescent="0.25">
      <c r="A53" s="557" t="s">
        <v>945</v>
      </c>
      <c r="B53" s="593" t="s">
        <v>1335</v>
      </c>
      <c r="C53" s="592"/>
      <c r="D53" s="554" t="s">
        <v>947</v>
      </c>
      <c r="E53" s="644">
        <f>'P&amp;L'!D56</f>
        <v>34227</v>
      </c>
      <c r="F53" s="591">
        <f>'P&amp;L'!E56</f>
        <v>20201</v>
      </c>
    </row>
    <row r="54" spans="1:6" ht="28.5" customHeight="1" x14ac:dyDescent="0.25">
      <c r="A54" s="600" t="s">
        <v>948</v>
      </c>
      <c r="B54" s="593" t="s">
        <v>1334</v>
      </c>
      <c r="C54" s="592"/>
      <c r="D54" s="554" t="s">
        <v>950</v>
      </c>
      <c r="E54" s="644">
        <f>'P&amp;L'!D57</f>
        <v>39946</v>
      </c>
      <c r="F54" s="591">
        <f>'P&amp;L'!E57</f>
        <v>49</v>
      </c>
    </row>
    <row r="55" spans="1:6" ht="28.5" customHeight="1" x14ac:dyDescent="0.25">
      <c r="A55" s="557" t="s">
        <v>836</v>
      </c>
      <c r="B55" s="593" t="s">
        <v>1333</v>
      </c>
      <c r="C55" s="592"/>
      <c r="D55" s="554" t="s">
        <v>952</v>
      </c>
      <c r="E55" s="644">
        <f>'P&amp;L'!D58</f>
        <v>-5719</v>
      </c>
      <c r="F55" s="591">
        <f>'P&amp;L'!E58</f>
        <v>20152</v>
      </c>
    </row>
    <row r="56" spans="1:6" s="588" customFormat="1" ht="31.5" customHeight="1" x14ac:dyDescent="0.25">
      <c r="A56" s="607" t="s">
        <v>942</v>
      </c>
      <c r="B56" s="606" t="s">
        <v>1332</v>
      </c>
      <c r="C56" s="605"/>
      <c r="D56" s="564" t="s">
        <v>954</v>
      </c>
      <c r="E56" s="644">
        <f>'P&amp;L'!D59</f>
        <v>184304</v>
      </c>
      <c r="F56" s="591">
        <f>'P&amp;L'!E59</f>
        <v>2924</v>
      </c>
    </row>
    <row r="57" spans="1:6" ht="29.25" customHeight="1" x14ac:dyDescent="0.25">
      <c r="A57" s="557" t="s">
        <v>955</v>
      </c>
      <c r="B57" s="593" t="s">
        <v>1331</v>
      </c>
      <c r="C57" s="592"/>
      <c r="D57" s="554" t="s">
        <v>957</v>
      </c>
      <c r="E57" s="644">
        <f>'P&amp;L'!D60</f>
        <v>0</v>
      </c>
      <c r="F57" s="591">
        <f>'P&amp;L'!E60</f>
        <v>0</v>
      </c>
    </row>
    <row r="58" spans="1:6" ht="28.5" customHeight="1" x14ac:dyDescent="0.25">
      <c r="A58" s="557" t="s">
        <v>958</v>
      </c>
      <c r="B58" s="593" t="s">
        <v>1330</v>
      </c>
      <c r="C58" s="592"/>
      <c r="D58" s="554" t="s">
        <v>960</v>
      </c>
      <c r="E58" s="644">
        <f>'P&amp;L'!D61</f>
        <v>0</v>
      </c>
      <c r="F58" s="591">
        <f>'P&amp;L'!E61</f>
        <v>0</v>
      </c>
    </row>
    <row r="59" spans="1:6" ht="30.75" customHeight="1" thickBot="1" x14ac:dyDescent="0.3">
      <c r="A59" s="563" t="s">
        <v>880</v>
      </c>
      <c r="B59" s="590" t="s">
        <v>1329</v>
      </c>
      <c r="C59" s="589"/>
      <c r="D59" s="562" t="s">
        <v>962</v>
      </c>
      <c r="E59" s="644">
        <f>'P&amp;L'!D62</f>
        <v>0</v>
      </c>
      <c r="F59" s="591">
        <f>'P&amp;L'!E62</f>
        <v>0</v>
      </c>
    </row>
    <row r="60" spans="1:6" ht="27.75" customHeight="1" x14ac:dyDescent="0.25">
      <c r="A60" s="604" t="s">
        <v>963</v>
      </c>
      <c r="B60" s="603" t="s">
        <v>1328</v>
      </c>
      <c r="C60" s="602"/>
      <c r="D60" s="601" t="s">
        <v>965</v>
      </c>
      <c r="E60" s="644">
        <f>'P&amp;L'!D63</f>
        <v>0</v>
      </c>
      <c r="F60" s="591">
        <f>'P&amp;L'!E63</f>
        <v>0</v>
      </c>
    </row>
    <row r="61" spans="1:6" ht="27.75" customHeight="1" x14ac:dyDescent="0.25">
      <c r="A61" s="600" t="s">
        <v>966</v>
      </c>
      <c r="B61" s="593" t="s">
        <v>1327</v>
      </c>
      <c r="C61" s="592"/>
      <c r="D61" s="554" t="s">
        <v>968</v>
      </c>
      <c r="E61" s="644">
        <f>'P&amp;L'!D64</f>
        <v>0</v>
      </c>
      <c r="F61" s="591">
        <f>'P&amp;L'!E64</f>
        <v>0</v>
      </c>
    </row>
    <row r="62" spans="1:6" ht="27.75" customHeight="1" x14ac:dyDescent="0.25">
      <c r="A62" s="557" t="s">
        <v>836</v>
      </c>
      <c r="B62" s="593" t="s">
        <v>1326</v>
      </c>
      <c r="C62" s="592"/>
      <c r="D62" s="554" t="s">
        <v>970</v>
      </c>
      <c r="E62" s="644">
        <f>'P&amp;L'!D65</f>
        <v>0</v>
      </c>
      <c r="F62" s="591">
        <f>'P&amp;L'!E65</f>
        <v>0</v>
      </c>
    </row>
    <row r="63" spans="1:6" s="588" customFormat="1" ht="27.75" customHeight="1" x14ac:dyDescent="0.25">
      <c r="A63" s="599" t="s">
        <v>880</v>
      </c>
      <c r="B63" s="598" t="s">
        <v>1325</v>
      </c>
      <c r="C63" s="597"/>
      <c r="D63" s="596" t="s">
        <v>972</v>
      </c>
      <c r="E63" s="644">
        <f>'P&amp;L'!D66</f>
        <v>0</v>
      </c>
      <c r="F63" s="591">
        <f>'P&amp;L'!E66</f>
        <v>0</v>
      </c>
    </row>
    <row r="64" spans="1:6" s="588" customFormat="1" ht="27.75" customHeight="1" x14ac:dyDescent="0.25">
      <c r="A64" s="558" t="s">
        <v>973</v>
      </c>
      <c r="B64" s="595" t="s">
        <v>1324</v>
      </c>
      <c r="C64" s="594"/>
      <c r="D64" s="564" t="s">
        <v>975</v>
      </c>
      <c r="E64" s="644">
        <f>'P&amp;L'!D67</f>
        <v>218531</v>
      </c>
      <c r="F64" s="591">
        <f>'P&amp;L'!E67</f>
        <v>23125</v>
      </c>
    </row>
    <row r="65" spans="1:6" ht="27.75" customHeight="1" x14ac:dyDescent="0.25">
      <c r="A65" s="557" t="s">
        <v>976</v>
      </c>
      <c r="B65" s="593" t="s">
        <v>1323</v>
      </c>
      <c r="C65" s="592"/>
      <c r="D65" s="554" t="s">
        <v>978</v>
      </c>
      <c r="E65" s="644">
        <f>'P&amp;L'!D68</f>
        <v>0</v>
      </c>
      <c r="F65" s="591">
        <f>'P&amp;L'!E68</f>
        <v>0</v>
      </c>
    </row>
    <row r="66" spans="1:6" s="588" customFormat="1" ht="27.75" customHeight="1" thickBot="1" x14ac:dyDescent="0.3">
      <c r="A66" s="563" t="s">
        <v>973</v>
      </c>
      <c r="B66" s="590" t="s">
        <v>1322</v>
      </c>
      <c r="C66" s="589"/>
      <c r="D66" s="562" t="s">
        <v>980</v>
      </c>
      <c r="E66" s="644">
        <f>'P&amp;L'!D69</f>
        <v>184304</v>
      </c>
      <c r="F66" s="591">
        <f>'P&amp;L'!E69</f>
        <v>2924</v>
      </c>
    </row>
  </sheetData>
  <mergeCells count="1">
    <mergeCell ref="E4:F4"/>
  </mergeCells>
  <pageMargins left="0.74803149606299213" right="0.55118110236220474" top="0.39370078740157483" bottom="0.47244094488188981" header="0.39370078740157483" footer="0.19685039370078741"/>
  <pageSetup paperSize="9" scale="81" firstPageNumber="2" orientation="portrait" useFirstPageNumber="1" r:id="rId1"/>
  <headerFooter alignWithMargins="0">
    <oddFooter>&amp;LMF SR č. 24219/3/2008/1&amp;RStrana &amp;P</oddFooter>
  </headerFooter>
  <rowBreaks count="2" manualBreakCount="2">
    <brk id="32" max="4" man="1"/>
    <brk id="59" max="4" man="1"/>
  </row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 summaryRight="0"/>
  </sheetPr>
  <dimension ref="A1:AX51"/>
  <sheetViews>
    <sheetView showGridLines="0" view="pageBreakPreview" zoomScaleNormal="100" zoomScaleSheetLayoutView="100" workbookViewId="0">
      <selection activeCell="AM36" sqref="AM36"/>
    </sheetView>
  </sheetViews>
  <sheetFormatPr defaultRowHeight="12.75" x14ac:dyDescent="0.25"/>
  <cols>
    <col min="1" max="37" width="2.5703125" style="441" customWidth="1"/>
    <col min="38" max="38" width="0.140625" style="441" customWidth="1"/>
    <col min="39" max="41" width="2.5703125" style="441" customWidth="1"/>
    <col min="42" max="42" width="9.140625" style="441"/>
    <col min="43" max="45" width="2.5703125" style="441" customWidth="1"/>
    <col min="46" max="46" width="7.7109375" style="441" customWidth="1"/>
    <col min="47" max="61" width="2.5703125" style="441" customWidth="1"/>
    <col min="62" max="16384" width="9.140625" style="441"/>
  </cols>
  <sheetData>
    <row r="1" spans="1:37" s="551" customFormat="1" ht="10.5" customHeight="1" thickBot="1" x14ac:dyDescent="0.3">
      <c r="B1" s="817"/>
      <c r="C1" s="817" t="s">
        <v>1143</v>
      </c>
      <c r="N1" s="1544" t="s">
        <v>1497</v>
      </c>
      <c r="O1" s="1544"/>
      <c r="P1" s="1544"/>
      <c r="Q1" s="1544"/>
      <c r="R1" s="1544"/>
      <c r="S1" s="1544"/>
      <c r="T1" s="1544"/>
      <c r="U1" s="1544"/>
      <c r="V1" s="1544"/>
      <c r="W1" s="1544"/>
      <c r="X1" s="1547"/>
    </row>
    <row r="2" spans="1:37" s="448" customFormat="1" ht="21" customHeight="1" thickBot="1" x14ac:dyDescent="0.3">
      <c r="B2" s="819"/>
      <c r="C2" s="820" t="s">
        <v>1498</v>
      </c>
      <c r="D2" s="820"/>
      <c r="E2" s="820"/>
      <c r="F2" s="820"/>
      <c r="G2" s="820"/>
      <c r="H2" s="820"/>
      <c r="I2" s="820"/>
      <c r="J2" s="821"/>
      <c r="K2" s="820"/>
      <c r="L2" s="820"/>
      <c r="M2" s="822"/>
      <c r="N2" s="1544"/>
      <c r="O2" s="1544"/>
      <c r="P2" s="1544"/>
      <c r="Q2" s="1544" t="s">
        <v>1497</v>
      </c>
      <c r="R2" s="1544"/>
      <c r="S2" s="1544"/>
      <c r="T2" s="1544"/>
      <c r="U2" s="1544"/>
      <c r="V2" s="1544"/>
      <c r="W2" s="1544"/>
      <c r="X2" s="1547"/>
    </row>
    <row r="3" spans="1:37" ht="13.5" customHeight="1" thickBot="1" x14ac:dyDescent="0.3">
      <c r="N3" s="1548"/>
      <c r="O3" s="1548"/>
      <c r="P3" s="1548"/>
      <c r="Q3" s="1548"/>
      <c r="R3" s="1548"/>
      <c r="S3" s="1548"/>
      <c r="T3" s="1548"/>
      <c r="U3" s="1548"/>
      <c r="V3" s="1548"/>
      <c r="W3" s="1548"/>
      <c r="X3" s="1549"/>
    </row>
    <row r="4" spans="1:37" ht="28.5" customHeight="1" thickBot="1" x14ac:dyDescent="0.3">
      <c r="J4" s="1550" t="s">
        <v>1499</v>
      </c>
      <c r="K4" s="1551"/>
      <c r="L4" s="545" t="str">
        <f>+MID('Input data'!$B$11,1,1)</f>
        <v>3</v>
      </c>
      <c r="M4" s="545" t="str">
        <f>+MID('Input data'!$B$11,2,1)</f>
        <v>1</v>
      </c>
      <c r="N4" s="545" t="s">
        <v>1147</v>
      </c>
      <c r="O4" s="545" t="str">
        <f>LEFT('Input data'!B13,1)</f>
        <v>1</v>
      </c>
      <c r="P4" s="545" t="str">
        <f>RIGHT('Input data'!B13,1)</f>
        <v>2</v>
      </c>
      <c r="Q4" s="545" t="s">
        <v>1147</v>
      </c>
      <c r="R4" s="545" t="str">
        <f>+LEFT('Input data'!$B$14,1)</f>
        <v>2</v>
      </c>
      <c r="S4" s="545" t="str">
        <f>+MID('Input data'!$B$14,2,1)</f>
        <v>0</v>
      </c>
      <c r="T4" s="545" t="str">
        <f>+MID('Input data'!$B$14,3,1)</f>
        <v>1</v>
      </c>
      <c r="U4" s="545" t="str">
        <f>+MID('Input data'!$B$14,4,1)</f>
        <v>3</v>
      </c>
      <c r="V4" s="824"/>
      <c r="W4" s="543" t="s">
        <v>1500</v>
      </c>
      <c r="X4" s="543"/>
      <c r="Y4" s="543"/>
      <c r="Z4" s="543"/>
      <c r="AA4" s="542"/>
    </row>
    <row r="5" spans="1:37" ht="7.5" customHeight="1" thickBot="1" x14ac:dyDescent="0.3"/>
    <row r="6" spans="1:37" s="538" customFormat="1" ht="14.25" customHeight="1" x14ac:dyDescent="0.25">
      <c r="A6" s="541" t="s">
        <v>1501</v>
      </c>
      <c r="B6" s="540"/>
      <c r="C6" s="540"/>
      <c r="D6" s="540"/>
      <c r="E6" s="540"/>
      <c r="F6" s="540"/>
      <c r="G6" s="540"/>
      <c r="H6" s="540"/>
      <c r="I6" s="540"/>
      <c r="J6" s="540"/>
      <c r="K6" s="540"/>
      <c r="L6" s="540"/>
      <c r="M6" s="540"/>
      <c r="N6" s="540"/>
      <c r="O6" s="540"/>
      <c r="P6" s="540"/>
      <c r="Q6" s="540"/>
      <c r="R6" s="540"/>
      <c r="S6" s="539"/>
      <c r="T6" s="540"/>
      <c r="U6" s="540"/>
      <c r="V6" s="540"/>
      <c r="W6" s="540"/>
      <c r="X6" s="540"/>
      <c r="Y6" s="540"/>
      <c r="Z6" s="540"/>
      <c r="AA6" s="540"/>
      <c r="AB6" s="540"/>
      <c r="AC6" s="540"/>
      <c r="AD6" s="540"/>
      <c r="AE6" s="540"/>
      <c r="AF6" s="540"/>
      <c r="AG6" s="540"/>
      <c r="AH6" s="540"/>
      <c r="AI6" s="540"/>
      <c r="AJ6" s="540"/>
      <c r="AK6" s="539"/>
    </row>
    <row r="7" spans="1:37" s="442" customFormat="1" ht="15" customHeight="1" x14ac:dyDescent="0.25">
      <c r="A7" s="454" t="s">
        <v>1502</v>
      </c>
      <c r="B7" s="453"/>
      <c r="C7" s="453"/>
      <c r="D7" s="453"/>
      <c r="E7" s="453"/>
      <c r="F7" s="453"/>
      <c r="G7" s="453"/>
      <c r="H7" s="453"/>
      <c r="I7" s="453"/>
      <c r="J7" s="453"/>
      <c r="K7" s="453"/>
      <c r="L7" s="453"/>
      <c r="M7" s="453"/>
      <c r="N7" s="453"/>
      <c r="O7" s="453"/>
      <c r="P7" s="453"/>
      <c r="Q7" s="453"/>
      <c r="R7" s="453"/>
      <c r="S7" s="537"/>
      <c r="T7" s="453"/>
      <c r="U7" s="453"/>
      <c r="V7" s="453"/>
      <c r="W7" s="453"/>
      <c r="X7" s="453"/>
      <c r="Y7" s="453"/>
      <c r="Z7" s="453"/>
      <c r="AA7" s="453"/>
      <c r="AB7" s="453"/>
      <c r="AC7" s="453"/>
      <c r="AD7" s="453"/>
      <c r="AE7" s="453"/>
      <c r="AF7" s="453"/>
      <c r="AG7" s="453"/>
      <c r="AH7" s="453"/>
      <c r="AI7" s="453"/>
      <c r="AJ7" s="453"/>
      <c r="AK7" s="537"/>
    </row>
    <row r="8" spans="1:37" s="533" customFormat="1" ht="18" customHeight="1" thickBot="1" x14ac:dyDescent="0.3">
      <c r="A8" s="536" t="s">
        <v>1503</v>
      </c>
      <c r="B8" s="535"/>
      <c r="C8" s="535"/>
      <c r="D8" s="535"/>
      <c r="E8" s="536"/>
      <c r="F8" s="535"/>
      <c r="G8" s="535"/>
      <c r="H8" s="535"/>
      <c r="I8" s="535"/>
      <c r="J8" s="535"/>
      <c r="K8" s="535"/>
      <c r="L8" s="535"/>
      <c r="M8" s="535"/>
      <c r="N8" s="535"/>
      <c r="O8" s="535"/>
      <c r="P8" s="535"/>
      <c r="Q8" s="535"/>
      <c r="R8" s="535"/>
      <c r="S8" s="534"/>
      <c r="T8" s="535"/>
      <c r="U8" s="535"/>
      <c r="V8" s="535"/>
      <c r="W8" s="535"/>
      <c r="X8" s="535"/>
      <c r="Y8" s="535"/>
      <c r="Z8" s="535"/>
      <c r="AA8" s="535"/>
      <c r="AB8" s="535"/>
      <c r="AC8" s="535"/>
      <c r="AD8" s="535"/>
      <c r="AE8" s="535"/>
      <c r="AF8" s="535"/>
      <c r="AG8" s="535"/>
      <c r="AH8" s="535"/>
      <c r="AI8" s="535"/>
      <c r="AJ8" s="535"/>
      <c r="AK8" s="534"/>
    </row>
    <row r="9" spans="1:37" s="513" customFormat="1" ht="3.75" customHeight="1" thickBot="1" x14ac:dyDescent="0.3">
      <c r="AF9" s="516"/>
      <c r="AG9" s="516"/>
    </row>
    <row r="10" spans="1:37" s="513" customFormat="1" ht="14.25" customHeight="1" x14ac:dyDescent="0.25">
      <c r="A10" s="515" t="s">
        <v>1504</v>
      </c>
      <c r="B10" s="514"/>
      <c r="C10" s="514"/>
      <c r="D10" s="514"/>
      <c r="E10" s="514"/>
      <c r="F10" s="514"/>
      <c r="G10" s="514"/>
      <c r="H10" s="514"/>
      <c r="I10" s="458"/>
      <c r="J10" s="457"/>
      <c r="K10" s="531" t="s">
        <v>1505</v>
      </c>
      <c r="L10" s="514"/>
      <c r="M10" s="532"/>
      <c r="N10" s="532"/>
      <c r="O10" s="532"/>
      <c r="P10" s="514"/>
      <c r="Q10" s="531" t="s">
        <v>1505</v>
      </c>
      <c r="R10" s="514"/>
      <c r="S10" s="458"/>
      <c r="T10" s="514"/>
      <c r="U10" s="514"/>
      <c r="V10" s="530"/>
      <c r="W10" s="514"/>
      <c r="X10" s="514"/>
      <c r="Y10" s="514"/>
      <c r="Z10" s="514"/>
      <c r="AA10" s="514"/>
      <c r="AB10" s="514"/>
      <c r="AC10" s="514"/>
      <c r="AD10" s="531" t="s">
        <v>1506</v>
      </c>
      <c r="AE10" s="531"/>
      <c r="AF10" s="531"/>
      <c r="AG10" s="531" t="s">
        <v>1507</v>
      </c>
      <c r="AH10" s="514"/>
      <c r="AI10" s="514"/>
      <c r="AJ10" s="514"/>
      <c r="AK10" s="530"/>
    </row>
    <row r="11" spans="1:37" s="513" customFormat="1" ht="19.5" customHeight="1" x14ac:dyDescent="0.2">
      <c r="A11" s="527" t="str">
        <f>LEFT('Input data'!C24,1)</f>
        <v>2</v>
      </c>
      <c r="B11" s="492" t="str">
        <f>MID('Input data'!$C$24,2,1)</f>
        <v>0</v>
      </c>
      <c r="C11" s="492" t="str">
        <f>MID('Input data'!$C$24,3,1)</f>
        <v>2</v>
      </c>
      <c r="D11" s="492" t="str">
        <f>MID('Input data'!$C$24,4,1)</f>
        <v>0</v>
      </c>
      <c r="E11" s="492" t="str">
        <f>MID('Input data'!$C$24,5,1)</f>
        <v>3</v>
      </c>
      <c r="F11" s="492" t="str">
        <f>MID('Input data'!$C$24,6,1)</f>
        <v>3</v>
      </c>
      <c r="G11" s="492" t="str">
        <f>MID('Input data'!$C$24,7,1)</f>
        <v>6</v>
      </c>
      <c r="H11" s="492" t="str">
        <f>MID('Input data'!$C$24,8,1)</f>
        <v>4</v>
      </c>
      <c r="I11" s="492" t="str">
        <f>MID('Input data'!$C$24,9,1)</f>
        <v>0</v>
      </c>
      <c r="J11" s="499" t="str">
        <f>MID('Input data'!$C$24,10,1)</f>
        <v>6</v>
      </c>
      <c r="K11" s="450"/>
      <c r="L11" s="516"/>
      <c r="M11" s="516"/>
      <c r="N11" s="516"/>
      <c r="O11" s="516"/>
      <c r="P11" s="516"/>
      <c r="Q11" s="516"/>
      <c r="R11" s="516"/>
      <c r="S11" s="516"/>
      <c r="T11" s="516"/>
      <c r="U11" s="516"/>
      <c r="V11" s="522"/>
      <c r="W11" s="521" t="s">
        <v>1508</v>
      </c>
      <c r="X11" s="516"/>
      <c r="Y11" s="516"/>
      <c r="Z11" s="516"/>
      <c r="AA11" s="516"/>
      <c r="AB11" s="521" t="s">
        <v>1509</v>
      </c>
      <c r="AC11" s="516"/>
      <c r="AD11" s="492" t="str">
        <f>MID('Input data'!$B$8,1,1)</f>
        <v>0</v>
      </c>
      <c r="AE11" s="492" t="str">
        <f>MID('Input data'!$B$8,2,1)</f>
        <v>1</v>
      </c>
      <c r="AF11" s="492"/>
      <c r="AG11" s="492" t="str">
        <f>MID('Input data'!$B$9,1,1)</f>
        <v>2</v>
      </c>
      <c r="AH11" s="492" t="str">
        <f>MID('Input data'!$B$9,2,1)</f>
        <v>0</v>
      </c>
      <c r="AI11" s="492" t="str">
        <f>MID('Input data'!$B$9,3,1)</f>
        <v>1</v>
      </c>
      <c r="AJ11" s="492" t="str">
        <f>MID('Input data'!$B$9,4,1)</f>
        <v>3</v>
      </c>
      <c r="AK11" s="522"/>
    </row>
    <row r="12" spans="1:37" s="513" customFormat="1" ht="19.5" customHeight="1" x14ac:dyDescent="0.25">
      <c r="A12" s="454" t="s">
        <v>1510</v>
      </c>
      <c r="B12" s="516"/>
      <c r="C12" s="516"/>
      <c r="D12" s="516"/>
      <c r="E12" s="516"/>
      <c r="F12" s="516"/>
      <c r="G12" s="516"/>
      <c r="H12" s="450"/>
      <c r="I12" s="450"/>
      <c r="J12" s="449"/>
      <c r="K12" s="450"/>
      <c r="L12" s="529" t="str">
        <f>IF('Input data'!D7="x","x"," ")</f>
        <v>x</v>
      </c>
      <c r="M12" s="521" t="s">
        <v>1511</v>
      </c>
      <c r="N12" s="523"/>
      <c r="O12" s="523"/>
      <c r="P12" s="523"/>
      <c r="Q12" s="523"/>
      <c r="R12" s="529" t="str">
        <f>IF('Input data'!D16="x","x"," ")</f>
        <v>x</v>
      </c>
      <c r="S12" s="521" t="s">
        <v>1512</v>
      </c>
      <c r="T12" s="516"/>
      <c r="U12" s="516"/>
      <c r="V12" s="522"/>
      <c r="W12" s="825"/>
      <c r="X12" s="826"/>
      <c r="Y12" s="826"/>
      <c r="Z12" s="826"/>
      <c r="AA12" s="826"/>
      <c r="AB12" s="827" t="s">
        <v>1513</v>
      </c>
      <c r="AC12" s="826"/>
      <c r="AD12" s="828" t="str">
        <f>MID('Input data'!$B$13,1,1)</f>
        <v>1</v>
      </c>
      <c r="AE12" s="828" t="str">
        <f>MID('Input data'!$B$13,2,1)</f>
        <v>2</v>
      </c>
      <c r="AF12" s="828"/>
      <c r="AG12" s="828" t="str">
        <f>MID('Input data'!$B$14,1,1)</f>
        <v>2</v>
      </c>
      <c r="AH12" s="828" t="str">
        <f>MID('Input data'!$B$14,2,1)</f>
        <v>0</v>
      </c>
      <c r="AI12" s="828" t="str">
        <f>MID('Input data'!$B$14,3,1)</f>
        <v>1</v>
      </c>
      <c r="AJ12" s="828" t="str">
        <f>MID('Input data'!$B$14,4,1)</f>
        <v>3</v>
      </c>
      <c r="AK12" s="829"/>
    </row>
    <row r="13" spans="1:37" s="513" customFormat="1" ht="19.5" customHeight="1" x14ac:dyDescent="0.2">
      <c r="A13" s="527" t="str">
        <f>LEFT('Input data'!C26,1)</f>
        <v>3</v>
      </c>
      <c r="B13" s="492" t="str">
        <f>MID('Input data'!$C$26,2,1)</f>
        <v>1</v>
      </c>
      <c r="C13" s="492" t="str">
        <f>MID('Input data'!$C$26,3,1)</f>
        <v>3</v>
      </c>
      <c r="D13" s="492" t="str">
        <f>MID('Input data'!$C$26,4,1)</f>
        <v>5</v>
      </c>
      <c r="E13" s="492" t="str">
        <f>MID('Input data'!$C$26,5,1)</f>
        <v>8</v>
      </c>
      <c r="F13" s="492" t="str">
        <f>MID('Input data'!$C$26,6,1)</f>
        <v>7</v>
      </c>
      <c r="G13" s="492" t="str">
        <f>MID('Input data'!$C$26,7,1)</f>
        <v>3</v>
      </c>
      <c r="H13" s="492" t="str">
        <f>MID('Input data'!$C$26,8,1)</f>
        <v>0</v>
      </c>
      <c r="I13" s="450"/>
      <c r="J13" s="449"/>
      <c r="K13" s="450"/>
      <c r="L13" s="525" t="str">
        <f>IF('Input data'!D8="x","x", "")</f>
        <v/>
      </c>
      <c r="M13" s="521" t="s">
        <v>1514</v>
      </c>
      <c r="N13" s="523"/>
      <c r="O13" s="523"/>
      <c r="P13" s="523"/>
      <c r="Q13" s="523"/>
      <c r="R13" s="526" t="str">
        <f>IF('Input data'!D17="x","x"," ")</f>
        <v xml:space="preserve"> </v>
      </c>
      <c r="S13" s="521" t="s">
        <v>1515</v>
      </c>
      <c r="T13" s="516"/>
      <c r="U13" s="516"/>
      <c r="V13" s="522"/>
      <c r="W13" s="1552" t="s">
        <v>1516</v>
      </c>
      <c r="X13" s="1553"/>
      <c r="Y13" s="1553"/>
      <c r="Z13" s="1553"/>
      <c r="AA13" s="1553"/>
      <c r="AB13" s="523"/>
      <c r="AC13" s="450"/>
      <c r="AD13" s="525"/>
      <c r="AE13" s="525"/>
      <c r="AF13" s="525"/>
      <c r="AG13" s="525"/>
      <c r="AH13" s="525"/>
      <c r="AI13" s="525"/>
      <c r="AJ13" s="525"/>
      <c r="AK13" s="449"/>
    </row>
    <row r="14" spans="1:37" s="513" customFormat="1" ht="19.5" customHeight="1" x14ac:dyDescent="0.2">
      <c r="A14" s="454" t="s">
        <v>1165</v>
      </c>
      <c r="B14" s="516"/>
      <c r="C14" s="516"/>
      <c r="D14" s="516"/>
      <c r="E14" s="516"/>
      <c r="F14" s="516"/>
      <c r="G14" s="516"/>
      <c r="H14" s="516"/>
      <c r="I14" s="450"/>
      <c r="J14" s="449"/>
      <c r="K14" s="450"/>
      <c r="L14" s="450"/>
      <c r="M14" s="521"/>
      <c r="N14" s="523"/>
      <c r="O14" s="523"/>
      <c r="P14" s="523"/>
      <c r="Q14" s="523"/>
      <c r="R14" s="524" t="s">
        <v>1517</v>
      </c>
      <c r="S14" s="523"/>
      <c r="T14" s="516"/>
      <c r="U14" s="516"/>
      <c r="V14" s="522"/>
      <c r="W14" s="1554"/>
      <c r="X14" s="1555"/>
      <c r="Y14" s="1555"/>
      <c r="Z14" s="1555"/>
      <c r="AA14" s="1555"/>
      <c r="AB14" s="521" t="s">
        <v>1509</v>
      </c>
      <c r="AC14" s="450"/>
      <c r="AD14" s="492" t="str">
        <f>MID('Input data'!$B$18,1,1)</f>
        <v>0</v>
      </c>
      <c r="AE14" s="492" t="str">
        <f>MID('Input data'!$B$18,2,1)</f>
        <v>1</v>
      </c>
      <c r="AF14" s="492"/>
      <c r="AG14" s="492" t="str">
        <f>MID('Input data'!$B$19,1,1)</f>
        <v>2</v>
      </c>
      <c r="AH14" s="492" t="str">
        <f>MID('Input data'!$B$19,2,1)</f>
        <v>0</v>
      </c>
      <c r="AI14" s="492" t="str">
        <f>MID('Input data'!$B$19,3,1)</f>
        <v>1</v>
      </c>
      <c r="AJ14" s="492" t="str">
        <f>MID('Input data'!$B$19,4,1)</f>
        <v>2</v>
      </c>
      <c r="AK14" s="449"/>
    </row>
    <row r="15" spans="1:37" s="513" customFormat="1" ht="19.5" customHeight="1" thickBot="1" x14ac:dyDescent="0.25">
      <c r="A15" s="520" t="str">
        <f>'BS-SK Cover sheet'!A15</f>
        <v>7</v>
      </c>
      <c r="B15" s="445" t="str">
        <f>'BS-SK Cover sheet'!B15</f>
        <v>3</v>
      </c>
      <c r="C15" s="518" t="s">
        <v>1147</v>
      </c>
      <c r="D15" s="445" t="str">
        <f>'BS-SK Cover sheet'!D15</f>
        <v>1</v>
      </c>
      <c r="E15" s="445" t="str">
        <f>'BS-SK Cover sheet'!E15</f>
        <v>1</v>
      </c>
      <c r="F15" s="518" t="s">
        <v>1147</v>
      </c>
      <c r="G15" s="445" t="str">
        <f>'BS-SK Cover sheet'!G15</f>
        <v>0</v>
      </c>
      <c r="H15" s="445"/>
      <c r="I15" s="445"/>
      <c r="J15" s="444"/>
      <c r="K15" s="445"/>
      <c r="L15" s="445"/>
      <c r="M15" s="445"/>
      <c r="N15" s="445"/>
      <c r="O15" s="445"/>
      <c r="P15" s="445"/>
      <c r="Q15" s="445"/>
      <c r="R15" s="445"/>
      <c r="S15" s="445"/>
      <c r="T15" s="518"/>
      <c r="U15" s="518"/>
      <c r="V15" s="519"/>
      <c r="W15" s="1556"/>
      <c r="X15" s="1557"/>
      <c r="Y15" s="1557"/>
      <c r="Z15" s="1557"/>
      <c r="AA15" s="1557"/>
      <c r="AB15" s="517" t="s">
        <v>1513</v>
      </c>
      <c r="AC15" s="445"/>
      <c r="AD15" s="490" t="str">
        <f>MID('Input data'!$B$21,1,1)</f>
        <v>1</v>
      </c>
      <c r="AE15" s="490" t="str">
        <f>MID('Input data'!$B$21,2,1)</f>
        <v>2</v>
      </c>
      <c r="AF15" s="490"/>
      <c r="AG15" s="490" t="str">
        <f>MID('Input data'!$B$22,1,1)</f>
        <v>2</v>
      </c>
      <c r="AH15" s="490" t="str">
        <f>MID('Input data'!$B$22,2,1)</f>
        <v>0</v>
      </c>
      <c r="AI15" s="490" t="str">
        <f>MID('Input data'!$B$22,3,1)</f>
        <v>1</v>
      </c>
      <c r="AJ15" s="490" t="str">
        <f>MID('Input data'!$B$22,4,1)</f>
        <v>2</v>
      </c>
      <c r="AK15" s="444"/>
    </row>
    <row r="16" spans="1:37" s="513" customFormat="1" ht="4.5" customHeight="1" x14ac:dyDescent="0.25">
      <c r="A16" s="516"/>
      <c r="B16" s="516"/>
      <c r="C16" s="516"/>
      <c r="D16" s="516"/>
      <c r="E16" s="516"/>
      <c r="F16" s="516"/>
      <c r="G16" s="516"/>
      <c r="H16" s="450"/>
      <c r="I16" s="450"/>
      <c r="J16" s="450"/>
      <c r="K16" s="450"/>
      <c r="L16" s="450"/>
      <c r="M16" s="450"/>
      <c r="N16" s="450"/>
      <c r="O16" s="450"/>
      <c r="P16" s="450"/>
      <c r="Q16" s="450"/>
      <c r="R16" s="450"/>
      <c r="S16" s="450"/>
      <c r="T16" s="516"/>
      <c r="U16" s="516"/>
      <c r="V16" s="450"/>
      <c r="W16" s="450"/>
      <c r="X16" s="450"/>
      <c r="Y16" s="450"/>
      <c r="Z16" s="450"/>
      <c r="AA16" s="450"/>
      <c r="AB16" s="450"/>
      <c r="AC16" s="450"/>
      <c r="AD16" s="450"/>
      <c r="AE16" s="450"/>
      <c r="AF16" s="450"/>
      <c r="AG16" s="450"/>
      <c r="AH16" s="450"/>
      <c r="AI16" s="450"/>
      <c r="AJ16" s="450"/>
      <c r="AK16" s="450"/>
    </row>
    <row r="17" spans="1:50" s="513" customFormat="1" ht="3" customHeight="1" thickBot="1" x14ac:dyDescent="0.3">
      <c r="H17" s="443"/>
      <c r="I17" s="443"/>
      <c r="J17" s="443"/>
      <c r="K17" s="443"/>
      <c r="L17" s="443"/>
      <c r="M17" s="443"/>
      <c r="N17" s="443"/>
      <c r="O17" s="443"/>
      <c r="P17" s="443"/>
      <c r="Q17" s="443"/>
      <c r="R17" s="443"/>
      <c r="S17" s="443"/>
      <c r="W17" s="443"/>
      <c r="X17" s="443"/>
      <c r="Y17" s="443"/>
      <c r="Z17" s="443"/>
      <c r="AA17" s="443"/>
      <c r="AB17" s="443"/>
      <c r="AC17" s="443"/>
      <c r="AD17" s="443"/>
      <c r="AE17" s="443"/>
      <c r="AF17" s="443"/>
      <c r="AG17" s="443"/>
      <c r="AH17" s="443"/>
      <c r="AI17" s="443"/>
      <c r="AJ17" s="443"/>
      <c r="AK17" s="443"/>
    </row>
    <row r="18" spans="1:50" s="513" customFormat="1" ht="16.5" x14ac:dyDescent="0.25">
      <c r="A18" s="515" t="s">
        <v>1518</v>
      </c>
      <c r="B18" s="514"/>
      <c r="C18" s="514"/>
      <c r="D18" s="514"/>
      <c r="E18" s="514"/>
      <c r="F18" s="514"/>
      <c r="G18" s="514"/>
      <c r="H18" s="458"/>
      <c r="I18" s="458"/>
      <c r="J18" s="458"/>
      <c r="K18" s="458"/>
      <c r="L18" s="458"/>
      <c r="M18" s="458"/>
      <c r="N18" s="458"/>
      <c r="O18" s="458"/>
      <c r="P18" s="458"/>
      <c r="Q18" s="458"/>
      <c r="R18" s="458"/>
      <c r="S18" s="458"/>
      <c r="T18" s="514"/>
      <c r="U18" s="514"/>
      <c r="V18" s="514"/>
      <c r="W18" s="458"/>
      <c r="X18" s="458"/>
      <c r="Y18" s="458"/>
      <c r="Z18" s="458"/>
      <c r="AA18" s="458"/>
      <c r="AB18" s="458"/>
      <c r="AC18" s="458"/>
      <c r="AD18" s="458"/>
      <c r="AE18" s="458"/>
      <c r="AF18" s="458"/>
      <c r="AG18" s="458"/>
      <c r="AH18" s="458"/>
      <c r="AI18" s="458"/>
      <c r="AJ18" s="458"/>
      <c r="AK18" s="457"/>
    </row>
    <row r="19" spans="1:50" s="443" customFormat="1" ht="19.5" customHeight="1" x14ac:dyDescent="0.25">
      <c r="A19" s="500" t="str">
        <f>+LEFT('Input data'!$F$3,1)</f>
        <v>C</v>
      </c>
      <c r="B19" s="492" t="str">
        <f>+MID('Input data'!$F$3,2,1)</f>
        <v>a</v>
      </c>
      <c r="C19" s="492" t="str">
        <f>+MID('Input data'!$F$3,3,1)</f>
        <v>r</v>
      </c>
      <c r="D19" s="492" t="str">
        <f>+MID('Input data'!$F$3,4,1)</f>
        <v>a</v>
      </c>
      <c r="E19" s="492" t="str">
        <f>+MID('Input data'!$F$3,5,1)</f>
        <v>t</v>
      </c>
      <c r="F19" s="492" t="str">
        <f>+MID('Input data'!$F$3,6,1)</f>
        <v xml:space="preserve"> </v>
      </c>
      <c r="G19" s="492" t="str">
        <f>+MID('Input data'!$F$3,7,1)</f>
        <v>-</v>
      </c>
      <c r="H19" s="492" t="str">
        <f>+MID('Input data'!$F$3,8,1)</f>
        <v xml:space="preserve"> </v>
      </c>
      <c r="I19" s="492" t="str">
        <f>+MID('Input data'!$F$3,9,1)</f>
        <v>S</v>
      </c>
      <c r="J19" s="492" t="str">
        <f>+MID('Input data'!$F$3,10,1)</f>
        <v>l</v>
      </c>
      <c r="K19" s="492" t="str">
        <f>+MID('Input data'!$F$3,11,1)</f>
        <v>o</v>
      </c>
      <c r="L19" s="492" t="str">
        <f>+MID('Input data'!$F$3,12,1)</f>
        <v>v</v>
      </c>
      <c r="M19" s="492" t="str">
        <f>+MID('Input data'!$F$3,13,1)</f>
        <v>a</v>
      </c>
      <c r="N19" s="492" t="str">
        <f>+MID('Input data'!$F$3,14,1)</f>
        <v>k</v>
      </c>
      <c r="O19" s="492" t="str">
        <f>+MID('Input data'!$F$3,15,1)</f>
        <v>i</v>
      </c>
      <c r="P19" s="492" t="str">
        <f>+MID('Input data'!$F$3,16,1)</f>
        <v>a</v>
      </c>
      <c r="Q19" s="492" t="str">
        <f>+MID('Input data'!$F$3,17,1)</f>
        <v>,</v>
      </c>
      <c r="R19" s="492" t="str">
        <f>+MID('Input data'!$F$3,18,1)</f>
        <v xml:space="preserve"> </v>
      </c>
      <c r="S19" s="492" t="str">
        <f>+MID('Input data'!$F$3,19,1)</f>
        <v>s</v>
      </c>
      <c r="T19" s="492" t="str">
        <f>+MID('Input data'!$F$3,20,1)</f>
        <v>.</v>
      </c>
      <c r="U19" s="492" t="str">
        <f>+MID('Input data'!$F$3,21,1)</f>
        <v>r</v>
      </c>
      <c r="V19" s="492" t="str">
        <f>+MID('Input data'!$F$3,22,1)</f>
        <v>.</v>
      </c>
      <c r="W19" s="492" t="str">
        <f>+MID('Input data'!$F$3,23,1)</f>
        <v>o</v>
      </c>
      <c r="X19" s="492" t="str">
        <f>+MID('Input data'!$F$3,24,1)</f>
        <v>.</v>
      </c>
      <c r="Y19" s="492" t="str">
        <f>+MID('Input data'!$F$3,25,1)</f>
        <v/>
      </c>
      <c r="Z19" s="492" t="str">
        <f>+MID('Input data'!$F$3,26,1)</f>
        <v/>
      </c>
      <c r="AA19" s="492" t="str">
        <f>+MID('Input data'!$F$3,27,1)</f>
        <v/>
      </c>
      <c r="AB19" s="492" t="str">
        <f>+MID('Input data'!$F$3,28,1)</f>
        <v/>
      </c>
      <c r="AC19" s="492" t="str">
        <f>+MID('Input data'!$F$3,29,1)</f>
        <v/>
      </c>
      <c r="AD19" s="492" t="str">
        <f>+MID('Input data'!$F$3,30,1)</f>
        <v/>
      </c>
      <c r="AE19" s="492" t="str">
        <f>+MID('Input data'!$F$3,31,1)</f>
        <v/>
      </c>
      <c r="AF19" s="492" t="str">
        <f>+MID('Input data'!$F$3,32,1)</f>
        <v/>
      </c>
      <c r="AG19" s="492" t="str">
        <f>+MID('Input data'!$F$3,33,1)</f>
        <v/>
      </c>
      <c r="AH19" s="492" t="str">
        <f>+MID('Input data'!$E$3,34,1)</f>
        <v/>
      </c>
      <c r="AI19" s="492" t="str">
        <f>+MID('Input data'!$E$3,35,1)</f>
        <v/>
      </c>
      <c r="AJ19" s="492" t="str">
        <f>+MID('Input data'!$E$3,36,1)</f>
        <v/>
      </c>
      <c r="AK19" s="499" t="str">
        <f>+MID('Input data'!$E$3,37,1)</f>
        <v/>
      </c>
      <c r="AL19" s="513"/>
      <c r="AM19" s="513"/>
      <c r="AN19" s="513"/>
    </row>
    <row r="20" spans="1:50" s="583" customFormat="1" ht="19.5" customHeight="1" x14ac:dyDescent="0.25">
      <c r="A20" s="830" t="str">
        <f>+MID('Input data'!$E$3,38,1)</f>
        <v/>
      </c>
      <c r="B20" s="525" t="str">
        <f>+MID('Input data'!$E$3,39,1)</f>
        <v/>
      </c>
      <c r="C20" s="525" t="str">
        <f>+MID('Input data'!$E$3,40,1)</f>
        <v/>
      </c>
      <c r="D20" s="525" t="str">
        <f>+MID('Input data'!$E$3,41,1)</f>
        <v/>
      </c>
      <c r="E20" s="525" t="str">
        <f>+MID('Input data'!$E$3,42,1)</f>
        <v/>
      </c>
      <c r="F20" s="525" t="str">
        <f>+MID('Input data'!$E$3,43,1)</f>
        <v/>
      </c>
      <c r="G20" s="525" t="str">
        <f>+MID('Input data'!$E$3,44,1)</f>
        <v/>
      </c>
      <c r="H20" s="525" t="str">
        <f>+MID('Input data'!$E$3,45,1)</f>
        <v/>
      </c>
      <c r="I20" s="525" t="str">
        <f>+MID('Input data'!$E$3,46,1)</f>
        <v/>
      </c>
      <c r="J20" s="525" t="str">
        <f>+MID('Input data'!$E$3,47,1)</f>
        <v/>
      </c>
      <c r="K20" s="525" t="str">
        <f>+MID('Input data'!$E$3,48,1)</f>
        <v/>
      </c>
      <c r="L20" s="525" t="str">
        <f>+MID('Input data'!$E$3,49,1)</f>
        <v/>
      </c>
      <c r="M20" s="525" t="str">
        <f>+MID('Input data'!$E$3,50,1)</f>
        <v/>
      </c>
      <c r="N20" s="525" t="str">
        <f>+MID('Input data'!$E$3,51,1)</f>
        <v/>
      </c>
      <c r="O20" s="525" t="str">
        <f>+MID('Input data'!$E$3,52,1)</f>
        <v/>
      </c>
      <c r="P20" s="525" t="str">
        <f>+MID('Input data'!$E$3,53,1)</f>
        <v/>
      </c>
      <c r="Q20" s="525" t="str">
        <f>+MID('Input data'!$E$3,54,1)</f>
        <v/>
      </c>
      <c r="R20" s="525" t="str">
        <f>+MID('Input data'!$E$3,55,1)</f>
        <v/>
      </c>
      <c r="S20" s="525" t="str">
        <f>+MID('Input data'!$E$3,56,1)</f>
        <v/>
      </c>
      <c r="T20" s="525" t="str">
        <f>+MID('Input data'!$E$3,57,1)</f>
        <v/>
      </c>
      <c r="U20" s="525" t="str">
        <f>+MID('Input data'!$E$3,58,1)</f>
        <v/>
      </c>
      <c r="V20" s="525" t="str">
        <f>+MID('Input data'!$E$3,59,1)</f>
        <v/>
      </c>
      <c r="W20" s="525" t="str">
        <f>+MID('Input data'!$E$3,60,1)</f>
        <v/>
      </c>
      <c r="X20" s="525" t="str">
        <f>+MID('Input data'!$E$3,61,1)</f>
        <v/>
      </c>
      <c r="Y20" s="525" t="str">
        <f>+MID('Input data'!$E$3,62,1)</f>
        <v/>
      </c>
      <c r="Z20" s="525" t="str">
        <f>+MID('Input data'!$E$3,63,1)</f>
        <v/>
      </c>
      <c r="AA20" s="525" t="str">
        <f>+MID('Input data'!$E$3,64,1)</f>
        <v/>
      </c>
      <c r="AB20" s="525" t="str">
        <f>+MID('Input data'!$E$3,65,1)</f>
        <v/>
      </c>
      <c r="AC20" s="525" t="str">
        <f>+MID('Input data'!$E$3,66,1)</f>
        <v/>
      </c>
      <c r="AD20" s="525" t="str">
        <f>+MID('Input data'!$E$3,67,1)</f>
        <v/>
      </c>
      <c r="AE20" s="525" t="str">
        <f>+MID('Input data'!$E$3,68,1)</f>
        <v/>
      </c>
      <c r="AF20" s="525" t="str">
        <f>+MID('Input data'!$E$3,69,1)</f>
        <v/>
      </c>
      <c r="AG20" s="525" t="str">
        <f>+MID('Input data'!$E$3,70,1)</f>
        <v/>
      </c>
      <c r="AH20" s="525" t="str">
        <f>+MID('Input data'!$E$3,71,1)</f>
        <v/>
      </c>
      <c r="AI20" s="525" t="str">
        <f>+MID('Input data'!$E$3,72,1)</f>
        <v/>
      </c>
      <c r="AJ20" s="525" t="str">
        <f>+MID('Input data'!$E$3,73,1)</f>
        <v/>
      </c>
      <c r="AK20" s="831" t="str">
        <f>+MID('Input data'!$E$3,74,1)</f>
        <v/>
      </c>
      <c r="AL20" s="441"/>
      <c r="AM20" s="441"/>
      <c r="AN20" s="441"/>
    </row>
    <row r="21" spans="1:50" s="501" customFormat="1" ht="14.25" customHeight="1" x14ac:dyDescent="0.25">
      <c r="A21" s="505" t="s">
        <v>1519</v>
      </c>
      <c r="B21" s="504"/>
      <c r="C21" s="504"/>
      <c r="D21" s="504"/>
      <c r="E21" s="504"/>
      <c r="F21" s="504"/>
      <c r="G21" s="504"/>
      <c r="H21" s="504"/>
      <c r="I21" s="504"/>
      <c r="J21" s="504"/>
      <c r="K21" s="504"/>
      <c r="L21" s="504"/>
      <c r="M21" s="504"/>
      <c r="N21" s="504"/>
      <c r="O21" s="504"/>
      <c r="P21" s="504"/>
      <c r="Q21" s="504"/>
      <c r="R21" s="504"/>
      <c r="S21" s="504"/>
      <c r="T21" s="504"/>
      <c r="U21" s="504"/>
      <c r="V21" s="504"/>
      <c r="W21" s="503"/>
      <c r="X21" s="503"/>
      <c r="Y21" s="503"/>
      <c r="Z21" s="503"/>
      <c r="AA21" s="503"/>
      <c r="AB21" s="503"/>
      <c r="AC21" s="503"/>
      <c r="AD21" s="503"/>
      <c r="AE21" s="503"/>
      <c r="AF21" s="503"/>
      <c r="AG21" s="503"/>
      <c r="AH21" s="503"/>
      <c r="AI21" s="503"/>
      <c r="AJ21" s="503"/>
      <c r="AK21" s="502"/>
    </row>
    <row r="22" spans="1:50" x14ac:dyDescent="0.25">
      <c r="A22" s="497" t="s">
        <v>1520</v>
      </c>
      <c r="B22" s="455"/>
      <c r="C22" s="455"/>
      <c r="D22" s="455"/>
      <c r="E22" s="455"/>
      <c r="F22" s="455"/>
      <c r="G22" s="455"/>
      <c r="H22" s="455"/>
      <c r="I22" s="455"/>
      <c r="J22" s="455"/>
      <c r="K22" s="455"/>
      <c r="L22" s="455"/>
      <c r="M22" s="455"/>
      <c r="N22" s="455"/>
      <c r="O22" s="455"/>
      <c r="P22" s="455"/>
      <c r="Q22" s="455"/>
      <c r="R22" s="455"/>
      <c r="S22" s="455"/>
      <c r="T22" s="455"/>
      <c r="U22" s="455"/>
      <c r="V22" s="455"/>
      <c r="W22" s="450"/>
      <c r="X22" s="450"/>
      <c r="Y22" s="450"/>
      <c r="Z22" s="450"/>
      <c r="AA22" s="450"/>
      <c r="AB22" s="455"/>
      <c r="AC22" s="450"/>
      <c r="AD22" s="453" t="s">
        <v>1521</v>
      </c>
      <c r="AE22" s="450"/>
      <c r="AF22" s="450"/>
      <c r="AG22" s="450"/>
      <c r="AH22" s="450"/>
      <c r="AI22" s="450"/>
      <c r="AJ22" s="450"/>
      <c r="AK22" s="449"/>
    </row>
    <row r="23" spans="1:50" s="582" customFormat="1" ht="19.5" customHeight="1" x14ac:dyDescent="0.25">
      <c r="A23" s="500" t="str">
        <f>+LEFT('Input data'!$C$28,1)</f>
        <v>T</v>
      </c>
      <c r="B23" s="492" t="str">
        <f>+MID('Input data'!$C$28,2,1)</f>
        <v>e</v>
      </c>
      <c r="C23" s="492" t="str">
        <f>+MID('Input data'!$C$28,3,1)</f>
        <v>s</v>
      </c>
      <c r="D23" s="492" t="str">
        <f>+MID('Input data'!$C$28,4,1)</f>
        <v>l</v>
      </c>
      <c r="E23" s="492" t="str">
        <f>+MID('Input data'!$C$28,5,1)</f>
        <v>o</v>
      </c>
      <c r="F23" s="492" t="str">
        <f>+MID('Input data'!$C$28,6,1)</f>
        <v>v</v>
      </c>
      <c r="G23" s="492" t="str">
        <f>+MID('Input data'!$C$28,7,1)</f>
        <v>a</v>
      </c>
      <c r="H23" s="492" t="str">
        <f>+MID('Input data'!$C$28,8,1)</f>
        <v/>
      </c>
      <c r="I23" s="492" t="str">
        <f>+MID('Input data'!$C$28,9,1)</f>
        <v/>
      </c>
      <c r="J23" s="492" t="str">
        <f>+MID('Input data'!$C$28,10,1)</f>
        <v/>
      </c>
      <c r="K23" s="492" t="str">
        <f>+MID('Input data'!$C$28,11,1)</f>
        <v/>
      </c>
      <c r="L23" s="492" t="str">
        <f>+MID('Input data'!$C$28,12,1)</f>
        <v/>
      </c>
      <c r="M23" s="492" t="str">
        <f>+MID('Input data'!$C$28,13,1)</f>
        <v/>
      </c>
      <c r="N23" s="492" t="str">
        <f>+MID('Input data'!$C$28,14,1)</f>
        <v/>
      </c>
      <c r="O23" s="492" t="str">
        <f>+MID('Input data'!$C$28,15,1)</f>
        <v/>
      </c>
      <c r="P23" s="492" t="str">
        <f>+MID('Input data'!$C$28,16,1)</f>
        <v/>
      </c>
      <c r="Q23" s="492" t="str">
        <f>+MID('Input data'!$C$28,17,1)</f>
        <v/>
      </c>
      <c r="R23" s="492" t="str">
        <f>+MID('Input data'!$C$28,18,1)</f>
        <v/>
      </c>
      <c r="S23" s="492" t="str">
        <f>+MID('Input data'!$C$28,19,1)</f>
        <v/>
      </c>
      <c r="T23" s="492" t="str">
        <f>+MID('Input data'!$C$28,20,1)</f>
        <v/>
      </c>
      <c r="U23" s="492" t="str">
        <f>+MID('Input data'!$C$28,21,1)</f>
        <v/>
      </c>
      <c r="V23" s="492" t="str">
        <f>+MID('Input data'!$C$28,22,1)</f>
        <v/>
      </c>
      <c r="W23" s="492" t="str">
        <f>+MID('Input data'!$C$28,23,1)</f>
        <v/>
      </c>
      <c r="X23" s="492" t="str">
        <f>+MID('Input data'!$C$28,24,1)</f>
        <v/>
      </c>
      <c r="Y23" s="492" t="str">
        <f>+MID('Input data'!$C$28,25,1)</f>
        <v/>
      </c>
      <c r="Z23" s="492" t="str">
        <f>+MID('Input data'!$C$28,26,1)</f>
        <v/>
      </c>
      <c r="AA23" s="492" t="str">
        <f>+MID('Input data'!$C$28,27,1)</f>
        <v/>
      </c>
      <c r="AB23" s="492" t="str">
        <f>+MID('Input data'!$C$28,28,1)</f>
        <v/>
      </c>
      <c r="AC23" s="494"/>
      <c r="AD23" s="492" t="str">
        <f>+LEFT('Input data'!$C$30,1)</f>
        <v>2</v>
      </c>
      <c r="AE23" s="492" t="str">
        <f>+MID('Input data'!$C$30,2,1)</f>
        <v>0</v>
      </c>
      <c r="AF23" s="492" t="str">
        <f>+MID('Input data'!$C$30,3,1)</f>
        <v/>
      </c>
      <c r="AG23" s="492" t="str">
        <f>+MID('Input data'!$C$30,4,1)</f>
        <v/>
      </c>
      <c r="AH23" s="492" t="str">
        <f>+MID('Input data'!$C$30,5,1)</f>
        <v/>
      </c>
      <c r="AI23" s="492" t="str">
        <f>+MID('Input data'!$C$30,6,1)</f>
        <v/>
      </c>
      <c r="AJ23" s="492" t="str">
        <f>+MID('Input data'!$C$30,7,1)</f>
        <v/>
      </c>
      <c r="AK23" s="499" t="str">
        <f>+MID('Input data'!$C$30,8,1)</f>
        <v/>
      </c>
    </row>
    <row r="24" spans="1:50" x14ac:dyDescent="0.25">
      <c r="A24" s="497" t="s">
        <v>1522</v>
      </c>
      <c r="B24" s="455"/>
      <c r="C24" s="455"/>
      <c r="D24" s="455"/>
      <c r="E24" s="455"/>
      <c r="F24" s="455"/>
      <c r="G24" s="496" t="s">
        <v>1523</v>
      </c>
      <c r="H24" s="496"/>
      <c r="I24" s="496"/>
      <c r="J24" s="496"/>
      <c r="K24" s="496"/>
      <c r="L24" s="496"/>
      <c r="M24" s="496"/>
      <c r="N24" s="496"/>
      <c r="O24" s="496"/>
      <c r="P24" s="496"/>
      <c r="Q24" s="496"/>
      <c r="R24" s="496"/>
      <c r="S24" s="496"/>
      <c r="T24" s="496"/>
      <c r="U24" s="496"/>
      <c r="V24" s="496"/>
      <c r="W24" s="496"/>
      <c r="X24" s="496"/>
      <c r="Y24" s="496"/>
      <c r="Z24" s="496"/>
      <c r="AA24" s="496"/>
      <c r="AB24" s="496"/>
      <c r="AC24" s="496"/>
      <c r="AD24" s="496"/>
      <c r="AE24" s="450"/>
      <c r="AF24" s="450"/>
      <c r="AG24" s="450"/>
      <c r="AH24" s="450"/>
      <c r="AI24" s="450"/>
      <c r="AJ24" s="450"/>
      <c r="AK24" s="449"/>
    </row>
    <row r="25" spans="1:50" s="582" customFormat="1" ht="19.5" customHeight="1" x14ac:dyDescent="0.25">
      <c r="A25" s="500" t="str">
        <f>+LEFT('Input data'!$C$32,1)</f>
        <v>8</v>
      </c>
      <c r="B25" s="492" t="str">
        <f>+MID('Input data'!$C$32,2,1)</f>
        <v>2</v>
      </c>
      <c r="C25" s="492" t="str">
        <f>+MID('Input data'!$C$32,3,1)</f>
        <v>1</v>
      </c>
      <c r="D25" s="492" t="str">
        <f>+MID('Input data'!$C$32,4,1)</f>
        <v>0</v>
      </c>
      <c r="E25" s="492" t="str">
        <f>+MID('Input data'!$C$32,5,1)</f>
        <v>2</v>
      </c>
      <c r="F25" s="492"/>
      <c r="G25" s="492" t="str">
        <f>+LEFT('Input data'!$C$34,1)</f>
        <v>B</v>
      </c>
      <c r="H25" s="492" t="str">
        <f>+MID('Input data'!$C$34,2,1)</f>
        <v>r</v>
      </c>
      <c r="I25" s="492" t="str">
        <f>+MID('Input data'!$C$34,3,1)</f>
        <v>a</v>
      </c>
      <c r="J25" s="492" t="str">
        <f>+MID('Input data'!$C$34,4,1)</f>
        <v>t</v>
      </c>
      <c r="K25" s="492" t="str">
        <f>+MID('Input data'!$C$34,5,1)</f>
        <v>i</v>
      </c>
      <c r="L25" s="492" t="str">
        <f>+MID('Input data'!$C$34,6,1)</f>
        <v>s</v>
      </c>
      <c r="M25" s="492" t="str">
        <f>+MID('Input data'!$C$34,7,1)</f>
        <v>l</v>
      </c>
      <c r="N25" s="492" t="str">
        <f>+MID('Input data'!$C$34,8,1)</f>
        <v>a</v>
      </c>
      <c r="O25" s="492" t="str">
        <f>+MID('Input data'!$C$34,9,1)</f>
        <v>v</v>
      </c>
      <c r="P25" s="492" t="str">
        <f>+MID('Input data'!$C$34,10,1)</f>
        <v>a</v>
      </c>
      <c r="Q25" s="492" t="str">
        <f>+MID('Input data'!$C$34,11,1)</f>
        <v/>
      </c>
      <c r="R25" s="492" t="str">
        <f>+MID('Input data'!$C$34,12,1)</f>
        <v/>
      </c>
      <c r="S25" s="492" t="str">
        <f>+MID('Input data'!$C$34,13,1)</f>
        <v/>
      </c>
      <c r="T25" s="492" t="str">
        <f>+MID('Input data'!$C$34,14,1)</f>
        <v/>
      </c>
      <c r="U25" s="492" t="str">
        <f>+MID('Input data'!$C$34,15,1)</f>
        <v/>
      </c>
      <c r="V25" s="492" t="str">
        <f>+MID('Input data'!$C$34,16,1)</f>
        <v/>
      </c>
      <c r="W25" s="492" t="str">
        <f>+MID('Input data'!$C$34,17,1)</f>
        <v/>
      </c>
      <c r="X25" s="492" t="str">
        <f>+MID('Input data'!$C$34,18,1)</f>
        <v/>
      </c>
      <c r="Y25" s="492" t="str">
        <f>+MID('Input data'!$C$34,19,1)</f>
        <v/>
      </c>
      <c r="Z25" s="492" t="str">
        <f>+MID('Input data'!$C$34,20,1)</f>
        <v/>
      </c>
      <c r="AA25" s="492" t="str">
        <f>+MID('Input data'!$C$34,21,1)</f>
        <v/>
      </c>
      <c r="AB25" s="492" t="str">
        <f>+MID('Input data'!$C$34,22,1)</f>
        <v/>
      </c>
      <c r="AC25" s="492" t="str">
        <f>+MID('Input data'!$C$34,23,1)</f>
        <v/>
      </c>
      <c r="AD25" s="492" t="str">
        <f>+MID('Input data'!$C$34,24,1)</f>
        <v/>
      </c>
      <c r="AE25" s="492" t="str">
        <f>+MID('Input data'!$C$34,25,1)</f>
        <v/>
      </c>
      <c r="AF25" s="492" t="str">
        <f>+MID('Input data'!$C$34,26,1)</f>
        <v/>
      </c>
      <c r="AG25" s="492" t="str">
        <f>+MID('Input data'!$C$34,27,1)</f>
        <v/>
      </c>
      <c r="AH25" s="492" t="str">
        <f>+MID('Input data'!$C$34,28,1)</f>
        <v/>
      </c>
      <c r="AI25" s="492" t="str">
        <f>+MID('Input data'!$C$34,29,1)</f>
        <v/>
      </c>
      <c r="AJ25" s="492" t="str">
        <f>+MID('Input data'!$C$34,30,1)</f>
        <v/>
      </c>
      <c r="AK25" s="499" t="str">
        <f>+MID('Input data'!$C$34,31,1)</f>
        <v/>
      </c>
    </row>
    <row r="26" spans="1:50" x14ac:dyDescent="0.25">
      <c r="A26" s="497" t="s">
        <v>1524</v>
      </c>
      <c r="B26" s="455"/>
      <c r="C26" s="455"/>
      <c r="D26" s="455"/>
      <c r="E26" s="455"/>
      <c r="F26" s="455"/>
      <c r="G26" s="496"/>
      <c r="H26" s="496"/>
      <c r="I26" s="496"/>
      <c r="J26" s="496"/>
      <c r="K26" s="496"/>
      <c r="L26" s="496"/>
      <c r="M26" s="496"/>
      <c r="N26" s="455"/>
      <c r="O26" s="496" t="s">
        <v>1525</v>
      </c>
      <c r="P26" s="496"/>
      <c r="Q26" s="496"/>
      <c r="R26" s="496"/>
      <c r="S26" s="496"/>
      <c r="T26" s="496"/>
      <c r="U26" s="496"/>
      <c r="V26" s="496"/>
      <c r="W26" s="496"/>
      <c r="X26" s="496"/>
      <c r="Y26" s="496"/>
      <c r="Z26" s="496"/>
      <c r="AA26" s="496"/>
      <c r="AB26" s="496"/>
      <c r="AC26" s="496"/>
      <c r="AD26" s="496"/>
      <c r="AE26" s="450"/>
      <c r="AF26" s="450"/>
      <c r="AG26" s="450"/>
      <c r="AH26" s="450"/>
      <c r="AI26" s="450"/>
      <c r="AJ26" s="450"/>
      <c r="AK26" s="449"/>
    </row>
    <row r="27" spans="1:50" s="582" customFormat="1" ht="19.5" customHeight="1" x14ac:dyDescent="0.25">
      <c r="A27" s="495">
        <v>0</v>
      </c>
      <c r="B27" s="492" t="str">
        <f>+LEFT('Input data'!$C$36,1)</f>
        <v>2</v>
      </c>
      <c r="C27" s="492" t="str">
        <f>+MID('Input data'!$C$36,2,1)</f>
        <v/>
      </c>
      <c r="D27" s="492" t="str">
        <f>+MID('Input data'!$C$36,3,1)</f>
        <v/>
      </c>
      <c r="E27" s="492" t="s">
        <v>1176</v>
      </c>
      <c r="F27" s="492" t="str">
        <f>+LEFT('Input data'!$C$38,1)</f>
        <v>4</v>
      </c>
      <c r="G27" s="492" t="str">
        <f>+MID('Input data'!$C$38,2,1)</f>
        <v>9</v>
      </c>
      <c r="H27" s="492" t="str">
        <f>+MID('Input data'!$C$38,3,1)</f>
        <v>3</v>
      </c>
      <c r="I27" s="492" t="str">
        <f>+MID('Input data'!$C$38,4,1)</f>
        <v>0</v>
      </c>
      <c r="J27" s="492" t="str">
        <f>+MID('Input data'!$C$38,5,1)</f>
        <v>0</v>
      </c>
      <c r="K27" s="492" t="str">
        <f>+MID('Input data'!$C$38,6,1)</f>
        <v>5</v>
      </c>
      <c r="L27" s="492" t="str">
        <f>+MID('Input data'!$C$38,7,1)</f>
        <v>1</v>
      </c>
      <c r="M27" s="492" t="str">
        <f>+MID('Input data'!$C$38,8,1)</f>
        <v>3</v>
      </c>
      <c r="N27" s="494"/>
      <c r="O27" s="493">
        <v>0</v>
      </c>
      <c r="P27" s="492" t="str">
        <f>+LEFT('Input data'!$C$36,1)</f>
        <v>2</v>
      </c>
      <c r="Q27" s="492" t="str">
        <f>+MID('Input data'!$C$36,2,1)</f>
        <v/>
      </c>
      <c r="R27" s="492" t="str">
        <f>+MID('Input data'!$C$36,3,1)</f>
        <v/>
      </c>
      <c r="S27" s="492" t="s">
        <v>1176</v>
      </c>
      <c r="T27" s="492" t="str">
        <f>+LEFT('Input data'!$C$40,1)</f>
        <v>4</v>
      </c>
      <c r="U27" s="492" t="str">
        <f>+MID('Input data'!$C$40,2,1)</f>
        <v>9</v>
      </c>
      <c r="V27" s="492" t="str">
        <f>+MID('Input data'!$C$40,3,1)</f>
        <v>3</v>
      </c>
      <c r="W27" s="492" t="str">
        <f>+MID('Input data'!$C$40,4,1)</f>
        <v>0</v>
      </c>
      <c r="X27" s="492" t="str">
        <f>+MID('Input data'!$C$40,5,1)</f>
        <v>0</v>
      </c>
      <c r="Y27" s="492" t="str">
        <f>+MID('Input data'!$C$40,6,1)</f>
        <v>5</v>
      </c>
      <c r="Z27" s="492" t="str">
        <f>+MID('Input data'!$C$40,7,1)</f>
        <v>5</v>
      </c>
      <c r="AA27" s="492" t="str">
        <f>+MID('Input data'!$C$40,8,1)</f>
        <v>0</v>
      </c>
      <c r="AB27" s="492"/>
      <c r="AC27" s="492"/>
      <c r="AD27" s="492"/>
      <c r="AE27" s="450"/>
      <c r="AF27" s="450"/>
      <c r="AG27" s="450"/>
      <c r="AH27" s="450"/>
      <c r="AI27" s="450"/>
      <c r="AJ27" s="450"/>
      <c r="AK27" s="449"/>
    </row>
    <row r="28" spans="1:50" s="442" customFormat="1" x14ac:dyDescent="0.25">
      <c r="A28" s="454" t="s">
        <v>1526</v>
      </c>
      <c r="B28" s="453"/>
      <c r="C28" s="453"/>
      <c r="D28" s="453"/>
      <c r="E28" s="453"/>
      <c r="F28" s="453"/>
      <c r="G28" s="453"/>
      <c r="H28" s="453"/>
      <c r="I28" s="453"/>
      <c r="J28" s="453"/>
      <c r="K28" s="453"/>
      <c r="L28" s="453"/>
      <c r="M28" s="453"/>
      <c r="N28" s="453"/>
      <c r="O28" s="453"/>
      <c r="P28" s="453"/>
      <c r="Q28" s="453"/>
      <c r="R28" s="453"/>
      <c r="S28" s="453"/>
      <c r="T28" s="453"/>
      <c r="U28" s="453"/>
      <c r="V28" s="453"/>
      <c r="W28" s="450"/>
      <c r="X28" s="450"/>
      <c r="Y28" s="450"/>
      <c r="Z28" s="450"/>
      <c r="AA28" s="450"/>
      <c r="AB28" s="450"/>
      <c r="AC28" s="450"/>
      <c r="AD28" s="450"/>
      <c r="AE28" s="450"/>
      <c r="AF28" s="450"/>
      <c r="AG28" s="450"/>
      <c r="AH28" s="450"/>
      <c r="AI28" s="450"/>
      <c r="AJ28" s="450"/>
      <c r="AK28" s="449"/>
    </row>
    <row r="29" spans="1:50" s="582" customFormat="1" ht="19.5" customHeight="1" thickBot="1" x14ac:dyDescent="0.3">
      <c r="A29" s="491" t="str">
        <f>+LEFT('Input data'!$B$42,1)</f>
        <v/>
      </c>
      <c r="B29" s="490" t="str">
        <f>+MID('Input data'!$B$42,2,1)</f>
        <v/>
      </c>
      <c r="C29" s="490" t="str">
        <f>+MID('Input data'!$B$42,3,1)</f>
        <v/>
      </c>
      <c r="D29" s="490" t="str">
        <f>+MID('Input data'!$B$42,4,1)</f>
        <v/>
      </c>
      <c r="E29" s="490" t="str">
        <f>+MID('Input data'!$B$42,5,1)</f>
        <v/>
      </c>
      <c r="F29" s="490" t="str">
        <f>+MID('Input data'!$B$42,6,1)</f>
        <v/>
      </c>
      <c r="G29" s="490" t="str">
        <f>+MID('Input data'!$B$42,7,1)</f>
        <v/>
      </c>
      <c r="H29" s="490" t="str">
        <f>+MID('Input data'!$B$42,8,1)</f>
        <v/>
      </c>
      <c r="I29" s="490" t="str">
        <f>+MID('Input data'!$B$42,9,1)</f>
        <v/>
      </c>
      <c r="J29" s="490" t="str">
        <f>+MID('Input data'!$B$42,10,1)</f>
        <v/>
      </c>
      <c r="K29" s="490" t="str">
        <f>+MID('Input data'!$B$42,11,1)</f>
        <v/>
      </c>
      <c r="L29" s="490" t="str">
        <f>+MID('Input data'!$B$42,12,1)</f>
        <v/>
      </c>
      <c r="M29" s="490" t="str">
        <f>+MID('Input data'!$B$42,13,1)</f>
        <v/>
      </c>
      <c r="N29" s="490" t="str">
        <f>+MID('Input data'!$B$42,14,1)</f>
        <v/>
      </c>
      <c r="O29" s="490" t="str">
        <f>+MID('Input data'!$B$42,15,1)</f>
        <v/>
      </c>
      <c r="P29" s="490" t="str">
        <f>+MID('Input data'!$B$42,16,1)</f>
        <v/>
      </c>
      <c r="Q29" s="490" t="str">
        <f>+MID('Input data'!$B$42,17,1)</f>
        <v/>
      </c>
      <c r="R29" s="490" t="str">
        <f>+MID('Input data'!$B$42,18,1)</f>
        <v/>
      </c>
      <c r="S29" s="490" t="str">
        <f>+MID('Input data'!$B$42,19,1)</f>
        <v/>
      </c>
      <c r="T29" s="490" t="str">
        <f>+MID('Input data'!$B$42,20,1)</f>
        <v/>
      </c>
      <c r="U29" s="490" t="str">
        <f>+MID('Input data'!$B$42,21,1)</f>
        <v/>
      </c>
      <c r="V29" s="490" t="str">
        <f>+MID('Input data'!$B$42,22,1)</f>
        <v/>
      </c>
      <c r="W29" s="490" t="str">
        <f>+MID('Input data'!$B$42,23,1)</f>
        <v/>
      </c>
      <c r="X29" s="490" t="str">
        <f>+MID('Input data'!$B$42,24,1)</f>
        <v/>
      </c>
      <c r="Y29" s="490" t="str">
        <f>+MID('Input data'!$B$42,25,1)</f>
        <v/>
      </c>
      <c r="Z29" s="490" t="str">
        <f>+MID('Input data'!$B$42,26,1)</f>
        <v/>
      </c>
      <c r="AA29" s="490" t="str">
        <f>+MID('Input data'!$B$42,27,1)</f>
        <v/>
      </c>
      <c r="AB29" s="490" t="str">
        <f>+MID('Input data'!$B$42,28,1)</f>
        <v/>
      </c>
      <c r="AC29" s="490" t="str">
        <f>+MID('Input data'!$B$42,29,1)</f>
        <v/>
      </c>
      <c r="AD29" s="490" t="str">
        <f>+MID('Input data'!$B$42,30,1)</f>
        <v/>
      </c>
      <c r="AE29" s="490" t="str">
        <f>+MID('Input data'!$B$42,31,1)</f>
        <v/>
      </c>
      <c r="AF29" s="490" t="str">
        <f>+MID('Input data'!$B$42,32,1)</f>
        <v/>
      </c>
      <c r="AG29" s="490" t="str">
        <f>+MID('Input data'!$B$42,33,1)</f>
        <v/>
      </c>
      <c r="AH29" s="490" t="str">
        <f>+MID('Input data'!$B$42,34,1)</f>
        <v/>
      </c>
      <c r="AI29" s="490" t="str">
        <f>+MID('Input data'!$B$42,35,1)</f>
        <v/>
      </c>
      <c r="AJ29" s="490" t="str">
        <f>+MID('Input data'!$B$42,36,1)</f>
        <v/>
      </c>
      <c r="AK29" s="489" t="str">
        <f>+MID('Input data'!$B$42,37,1)</f>
        <v/>
      </c>
    </row>
    <row r="30" spans="1:50" s="442" customFormat="1" ht="4.5" customHeight="1" thickBot="1" x14ac:dyDescent="0.3">
      <c r="W30" s="443"/>
      <c r="X30" s="443"/>
      <c r="Y30" s="443"/>
      <c r="Z30" s="443"/>
      <c r="AA30" s="443"/>
      <c r="AB30" s="443"/>
      <c r="AC30" s="443"/>
      <c r="AD30" s="443"/>
      <c r="AE30" s="443"/>
      <c r="AF30" s="443"/>
      <c r="AG30" s="443"/>
      <c r="AH30" s="443"/>
      <c r="AI30" s="443"/>
      <c r="AJ30" s="443"/>
      <c r="AK30" s="443"/>
    </row>
    <row r="31" spans="1:50" s="485" customFormat="1" ht="12.75" customHeight="1" x14ac:dyDescent="0.25">
      <c r="A31" s="488" t="s">
        <v>1403</v>
      </c>
      <c r="B31" s="487"/>
      <c r="C31" s="487"/>
      <c r="D31" s="487"/>
      <c r="E31" s="487"/>
      <c r="F31" s="487"/>
      <c r="G31" s="487"/>
      <c r="H31" s="487"/>
      <c r="I31" s="487"/>
      <c r="J31" s="487"/>
      <c r="K31" s="832"/>
      <c r="L31" s="832"/>
      <c r="M31" s="1465" t="s">
        <v>1527</v>
      </c>
      <c r="N31" s="1466"/>
      <c r="O31" s="1466"/>
      <c r="P31" s="1466"/>
      <c r="Q31" s="1466"/>
      <c r="R31" s="1466"/>
      <c r="S31" s="1466"/>
      <c r="T31" s="1466"/>
      <c r="U31" s="1471"/>
      <c r="V31" s="1465" t="s">
        <v>1528</v>
      </c>
      <c r="W31" s="1466"/>
      <c r="X31" s="1466"/>
      <c r="Y31" s="1466"/>
      <c r="Z31" s="1466"/>
      <c r="AA31" s="1466"/>
      <c r="AB31" s="1466"/>
      <c r="AC31" s="1471"/>
      <c r="AD31" s="1465" t="s">
        <v>1529</v>
      </c>
      <c r="AE31" s="1466"/>
      <c r="AF31" s="1466"/>
      <c r="AG31" s="1466"/>
      <c r="AH31" s="1466"/>
      <c r="AI31" s="1466"/>
      <c r="AJ31" s="1466"/>
      <c r="AK31" s="1466"/>
      <c r="AL31" s="1467"/>
    </row>
    <row r="32" spans="1:50" s="442" customFormat="1" ht="19.5" customHeight="1" x14ac:dyDescent="0.25">
      <c r="A32" s="471" t="str">
        <f>LEFT(TEXT('Input data'!F25,"dd.m.yyyy"),1)</f>
        <v>1</v>
      </c>
      <c r="B32" s="470" t="str">
        <f>MID(TEXT('Input data'!$F$25,"dd.mm.yyyy"),2,1)</f>
        <v>3</v>
      </c>
      <c r="C32" s="469" t="s">
        <v>1147</v>
      </c>
      <c r="D32" s="470" t="str">
        <f>MID(TEXT('Input data'!$F$25,"dd.mm.yyyy"),4,1)</f>
        <v>0</v>
      </c>
      <c r="E32" s="470" t="str">
        <f>MID(TEXT('Input data'!$F$25,"dd.mm.yyyy"),5,1)</f>
        <v>6</v>
      </c>
      <c r="F32" s="469" t="s">
        <v>1147</v>
      </c>
      <c r="G32" s="470" t="str">
        <f>MID(TEXT('Input data'!$F$25,"dd.mm.yyyy"),7,1)</f>
        <v>2</v>
      </c>
      <c r="H32" s="470" t="str">
        <f>MID(TEXT('Input data'!$F$25,"dd.mm.yyyy"),8,1)</f>
        <v>0</v>
      </c>
      <c r="I32" s="470" t="str">
        <f>MID(TEXT('Input data'!$F$25,"dd.mm.yyyy"),9,1)</f>
        <v>1</v>
      </c>
      <c r="J32" s="470" t="str">
        <f>MID(TEXT('Input data'!$F$25,"dd.mm.yyyy"),10,1)</f>
        <v>4</v>
      </c>
      <c r="K32" s="833"/>
      <c r="L32" s="477"/>
      <c r="M32" s="1468"/>
      <c r="N32" s="1469"/>
      <c r="O32" s="1469"/>
      <c r="P32" s="1469"/>
      <c r="Q32" s="1469"/>
      <c r="R32" s="1469"/>
      <c r="S32" s="1469"/>
      <c r="T32" s="1469"/>
      <c r="U32" s="1472"/>
      <c r="V32" s="1468"/>
      <c r="W32" s="1469"/>
      <c r="X32" s="1469"/>
      <c r="Y32" s="1469"/>
      <c r="Z32" s="1469"/>
      <c r="AA32" s="1469"/>
      <c r="AB32" s="1469"/>
      <c r="AC32" s="1472"/>
      <c r="AD32" s="1468"/>
      <c r="AE32" s="1469"/>
      <c r="AF32" s="1469"/>
      <c r="AG32" s="1469"/>
      <c r="AH32" s="1469"/>
      <c r="AI32" s="1469"/>
      <c r="AJ32" s="1469"/>
      <c r="AK32" s="1469"/>
      <c r="AL32" s="1470"/>
      <c r="AP32" s="581"/>
      <c r="AX32" s="442" t="s">
        <v>1177</v>
      </c>
    </row>
    <row r="33" spans="1:38" s="442" customFormat="1" ht="12.75" customHeight="1" x14ac:dyDescent="0.25">
      <c r="A33" s="483"/>
      <c r="B33" s="482"/>
      <c r="C33" s="482"/>
      <c r="D33" s="482"/>
      <c r="E33" s="482"/>
      <c r="F33" s="482"/>
      <c r="G33" s="482"/>
      <c r="H33" s="482"/>
      <c r="I33" s="482"/>
      <c r="J33" s="482"/>
      <c r="K33" s="834"/>
      <c r="L33" s="834"/>
      <c r="M33" s="1468"/>
      <c r="N33" s="1469"/>
      <c r="O33" s="1469"/>
      <c r="P33" s="1469"/>
      <c r="Q33" s="1469"/>
      <c r="R33" s="1469"/>
      <c r="S33" s="1469"/>
      <c r="T33" s="1469"/>
      <c r="U33" s="1472"/>
      <c r="V33" s="1468"/>
      <c r="W33" s="1469"/>
      <c r="X33" s="1469"/>
      <c r="Y33" s="1469"/>
      <c r="Z33" s="1469"/>
      <c r="AA33" s="1469"/>
      <c r="AB33" s="1469"/>
      <c r="AC33" s="1472"/>
      <c r="AD33" s="1468"/>
      <c r="AE33" s="1469"/>
      <c r="AF33" s="1469"/>
      <c r="AG33" s="1469"/>
      <c r="AH33" s="1469"/>
      <c r="AI33" s="1469"/>
      <c r="AJ33" s="1469"/>
      <c r="AK33" s="1469"/>
      <c r="AL33" s="1470"/>
    </row>
    <row r="34" spans="1:38" s="442" customFormat="1" x14ac:dyDescent="0.2">
      <c r="A34" s="454" t="s">
        <v>1401</v>
      </c>
      <c r="B34" s="453"/>
      <c r="C34" s="453"/>
      <c r="D34" s="453"/>
      <c r="E34" s="453"/>
      <c r="F34" s="453"/>
      <c r="G34" s="453"/>
      <c r="H34" s="453"/>
      <c r="I34" s="453"/>
      <c r="J34" s="453"/>
      <c r="K34" s="477"/>
      <c r="L34" s="835"/>
      <c r="M34" s="477"/>
      <c r="N34" s="477"/>
      <c r="O34" s="477"/>
      <c r="P34" s="477"/>
      <c r="Q34" s="477"/>
      <c r="R34" s="477"/>
      <c r="S34" s="477"/>
      <c r="T34" s="453"/>
      <c r="U34" s="475"/>
      <c r="V34" s="476"/>
      <c r="W34" s="476"/>
      <c r="X34" s="476"/>
      <c r="Y34" s="476"/>
      <c r="Z34" s="476"/>
      <c r="AA34" s="450"/>
      <c r="AB34" s="476"/>
      <c r="AC34" s="475"/>
      <c r="AD34" s="474"/>
      <c r="AE34" s="473"/>
      <c r="AF34" s="473"/>
      <c r="AG34" s="473"/>
      <c r="AH34" s="473"/>
      <c r="AI34" s="473"/>
      <c r="AJ34" s="473"/>
      <c r="AK34" s="473"/>
      <c r="AL34" s="472"/>
    </row>
    <row r="35" spans="1:38" s="442" customFormat="1" ht="19.5" customHeight="1" x14ac:dyDescent="0.25">
      <c r="A35" s="471" t="str">
        <f>IF('Input data'!$F$27="","",LEFT(TEXT('Input data'!$F$27,"dd.mm.yyyy"),1))</f>
        <v/>
      </c>
      <c r="B35" s="470" t="str">
        <f>IF('Input data'!$F$27="","",MID(TEXT('Input data'!$F$27,"dd.mm.yyyy"),2,1))</f>
        <v/>
      </c>
      <c r="C35" s="469" t="s">
        <v>1147</v>
      </c>
      <c r="D35" s="470" t="str">
        <f>IF('Input data'!$F$27="","",MID(TEXT('Input data'!$F$27,"dd.mm.yyyy"),4,1))</f>
        <v/>
      </c>
      <c r="E35" s="470" t="str">
        <f>IF('Input data'!$F$27="","",MID(TEXT('Input data'!$F$27,"dd.mm.yyyy"),5,1))</f>
        <v/>
      </c>
      <c r="F35" s="469" t="s">
        <v>1147</v>
      </c>
      <c r="G35" s="468" t="str">
        <f>IF('Input data'!$F$27="","",MID(TEXT('Input data'!$F$27,"dd.mm.yyyy"),7,1))</f>
        <v/>
      </c>
      <c r="H35" s="468" t="str">
        <f>IF('Input data'!$F$27="","",MID(TEXT('Input data'!$F$27,"dd.mm.yyyy"),8,1))</f>
        <v/>
      </c>
      <c r="I35" s="468" t="str">
        <f>IF('Input data'!$F$27="","",MID(TEXT('Input data'!$F$27,"dd.mm.yyyy"),9,1))</f>
        <v/>
      </c>
      <c r="J35" s="468" t="str">
        <f>IF('Input data'!$F$27="","",MID(TEXT('Input data'!$F$27,"dd.mm.yyyy"),10,1))</f>
        <v/>
      </c>
      <c r="K35" s="836"/>
      <c r="L35" s="580"/>
      <c r="M35" s="453"/>
      <c r="N35" s="453"/>
      <c r="O35" s="453"/>
      <c r="P35" s="453"/>
      <c r="Q35" s="453"/>
      <c r="R35" s="453"/>
      <c r="S35" s="453"/>
      <c r="T35" s="453"/>
      <c r="U35" s="580"/>
      <c r="V35" s="453"/>
      <c r="W35" s="450"/>
      <c r="X35" s="450"/>
      <c r="Y35" s="450"/>
      <c r="Z35" s="450"/>
      <c r="AA35" s="450"/>
      <c r="AB35" s="450"/>
      <c r="AC35" s="579"/>
      <c r="AD35" s="450"/>
      <c r="AE35" s="450"/>
      <c r="AF35" s="450"/>
      <c r="AG35" s="450"/>
      <c r="AH35" s="450"/>
      <c r="AI35" s="450"/>
      <c r="AJ35" s="450"/>
      <c r="AK35" s="450"/>
      <c r="AL35" s="449"/>
    </row>
    <row r="36" spans="1:38" s="448" customFormat="1" thickBot="1" x14ac:dyDescent="0.3">
      <c r="A36" s="463"/>
      <c r="B36" s="462"/>
      <c r="C36" s="462"/>
      <c r="D36" s="462"/>
      <c r="E36" s="462"/>
      <c r="F36" s="462"/>
      <c r="G36" s="462"/>
      <c r="H36" s="462"/>
      <c r="I36" s="462"/>
      <c r="J36" s="462"/>
      <c r="K36" s="462"/>
      <c r="L36" s="461"/>
      <c r="M36" s="1025">
        <f>'Input data'!F31</f>
        <v>0</v>
      </c>
      <c r="N36" s="1026"/>
      <c r="O36" s="1026"/>
      <c r="P36" s="1026"/>
      <c r="Q36" s="1026"/>
      <c r="R36" s="1026"/>
      <c r="S36" s="1026"/>
      <c r="T36" s="1026"/>
      <c r="U36" s="1027"/>
      <c r="V36" s="1025">
        <f>'Input data'!F35</f>
        <v>0</v>
      </c>
      <c r="W36" s="1026"/>
      <c r="X36" s="1026"/>
      <c r="Y36" s="1026"/>
      <c r="Z36" s="1026"/>
      <c r="AA36" s="1026"/>
      <c r="AB36" s="1026"/>
      <c r="AC36" s="1027"/>
      <c r="AD36" s="1028">
        <f>'Input data'!F39</f>
        <v>0</v>
      </c>
      <c r="AE36" s="1026"/>
      <c r="AF36" s="1026"/>
      <c r="AG36" s="1026"/>
      <c r="AH36" s="1026"/>
      <c r="AI36" s="1026"/>
      <c r="AJ36" s="1026"/>
      <c r="AK36" s="1026"/>
      <c r="AL36" s="1029"/>
    </row>
    <row r="37" spans="1:38" s="448" customFormat="1" x14ac:dyDescent="0.25">
      <c r="W37" s="443"/>
      <c r="X37" s="443"/>
      <c r="Y37" s="443"/>
      <c r="Z37" s="443"/>
      <c r="AA37" s="443"/>
      <c r="AB37" s="443"/>
      <c r="AC37" s="443"/>
      <c r="AD37" s="443"/>
      <c r="AE37" s="443"/>
      <c r="AF37" s="443"/>
      <c r="AG37" s="443"/>
      <c r="AH37" s="443"/>
      <c r="AI37" s="443"/>
      <c r="AJ37" s="443"/>
      <c r="AK37" s="443"/>
    </row>
    <row r="38" spans="1:38" s="448" customFormat="1" x14ac:dyDescent="0.25">
      <c r="W38" s="443"/>
      <c r="X38" s="443"/>
      <c r="Y38" s="443"/>
      <c r="Z38" s="443"/>
      <c r="AA38" s="443"/>
      <c r="AB38" s="443"/>
      <c r="AC38" s="443"/>
      <c r="AD38" s="443"/>
      <c r="AE38" s="443"/>
      <c r="AF38" s="443"/>
      <c r="AG38" s="443"/>
      <c r="AH38" s="443"/>
      <c r="AI38" s="443"/>
      <c r="AJ38" s="443"/>
      <c r="AK38" s="443"/>
    </row>
    <row r="39" spans="1:38" s="448" customFormat="1" x14ac:dyDescent="0.25">
      <c r="W39" s="443"/>
      <c r="X39" s="443"/>
      <c r="Y39" s="443"/>
      <c r="Z39" s="443"/>
      <c r="AA39" s="443"/>
      <c r="AB39" s="443"/>
      <c r="AC39" s="443"/>
      <c r="AD39" s="443"/>
      <c r="AE39" s="443"/>
      <c r="AF39" s="443"/>
      <c r="AG39" s="443"/>
      <c r="AH39" s="443"/>
      <c r="AI39" s="443"/>
      <c r="AJ39" s="443"/>
      <c r="AK39" s="443"/>
    </row>
    <row r="40" spans="1:38" ht="13.5" thickBot="1" x14ac:dyDescent="0.3">
      <c r="W40" s="443"/>
      <c r="X40" s="443"/>
      <c r="Y40" s="443"/>
      <c r="Z40" s="443"/>
      <c r="AA40" s="443"/>
      <c r="AB40" s="443"/>
      <c r="AC40" s="443"/>
      <c r="AD40" s="443"/>
      <c r="AE40" s="443"/>
      <c r="AF40" s="443"/>
      <c r="AG40" s="443"/>
      <c r="AH40" s="443"/>
      <c r="AI40" s="443"/>
      <c r="AJ40" s="443"/>
      <c r="AK40" s="443"/>
    </row>
    <row r="41" spans="1:38" s="448" customFormat="1" x14ac:dyDescent="0.25">
      <c r="B41" s="460" t="s">
        <v>1530</v>
      </c>
      <c r="C41" s="459"/>
      <c r="D41" s="459"/>
      <c r="E41" s="459"/>
      <c r="F41" s="459"/>
      <c r="G41" s="459"/>
      <c r="H41" s="459"/>
      <c r="I41" s="459"/>
      <c r="J41" s="459"/>
      <c r="K41" s="459"/>
      <c r="L41" s="459"/>
      <c r="M41" s="459"/>
      <c r="N41" s="459"/>
      <c r="O41" s="459"/>
      <c r="P41" s="459"/>
      <c r="Q41" s="459"/>
      <c r="R41" s="459"/>
      <c r="S41" s="459"/>
      <c r="T41" s="459"/>
      <c r="U41" s="459"/>
      <c r="V41" s="459"/>
      <c r="W41" s="458"/>
      <c r="X41" s="458"/>
      <c r="Y41" s="458"/>
      <c r="Z41" s="458"/>
      <c r="AA41" s="458"/>
      <c r="AB41" s="458"/>
      <c r="AC41" s="458"/>
      <c r="AD41" s="458"/>
      <c r="AE41" s="458"/>
      <c r="AF41" s="458"/>
      <c r="AG41" s="458"/>
      <c r="AH41" s="458"/>
      <c r="AI41" s="458"/>
      <c r="AJ41" s="457"/>
      <c r="AK41" s="443"/>
    </row>
    <row r="42" spans="1:38" s="448" customFormat="1" x14ac:dyDescent="0.25">
      <c r="B42" s="452"/>
      <c r="C42" s="451"/>
      <c r="D42" s="451"/>
      <c r="E42" s="451"/>
      <c r="F42" s="451"/>
      <c r="G42" s="451"/>
      <c r="H42" s="451"/>
      <c r="I42" s="451"/>
      <c r="J42" s="451"/>
      <c r="K42" s="451"/>
      <c r="L42" s="451"/>
      <c r="M42" s="451"/>
      <c r="N42" s="451"/>
      <c r="O42" s="451"/>
      <c r="P42" s="451"/>
      <c r="Q42" s="451"/>
      <c r="R42" s="451"/>
      <c r="S42" s="451"/>
      <c r="T42" s="451"/>
      <c r="U42" s="451"/>
      <c r="V42" s="451"/>
      <c r="W42" s="450"/>
      <c r="X42" s="450"/>
      <c r="Y42" s="450"/>
      <c r="Z42" s="450"/>
      <c r="AA42" s="450"/>
      <c r="AB42" s="450"/>
      <c r="AC42" s="450"/>
      <c r="AD42" s="450"/>
      <c r="AE42" s="450"/>
      <c r="AF42" s="450"/>
      <c r="AG42" s="450"/>
      <c r="AH42" s="450"/>
      <c r="AI42" s="450"/>
      <c r="AJ42" s="449"/>
      <c r="AK42" s="443"/>
    </row>
    <row r="43" spans="1:38" x14ac:dyDescent="0.25">
      <c r="B43" s="456"/>
      <c r="C43" s="455"/>
      <c r="D43" s="455"/>
      <c r="E43" s="455"/>
      <c r="F43" s="455"/>
      <c r="G43" s="455"/>
      <c r="H43" s="455"/>
      <c r="I43" s="455"/>
      <c r="J43" s="455"/>
      <c r="K43" s="455"/>
      <c r="L43" s="455"/>
      <c r="M43" s="455"/>
      <c r="N43" s="455"/>
      <c r="O43" s="455"/>
      <c r="P43" s="455"/>
      <c r="Q43" s="455"/>
      <c r="R43" s="455"/>
      <c r="S43" s="455"/>
      <c r="T43" s="455"/>
      <c r="U43" s="455"/>
      <c r="V43" s="455"/>
      <c r="W43" s="450"/>
      <c r="X43" s="450"/>
      <c r="Y43" s="450"/>
      <c r="Z43" s="450"/>
      <c r="AA43" s="450"/>
      <c r="AB43" s="450"/>
      <c r="AC43" s="450"/>
      <c r="AD43" s="450"/>
      <c r="AE43" s="450"/>
      <c r="AF43" s="450"/>
      <c r="AG43" s="450"/>
      <c r="AH43" s="450"/>
      <c r="AI43" s="450"/>
      <c r="AJ43" s="449"/>
      <c r="AK43" s="443"/>
    </row>
    <row r="44" spans="1:38" s="448" customFormat="1" x14ac:dyDescent="0.25">
      <c r="B44" s="452"/>
      <c r="C44" s="451"/>
      <c r="D44" s="451"/>
      <c r="E44" s="451"/>
      <c r="F44" s="451"/>
      <c r="G44" s="451"/>
      <c r="H44" s="451"/>
      <c r="I44" s="451"/>
      <c r="J44" s="451"/>
      <c r="K44" s="451"/>
      <c r="L44" s="451"/>
      <c r="M44" s="451"/>
      <c r="N44" s="451"/>
      <c r="O44" s="451"/>
      <c r="P44" s="451"/>
      <c r="Q44" s="451"/>
      <c r="R44" s="451"/>
      <c r="S44" s="451"/>
      <c r="T44" s="451"/>
      <c r="U44" s="451"/>
      <c r="V44" s="451"/>
      <c r="W44" s="450"/>
      <c r="X44" s="450"/>
      <c r="Y44" s="450"/>
      <c r="Z44" s="450"/>
      <c r="AA44" s="450"/>
      <c r="AB44" s="450"/>
      <c r="AC44" s="450"/>
      <c r="AD44" s="450"/>
      <c r="AE44" s="450"/>
      <c r="AF44" s="450"/>
      <c r="AG44" s="450"/>
      <c r="AH44" s="450"/>
      <c r="AI44" s="450"/>
      <c r="AJ44" s="449"/>
      <c r="AK44" s="443"/>
    </row>
    <row r="45" spans="1:38" s="442" customFormat="1" x14ac:dyDescent="0.25">
      <c r="B45" s="454"/>
      <c r="C45" s="453"/>
      <c r="D45" s="453"/>
      <c r="E45" s="453"/>
      <c r="F45" s="453"/>
      <c r="G45" s="453"/>
      <c r="H45" s="453"/>
      <c r="I45" s="453"/>
      <c r="J45" s="453"/>
      <c r="K45" s="453"/>
      <c r="L45" s="453"/>
      <c r="M45" s="453"/>
      <c r="N45" s="453"/>
      <c r="O45" s="453"/>
      <c r="P45" s="453"/>
      <c r="Q45" s="453"/>
      <c r="R45" s="453"/>
      <c r="S45" s="453"/>
      <c r="T45" s="453"/>
      <c r="U45" s="453"/>
      <c r="V45" s="453"/>
      <c r="W45" s="450"/>
      <c r="X45" s="450"/>
      <c r="Y45" s="450"/>
      <c r="Z45" s="450"/>
      <c r="AA45" s="450"/>
      <c r="AB45" s="450"/>
      <c r="AC45" s="450"/>
      <c r="AD45" s="450"/>
      <c r="AE45" s="450"/>
      <c r="AF45" s="450"/>
      <c r="AG45" s="450"/>
      <c r="AH45" s="450"/>
      <c r="AI45" s="450"/>
      <c r="AJ45" s="449"/>
      <c r="AK45" s="443"/>
    </row>
    <row r="46" spans="1:38" s="442" customFormat="1" x14ac:dyDescent="0.25">
      <c r="B46" s="454"/>
      <c r="C46" s="453"/>
      <c r="D46" s="453"/>
      <c r="E46" s="453"/>
      <c r="F46" s="453"/>
      <c r="G46" s="453"/>
      <c r="H46" s="453"/>
      <c r="I46" s="453"/>
      <c r="J46" s="453"/>
      <c r="K46" s="453"/>
      <c r="L46" s="453"/>
      <c r="M46" s="453"/>
      <c r="N46" s="453"/>
      <c r="O46" s="453"/>
      <c r="P46" s="453"/>
      <c r="Q46" s="453"/>
      <c r="R46" s="453"/>
      <c r="S46" s="453"/>
      <c r="T46" s="453"/>
      <c r="U46" s="453"/>
      <c r="V46" s="453"/>
      <c r="W46" s="450"/>
      <c r="X46" s="450"/>
      <c r="Y46" s="450"/>
      <c r="Z46" s="450"/>
      <c r="AA46" s="450"/>
      <c r="AB46" s="450"/>
      <c r="AC46" s="450"/>
      <c r="AD46" s="450"/>
      <c r="AE46" s="450"/>
      <c r="AF46" s="450"/>
      <c r="AG46" s="450"/>
      <c r="AH46" s="450"/>
      <c r="AI46" s="450"/>
      <c r="AJ46" s="449"/>
      <c r="AK46" s="443"/>
    </row>
    <row r="47" spans="1:38" s="448" customFormat="1" x14ac:dyDescent="0.25">
      <c r="B47" s="452"/>
      <c r="C47" s="451"/>
      <c r="D47" s="451"/>
      <c r="E47" s="451"/>
      <c r="F47" s="451"/>
      <c r="G47" s="451"/>
      <c r="H47" s="451"/>
      <c r="I47" s="451"/>
      <c r="J47" s="451"/>
      <c r="K47" s="451"/>
      <c r="L47" s="451"/>
      <c r="M47" s="451"/>
      <c r="N47" s="451"/>
      <c r="O47" s="451"/>
      <c r="P47" s="451"/>
      <c r="Q47" s="451"/>
      <c r="R47" s="451"/>
      <c r="S47" s="451"/>
      <c r="T47" s="451"/>
      <c r="U47" s="451"/>
      <c r="V47" s="451"/>
      <c r="W47" s="450"/>
      <c r="X47" s="450"/>
      <c r="Y47" s="450"/>
      <c r="Z47" s="450"/>
      <c r="AA47" s="450"/>
      <c r="AB47" s="450"/>
      <c r="AC47" s="450"/>
      <c r="AD47" s="450"/>
      <c r="AE47" s="450"/>
      <c r="AF47" s="450"/>
      <c r="AG47" s="450"/>
      <c r="AH47" s="450"/>
      <c r="AI47" s="450"/>
      <c r="AJ47" s="449"/>
      <c r="AK47" s="443"/>
    </row>
    <row r="48" spans="1:38" s="448" customFormat="1" x14ac:dyDescent="0.25">
      <c r="B48" s="452"/>
      <c r="C48" s="451"/>
      <c r="D48" s="451"/>
      <c r="E48" s="451"/>
      <c r="F48" s="451"/>
      <c r="G48" s="451"/>
      <c r="H48" s="451"/>
      <c r="I48" s="451"/>
      <c r="J48" s="451"/>
      <c r="K48" s="451"/>
      <c r="L48" s="451"/>
      <c r="M48" s="451"/>
      <c r="N48" s="451"/>
      <c r="O48" s="451"/>
      <c r="P48" s="451"/>
      <c r="Q48" s="451"/>
      <c r="R48" s="451"/>
      <c r="S48" s="451"/>
      <c r="T48" s="451"/>
      <c r="U48" s="451"/>
      <c r="V48" s="451"/>
      <c r="W48" s="450"/>
      <c r="X48" s="450"/>
      <c r="Y48" s="450"/>
      <c r="Z48" s="450"/>
      <c r="AA48" s="450"/>
      <c r="AB48" s="450"/>
      <c r="AC48" s="450"/>
      <c r="AD48" s="450"/>
      <c r="AE48" s="450"/>
      <c r="AF48" s="450"/>
      <c r="AG48" s="450"/>
      <c r="AH48" s="450"/>
      <c r="AI48" s="450"/>
      <c r="AJ48" s="449"/>
      <c r="AK48" s="443"/>
    </row>
    <row r="49" spans="2:37" s="448" customFormat="1" x14ac:dyDescent="0.25">
      <c r="B49" s="452"/>
      <c r="C49" s="451"/>
      <c r="D49" s="451"/>
      <c r="E49" s="451"/>
      <c r="F49" s="451"/>
      <c r="G49" s="451"/>
      <c r="H49" s="451"/>
      <c r="I49" s="451"/>
      <c r="J49" s="451"/>
      <c r="K49" s="451"/>
      <c r="L49" s="451"/>
      <c r="M49" s="451"/>
      <c r="N49" s="451"/>
      <c r="O49" s="451"/>
      <c r="P49" s="451"/>
      <c r="Q49" s="451"/>
      <c r="R49" s="451"/>
      <c r="S49" s="451"/>
      <c r="T49" s="451"/>
      <c r="U49" s="451"/>
      <c r="V49" s="451"/>
      <c r="W49" s="450"/>
      <c r="X49" s="450"/>
      <c r="Y49" s="450"/>
      <c r="Z49" s="450"/>
      <c r="AA49" s="450"/>
      <c r="AB49" s="450"/>
      <c r="AC49" s="450"/>
      <c r="AD49" s="450"/>
      <c r="AE49" s="450"/>
      <c r="AF49" s="450"/>
      <c r="AG49" s="450"/>
      <c r="AH49" s="450"/>
      <c r="AI49" s="450"/>
      <c r="AJ49" s="449"/>
      <c r="AK49" s="443"/>
    </row>
    <row r="50" spans="2:37" s="448" customFormat="1" x14ac:dyDescent="0.25">
      <c r="B50" s="452"/>
      <c r="C50" s="451"/>
      <c r="D50" s="451"/>
      <c r="E50" s="451"/>
      <c r="F50" s="451"/>
      <c r="G50" s="451"/>
      <c r="H50" s="451"/>
      <c r="I50" s="451"/>
      <c r="J50" s="451"/>
      <c r="K50" s="451"/>
      <c r="L50" s="451"/>
      <c r="M50" s="451"/>
      <c r="N50" s="451"/>
      <c r="O50" s="451"/>
      <c r="P50" s="451"/>
      <c r="Q50" s="451"/>
      <c r="R50" s="451"/>
      <c r="S50" s="451"/>
      <c r="T50" s="451"/>
      <c r="U50" s="451"/>
      <c r="V50" s="451"/>
      <c r="W50" s="450"/>
      <c r="X50" s="450"/>
      <c r="Y50" s="450"/>
      <c r="Z50" s="450"/>
      <c r="AA50" s="450"/>
      <c r="AB50" s="450"/>
      <c r="AC50" s="450"/>
      <c r="AD50" s="450"/>
      <c r="AE50" s="450"/>
      <c r="AF50" s="450"/>
      <c r="AG50" s="450"/>
      <c r="AH50" s="450"/>
      <c r="AI50" s="450"/>
      <c r="AJ50" s="449"/>
      <c r="AK50" s="443"/>
    </row>
    <row r="51" spans="2:37" s="442" customFormat="1" ht="13.5" thickBot="1" x14ac:dyDescent="0.3">
      <c r="B51" s="447"/>
      <c r="C51" s="446"/>
      <c r="D51" s="446"/>
      <c r="E51" s="446"/>
      <c r="F51" s="446"/>
      <c r="G51" s="446" t="s">
        <v>1531</v>
      </c>
      <c r="H51" s="446"/>
      <c r="I51" s="446"/>
      <c r="J51" s="446"/>
      <c r="K51" s="446"/>
      <c r="L51" s="446"/>
      <c r="M51" s="446"/>
      <c r="N51" s="446"/>
      <c r="O51" s="446"/>
      <c r="P51" s="446"/>
      <c r="Q51" s="446"/>
      <c r="R51" s="446"/>
      <c r="S51" s="446"/>
      <c r="T51" s="446"/>
      <c r="U51" s="446" t="s">
        <v>1532</v>
      </c>
      <c r="V51" s="446"/>
      <c r="W51" s="445"/>
      <c r="X51" s="445"/>
      <c r="Y51" s="445"/>
      <c r="Z51" s="445"/>
      <c r="AA51" s="445"/>
      <c r="AB51" s="445"/>
      <c r="AC51" s="445"/>
      <c r="AD51" s="445"/>
      <c r="AE51" s="445"/>
      <c r="AF51" s="445"/>
      <c r="AG51" s="445"/>
      <c r="AH51" s="445"/>
      <c r="AI51" s="445"/>
      <c r="AJ51" s="444"/>
      <c r="AK51" s="443"/>
    </row>
  </sheetData>
  <mergeCells count="9">
    <mergeCell ref="M36:U36"/>
    <mergeCell ref="V36:AC36"/>
    <mergeCell ref="AD36:AL36"/>
    <mergeCell ref="N1:X3"/>
    <mergeCell ref="J4:K4"/>
    <mergeCell ref="W13:AA15"/>
    <mergeCell ref="M31:U33"/>
    <mergeCell ref="V31:AC33"/>
    <mergeCell ref="AD31:AL33"/>
  </mergeCells>
  <pageMargins left="0.39370078740157483" right="0.39370078740157483" top="0.35433070866141736" bottom="0.35433070866141736" header="0.23622047244094491" footer="0.23622047244094491"/>
  <pageSetup orientation="portrait" r:id="rId1"/>
  <headerFooter alignWithMargins="0">
    <oddFooter>&amp;LMF SR č. 25947/1/2010&amp;RPage 1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213"/>
  <sheetViews>
    <sheetView zoomScaleNormal="100" zoomScaleSheetLayoutView="100" workbookViewId="0">
      <selection activeCell="G2" sqref="G2:I2"/>
    </sheetView>
  </sheetViews>
  <sheetFormatPr defaultRowHeight="11.25" x14ac:dyDescent="0.25"/>
  <cols>
    <col min="1" max="1" width="5.5703125" style="553" customWidth="1"/>
    <col min="2" max="2" width="18.7109375" style="553" customWidth="1"/>
    <col min="3" max="3" width="3.7109375" style="553" customWidth="1"/>
    <col min="4" max="4" width="3.5703125" style="553" customWidth="1"/>
    <col min="5" max="5" width="12.42578125" style="553" customWidth="1"/>
    <col min="6" max="6" width="12.140625" style="553" customWidth="1"/>
    <col min="7" max="7" width="14.7109375" style="553" customWidth="1"/>
    <col min="8" max="8" width="3.5703125" style="553" customWidth="1"/>
    <col min="9" max="9" width="10.5703125" style="553" customWidth="1"/>
    <col min="10" max="10" width="14.42578125" style="553" customWidth="1"/>
    <col min="11" max="16384" width="9.140625" style="553"/>
  </cols>
  <sheetData>
    <row r="1" spans="1:13" ht="7.5" customHeight="1" x14ac:dyDescent="0.25">
      <c r="A1" s="552"/>
      <c r="F1" s="496"/>
      <c r="G1" s="496"/>
      <c r="H1" s="496"/>
      <c r="I1" s="496"/>
    </row>
    <row r="2" spans="1:13" ht="17.25" customHeight="1" x14ac:dyDescent="0.25">
      <c r="A2" s="552"/>
      <c r="B2" s="1558" t="s">
        <v>1498</v>
      </c>
      <c r="C2" s="1559"/>
      <c r="E2" s="496"/>
      <c r="F2" s="577" t="s">
        <v>1533</v>
      </c>
      <c r="G2" s="1560" t="str">
        <f>"  "&amp;'BS-SK Cover sheet'!A11&amp;"  "&amp;'BS-SK Cover sheet'!B11&amp;"  "&amp;'BS-SK Cover sheet'!C11&amp;"  "&amp;'BS-SK Cover sheet'!D11&amp;"  "&amp;'BS-SK Cover sheet'!E11&amp;"  "&amp;'BS-SK Cover sheet'!F11&amp;"  "&amp;'BS-SK Cover sheet'!G11&amp;"  "&amp;'BS-SK Cover sheet'!H11&amp;"  "&amp;'BS-SK Cover sheet'!I11&amp;"  "&amp;'BS-SK Cover sheet'!J11</f>
        <v xml:space="preserve">  2  0  2  0  3  3  6  4  0  6</v>
      </c>
      <c r="H2" s="1561"/>
      <c r="I2" s="1562"/>
    </row>
    <row r="3" spans="1:13" ht="7.5" customHeight="1" thickBot="1" x14ac:dyDescent="0.3">
      <c r="A3" s="552"/>
    </row>
    <row r="4" spans="1:13" s="571" customFormat="1" ht="11.25" customHeight="1" x14ac:dyDescent="0.25">
      <c r="A4" s="1563" t="s">
        <v>1534</v>
      </c>
      <c r="B4" s="1565" t="s">
        <v>1535</v>
      </c>
      <c r="C4" s="1567" t="s">
        <v>1536</v>
      </c>
      <c r="D4" s="1492" t="s">
        <v>1537</v>
      </c>
      <c r="E4" s="1493"/>
      <c r="F4" s="1493"/>
      <c r="G4" s="1493"/>
      <c r="H4" s="1494"/>
      <c r="I4" s="1490" t="s">
        <v>1538</v>
      </c>
      <c r="J4" s="1491"/>
    </row>
    <row r="5" spans="1:13" s="571" customFormat="1" ht="11.25" customHeight="1" x14ac:dyDescent="0.15">
      <c r="A5" s="1564"/>
      <c r="B5" s="1566"/>
      <c r="C5" s="1568"/>
      <c r="D5" s="1511">
        <v>1</v>
      </c>
      <c r="E5" s="1478" t="s">
        <v>1539</v>
      </c>
      <c r="F5" s="1570"/>
      <c r="G5" s="1483" t="s">
        <v>1540</v>
      </c>
      <c r="H5" s="1484"/>
      <c r="I5" s="1480"/>
      <c r="J5" s="1489"/>
    </row>
    <row r="6" spans="1:13" s="571" customFormat="1" ht="12" customHeight="1" x14ac:dyDescent="0.25">
      <c r="A6" s="1532"/>
      <c r="B6" s="1531"/>
      <c r="C6" s="1538"/>
      <c r="D6" s="1569"/>
      <c r="E6" s="1478" t="s">
        <v>1541</v>
      </c>
      <c r="F6" s="1570"/>
      <c r="G6" s="1480"/>
      <c r="H6" s="1482"/>
      <c r="I6" s="1478" t="s">
        <v>1542</v>
      </c>
      <c r="J6" s="1479"/>
    </row>
    <row r="7" spans="1:13" s="573" customFormat="1" ht="27.95" customHeight="1" x14ac:dyDescent="0.25">
      <c r="A7" s="1571"/>
      <c r="B7" s="1573" t="s">
        <v>1543</v>
      </c>
      <c r="C7" s="1519" t="s">
        <v>522</v>
      </c>
      <c r="D7" s="1477">
        <f>BS!D10</f>
        <v>2889948</v>
      </c>
      <c r="E7" s="1477"/>
      <c r="F7" s="1477"/>
      <c r="G7" s="1473">
        <f>BS!F10</f>
        <v>2867628</v>
      </c>
      <c r="H7" s="1474"/>
      <c r="I7" s="1476"/>
      <c r="J7" s="572"/>
    </row>
    <row r="8" spans="1:13" s="573" customFormat="1" ht="27.95" customHeight="1" x14ac:dyDescent="0.25">
      <c r="A8" s="1572"/>
      <c r="B8" s="1499"/>
      <c r="C8" s="1519"/>
      <c r="D8" s="1477">
        <f>BS!E10</f>
        <v>223320</v>
      </c>
      <c r="E8" s="1477"/>
      <c r="F8" s="1477"/>
      <c r="G8" s="795"/>
      <c r="H8" s="1473">
        <f>BS!G10</f>
        <v>2216815</v>
      </c>
      <c r="I8" s="1474"/>
      <c r="J8" s="1475"/>
      <c r="M8" s="573" t="s">
        <v>1177</v>
      </c>
    </row>
    <row r="9" spans="1:13" s="573" customFormat="1" ht="27.95" customHeight="1" x14ac:dyDescent="0.25">
      <c r="A9" s="1574" t="s">
        <v>523</v>
      </c>
      <c r="B9" s="1499" t="s">
        <v>1544</v>
      </c>
      <c r="C9" s="1519" t="s">
        <v>525</v>
      </c>
      <c r="D9" s="1477">
        <f>BS!D11</f>
        <v>38844</v>
      </c>
      <c r="E9" s="1477"/>
      <c r="F9" s="1477"/>
      <c r="G9" s="1473">
        <f>BS!F11</f>
        <v>18240</v>
      </c>
      <c r="H9" s="1474"/>
      <c r="I9" s="1476"/>
      <c r="J9" s="572"/>
    </row>
    <row r="10" spans="1:13" s="573" customFormat="1" ht="27.95" customHeight="1" x14ac:dyDescent="0.25">
      <c r="A10" s="1575"/>
      <c r="B10" s="1499"/>
      <c r="C10" s="1519"/>
      <c r="D10" s="1477">
        <f>BS!E11</f>
        <v>20604</v>
      </c>
      <c r="E10" s="1477"/>
      <c r="F10" s="1477"/>
      <c r="G10" s="795"/>
      <c r="H10" s="1473">
        <f>BS!G11</f>
        <v>26010</v>
      </c>
      <c r="I10" s="1474"/>
      <c r="J10" s="1475"/>
    </row>
    <row r="11" spans="1:13" s="573" customFormat="1" ht="27.95" customHeight="1" x14ac:dyDescent="0.25">
      <c r="A11" s="1574" t="s">
        <v>526</v>
      </c>
      <c r="B11" s="1499" t="s">
        <v>1545</v>
      </c>
      <c r="C11" s="1519" t="s">
        <v>528</v>
      </c>
      <c r="D11" s="1477">
        <f>BS!D12</f>
        <v>0</v>
      </c>
      <c r="E11" s="1477"/>
      <c r="F11" s="1477"/>
      <c r="G11" s="1473">
        <f>BS!F12</f>
        <v>0</v>
      </c>
      <c r="H11" s="1474"/>
      <c r="I11" s="1476"/>
      <c r="J11" s="840"/>
    </row>
    <row r="12" spans="1:13" s="573" customFormat="1" ht="27.95" customHeight="1" x14ac:dyDescent="0.25">
      <c r="A12" s="1575"/>
      <c r="B12" s="1499"/>
      <c r="C12" s="1519"/>
      <c r="D12" s="1477">
        <f>BS!E12</f>
        <v>0</v>
      </c>
      <c r="E12" s="1477"/>
      <c r="F12" s="1477"/>
      <c r="G12" s="795"/>
      <c r="H12" s="1473">
        <f>BS!G12</f>
        <v>0</v>
      </c>
      <c r="I12" s="1474"/>
      <c r="J12" s="1475"/>
    </row>
    <row r="13" spans="1:13" s="571" customFormat="1" ht="27.95" customHeight="1" x14ac:dyDescent="0.25">
      <c r="A13" s="1577" t="s">
        <v>529</v>
      </c>
      <c r="B13" s="1497" t="s">
        <v>1546</v>
      </c>
      <c r="C13" s="1515" t="s">
        <v>531</v>
      </c>
      <c r="D13" s="1477">
        <f>BS!D13</f>
        <v>0</v>
      </c>
      <c r="E13" s="1477"/>
      <c r="F13" s="1477"/>
      <c r="G13" s="1473">
        <f>BS!F13</f>
        <v>0</v>
      </c>
      <c r="H13" s="1474"/>
      <c r="I13" s="1476"/>
      <c r="J13" s="572"/>
    </row>
    <row r="14" spans="1:13" s="571" customFormat="1" ht="27.95" customHeight="1" x14ac:dyDescent="0.25">
      <c r="A14" s="1578"/>
      <c r="B14" s="1497"/>
      <c r="C14" s="1516"/>
      <c r="D14" s="1477">
        <f>BS!E13</f>
        <v>0</v>
      </c>
      <c r="E14" s="1477"/>
      <c r="F14" s="1477"/>
      <c r="G14" s="795"/>
      <c r="H14" s="1473">
        <f>BS!G13</f>
        <v>0</v>
      </c>
      <c r="I14" s="1474"/>
      <c r="J14" s="1475"/>
    </row>
    <row r="15" spans="1:13" s="571" customFormat="1" ht="27.95" customHeight="1" x14ac:dyDescent="0.25">
      <c r="A15" s="1576" t="s">
        <v>532</v>
      </c>
      <c r="B15" s="1497" t="s">
        <v>1547</v>
      </c>
      <c r="C15" s="1515" t="s">
        <v>534</v>
      </c>
      <c r="D15" s="1477">
        <f>BS!D14</f>
        <v>0</v>
      </c>
      <c r="E15" s="1477"/>
      <c r="F15" s="1477"/>
      <c r="G15" s="1473">
        <f>BS!F14</f>
        <v>0</v>
      </c>
      <c r="H15" s="1474"/>
      <c r="I15" s="1476"/>
      <c r="J15" s="572"/>
    </row>
    <row r="16" spans="1:13" s="571" customFormat="1" ht="27.95" customHeight="1" x14ac:dyDescent="0.25">
      <c r="A16" s="1541"/>
      <c r="B16" s="1497"/>
      <c r="C16" s="1516"/>
      <c r="D16" s="1477">
        <f>BS!E14</f>
        <v>0</v>
      </c>
      <c r="E16" s="1477"/>
      <c r="F16" s="1477"/>
      <c r="G16" s="795"/>
      <c r="H16" s="1473">
        <f>BS!G14</f>
        <v>0</v>
      </c>
      <c r="I16" s="1474"/>
      <c r="J16" s="1475"/>
    </row>
    <row r="17" spans="1:10" s="571" customFormat="1" ht="27.95" customHeight="1" x14ac:dyDescent="0.25">
      <c r="A17" s="1576" t="s">
        <v>535</v>
      </c>
      <c r="B17" s="1497" t="s">
        <v>1548</v>
      </c>
      <c r="C17" s="1515" t="s">
        <v>537</v>
      </c>
      <c r="D17" s="1477">
        <f>BS!D15</f>
        <v>0</v>
      </c>
      <c r="E17" s="1477"/>
      <c r="F17" s="1477"/>
      <c r="G17" s="1473">
        <f>BS!F15</f>
        <v>0</v>
      </c>
      <c r="H17" s="1474"/>
      <c r="I17" s="1476"/>
      <c r="J17" s="572"/>
    </row>
    <row r="18" spans="1:10" s="571" customFormat="1" ht="27.95" customHeight="1" x14ac:dyDescent="0.25">
      <c r="A18" s="1541"/>
      <c r="B18" s="1497"/>
      <c r="C18" s="1516"/>
      <c r="D18" s="1477">
        <f>BS!E15</f>
        <v>0</v>
      </c>
      <c r="E18" s="1477"/>
      <c r="F18" s="1477"/>
      <c r="G18" s="795"/>
      <c r="H18" s="1473">
        <f>BS!G15</f>
        <v>0</v>
      </c>
      <c r="I18" s="1474"/>
      <c r="J18" s="1475"/>
    </row>
    <row r="19" spans="1:10" s="571" customFormat="1" ht="27.95" customHeight="1" x14ac:dyDescent="0.25">
      <c r="A19" s="1576" t="s">
        <v>538</v>
      </c>
      <c r="B19" s="1497" t="s">
        <v>1311</v>
      </c>
      <c r="C19" s="1515" t="s">
        <v>540</v>
      </c>
      <c r="D19" s="1477">
        <f>BS!D16</f>
        <v>0</v>
      </c>
      <c r="E19" s="1477"/>
      <c r="F19" s="1477"/>
      <c r="G19" s="1473">
        <f>BS!F16</f>
        <v>0</v>
      </c>
      <c r="H19" s="1474"/>
      <c r="I19" s="1476"/>
      <c r="J19" s="572"/>
    </row>
    <row r="20" spans="1:10" s="571" customFormat="1" ht="27.95" customHeight="1" x14ac:dyDescent="0.25">
      <c r="A20" s="1541"/>
      <c r="B20" s="1497"/>
      <c r="C20" s="1516"/>
      <c r="D20" s="1477">
        <f>BS!E16</f>
        <v>0</v>
      </c>
      <c r="E20" s="1477"/>
      <c r="F20" s="1477"/>
      <c r="G20" s="795"/>
      <c r="H20" s="1473">
        <f>BS!G16</f>
        <v>0</v>
      </c>
      <c r="I20" s="1474"/>
      <c r="J20" s="1475"/>
    </row>
    <row r="21" spans="1:10" s="571" customFormat="1" ht="27.95" customHeight="1" x14ac:dyDescent="0.25">
      <c r="A21" s="1576" t="s">
        <v>541</v>
      </c>
      <c r="B21" s="1497" t="s">
        <v>1549</v>
      </c>
      <c r="C21" s="1515" t="s">
        <v>543</v>
      </c>
      <c r="D21" s="1477">
        <f>BS!D17</f>
        <v>0</v>
      </c>
      <c r="E21" s="1477"/>
      <c r="F21" s="1477"/>
      <c r="G21" s="1473">
        <f>BS!F17</f>
        <v>0</v>
      </c>
      <c r="H21" s="1474"/>
      <c r="I21" s="1476"/>
      <c r="J21" s="572"/>
    </row>
    <row r="22" spans="1:10" s="571" customFormat="1" ht="27.95" customHeight="1" x14ac:dyDescent="0.25">
      <c r="A22" s="1541"/>
      <c r="B22" s="1497"/>
      <c r="C22" s="1516"/>
      <c r="D22" s="1477">
        <f>BS!E17</f>
        <v>0</v>
      </c>
      <c r="E22" s="1477"/>
      <c r="F22" s="1477"/>
      <c r="G22" s="795"/>
      <c r="H22" s="1473">
        <f>BS!G17</f>
        <v>0</v>
      </c>
      <c r="I22" s="1474"/>
      <c r="J22" s="1475"/>
    </row>
    <row r="23" spans="1:10" s="571" customFormat="1" ht="27.95" customHeight="1" x14ac:dyDescent="0.25">
      <c r="A23" s="1576" t="s">
        <v>544</v>
      </c>
      <c r="B23" s="1497" t="s">
        <v>1550</v>
      </c>
      <c r="C23" s="1515" t="s">
        <v>546</v>
      </c>
      <c r="D23" s="1477">
        <f>BS!D18</f>
        <v>0</v>
      </c>
      <c r="E23" s="1477"/>
      <c r="F23" s="1477"/>
      <c r="G23" s="1473">
        <f>BS!F18</f>
        <v>0</v>
      </c>
      <c r="H23" s="1474"/>
      <c r="I23" s="1476"/>
      <c r="J23" s="572"/>
    </row>
    <row r="24" spans="1:10" s="571" customFormat="1" ht="27.95" customHeight="1" x14ac:dyDescent="0.25">
      <c r="A24" s="1541"/>
      <c r="B24" s="1497"/>
      <c r="C24" s="1516"/>
      <c r="D24" s="1477">
        <f>BS!E18</f>
        <v>0</v>
      </c>
      <c r="E24" s="1477"/>
      <c r="F24" s="1477"/>
      <c r="G24" s="795"/>
      <c r="H24" s="1473">
        <f>BS!G18</f>
        <v>0</v>
      </c>
      <c r="I24" s="1474"/>
      <c r="J24" s="1475"/>
    </row>
    <row r="25" spans="1:10" s="571" customFormat="1" ht="27.95" customHeight="1" x14ac:dyDescent="0.25">
      <c r="A25" s="1576" t="s">
        <v>547</v>
      </c>
      <c r="B25" s="1497" t="s">
        <v>1551</v>
      </c>
      <c r="C25" s="1515" t="s">
        <v>549</v>
      </c>
      <c r="D25" s="1477">
        <f>BS!D19</f>
        <v>0</v>
      </c>
      <c r="E25" s="1477"/>
      <c r="F25" s="1477"/>
      <c r="G25" s="1473">
        <f>BS!F19</f>
        <v>0</v>
      </c>
      <c r="H25" s="1474"/>
      <c r="I25" s="1476"/>
      <c r="J25" s="572"/>
    </row>
    <row r="26" spans="1:10" s="571" customFormat="1" ht="27.95" customHeight="1" x14ac:dyDescent="0.25">
      <c r="A26" s="1541"/>
      <c r="B26" s="1497"/>
      <c r="C26" s="1516"/>
      <c r="D26" s="1477">
        <f>BS!E19</f>
        <v>0</v>
      </c>
      <c r="E26" s="1477"/>
      <c r="F26" s="1477"/>
      <c r="G26" s="795"/>
      <c r="H26" s="1473">
        <f>BS!G19</f>
        <v>0</v>
      </c>
      <c r="I26" s="1474"/>
      <c r="J26" s="1475"/>
    </row>
    <row r="27" spans="1:10" s="573" customFormat="1" ht="27.95" customHeight="1" x14ac:dyDescent="0.25">
      <c r="A27" s="1579" t="s">
        <v>550</v>
      </c>
      <c r="B27" s="1499" t="s">
        <v>551</v>
      </c>
      <c r="C27" s="1527" t="s">
        <v>552</v>
      </c>
      <c r="D27" s="1477">
        <f>BS!D20</f>
        <v>38844</v>
      </c>
      <c r="E27" s="1477"/>
      <c r="F27" s="1477"/>
      <c r="G27" s="1473">
        <f>BS!F20</f>
        <v>18240</v>
      </c>
      <c r="H27" s="1474"/>
      <c r="I27" s="1476"/>
      <c r="J27" s="572"/>
    </row>
    <row r="28" spans="1:10" s="573" customFormat="1" ht="27.95" customHeight="1" x14ac:dyDescent="0.25">
      <c r="A28" s="1580"/>
      <c r="B28" s="1499"/>
      <c r="C28" s="1528"/>
      <c r="D28" s="1477">
        <f>BS!E20</f>
        <v>20604</v>
      </c>
      <c r="E28" s="1477"/>
      <c r="F28" s="1477"/>
      <c r="G28" s="795"/>
      <c r="H28" s="1473">
        <f>BS!G20</f>
        <v>26010</v>
      </c>
      <c r="I28" s="1474"/>
      <c r="J28" s="1475"/>
    </row>
    <row r="29" spans="1:10" s="571" customFormat="1" ht="27.95" customHeight="1" x14ac:dyDescent="0.25">
      <c r="A29" s="1577" t="s">
        <v>553</v>
      </c>
      <c r="B29" s="1497" t="s">
        <v>1552</v>
      </c>
      <c r="C29" s="1515" t="s">
        <v>555</v>
      </c>
      <c r="D29" s="1477">
        <f>BS!D21</f>
        <v>0</v>
      </c>
      <c r="E29" s="1477"/>
      <c r="F29" s="1477"/>
      <c r="G29" s="1473">
        <f>BS!F21</f>
        <v>0</v>
      </c>
      <c r="H29" s="1474"/>
      <c r="I29" s="1476"/>
      <c r="J29" s="572"/>
    </row>
    <row r="30" spans="1:10" s="571" customFormat="1" ht="27.95" customHeight="1" x14ac:dyDescent="0.25">
      <c r="A30" s="1578"/>
      <c r="B30" s="1497"/>
      <c r="C30" s="1516"/>
      <c r="D30" s="1477">
        <f>BS!E21</f>
        <v>0</v>
      </c>
      <c r="E30" s="1477"/>
      <c r="F30" s="1477"/>
      <c r="G30" s="795"/>
      <c r="H30" s="1473">
        <f>BS!G21</f>
        <v>0</v>
      </c>
      <c r="I30" s="1474"/>
      <c r="J30" s="1475"/>
    </row>
    <row r="31" spans="1:10" s="571" customFormat="1" ht="27.95" customHeight="1" x14ac:dyDescent="0.25">
      <c r="A31" s="1576" t="s">
        <v>532</v>
      </c>
      <c r="B31" s="1497" t="s">
        <v>1553</v>
      </c>
      <c r="C31" s="1515" t="s">
        <v>557</v>
      </c>
      <c r="D31" s="1477">
        <f>BS!D22</f>
        <v>0</v>
      </c>
      <c r="E31" s="1477"/>
      <c r="F31" s="1477"/>
      <c r="G31" s="1581">
        <f>BS!F22</f>
        <v>0</v>
      </c>
      <c r="H31" s="1582"/>
      <c r="I31" s="1583"/>
      <c r="J31" s="572"/>
    </row>
    <row r="32" spans="1:10" s="571" customFormat="1" ht="27.95" customHeight="1" x14ac:dyDescent="0.25">
      <c r="A32" s="1541"/>
      <c r="B32" s="1497"/>
      <c r="C32" s="1516"/>
      <c r="D32" s="1477">
        <f>BS!E22</f>
        <v>0</v>
      </c>
      <c r="E32" s="1477"/>
      <c r="F32" s="1477"/>
      <c r="G32" s="795"/>
      <c r="H32" s="1473">
        <f>BS!G22</f>
        <v>0</v>
      </c>
      <c r="I32" s="1474"/>
      <c r="J32" s="1475"/>
    </row>
    <row r="33" spans="1:10" s="571" customFormat="1" ht="11.25" customHeight="1" x14ac:dyDescent="0.25">
      <c r="A33" s="1564" t="s">
        <v>1534</v>
      </c>
      <c r="B33" s="1566" t="s">
        <v>1535</v>
      </c>
      <c r="C33" s="1568" t="s">
        <v>1536</v>
      </c>
      <c r="D33" s="1480" t="s">
        <v>2</v>
      </c>
      <c r="E33" s="1481"/>
      <c r="F33" s="1481"/>
      <c r="G33" s="1481"/>
      <c r="H33" s="1482"/>
      <c r="I33" s="1487" t="s">
        <v>1264</v>
      </c>
      <c r="J33" s="1488"/>
    </row>
    <row r="34" spans="1:10" s="571" customFormat="1" ht="11.25" customHeight="1" x14ac:dyDescent="0.15">
      <c r="A34" s="1564"/>
      <c r="B34" s="1566"/>
      <c r="C34" s="1568"/>
      <c r="D34" s="1511">
        <v>1</v>
      </c>
      <c r="E34" s="1478" t="s">
        <v>1632</v>
      </c>
      <c r="F34" s="1570"/>
      <c r="G34" s="1483" t="s">
        <v>1262</v>
      </c>
      <c r="H34" s="1484"/>
      <c r="I34" s="1480"/>
      <c r="J34" s="1489"/>
    </row>
    <row r="35" spans="1:10" s="571" customFormat="1" ht="12" customHeight="1" x14ac:dyDescent="0.25">
      <c r="A35" s="1532"/>
      <c r="B35" s="1531"/>
      <c r="C35" s="1538"/>
      <c r="D35" s="1569"/>
      <c r="E35" s="1478" t="s">
        <v>1633</v>
      </c>
      <c r="F35" s="1570"/>
      <c r="G35" s="1480"/>
      <c r="H35" s="1482"/>
      <c r="I35" s="1478" t="s">
        <v>1260</v>
      </c>
      <c r="J35" s="1479"/>
    </row>
    <row r="36" spans="1:10" ht="27.95" customHeight="1" x14ac:dyDescent="0.25">
      <c r="A36" s="1576" t="s">
        <v>535</v>
      </c>
      <c r="B36" s="1542" t="s">
        <v>1554</v>
      </c>
      <c r="C36" s="1516" t="s">
        <v>559</v>
      </c>
      <c r="D36" s="1584">
        <f>BS!D23</f>
        <v>38844</v>
      </c>
      <c r="E36" s="1584"/>
      <c r="F36" s="1584"/>
      <c r="G36" s="1585">
        <f>BS!F23</f>
        <v>18240</v>
      </c>
      <c r="H36" s="1586"/>
      <c r="I36" s="1587"/>
      <c r="J36" s="841"/>
    </row>
    <row r="37" spans="1:10" ht="27.95" customHeight="1" x14ac:dyDescent="0.25">
      <c r="A37" s="1541"/>
      <c r="B37" s="1497"/>
      <c r="C37" s="1507"/>
      <c r="D37" s="1477">
        <f>BS!E23</f>
        <v>20604</v>
      </c>
      <c r="E37" s="1477"/>
      <c r="F37" s="1477"/>
      <c r="G37" s="842"/>
      <c r="H37" s="1473">
        <f>BS!G23</f>
        <v>26010</v>
      </c>
      <c r="I37" s="1474"/>
      <c r="J37" s="1475"/>
    </row>
    <row r="38" spans="1:10" ht="27.95" customHeight="1" x14ac:dyDescent="0.25">
      <c r="A38" s="1576" t="s">
        <v>538</v>
      </c>
      <c r="B38" s="1497" t="s">
        <v>1555</v>
      </c>
      <c r="C38" s="1507" t="s">
        <v>561</v>
      </c>
      <c r="D38" s="1477">
        <f>BS!D24</f>
        <v>0</v>
      </c>
      <c r="E38" s="1477"/>
      <c r="F38" s="1477"/>
      <c r="G38" s="1473">
        <f>BS!F24</f>
        <v>0</v>
      </c>
      <c r="H38" s="1474"/>
      <c r="I38" s="1476"/>
      <c r="J38" s="841"/>
    </row>
    <row r="39" spans="1:10" ht="27.95" customHeight="1" x14ac:dyDescent="0.25">
      <c r="A39" s="1541"/>
      <c r="B39" s="1497"/>
      <c r="C39" s="1507"/>
      <c r="D39" s="1477">
        <f>BS!E24</f>
        <v>0</v>
      </c>
      <c r="E39" s="1477"/>
      <c r="F39" s="1477"/>
      <c r="G39" s="842"/>
      <c r="H39" s="1473">
        <f>BS!G24</f>
        <v>0</v>
      </c>
      <c r="I39" s="1474"/>
      <c r="J39" s="1475"/>
    </row>
    <row r="40" spans="1:10" ht="27.95" customHeight="1" x14ac:dyDescent="0.25">
      <c r="A40" s="1576" t="s">
        <v>541</v>
      </c>
      <c r="B40" s="1497" t="s">
        <v>1556</v>
      </c>
      <c r="C40" s="1516" t="s">
        <v>563</v>
      </c>
      <c r="D40" s="1477">
        <f>BS!D25</f>
        <v>0</v>
      </c>
      <c r="E40" s="1477"/>
      <c r="F40" s="1477"/>
      <c r="G40" s="1473">
        <f>BS!F25</f>
        <v>0</v>
      </c>
      <c r="H40" s="1474"/>
      <c r="I40" s="1476"/>
      <c r="J40" s="841"/>
    </row>
    <row r="41" spans="1:10" ht="27.95" customHeight="1" x14ac:dyDescent="0.25">
      <c r="A41" s="1541"/>
      <c r="B41" s="1497"/>
      <c r="C41" s="1507"/>
      <c r="D41" s="1477">
        <f>BS!E25</f>
        <v>0</v>
      </c>
      <c r="E41" s="1477"/>
      <c r="F41" s="1477"/>
      <c r="G41" s="842"/>
      <c r="H41" s="1473">
        <f>BS!G25</f>
        <v>0</v>
      </c>
      <c r="I41" s="1474"/>
      <c r="J41" s="1475"/>
    </row>
    <row r="42" spans="1:10" ht="27.95" customHeight="1" x14ac:dyDescent="0.25">
      <c r="A42" s="1576" t="s">
        <v>544</v>
      </c>
      <c r="B42" s="1497" t="s">
        <v>1557</v>
      </c>
      <c r="C42" s="1507" t="s">
        <v>565</v>
      </c>
      <c r="D42" s="1477">
        <f>BS!D26</f>
        <v>0</v>
      </c>
      <c r="E42" s="1477"/>
      <c r="F42" s="1477"/>
      <c r="G42" s="1473">
        <f>BS!F26</f>
        <v>0</v>
      </c>
      <c r="H42" s="1474"/>
      <c r="I42" s="1476"/>
      <c r="J42" s="841"/>
    </row>
    <row r="43" spans="1:10" ht="27.95" customHeight="1" x14ac:dyDescent="0.25">
      <c r="A43" s="1541"/>
      <c r="B43" s="1497"/>
      <c r="C43" s="1507"/>
      <c r="D43" s="1477">
        <f>BS!E26</f>
        <v>0</v>
      </c>
      <c r="E43" s="1477"/>
      <c r="F43" s="1477"/>
      <c r="G43" s="842"/>
      <c r="H43" s="1473">
        <f>BS!G26</f>
        <v>0</v>
      </c>
      <c r="I43" s="1474"/>
      <c r="J43" s="1475"/>
    </row>
    <row r="44" spans="1:10" ht="27.95" customHeight="1" x14ac:dyDescent="0.25">
      <c r="A44" s="1576" t="s">
        <v>547</v>
      </c>
      <c r="B44" s="1497" t="s">
        <v>1558</v>
      </c>
      <c r="C44" s="1516" t="s">
        <v>567</v>
      </c>
      <c r="D44" s="1477">
        <f>BS!D27</f>
        <v>0</v>
      </c>
      <c r="E44" s="1477"/>
      <c r="F44" s="1477"/>
      <c r="G44" s="1473">
        <f>BS!F27</f>
        <v>0</v>
      </c>
      <c r="H44" s="1474"/>
      <c r="I44" s="1476"/>
      <c r="J44" s="841"/>
    </row>
    <row r="45" spans="1:10" ht="27.95" customHeight="1" x14ac:dyDescent="0.25">
      <c r="A45" s="1541"/>
      <c r="B45" s="1497"/>
      <c r="C45" s="1507"/>
      <c r="D45" s="1477">
        <f>BS!E27</f>
        <v>0</v>
      </c>
      <c r="E45" s="1477"/>
      <c r="F45" s="1477"/>
      <c r="G45" s="842"/>
      <c r="H45" s="1473">
        <f>BS!G27</f>
        <v>0</v>
      </c>
      <c r="I45" s="1474"/>
      <c r="J45" s="1475"/>
    </row>
    <row r="46" spans="1:10" ht="27.95" customHeight="1" x14ac:dyDescent="0.25">
      <c r="A46" s="1576" t="s">
        <v>568</v>
      </c>
      <c r="B46" s="1497" t="s">
        <v>1559</v>
      </c>
      <c r="C46" s="1507" t="s">
        <v>570</v>
      </c>
      <c r="D46" s="1477">
        <f>BS!D28</f>
        <v>0</v>
      </c>
      <c r="E46" s="1477"/>
      <c r="F46" s="1477"/>
      <c r="G46" s="1473">
        <f>BS!F28</f>
        <v>0</v>
      </c>
      <c r="H46" s="1474"/>
      <c r="I46" s="1476"/>
      <c r="J46" s="841"/>
    </row>
    <row r="47" spans="1:10" ht="27.95" customHeight="1" x14ac:dyDescent="0.25">
      <c r="A47" s="1541"/>
      <c r="B47" s="1497"/>
      <c r="C47" s="1507"/>
      <c r="D47" s="1477">
        <f>BS!E28</f>
        <v>0</v>
      </c>
      <c r="E47" s="1477"/>
      <c r="F47" s="1477"/>
      <c r="G47" s="842"/>
      <c r="H47" s="1473">
        <f>BS!G28</f>
        <v>0</v>
      </c>
      <c r="I47" s="1474"/>
      <c r="J47" s="1475"/>
    </row>
    <row r="48" spans="1:10" ht="27.95" customHeight="1" x14ac:dyDescent="0.25">
      <c r="A48" s="1576" t="s">
        <v>571</v>
      </c>
      <c r="B48" s="1497" t="s">
        <v>1560</v>
      </c>
      <c r="C48" s="1516" t="s">
        <v>573</v>
      </c>
      <c r="D48" s="1477">
        <f>BS!D29</f>
        <v>0</v>
      </c>
      <c r="E48" s="1477"/>
      <c r="F48" s="1477"/>
      <c r="G48" s="1473">
        <f>BS!F29</f>
        <v>0</v>
      </c>
      <c r="H48" s="1474"/>
      <c r="I48" s="1476"/>
      <c r="J48" s="841"/>
    </row>
    <row r="49" spans="1:10" ht="27.95" customHeight="1" x14ac:dyDescent="0.25">
      <c r="A49" s="1541"/>
      <c r="B49" s="1497"/>
      <c r="C49" s="1507"/>
      <c r="D49" s="1477">
        <f>BS!E29</f>
        <v>0</v>
      </c>
      <c r="E49" s="1477"/>
      <c r="F49" s="1477"/>
      <c r="G49" s="843"/>
      <c r="H49" s="1473">
        <f>BS!G29</f>
        <v>0</v>
      </c>
      <c r="I49" s="1474"/>
      <c r="J49" s="1475"/>
    </row>
    <row r="50" spans="1:10" ht="27.95" customHeight="1" x14ac:dyDescent="0.25">
      <c r="A50" s="1579" t="s">
        <v>574</v>
      </c>
      <c r="B50" s="1499" t="s">
        <v>1561</v>
      </c>
      <c r="C50" s="1507" t="s">
        <v>576</v>
      </c>
      <c r="D50" s="1477">
        <f>BS!D30</f>
        <v>0</v>
      </c>
      <c r="E50" s="1477"/>
      <c r="F50" s="1477"/>
      <c r="G50" s="1473">
        <f>BS!F30</f>
        <v>0</v>
      </c>
      <c r="H50" s="1474"/>
      <c r="I50" s="1476"/>
      <c r="J50" s="841"/>
    </row>
    <row r="51" spans="1:10" ht="27.95" customHeight="1" x14ac:dyDescent="0.25">
      <c r="A51" s="1580"/>
      <c r="B51" s="1499"/>
      <c r="C51" s="1507"/>
      <c r="D51" s="1477">
        <f>BS!E30</f>
        <v>0</v>
      </c>
      <c r="E51" s="1477"/>
      <c r="F51" s="1477"/>
      <c r="G51" s="843"/>
      <c r="H51" s="1473">
        <f>BS!G30</f>
        <v>0</v>
      </c>
      <c r="I51" s="1474"/>
      <c r="J51" s="1475"/>
    </row>
    <row r="52" spans="1:10" s="501" customFormat="1" ht="27.95" customHeight="1" x14ac:dyDescent="0.25">
      <c r="A52" s="1588" t="s">
        <v>577</v>
      </c>
      <c r="B52" s="1497" t="s">
        <v>1562</v>
      </c>
      <c r="C52" s="1516" t="s">
        <v>579</v>
      </c>
      <c r="D52" s="1477">
        <f>BS!D31</f>
        <v>0</v>
      </c>
      <c r="E52" s="1477"/>
      <c r="F52" s="1477"/>
      <c r="G52" s="1473">
        <f>BS!F31</f>
        <v>0</v>
      </c>
      <c r="H52" s="1474"/>
      <c r="I52" s="1476"/>
      <c r="J52" s="841"/>
    </row>
    <row r="53" spans="1:10" s="501" customFormat="1" ht="27.95" customHeight="1" x14ac:dyDescent="0.25">
      <c r="A53" s="1589"/>
      <c r="B53" s="1497"/>
      <c r="C53" s="1507"/>
      <c r="D53" s="1477">
        <f>BS!E31</f>
        <v>0</v>
      </c>
      <c r="E53" s="1477"/>
      <c r="F53" s="1477"/>
      <c r="G53" s="843"/>
      <c r="H53" s="1473">
        <f>BS!G31</f>
        <v>0</v>
      </c>
      <c r="I53" s="1474"/>
      <c r="J53" s="1475"/>
    </row>
    <row r="54" spans="1:10" ht="27.95" customHeight="1" x14ac:dyDescent="0.25">
      <c r="A54" s="1576" t="s">
        <v>532</v>
      </c>
      <c r="B54" s="1497" t="s">
        <v>1563</v>
      </c>
      <c r="C54" s="1507" t="s">
        <v>581</v>
      </c>
      <c r="D54" s="1477">
        <f>BS!D32</f>
        <v>0</v>
      </c>
      <c r="E54" s="1477"/>
      <c r="F54" s="1477"/>
      <c r="G54" s="1473">
        <f>BS!F32</f>
        <v>0</v>
      </c>
      <c r="H54" s="1474"/>
      <c r="I54" s="1476"/>
      <c r="J54" s="841"/>
    </row>
    <row r="55" spans="1:10" ht="27.95" customHeight="1" x14ac:dyDescent="0.25">
      <c r="A55" s="1541"/>
      <c r="B55" s="1497"/>
      <c r="C55" s="1507"/>
      <c r="D55" s="1477">
        <f>BS!E32</f>
        <v>0</v>
      </c>
      <c r="E55" s="1477"/>
      <c r="F55" s="1477"/>
      <c r="G55" s="843"/>
      <c r="H55" s="1473">
        <f>BS!G32</f>
        <v>0</v>
      </c>
      <c r="I55" s="1474"/>
      <c r="J55" s="1475"/>
    </row>
    <row r="56" spans="1:10" ht="27.95" customHeight="1" x14ac:dyDescent="0.25">
      <c r="A56" s="1576" t="s">
        <v>535</v>
      </c>
      <c r="B56" s="1497" t="s">
        <v>1564</v>
      </c>
      <c r="C56" s="1516" t="s">
        <v>583</v>
      </c>
      <c r="D56" s="1477">
        <f>BS!D33</f>
        <v>0</v>
      </c>
      <c r="E56" s="1477"/>
      <c r="F56" s="1477"/>
      <c r="G56" s="1473">
        <f>BS!F33</f>
        <v>0</v>
      </c>
      <c r="H56" s="1474"/>
      <c r="I56" s="1476"/>
      <c r="J56" s="841"/>
    </row>
    <row r="57" spans="1:10" ht="27.95" customHeight="1" x14ac:dyDescent="0.25">
      <c r="A57" s="1541"/>
      <c r="B57" s="1497"/>
      <c r="C57" s="1507"/>
      <c r="D57" s="1477">
        <f>BS!E33</f>
        <v>0</v>
      </c>
      <c r="E57" s="1477"/>
      <c r="F57" s="1477"/>
      <c r="G57" s="843"/>
      <c r="H57" s="1473">
        <f>BS!G33</f>
        <v>0</v>
      </c>
      <c r="I57" s="1474"/>
      <c r="J57" s="1475"/>
    </row>
    <row r="58" spans="1:10" ht="27.95" customHeight="1" x14ac:dyDescent="0.25">
      <c r="A58" s="1576" t="s">
        <v>538</v>
      </c>
      <c r="B58" s="1497" t="s">
        <v>1565</v>
      </c>
      <c r="C58" s="1507" t="s">
        <v>585</v>
      </c>
      <c r="D58" s="1477">
        <f>BS!D34</f>
        <v>0</v>
      </c>
      <c r="E58" s="1477"/>
      <c r="F58" s="1477"/>
      <c r="G58" s="1473">
        <f>BS!F34</f>
        <v>0</v>
      </c>
      <c r="H58" s="1474"/>
      <c r="I58" s="1476"/>
      <c r="J58" s="841"/>
    </row>
    <row r="59" spans="1:10" ht="27.95" customHeight="1" x14ac:dyDescent="0.25">
      <c r="A59" s="1541"/>
      <c r="B59" s="1590"/>
      <c r="C59" s="1507"/>
      <c r="D59" s="1477">
        <f>BS!E34</f>
        <v>0</v>
      </c>
      <c r="E59" s="1477"/>
      <c r="F59" s="1477"/>
      <c r="G59" s="843"/>
      <c r="H59" s="1473">
        <f>BS!G34</f>
        <v>0</v>
      </c>
      <c r="I59" s="1474"/>
      <c r="J59" s="1475"/>
    </row>
    <row r="60" spans="1:10" ht="27.95" customHeight="1" x14ac:dyDescent="0.25">
      <c r="A60" s="1576" t="s">
        <v>541</v>
      </c>
      <c r="B60" s="1497" t="s">
        <v>1566</v>
      </c>
      <c r="C60" s="1516" t="s">
        <v>587</v>
      </c>
      <c r="D60" s="1477">
        <f>BS!D35</f>
        <v>0</v>
      </c>
      <c r="E60" s="1477"/>
      <c r="F60" s="1477"/>
      <c r="G60" s="1473">
        <f>BS!F35</f>
        <v>0</v>
      </c>
      <c r="H60" s="1474"/>
      <c r="I60" s="1476"/>
      <c r="J60" s="841"/>
    </row>
    <row r="61" spans="1:10" ht="27.95" customHeight="1" x14ac:dyDescent="0.25">
      <c r="A61" s="1541"/>
      <c r="B61" s="1497"/>
      <c r="C61" s="1507"/>
      <c r="D61" s="1477">
        <f>BS!E35</f>
        <v>0</v>
      </c>
      <c r="E61" s="1477"/>
      <c r="F61" s="1477"/>
      <c r="G61" s="843"/>
      <c r="H61" s="1473">
        <f>BS!G35</f>
        <v>0</v>
      </c>
      <c r="I61" s="1474"/>
      <c r="J61" s="1475"/>
    </row>
    <row r="62" spans="1:10" ht="27.95" customHeight="1" x14ac:dyDescent="0.25">
      <c r="A62" s="1576" t="s">
        <v>544</v>
      </c>
      <c r="B62" s="1497" t="s">
        <v>1567</v>
      </c>
      <c r="C62" s="1507" t="s">
        <v>589</v>
      </c>
      <c r="D62" s="1477">
        <f>BS!D36</f>
        <v>0</v>
      </c>
      <c r="E62" s="1477"/>
      <c r="F62" s="1477"/>
      <c r="G62" s="1473">
        <f>BS!F36</f>
        <v>0</v>
      </c>
      <c r="H62" s="1474"/>
      <c r="I62" s="1476"/>
      <c r="J62" s="841"/>
    </row>
    <row r="63" spans="1:10" ht="27.95" customHeight="1" x14ac:dyDescent="0.25">
      <c r="A63" s="1541"/>
      <c r="B63" s="1497"/>
      <c r="C63" s="1507"/>
      <c r="D63" s="1477">
        <f>BS!E36</f>
        <v>0</v>
      </c>
      <c r="E63" s="1477"/>
      <c r="F63" s="1477"/>
      <c r="G63" s="795"/>
      <c r="H63" s="1473">
        <f>BS!G36</f>
        <v>0</v>
      </c>
      <c r="I63" s="1474"/>
      <c r="J63" s="1475"/>
    </row>
    <row r="64" spans="1:10" ht="11.25" customHeight="1" x14ac:dyDescent="0.25">
      <c r="A64" s="1564" t="s">
        <v>1534</v>
      </c>
      <c r="B64" s="1566" t="s">
        <v>1535</v>
      </c>
      <c r="C64" s="1568" t="s">
        <v>1536</v>
      </c>
      <c r="D64" s="1480" t="s">
        <v>1537</v>
      </c>
      <c r="E64" s="1481"/>
      <c r="F64" s="1481"/>
      <c r="G64" s="1481"/>
      <c r="H64" s="1482"/>
      <c r="I64" s="1487" t="s">
        <v>1538</v>
      </c>
      <c r="J64" s="1488"/>
    </row>
    <row r="65" spans="1:10" ht="11.25" customHeight="1" x14ac:dyDescent="0.15">
      <c r="A65" s="1564"/>
      <c r="B65" s="1566"/>
      <c r="C65" s="1568"/>
      <c r="D65" s="1511">
        <v>1</v>
      </c>
      <c r="E65" s="1478" t="s">
        <v>1539</v>
      </c>
      <c r="F65" s="1570"/>
      <c r="G65" s="1483" t="s">
        <v>1540</v>
      </c>
      <c r="H65" s="1484"/>
      <c r="I65" s="1480"/>
      <c r="J65" s="1489"/>
    </row>
    <row r="66" spans="1:10" ht="11.25" customHeight="1" x14ac:dyDescent="0.25">
      <c r="A66" s="1532"/>
      <c r="B66" s="1531"/>
      <c r="C66" s="1538"/>
      <c r="D66" s="1569"/>
      <c r="E66" s="1478" t="s">
        <v>1541</v>
      </c>
      <c r="F66" s="1570"/>
      <c r="G66" s="1480"/>
      <c r="H66" s="1482"/>
      <c r="I66" s="1478" t="s">
        <v>1542</v>
      </c>
      <c r="J66" s="1479"/>
    </row>
    <row r="67" spans="1:10" ht="27.95" customHeight="1" x14ac:dyDescent="0.25">
      <c r="A67" s="1576" t="s">
        <v>547</v>
      </c>
      <c r="B67" s="1542" t="s">
        <v>1568</v>
      </c>
      <c r="C67" s="1507" t="s">
        <v>888</v>
      </c>
      <c r="D67" s="1477">
        <f>BS!D37</f>
        <v>0</v>
      </c>
      <c r="E67" s="1477"/>
      <c r="F67" s="1473"/>
      <c r="G67" s="1473">
        <f>BS!F37</f>
        <v>0</v>
      </c>
      <c r="H67" s="1474"/>
      <c r="I67" s="1476"/>
      <c r="J67" s="841"/>
    </row>
    <row r="68" spans="1:10" ht="27.95" customHeight="1" x14ac:dyDescent="0.25">
      <c r="A68" s="1541"/>
      <c r="B68" s="1497"/>
      <c r="C68" s="1507"/>
      <c r="D68" s="1477">
        <f>BS!E37</f>
        <v>0</v>
      </c>
      <c r="E68" s="1477"/>
      <c r="F68" s="1477"/>
      <c r="G68" s="844"/>
      <c r="H68" s="1473">
        <f>BS!G37</f>
        <v>0</v>
      </c>
      <c r="I68" s="1474"/>
      <c r="J68" s="1475"/>
    </row>
    <row r="69" spans="1:10" ht="27.95" customHeight="1" x14ac:dyDescent="0.25">
      <c r="A69" s="1576" t="s">
        <v>568</v>
      </c>
      <c r="B69" s="1497" t="s">
        <v>1569</v>
      </c>
      <c r="C69" s="1507" t="s">
        <v>891</v>
      </c>
      <c r="D69" s="1477">
        <f>BS!D38</f>
        <v>0</v>
      </c>
      <c r="E69" s="1477"/>
      <c r="F69" s="1473"/>
      <c r="G69" s="1473">
        <f>BS!F38</f>
        <v>0</v>
      </c>
      <c r="H69" s="1474"/>
      <c r="I69" s="1476"/>
      <c r="J69" s="841"/>
    </row>
    <row r="70" spans="1:10" ht="27.95" customHeight="1" x14ac:dyDescent="0.25">
      <c r="A70" s="1541"/>
      <c r="B70" s="1497"/>
      <c r="C70" s="1507"/>
      <c r="D70" s="1477">
        <f>BS!E38</f>
        <v>0</v>
      </c>
      <c r="E70" s="1477"/>
      <c r="F70" s="1477"/>
      <c r="G70" s="844"/>
      <c r="H70" s="1473">
        <f>BS!G38</f>
        <v>0</v>
      </c>
      <c r="I70" s="1474"/>
      <c r="J70" s="1475"/>
    </row>
    <row r="71" spans="1:10" ht="27.95" customHeight="1" x14ac:dyDescent="0.25">
      <c r="A71" s="1574" t="s">
        <v>594</v>
      </c>
      <c r="B71" s="1499" t="s">
        <v>1570</v>
      </c>
      <c r="C71" s="1507" t="s">
        <v>894</v>
      </c>
      <c r="D71" s="1477">
        <f>BS!D39</f>
        <v>2847082</v>
      </c>
      <c r="E71" s="1477"/>
      <c r="F71" s="1473"/>
      <c r="G71" s="1473">
        <f>BS!F39</f>
        <v>2845366</v>
      </c>
      <c r="H71" s="1474"/>
      <c r="I71" s="1476"/>
      <c r="J71" s="841"/>
    </row>
    <row r="72" spans="1:10" ht="27.95" customHeight="1" x14ac:dyDescent="0.25">
      <c r="A72" s="1575"/>
      <c r="B72" s="1499"/>
      <c r="C72" s="1507"/>
      <c r="D72" s="1477">
        <f>BS!E39</f>
        <v>1716</v>
      </c>
      <c r="E72" s="1477"/>
      <c r="F72" s="1477"/>
      <c r="G72" s="844"/>
      <c r="H72" s="1473">
        <f>BS!G39</f>
        <v>2170868</v>
      </c>
      <c r="I72" s="1474"/>
      <c r="J72" s="1475"/>
    </row>
    <row r="73" spans="1:10" s="501" customFormat="1" ht="27.95" customHeight="1" x14ac:dyDescent="0.25">
      <c r="A73" s="1579" t="s">
        <v>597</v>
      </c>
      <c r="B73" s="1499" t="s">
        <v>598</v>
      </c>
      <c r="C73" s="1507" t="s">
        <v>897</v>
      </c>
      <c r="D73" s="1477">
        <f>BS!D40</f>
        <v>0</v>
      </c>
      <c r="E73" s="1477"/>
      <c r="F73" s="1473"/>
      <c r="G73" s="1473">
        <f>BS!F40</f>
        <v>0</v>
      </c>
      <c r="H73" s="1474"/>
      <c r="I73" s="1476"/>
      <c r="J73" s="841"/>
    </row>
    <row r="74" spans="1:10" s="501" customFormat="1" ht="27.95" customHeight="1" x14ac:dyDescent="0.25">
      <c r="A74" s="1580"/>
      <c r="B74" s="1499"/>
      <c r="C74" s="1507"/>
      <c r="D74" s="1477">
        <f>BS!E40</f>
        <v>0</v>
      </c>
      <c r="E74" s="1477"/>
      <c r="F74" s="1477"/>
      <c r="G74" s="844"/>
      <c r="H74" s="1473">
        <f>BS!G40</f>
        <v>0</v>
      </c>
      <c r="I74" s="1474"/>
      <c r="J74" s="1475"/>
    </row>
    <row r="75" spans="1:10" s="501" customFormat="1" ht="27.95" customHeight="1" x14ac:dyDescent="0.25">
      <c r="A75" s="1577" t="s">
        <v>600</v>
      </c>
      <c r="B75" s="1497" t="s">
        <v>1571</v>
      </c>
      <c r="C75" s="1507" t="s">
        <v>900</v>
      </c>
      <c r="D75" s="1477">
        <f>BS!D41</f>
        <v>0</v>
      </c>
      <c r="E75" s="1477"/>
      <c r="F75" s="1473"/>
      <c r="G75" s="1473">
        <f>BS!F41</f>
        <v>0</v>
      </c>
      <c r="H75" s="1474"/>
      <c r="I75" s="1476"/>
      <c r="J75" s="841"/>
    </row>
    <row r="76" spans="1:10" s="501" customFormat="1" ht="27.95" customHeight="1" x14ac:dyDescent="0.25">
      <c r="A76" s="1578"/>
      <c r="B76" s="1497"/>
      <c r="C76" s="1507"/>
      <c r="D76" s="1477">
        <f>BS!E41</f>
        <v>0</v>
      </c>
      <c r="E76" s="1477"/>
      <c r="F76" s="1477"/>
      <c r="G76" s="844"/>
      <c r="H76" s="1473">
        <f>BS!G41</f>
        <v>0</v>
      </c>
      <c r="I76" s="1474"/>
      <c r="J76" s="1475"/>
    </row>
    <row r="77" spans="1:10" ht="27.95" customHeight="1" x14ac:dyDescent="0.25">
      <c r="A77" s="1576" t="s">
        <v>532</v>
      </c>
      <c r="B77" s="1497" t="s">
        <v>1572</v>
      </c>
      <c r="C77" s="1507" t="s">
        <v>903</v>
      </c>
      <c r="D77" s="1477">
        <f>BS!D42</f>
        <v>0</v>
      </c>
      <c r="E77" s="1477"/>
      <c r="F77" s="1473"/>
      <c r="G77" s="1473">
        <f>BS!F42</f>
        <v>0</v>
      </c>
      <c r="H77" s="1474"/>
      <c r="I77" s="1476"/>
      <c r="J77" s="841"/>
    </row>
    <row r="78" spans="1:10" ht="27.95" customHeight="1" x14ac:dyDescent="0.25">
      <c r="A78" s="1541"/>
      <c r="B78" s="1497"/>
      <c r="C78" s="1507"/>
      <c r="D78" s="1477">
        <f>BS!E42</f>
        <v>0</v>
      </c>
      <c r="E78" s="1477"/>
      <c r="F78" s="1477"/>
      <c r="G78" s="844"/>
      <c r="H78" s="1473">
        <f>BS!G42</f>
        <v>0</v>
      </c>
      <c r="I78" s="1474"/>
      <c r="J78" s="1475"/>
    </row>
    <row r="79" spans="1:10" ht="27.95" customHeight="1" x14ac:dyDescent="0.25">
      <c r="A79" s="1576" t="s">
        <v>535</v>
      </c>
      <c r="B79" s="1497" t="s">
        <v>1573</v>
      </c>
      <c r="C79" s="1507" t="s">
        <v>906</v>
      </c>
      <c r="D79" s="1477">
        <f>BS!D43</f>
        <v>0</v>
      </c>
      <c r="E79" s="1477"/>
      <c r="F79" s="1473"/>
      <c r="G79" s="1473">
        <f>BS!F43</f>
        <v>0</v>
      </c>
      <c r="H79" s="1474"/>
      <c r="I79" s="1476"/>
      <c r="J79" s="841"/>
    </row>
    <row r="80" spans="1:10" ht="27.95" customHeight="1" x14ac:dyDescent="0.25">
      <c r="A80" s="1541"/>
      <c r="B80" s="1497"/>
      <c r="C80" s="1507"/>
      <c r="D80" s="1477">
        <f>BS!E43</f>
        <v>0</v>
      </c>
      <c r="E80" s="1477"/>
      <c r="F80" s="1477"/>
      <c r="G80" s="844"/>
      <c r="H80" s="1473">
        <f>BS!G43</f>
        <v>0</v>
      </c>
      <c r="I80" s="1474"/>
      <c r="J80" s="1475"/>
    </row>
    <row r="81" spans="1:10" ht="27.95" customHeight="1" x14ac:dyDescent="0.25">
      <c r="A81" s="1576" t="s">
        <v>538</v>
      </c>
      <c r="B81" s="1497" t="s">
        <v>1574</v>
      </c>
      <c r="C81" s="1507" t="s">
        <v>909</v>
      </c>
      <c r="D81" s="1477">
        <f>BS!D44</f>
        <v>0</v>
      </c>
      <c r="E81" s="1477"/>
      <c r="F81" s="1473"/>
      <c r="G81" s="1473">
        <f>BS!F44</f>
        <v>0</v>
      </c>
      <c r="H81" s="1474"/>
      <c r="I81" s="1476"/>
      <c r="J81" s="841"/>
    </row>
    <row r="82" spans="1:10" ht="27.95" customHeight="1" x14ac:dyDescent="0.25">
      <c r="A82" s="1541"/>
      <c r="B82" s="1497"/>
      <c r="C82" s="1507"/>
      <c r="D82" s="1477">
        <f>BS!E44</f>
        <v>0</v>
      </c>
      <c r="E82" s="1477"/>
      <c r="F82" s="1477"/>
      <c r="G82" s="844"/>
      <c r="H82" s="1473">
        <f>BS!G44</f>
        <v>0</v>
      </c>
      <c r="I82" s="1474"/>
      <c r="J82" s="1475"/>
    </row>
    <row r="83" spans="1:10" ht="27.95" customHeight="1" x14ac:dyDescent="0.25">
      <c r="A83" s="1576" t="s">
        <v>541</v>
      </c>
      <c r="B83" s="1497" t="s">
        <v>1575</v>
      </c>
      <c r="C83" s="1507" t="s">
        <v>912</v>
      </c>
      <c r="D83" s="1477">
        <f>BS!D45</f>
        <v>0</v>
      </c>
      <c r="E83" s="1477"/>
      <c r="F83" s="1473"/>
      <c r="G83" s="1473">
        <f>BS!F45</f>
        <v>0</v>
      </c>
      <c r="H83" s="1474"/>
      <c r="I83" s="1476"/>
      <c r="J83" s="841"/>
    </row>
    <row r="84" spans="1:10" ht="27.95" customHeight="1" x14ac:dyDescent="0.25">
      <c r="A84" s="1541"/>
      <c r="B84" s="1497"/>
      <c r="C84" s="1507"/>
      <c r="D84" s="1477">
        <f>BS!E45</f>
        <v>0</v>
      </c>
      <c r="E84" s="1477"/>
      <c r="F84" s="1477"/>
      <c r="G84" s="844"/>
      <c r="H84" s="1473">
        <f>BS!G45</f>
        <v>0</v>
      </c>
      <c r="I84" s="1474"/>
      <c r="J84" s="1475"/>
    </row>
    <row r="85" spans="1:10" ht="27.95" customHeight="1" x14ac:dyDescent="0.25">
      <c r="A85" s="1576" t="s">
        <v>544</v>
      </c>
      <c r="B85" s="1497" t="s">
        <v>1576</v>
      </c>
      <c r="C85" s="1507" t="s">
        <v>915</v>
      </c>
      <c r="D85" s="1477">
        <f>BS!D46</f>
        <v>0</v>
      </c>
      <c r="E85" s="1477"/>
      <c r="F85" s="1473"/>
      <c r="G85" s="1473">
        <f>BS!F46</f>
        <v>0</v>
      </c>
      <c r="H85" s="1474"/>
      <c r="I85" s="1476"/>
      <c r="J85" s="841"/>
    </row>
    <row r="86" spans="1:10" ht="27.95" customHeight="1" x14ac:dyDescent="0.25">
      <c r="A86" s="1541"/>
      <c r="B86" s="1497"/>
      <c r="C86" s="1507"/>
      <c r="D86" s="1477">
        <f>BS!E46</f>
        <v>0</v>
      </c>
      <c r="E86" s="1477"/>
      <c r="F86" s="1477"/>
      <c r="G86" s="844"/>
      <c r="H86" s="1473">
        <f>BS!G46</f>
        <v>0</v>
      </c>
      <c r="I86" s="1474"/>
      <c r="J86" s="1475"/>
    </row>
    <row r="87" spans="1:10" ht="27.95" customHeight="1" x14ac:dyDescent="0.25">
      <c r="A87" s="1579" t="s">
        <v>613</v>
      </c>
      <c r="B87" s="1499" t="s">
        <v>614</v>
      </c>
      <c r="C87" s="1507" t="s">
        <v>918</v>
      </c>
      <c r="D87" s="1477">
        <f>BS!D47</f>
        <v>25577</v>
      </c>
      <c r="E87" s="1477"/>
      <c r="F87" s="1473"/>
      <c r="G87" s="1473">
        <f>BS!F47</f>
        <v>25577</v>
      </c>
      <c r="H87" s="1474"/>
      <c r="I87" s="1476"/>
      <c r="J87" s="841"/>
    </row>
    <row r="88" spans="1:10" ht="27.95" customHeight="1" x14ac:dyDescent="0.25">
      <c r="A88" s="1580"/>
      <c r="B88" s="1499"/>
      <c r="C88" s="1507"/>
      <c r="D88" s="1477">
        <f>BS!E47</f>
        <v>0</v>
      </c>
      <c r="E88" s="1477"/>
      <c r="F88" s="1477"/>
      <c r="G88" s="844"/>
      <c r="H88" s="1473">
        <f>BS!G47</f>
        <v>19858</v>
      </c>
      <c r="I88" s="1474"/>
      <c r="J88" s="1475"/>
    </row>
    <row r="89" spans="1:10" s="501" customFormat="1" ht="27.95" customHeight="1" x14ac:dyDescent="0.25">
      <c r="A89" s="1577" t="s">
        <v>616</v>
      </c>
      <c r="B89" s="1497" t="s">
        <v>1577</v>
      </c>
      <c r="C89" s="1507" t="s">
        <v>921</v>
      </c>
      <c r="D89" s="1477">
        <f>BS!D48</f>
        <v>0</v>
      </c>
      <c r="E89" s="1477"/>
      <c r="F89" s="1473"/>
      <c r="G89" s="1473">
        <f>BS!F48</f>
        <v>0</v>
      </c>
      <c r="H89" s="1474"/>
      <c r="I89" s="1476"/>
      <c r="J89" s="841"/>
    </row>
    <row r="90" spans="1:10" s="501" customFormat="1" ht="27.95" customHeight="1" x14ac:dyDescent="0.25">
      <c r="A90" s="1578"/>
      <c r="B90" s="1590"/>
      <c r="C90" s="1507"/>
      <c r="D90" s="1477">
        <f>BS!E48</f>
        <v>0</v>
      </c>
      <c r="E90" s="1477"/>
      <c r="F90" s="1477"/>
      <c r="G90" s="844"/>
      <c r="H90" s="1473">
        <f>BS!G48</f>
        <v>0</v>
      </c>
      <c r="I90" s="1474"/>
      <c r="J90" s="1475"/>
    </row>
    <row r="91" spans="1:10" s="501" customFormat="1" ht="27.95" customHeight="1" x14ac:dyDescent="0.25">
      <c r="A91" s="1576" t="s">
        <v>532</v>
      </c>
      <c r="B91" s="1590" t="s">
        <v>619</v>
      </c>
      <c r="C91" s="1507" t="s">
        <v>924</v>
      </c>
      <c r="D91" s="1477">
        <f>BS!D49</f>
        <v>0</v>
      </c>
      <c r="E91" s="1477"/>
      <c r="F91" s="1473"/>
      <c r="G91" s="1473">
        <f>BS!F49</f>
        <v>0</v>
      </c>
      <c r="H91" s="1474"/>
      <c r="I91" s="1476"/>
      <c r="J91" s="841"/>
    </row>
    <row r="92" spans="1:10" s="501" customFormat="1" ht="27.95" customHeight="1" x14ac:dyDescent="0.25">
      <c r="A92" s="1541"/>
      <c r="B92" s="1542"/>
      <c r="C92" s="1507"/>
      <c r="D92" s="1477">
        <f>BS!E49</f>
        <v>0</v>
      </c>
      <c r="E92" s="1477"/>
      <c r="F92" s="1477"/>
      <c r="G92" s="844"/>
      <c r="H92" s="1473">
        <f>BS!G49</f>
        <v>0</v>
      </c>
      <c r="I92" s="1474"/>
      <c r="J92" s="1475"/>
    </row>
    <row r="93" spans="1:10" ht="27.95" customHeight="1" x14ac:dyDescent="0.25">
      <c r="A93" s="1576" t="s">
        <v>535</v>
      </c>
      <c r="B93" s="1590" t="s">
        <v>1578</v>
      </c>
      <c r="C93" s="1507" t="s">
        <v>927</v>
      </c>
      <c r="D93" s="1477">
        <f>BS!D50</f>
        <v>0</v>
      </c>
      <c r="E93" s="1477"/>
      <c r="F93" s="1473"/>
      <c r="G93" s="1473">
        <f>BS!F50</f>
        <v>0</v>
      </c>
      <c r="H93" s="1474"/>
      <c r="I93" s="1476"/>
      <c r="J93" s="841"/>
    </row>
    <row r="94" spans="1:10" ht="27.95" customHeight="1" x14ac:dyDescent="0.25">
      <c r="A94" s="1541"/>
      <c r="B94" s="1542"/>
      <c r="C94" s="1507"/>
      <c r="D94" s="1477">
        <f>BS!E50</f>
        <v>0</v>
      </c>
      <c r="E94" s="1477"/>
      <c r="F94" s="1477"/>
      <c r="G94" s="785"/>
      <c r="H94" s="1473">
        <f>BS!G50</f>
        <v>0</v>
      </c>
      <c r="I94" s="1474"/>
      <c r="J94" s="1475"/>
    </row>
    <row r="95" spans="1:10" ht="11.25" customHeight="1" x14ac:dyDescent="0.25">
      <c r="A95" s="1564" t="s">
        <v>1534</v>
      </c>
      <c r="B95" s="1566" t="s">
        <v>1535</v>
      </c>
      <c r="C95" s="1568" t="s">
        <v>1536</v>
      </c>
      <c r="D95" s="1480" t="s">
        <v>1537</v>
      </c>
      <c r="E95" s="1481"/>
      <c r="F95" s="1481"/>
      <c r="G95" s="1481"/>
      <c r="H95" s="1482"/>
      <c r="I95" s="1487" t="s">
        <v>1538</v>
      </c>
      <c r="J95" s="1488"/>
    </row>
    <row r="96" spans="1:10" ht="11.25" customHeight="1" x14ac:dyDescent="0.15">
      <c r="A96" s="1564"/>
      <c r="B96" s="1566"/>
      <c r="C96" s="1568"/>
      <c r="D96" s="1511">
        <v>1</v>
      </c>
      <c r="E96" s="1478" t="s">
        <v>1539</v>
      </c>
      <c r="F96" s="1570"/>
      <c r="G96" s="1483" t="s">
        <v>1540</v>
      </c>
      <c r="H96" s="1484"/>
      <c r="I96" s="1480"/>
      <c r="J96" s="1489"/>
    </row>
    <row r="97" spans="1:12" ht="12" customHeight="1" x14ac:dyDescent="0.25">
      <c r="A97" s="1532"/>
      <c r="B97" s="1531"/>
      <c r="C97" s="1538"/>
      <c r="D97" s="1569"/>
      <c r="E97" s="1478" t="s">
        <v>1541</v>
      </c>
      <c r="F97" s="1570"/>
      <c r="G97" s="1480"/>
      <c r="H97" s="1482"/>
      <c r="I97" s="1478" t="s">
        <v>1542</v>
      </c>
      <c r="J97" s="1479"/>
    </row>
    <row r="98" spans="1:12" ht="27.95" customHeight="1" x14ac:dyDescent="0.25">
      <c r="A98" s="1576" t="s">
        <v>538</v>
      </c>
      <c r="B98" s="1591" t="s">
        <v>1579</v>
      </c>
      <c r="C98" s="1516" t="s">
        <v>930</v>
      </c>
      <c r="D98" s="1477">
        <f>BS!D51</f>
        <v>0</v>
      </c>
      <c r="E98" s="1477"/>
      <c r="F98" s="1477"/>
      <c r="G98" s="1473">
        <f>BS!F51</f>
        <v>0</v>
      </c>
      <c r="H98" s="1474"/>
      <c r="I98" s="1476"/>
      <c r="J98" s="841"/>
      <c r="L98" s="553" t="s">
        <v>1177</v>
      </c>
    </row>
    <row r="99" spans="1:12" ht="27.95" customHeight="1" x14ac:dyDescent="0.25">
      <c r="A99" s="1541"/>
      <c r="B99" s="1542"/>
      <c r="C99" s="1507"/>
      <c r="D99" s="1477">
        <f>BS!E51</f>
        <v>0</v>
      </c>
      <c r="E99" s="1477"/>
      <c r="F99" s="1477"/>
      <c r="G99" s="842"/>
      <c r="H99" s="1473">
        <f>BS!G51</f>
        <v>0</v>
      </c>
      <c r="I99" s="1474"/>
      <c r="J99" s="1475"/>
    </row>
    <row r="100" spans="1:12" ht="27.95" customHeight="1" x14ac:dyDescent="0.25">
      <c r="A100" s="1576" t="s">
        <v>541</v>
      </c>
      <c r="B100" s="1497" t="s">
        <v>1580</v>
      </c>
      <c r="C100" s="1507" t="s">
        <v>933</v>
      </c>
      <c r="D100" s="1477">
        <f>BS!D52</f>
        <v>0</v>
      </c>
      <c r="E100" s="1477"/>
      <c r="F100" s="1477"/>
      <c r="G100" s="1473">
        <f>BS!F52</f>
        <v>0</v>
      </c>
      <c r="H100" s="1474"/>
      <c r="I100" s="1476"/>
      <c r="J100" s="841"/>
    </row>
    <row r="101" spans="1:12" ht="27.95" customHeight="1" x14ac:dyDescent="0.25">
      <c r="A101" s="1541"/>
      <c r="B101" s="1497"/>
      <c r="C101" s="1507"/>
      <c r="D101" s="1477">
        <f>BS!E52</f>
        <v>0</v>
      </c>
      <c r="E101" s="1477"/>
      <c r="F101" s="1477"/>
      <c r="G101" s="842"/>
      <c r="H101" s="1473">
        <f>BS!G52</f>
        <v>0</v>
      </c>
      <c r="I101" s="1474"/>
      <c r="J101" s="1475"/>
    </row>
    <row r="102" spans="1:12" ht="27.95" customHeight="1" x14ac:dyDescent="0.25">
      <c r="A102" s="1576" t="s">
        <v>544</v>
      </c>
      <c r="B102" s="1497" t="s">
        <v>1581</v>
      </c>
      <c r="C102" s="1516" t="s">
        <v>936</v>
      </c>
      <c r="D102" s="1477">
        <f>BS!D53</f>
        <v>0</v>
      </c>
      <c r="E102" s="1477"/>
      <c r="F102" s="1477"/>
      <c r="G102" s="1473">
        <f>BS!F53</f>
        <v>0</v>
      </c>
      <c r="H102" s="1474"/>
      <c r="I102" s="1476"/>
      <c r="J102" s="841"/>
    </row>
    <row r="103" spans="1:12" ht="27.95" customHeight="1" x14ac:dyDescent="0.25">
      <c r="A103" s="1541"/>
      <c r="B103" s="1497"/>
      <c r="C103" s="1507"/>
      <c r="D103" s="1477">
        <f>BS!E53</f>
        <v>0</v>
      </c>
      <c r="E103" s="1477"/>
      <c r="F103" s="1477"/>
      <c r="G103" s="842"/>
      <c r="H103" s="1473">
        <f>BS!G53</f>
        <v>0</v>
      </c>
      <c r="I103" s="1474"/>
      <c r="J103" s="1475"/>
    </row>
    <row r="104" spans="1:12" ht="27.95" customHeight="1" x14ac:dyDescent="0.25">
      <c r="A104" s="1576" t="s">
        <v>547</v>
      </c>
      <c r="B104" s="1497" t="s">
        <v>1582</v>
      </c>
      <c r="C104" s="1507" t="s">
        <v>939</v>
      </c>
      <c r="D104" s="1477">
        <f>BS!D54</f>
        <v>25577</v>
      </c>
      <c r="E104" s="1477"/>
      <c r="F104" s="1477"/>
      <c r="G104" s="1473">
        <f>BS!F54</f>
        <v>25577</v>
      </c>
      <c r="H104" s="1474"/>
      <c r="I104" s="1476"/>
      <c r="J104" s="841"/>
    </row>
    <row r="105" spans="1:12" ht="27.95" customHeight="1" x14ac:dyDescent="0.25">
      <c r="A105" s="1541"/>
      <c r="B105" s="1497"/>
      <c r="C105" s="1507"/>
      <c r="D105" s="1477">
        <f>BS!E54</f>
        <v>0</v>
      </c>
      <c r="E105" s="1477"/>
      <c r="F105" s="1477"/>
      <c r="G105" s="842"/>
      <c r="H105" s="1473">
        <f>BS!G54</f>
        <v>19858</v>
      </c>
      <c r="I105" s="1474"/>
      <c r="J105" s="1475"/>
    </row>
    <row r="106" spans="1:12" ht="27.95" customHeight="1" x14ac:dyDescent="0.25">
      <c r="A106" s="1592" t="s">
        <v>631</v>
      </c>
      <c r="B106" s="1499" t="s">
        <v>632</v>
      </c>
      <c r="C106" s="1516" t="s">
        <v>941</v>
      </c>
      <c r="D106" s="1477">
        <f>BS!D55</f>
        <v>2821219</v>
      </c>
      <c r="E106" s="1477"/>
      <c r="F106" s="1477"/>
      <c r="G106" s="1473">
        <f>BS!F55</f>
        <v>2819503</v>
      </c>
      <c r="H106" s="1474"/>
      <c r="I106" s="1476"/>
      <c r="J106" s="841"/>
    </row>
    <row r="107" spans="1:12" ht="27.95" customHeight="1" x14ac:dyDescent="0.25">
      <c r="A107" s="1540"/>
      <c r="B107" s="1499"/>
      <c r="C107" s="1507"/>
      <c r="D107" s="1477">
        <f>BS!E55</f>
        <v>1716</v>
      </c>
      <c r="E107" s="1477"/>
      <c r="F107" s="1477"/>
      <c r="G107" s="842"/>
      <c r="H107" s="1473">
        <f>BS!G55</f>
        <v>2150321</v>
      </c>
      <c r="I107" s="1474"/>
      <c r="J107" s="1475"/>
    </row>
    <row r="108" spans="1:12" s="501" customFormat="1" ht="27.95" customHeight="1" x14ac:dyDescent="0.25">
      <c r="A108" s="1593" t="s">
        <v>634</v>
      </c>
      <c r="B108" s="1497" t="s">
        <v>1583</v>
      </c>
      <c r="C108" s="1507" t="s">
        <v>944</v>
      </c>
      <c r="D108" s="1477">
        <f>BS!D56</f>
        <v>2820567</v>
      </c>
      <c r="E108" s="1477"/>
      <c r="F108" s="1477"/>
      <c r="G108" s="1473">
        <f>BS!F56</f>
        <v>2818851</v>
      </c>
      <c r="H108" s="1474"/>
      <c r="I108" s="1476"/>
      <c r="J108" s="841"/>
    </row>
    <row r="109" spans="1:12" s="501" customFormat="1" ht="27.95" customHeight="1" x14ac:dyDescent="0.25">
      <c r="A109" s="1594"/>
      <c r="B109" s="1497"/>
      <c r="C109" s="1507"/>
      <c r="D109" s="1477">
        <f>BS!E56</f>
        <v>1716</v>
      </c>
      <c r="E109" s="1477"/>
      <c r="F109" s="1477"/>
      <c r="G109" s="842"/>
      <c r="H109" s="1473">
        <f>BS!G56</f>
        <v>2123075</v>
      </c>
      <c r="I109" s="1474"/>
      <c r="J109" s="1475"/>
    </row>
    <row r="110" spans="1:12" s="501" customFormat="1" ht="27.95" customHeight="1" x14ac:dyDescent="0.25">
      <c r="A110" s="1576" t="s">
        <v>532</v>
      </c>
      <c r="B110" s="1497" t="s">
        <v>619</v>
      </c>
      <c r="C110" s="1516" t="s">
        <v>947</v>
      </c>
      <c r="D110" s="1477">
        <f>BS!D57</f>
        <v>0</v>
      </c>
      <c r="E110" s="1477"/>
      <c r="F110" s="1477"/>
      <c r="G110" s="1473">
        <f>BS!F57</f>
        <v>0</v>
      </c>
      <c r="H110" s="1474"/>
      <c r="I110" s="1476"/>
      <c r="J110" s="841"/>
    </row>
    <row r="111" spans="1:12" s="501" customFormat="1" ht="27.95" customHeight="1" x14ac:dyDescent="0.25">
      <c r="A111" s="1541"/>
      <c r="B111" s="1497"/>
      <c r="C111" s="1507"/>
      <c r="D111" s="1477">
        <f>BS!E57</f>
        <v>0</v>
      </c>
      <c r="E111" s="1477"/>
      <c r="F111" s="1477"/>
      <c r="G111" s="842"/>
      <c r="H111" s="1473">
        <f>BS!G57</f>
        <v>0</v>
      </c>
      <c r="I111" s="1474"/>
      <c r="J111" s="1475"/>
    </row>
    <row r="112" spans="1:12" ht="27.95" customHeight="1" x14ac:dyDescent="0.25">
      <c r="A112" s="1576" t="s">
        <v>535</v>
      </c>
      <c r="B112" s="1497" t="s">
        <v>1584</v>
      </c>
      <c r="C112" s="1507" t="s">
        <v>950</v>
      </c>
      <c r="D112" s="1477">
        <f>BS!D58</f>
        <v>0</v>
      </c>
      <c r="E112" s="1477"/>
      <c r="F112" s="1477"/>
      <c r="G112" s="1473">
        <f>BS!F58</f>
        <v>0</v>
      </c>
      <c r="H112" s="1474"/>
      <c r="I112" s="1476"/>
      <c r="J112" s="841"/>
    </row>
    <row r="113" spans="1:10" ht="27.95" customHeight="1" x14ac:dyDescent="0.25">
      <c r="A113" s="1541"/>
      <c r="B113" s="1497"/>
      <c r="C113" s="1507"/>
      <c r="D113" s="1477">
        <f>BS!E58</f>
        <v>0</v>
      </c>
      <c r="E113" s="1477"/>
      <c r="F113" s="1477"/>
      <c r="G113" s="842"/>
      <c r="H113" s="1473">
        <f>BS!G58</f>
        <v>0</v>
      </c>
      <c r="I113" s="1474"/>
      <c r="J113" s="1475"/>
    </row>
    <row r="114" spans="1:10" ht="27.95" customHeight="1" x14ac:dyDescent="0.25">
      <c r="A114" s="1576" t="s">
        <v>538</v>
      </c>
      <c r="B114" s="1497" t="s">
        <v>1579</v>
      </c>
      <c r="C114" s="1516" t="s">
        <v>952</v>
      </c>
      <c r="D114" s="1477">
        <f>BS!D59</f>
        <v>0</v>
      </c>
      <c r="E114" s="1477"/>
      <c r="F114" s="1477"/>
      <c r="G114" s="1473">
        <f>BS!F59</f>
        <v>0</v>
      </c>
      <c r="H114" s="1474"/>
      <c r="I114" s="1476"/>
      <c r="J114" s="841"/>
    </row>
    <row r="115" spans="1:10" ht="27.95" customHeight="1" x14ac:dyDescent="0.25">
      <c r="A115" s="1541"/>
      <c r="B115" s="1497"/>
      <c r="C115" s="1507"/>
      <c r="D115" s="1477">
        <f>BS!E59</f>
        <v>0</v>
      </c>
      <c r="E115" s="1477"/>
      <c r="F115" s="1477"/>
      <c r="G115" s="842"/>
      <c r="H115" s="1473">
        <f>BS!G59</f>
        <v>0</v>
      </c>
      <c r="I115" s="1474"/>
      <c r="J115" s="1475"/>
    </row>
    <row r="116" spans="1:10" ht="27.95" customHeight="1" x14ac:dyDescent="0.25">
      <c r="A116" s="1576" t="s">
        <v>541</v>
      </c>
      <c r="B116" s="1497" t="s">
        <v>1585</v>
      </c>
      <c r="C116" s="1507" t="s">
        <v>954</v>
      </c>
      <c r="D116" s="1477">
        <f>BS!D60</f>
        <v>0</v>
      </c>
      <c r="E116" s="1477"/>
      <c r="F116" s="1477"/>
      <c r="G116" s="1473">
        <f>BS!F60</f>
        <v>0</v>
      </c>
      <c r="H116" s="1474"/>
      <c r="I116" s="1476"/>
      <c r="J116" s="841"/>
    </row>
    <row r="117" spans="1:10" ht="27.95" customHeight="1" x14ac:dyDescent="0.25">
      <c r="A117" s="1541"/>
      <c r="B117" s="1497"/>
      <c r="C117" s="1507"/>
      <c r="D117" s="1477">
        <f>BS!E60</f>
        <v>0</v>
      </c>
      <c r="E117" s="1477"/>
      <c r="F117" s="1477"/>
      <c r="G117" s="842"/>
      <c r="H117" s="1473">
        <f>BS!G60</f>
        <v>0</v>
      </c>
      <c r="I117" s="1474"/>
      <c r="J117" s="1475"/>
    </row>
    <row r="118" spans="1:10" ht="27.95" customHeight="1" x14ac:dyDescent="0.25">
      <c r="A118" s="1576" t="s">
        <v>544</v>
      </c>
      <c r="B118" s="1497" t="s">
        <v>1586</v>
      </c>
      <c r="C118" s="1516" t="s">
        <v>957</v>
      </c>
      <c r="D118" s="1477">
        <f>BS!D61</f>
        <v>0</v>
      </c>
      <c r="E118" s="1477"/>
      <c r="F118" s="1477"/>
      <c r="G118" s="1473">
        <f>BS!F61</f>
        <v>0</v>
      </c>
      <c r="H118" s="1474"/>
      <c r="I118" s="1476"/>
      <c r="J118" s="841"/>
    </row>
    <row r="119" spans="1:10" ht="27.95" customHeight="1" x14ac:dyDescent="0.25">
      <c r="A119" s="1541"/>
      <c r="B119" s="1497"/>
      <c r="C119" s="1507"/>
      <c r="D119" s="1477">
        <f>BS!E61</f>
        <v>0</v>
      </c>
      <c r="E119" s="1477"/>
      <c r="F119" s="1477"/>
      <c r="G119" s="842"/>
      <c r="H119" s="1473">
        <f>BS!G61</f>
        <v>0</v>
      </c>
      <c r="I119" s="1474"/>
      <c r="J119" s="1475"/>
    </row>
    <row r="120" spans="1:10" ht="27.95" customHeight="1" x14ac:dyDescent="0.25">
      <c r="A120" s="1576" t="s">
        <v>547</v>
      </c>
      <c r="B120" s="1497" t="s">
        <v>1587</v>
      </c>
      <c r="C120" s="1507" t="s">
        <v>960</v>
      </c>
      <c r="D120" s="1477">
        <f>BS!D62</f>
        <v>0</v>
      </c>
      <c r="E120" s="1477"/>
      <c r="F120" s="1477"/>
      <c r="G120" s="1473">
        <f>BS!F62</f>
        <v>0</v>
      </c>
      <c r="H120" s="1474"/>
      <c r="I120" s="1476"/>
      <c r="J120" s="841"/>
    </row>
    <row r="121" spans="1:10" ht="27.95" customHeight="1" x14ac:dyDescent="0.25">
      <c r="A121" s="1541"/>
      <c r="B121" s="1497"/>
      <c r="C121" s="1507"/>
      <c r="D121" s="1477">
        <f>BS!E62</f>
        <v>0</v>
      </c>
      <c r="E121" s="1477"/>
      <c r="F121" s="1477"/>
      <c r="G121" s="842"/>
      <c r="H121" s="1473">
        <f>BS!G62</f>
        <v>0</v>
      </c>
      <c r="I121" s="1474"/>
      <c r="J121" s="1475"/>
    </row>
    <row r="122" spans="1:10" ht="27.95" customHeight="1" x14ac:dyDescent="0.25">
      <c r="A122" s="1576" t="s">
        <v>568</v>
      </c>
      <c r="B122" s="1497" t="s">
        <v>1581</v>
      </c>
      <c r="C122" s="1516" t="s">
        <v>962</v>
      </c>
      <c r="D122" s="1477">
        <f>BS!D63</f>
        <v>652</v>
      </c>
      <c r="E122" s="1477"/>
      <c r="F122" s="1477"/>
      <c r="G122" s="1473">
        <f>BS!F63</f>
        <v>652</v>
      </c>
      <c r="H122" s="1474"/>
      <c r="I122" s="1476"/>
      <c r="J122" s="841"/>
    </row>
    <row r="123" spans="1:10" ht="27.95" customHeight="1" x14ac:dyDescent="0.25">
      <c r="A123" s="1541"/>
      <c r="B123" s="1590"/>
      <c r="C123" s="1507"/>
      <c r="D123" s="1477">
        <f>BS!E63</f>
        <v>0</v>
      </c>
      <c r="E123" s="1477"/>
      <c r="F123" s="1477"/>
      <c r="G123" s="842"/>
      <c r="H123" s="1473">
        <f>BS!G63</f>
        <v>652</v>
      </c>
      <c r="I123" s="1474"/>
      <c r="J123" s="1475"/>
    </row>
    <row r="124" spans="1:10" ht="27.95" customHeight="1" x14ac:dyDescent="0.25">
      <c r="A124" s="1592" t="s">
        <v>649</v>
      </c>
      <c r="B124" s="1499" t="s">
        <v>650</v>
      </c>
      <c r="C124" s="1507" t="s">
        <v>965</v>
      </c>
      <c r="D124" s="1584">
        <f>BS!D64</f>
        <v>286</v>
      </c>
      <c r="E124" s="1584"/>
      <c r="F124" s="1584"/>
      <c r="G124" s="1473">
        <f>BS!F64</f>
        <v>286</v>
      </c>
      <c r="H124" s="1474"/>
      <c r="I124" s="1476"/>
      <c r="J124" s="841"/>
    </row>
    <row r="125" spans="1:10" ht="27.95" customHeight="1" x14ac:dyDescent="0.25">
      <c r="A125" s="1540"/>
      <c r="B125" s="1499"/>
      <c r="C125" s="1507"/>
      <c r="D125" s="1477">
        <f>BS!E64</f>
        <v>0</v>
      </c>
      <c r="E125" s="1477"/>
      <c r="F125" s="1477"/>
      <c r="G125" s="842"/>
      <c r="H125" s="1473">
        <f>BS!G64</f>
        <v>689</v>
      </c>
      <c r="I125" s="1474"/>
      <c r="J125" s="1475"/>
    </row>
    <row r="126" spans="1:10" s="501" customFormat="1" ht="27.95" customHeight="1" x14ac:dyDescent="0.25">
      <c r="A126" s="1595" t="s">
        <v>652</v>
      </c>
      <c r="B126" s="1497" t="s">
        <v>1588</v>
      </c>
      <c r="C126" s="1516" t="s">
        <v>968</v>
      </c>
      <c r="D126" s="1477">
        <f>BS!D65</f>
        <v>286</v>
      </c>
      <c r="E126" s="1477"/>
      <c r="F126" s="1477"/>
      <c r="G126" s="1473">
        <f>BS!F65</f>
        <v>286</v>
      </c>
      <c r="H126" s="1474"/>
      <c r="I126" s="1476"/>
      <c r="J126" s="841"/>
    </row>
    <row r="127" spans="1:10" s="501" customFormat="1" ht="27.95" customHeight="1" x14ac:dyDescent="0.25">
      <c r="A127" s="1596"/>
      <c r="B127" s="1497"/>
      <c r="C127" s="1507"/>
      <c r="D127" s="1477">
        <f>BS!E65</f>
        <v>0</v>
      </c>
      <c r="E127" s="1477"/>
      <c r="F127" s="1477"/>
      <c r="G127" s="795"/>
      <c r="H127" s="1473">
        <f>BS!G65</f>
        <v>689</v>
      </c>
      <c r="I127" s="1474"/>
      <c r="J127" s="1475"/>
    </row>
    <row r="128" spans="1:10" ht="11.25" customHeight="1" x14ac:dyDescent="0.25">
      <c r="A128" s="1564" t="s">
        <v>1534</v>
      </c>
      <c r="B128" s="1566" t="s">
        <v>1535</v>
      </c>
      <c r="C128" s="1568" t="s">
        <v>1536</v>
      </c>
      <c r="D128" s="1480" t="s">
        <v>1537</v>
      </c>
      <c r="E128" s="1481"/>
      <c r="F128" s="1481"/>
      <c r="G128" s="1481"/>
      <c r="H128" s="1482"/>
      <c r="I128" s="1487" t="s">
        <v>1538</v>
      </c>
      <c r="J128" s="1488"/>
    </row>
    <row r="129" spans="1:10" ht="11.25" customHeight="1" x14ac:dyDescent="0.15">
      <c r="A129" s="1564"/>
      <c r="B129" s="1566"/>
      <c r="C129" s="1568"/>
      <c r="D129" s="1511">
        <v>1</v>
      </c>
      <c r="E129" s="1478" t="s">
        <v>1539</v>
      </c>
      <c r="F129" s="1570"/>
      <c r="G129" s="1483" t="s">
        <v>1540</v>
      </c>
      <c r="H129" s="1484"/>
      <c r="I129" s="1480"/>
      <c r="J129" s="1489"/>
    </row>
    <row r="130" spans="1:10" ht="11.25" customHeight="1" x14ac:dyDescent="0.25">
      <c r="A130" s="1532"/>
      <c r="B130" s="1531"/>
      <c r="C130" s="1538"/>
      <c r="D130" s="1569"/>
      <c r="E130" s="1478" t="s">
        <v>1541</v>
      </c>
      <c r="F130" s="1570"/>
      <c r="G130" s="1480"/>
      <c r="H130" s="1482"/>
      <c r="I130" s="1478" t="s">
        <v>1542</v>
      </c>
      <c r="J130" s="1479"/>
    </row>
    <row r="131" spans="1:10" s="571" customFormat="1" ht="27.95" customHeight="1" x14ac:dyDescent="0.25">
      <c r="A131" s="1576" t="s">
        <v>532</v>
      </c>
      <c r="B131" s="1542" t="s">
        <v>1589</v>
      </c>
      <c r="C131" s="1507" t="s">
        <v>656</v>
      </c>
      <c r="D131" s="1477">
        <f>BS!D66</f>
        <v>0</v>
      </c>
      <c r="E131" s="1477"/>
      <c r="F131" s="1477"/>
      <c r="G131" s="1473">
        <f>BS!F66</f>
        <v>0</v>
      </c>
      <c r="H131" s="1474"/>
      <c r="I131" s="1476"/>
      <c r="J131" s="572"/>
    </row>
    <row r="132" spans="1:10" s="571" customFormat="1" ht="27.95" customHeight="1" x14ac:dyDescent="0.25">
      <c r="A132" s="1541"/>
      <c r="B132" s="1497"/>
      <c r="C132" s="1507"/>
      <c r="D132" s="1477">
        <f>BS!E66</f>
        <v>0</v>
      </c>
      <c r="E132" s="1477"/>
      <c r="F132" s="1477"/>
      <c r="G132" s="843"/>
      <c r="H132" s="1473">
        <f>BS!G66</f>
        <v>0</v>
      </c>
      <c r="I132" s="1474"/>
      <c r="J132" s="1475"/>
    </row>
    <row r="133" spans="1:10" s="571" customFormat="1" ht="27.95" customHeight="1" x14ac:dyDescent="0.25">
      <c r="A133" s="1576" t="s">
        <v>535</v>
      </c>
      <c r="B133" s="1497" t="s">
        <v>1590</v>
      </c>
      <c r="C133" s="1507" t="s">
        <v>658</v>
      </c>
      <c r="D133" s="1477">
        <f>BS!D67</f>
        <v>0</v>
      </c>
      <c r="E133" s="1477"/>
      <c r="F133" s="1477"/>
      <c r="G133" s="1473">
        <f>BS!F67</f>
        <v>0</v>
      </c>
      <c r="H133" s="1474"/>
      <c r="I133" s="1476"/>
      <c r="J133" s="572"/>
    </row>
    <row r="134" spans="1:10" ht="27.95" customHeight="1" x14ac:dyDescent="0.25">
      <c r="A134" s="1541"/>
      <c r="B134" s="1497"/>
      <c r="C134" s="1507"/>
      <c r="D134" s="1477">
        <f>BS!E67</f>
        <v>0</v>
      </c>
      <c r="E134" s="1477"/>
      <c r="F134" s="1477"/>
      <c r="G134" s="843"/>
      <c r="H134" s="1473">
        <f>BS!G67</f>
        <v>0</v>
      </c>
      <c r="I134" s="1474"/>
      <c r="J134" s="1475"/>
    </row>
    <row r="135" spans="1:10" ht="27.95" customHeight="1" x14ac:dyDescent="0.25">
      <c r="A135" s="1576" t="s">
        <v>538</v>
      </c>
      <c r="B135" s="1497" t="s">
        <v>1591</v>
      </c>
      <c r="C135" s="1507" t="s">
        <v>660</v>
      </c>
      <c r="D135" s="1477">
        <f>BS!D68</f>
        <v>0</v>
      </c>
      <c r="E135" s="1477"/>
      <c r="F135" s="1477"/>
      <c r="G135" s="1473">
        <f>BS!F68</f>
        <v>0</v>
      </c>
      <c r="H135" s="1474"/>
      <c r="I135" s="1476"/>
      <c r="J135" s="841"/>
    </row>
    <row r="136" spans="1:10" ht="27.95" customHeight="1" x14ac:dyDescent="0.25">
      <c r="A136" s="1541"/>
      <c r="B136" s="1497"/>
      <c r="C136" s="1507"/>
      <c r="D136" s="1477">
        <f>BS!E68</f>
        <v>0</v>
      </c>
      <c r="E136" s="1477"/>
      <c r="F136" s="1477"/>
      <c r="G136" s="843"/>
      <c r="H136" s="1473">
        <f>BS!G68</f>
        <v>0</v>
      </c>
      <c r="I136" s="1474"/>
      <c r="J136" s="1475"/>
    </row>
    <row r="137" spans="1:10" ht="27.95" customHeight="1" x14ac:dyDescent="0.25">
      <c r="A137" s="1576" t="s">
        <v>541</v>
      </c>
      <c r="B137" s="1497" t="s">
        <v>1592</v>
      </c>
      <c r="C137" s="1507" t="s">
        <v>662</v>
      </c>
      <c r="D137" s="1477">
        <f>BS!D69</f>
        <v>0</v>
      </c>
      <c r="E137" s="1477"/>
      <c r="F137" s="1477"/>
      <c r="G137" s="1473">
        <f>BS!F69</f>
        <v>0</v>
      </c>
      <c r="H137" s="1474"/>
      <c r="I137" s="1476"/>
      <c r="J137" s="841"/>
    </row>
    <row r="138" spans="1:10" ht="27.95" customHeight="1" x14ac:dyDescent="0.25">
      <c r="A138" s="1541"/>
      <c r="B138" s="1497"/>
      <c r="C138" s="1507"/>
      <c r="D138" s="1477">
        <f>BS!E69</f>
        <v>0</v>
      </c>
      <c r="E138" s="1477"/>
      <c r="F138" s="1477"/>
      <c r="G138" s="843"/>
      <c r="H138" s="1473">
        <f>BS!G69</f>
        <v>0</v>
      </c>
      <c r="I138" s="1474"/>
      <c r="J138" s="1475"/>
    </row>
    <row r="139" spans="1:10" ht="27.95" customHeight="1" x14ac:dyDescent="0.25">
      <c r="A139" s="1574" t="s">
        <v>663</v>
      </c>
      <c r="B139" s="1499" t="s">
        <v>1593</v>
      </c>
      <c r="C139" s="1519" t="s">
        <v>665</v>
      </c>
      <c r="D139" s="1477">
        <f>BS!D70</f>
        <v>4022</v>
      </c>
      <c r="E139" s="1477"/>
      <c r="F139" s="1477"/>
      <c r="G139" s="1473">
        <f>BS!F70</f>
        <v>4022</v>
      </c>
      <c r="H139" s="1474"/>
      <c r="I139" s="1476"/>
      <c r="J139" s="841"/>
    </row>
    <row r="140" spans="1:10" ht="27.95" customHeight="1" x14ac:dyDescent="0.25">
      <c r="A140" s="1575"/>
      <c r="B140" s="1499"/>
      <c r="C140" s="1519"/>
      <c r="D140" s="1477">
        <f>BS!E70</f>
        <v>0</v>
      </c>
      <c r="E140" s="1477"/>
      <c r="F140" s="1477"/>
      <c r="G140" s="843"/>
      <c r="H140" s="1473">
        <f>BS!G70</f>
        <v>19937</v>
      </c>
      <c r="I140" s="1474"/>
      <c r="J140" s="1475"/>
    </row>
    <row r="141" spans="1:10" ht="27.95" customHeight="1" x14ac:dyDescent="0.25">
      <c r="A141" s="1595" t="s">
        <v>666</v>
      </c>
      <c r="B141" s="1597" t="s">
        <v>1594</v>
      </c>
      <c r="C141" s="1507" t="s">
        <v>668</v>
      </c>
      <c r="D141" s="1477">
        <f>BS!D71</f>
        <v>0</v>
      </c>
      <c r="E141" s="1477"/>
      <c r="F141" s="1477"/>
      <c r="G141" s="1473">
        <f>BS!F71</f>
        <v>0</v>
      </c>
      <c r="H141" s="1474"/>
      <c r="I141" s="1476"/>
      <c r="J141" s="841"/>
    </row>
    <row r="142" spans="1:10" ht="27.95" customHeight="1" x14ac:dyDescent="0.25">
      <c r="A142" s="1596"/>
      <c r="B142" s="1497"/>
      <c r="C142" s="1507"/>
      <c r="D142" s="1477">
        <f>BS!E71</f>
        <v>0</v>
      </c>
      <c r="E142" s="1477"/>
      <c r="F142" s="1477"/>
      <c r="G142" s="843"/>
      <c r="H142" s="1473">
        <f>BS!G71</f>
        <v>0</v>
      </c>
      <c r="I142" s="1474"/>
      <c r="J142" s="1475"/>
    </row>
    <row r="143" spans="1:10" ht="27.95" customHeight="1" x14ac:dyDescent="0.25">
      <c r="A143" s="1576" t="s">
        <v>532</v>
      </c>
      <c r="B143" s="1597" t="s">
        <v>1595</v>
      </c>
      <c r="C143" s="1507" t="s">
        <v>670</v>
      </c>
      <c r="D143" s="1477">
        <f>BS!D72</f>
        <v>2033</v>
      </c>
      <c r="E143" s="1477"/>
      <c r="F143" s="1477"/>
      <c r="G143" s="1473">
        <f>BS!F72</f>
        <v>2033</v>
      </c>
      <c r="H143" s="1474"/>
      <c r="I143" s="1476"/>
      <c r="J143" s="841"/>
    </row>
    <row r="144" spans="1:10" s="501" customFormat="1" ht="27.95" customHeight="1" x14ac:dyDescent="0.25">
      <c r="A144" s="1541"/>
      <c r="B144" s="1497"/>
      <c r="C144" s="1507"/>
      <c r="D144" s="1477">
        <f>BS!E72</f>
        <v>0</v>
      </c>
      <c r="E144" s="1477"/>
      <c r="F144" s="1477"/>
      <c r="G144" s="843"/>
      <c r="H144" s="1473">
        <f>BS!G72</f>
        <v>766</v>
      </c>
      <c r="I144" s="1474"/>
      <c r="J144" s="1475"/>
    </row>
    <row r="145" spans="1:10" s="501" customFormat="1" ht="27.95" customHeight="1" x14ac:dyDescent="0.25">
      <c r="A145" s="1576" t="s">
        <v>535</v>
      </c>
      <c r="B145" s="1597" t="s">
        <v>1596</v>
      </c>
      <c r="C145" s="1507" t="s">
        <v>672</v>
      </c>
      <c r="D145" s="1477">
        <f>BS!D73</f>
        <v>0</v>
      </c>
      <c r="E145" s="1477"/>
      <c r="F145" s="1477"/>
      <c r="G145" s="1473">
        <f>BS!F73</f>
        <v>0</v>
      </c>
      <c r="H145" s="1474"/>
      <c r="I145" s="1476"/>
      <c r="J145" s="841"/>
    </row>
    <row r="146" spans="1:10" ht="27.95" customHeight="1" x14ac:dyDescent="0.25">
      <c r="A146" s="1541"/>
      <c r="B146" s="1497"/>
      <c r="C146" s="1507"/>
      <c r="D146" s="1477">
        <f>BS!E73</f>
        <v>0</v>
      </c>
      <c r="E146" s="1477"/>
      <c r="F146" s="1477"/>
      <c r="G146" s="843"/>
      <c r="H146" s="1473">
        <f>BS!G73</f>
        <v>0</v>
      </c>
      <c r="I146" s="1474"/>
      <c r="J146" s="1475"/>
    </row>
    <row r="147" spans="1:10" ht="27.95" customHeight="1" x14ac:dyDescent="0.25">
      <c r="A147" s="1576" t="s">
        <v>538</v>
      </c>
      <c r="B147" s="1597" t="s">
        <v>1597</v>
      </c>
      <c r="C147" s="1507" t="s">
        <v>674</v>
      </c>
      <c r="D147" s="1477">
        <f>BS!D74</f>
        <v>1989</v>
      </c>
      <c r="E147" s="1477"/>
      <c r="F147" s="1477"/>
      <c r="G147" s="1473">
        <f>BS!F74</f>
        <v>1989</v>
      </c>
      <c r="H147" s="1474"/>
      <c r="I147" s="1476"/>
      <c r="J147" s="841"/>
    </row>
    <row r="148" spans="1:10" s="566" customFormat="1" ht="27.95" customHeight="1" x14ac:dyDescent="0.2">
      <c r="A148" s="1541"/>
      <c r="B148" s="1497"/>
      <c r="C148" s="1507"/>
      <c r="D148" s="1477">
        <f>BS!E74</f>
        <v>0</v>
      </c>
      <c r="E148" s="1477"/>
      <c r="F148" s="1477"/>
      <c r="G148" s="795"/>
      <c r="H148" s="1473">
        <f>BS!G74</f>
        <v>19171</v>
      </c>
      <c r="I148" s="1474"/>
      <c r="J148" s="1475"/>
    </row>
    <row r="149" spans="1:10" s="566" customFormat="1" ht="30" customHeight="1" x14ac:dyDescent="0.2">
      <c r="A149" s="787" t="s">
        <v>1534</v>
      </c>
      <c r="B149" s="1598" t="s">
        <v>1598</v>
      </c>
      <c r="C149" s="1599"/>
      <c r="D149" s="1599"/>
      <c r="E149" s="1600"/>
      <c r="F149" s="793" t="s">
        <v>1536</v>
      </c>
      <c r="G149" s="1480" t="s">
        <v>1599</v>
      </c>
      <c r="H149" s="1482"/>
      <c r="I149" s="1480" t="s">
        <v>1600</v>
      </c>
      <c r="J149" s="1489"/>
    </row>
    <row r="150" spans="1:10" s="566" customFormat="1" ht="27.75" customHeight="1" x14ac:dyDescent="0.2">
      <c r="A150" s="567"/>
      <c r="B150" s="1601" t="s">
        <v>1601</v>
      </c>
      <c r="C150" s="1602"/>
      <c r="D150" s="1602"/>
      <c r="E150" s="1603"/>
      <c r="F150" s="797" t="s">
        <v>681</v>
      </c>
      <c r="G150" s="1473">
        <f>BS!D81</f>
        <v>2867628</v>
      </c>
      <c r="H150" s="1476"/>
      <c r="I150" s="1473">
        <f>BS!E81</f>
        <v>2216815</v>
      </c>
      <c r="J150" s="1475"/>
    </row>
    <row r="151" spans="1:10" s="566" customFormat="1" ht="27.75" customHeight="1" x14ac:dyDescent="0.2">
      <c r="A151" s="798" t="s">
        <v>523</v>
      </c>
      <c r="B151" s="1601" t="s">
        <v>1602</v>
      </c>
      <c r="C151" s="1602"/>
      <c r="D151" s="1602"/>
      <c r="E151" s="1603"/>
      <c r="F151" s="797" t="s">
        <v>683</v>
      </c>
      <c r="G151" s="1473">
        <f>BS!D82</f>
        <v>331785</v>
      </c>
      <c r="H151" s="1476"/>
      <c r="I151" s="1473">
        <f>BS!E82</f>
        <v>196262</v>
      </c>
      <c r="J151" s="1475"/>
    </row>
    <row r="152" spans="1:10" ht="27.75" customHeight="1" x14ac:dyDescent="0.25">
      <c r="A152" s="798" t="s">
        <v>526</v>
      </c>
      <c r="B152" s="1601" t="s">
        <v>684</v>
      </c>
      <c r="C152" s="1602"/>
      <c r="D152" s="1602"/>
      <c r="E152" s="1603"/>
      <c r="F152" s="797" t="s">
        <v>685</v>
      </c>
      <c r="G152" s="1473">
        <f>BS!D83</f>
        <v>132776</v>
      </c>
      <c r="H152" s="1476"/>
      <c r="I152" s="1473">
        <f>BS!E83</f>
        <v>132776</v>
      </c>
      <c r="J152" s="1475"/>
    </row>
    <row r="153" spans="1:10" s="501" customFormat="1" ht="27.75" customHeight="1" x14ac:dyDescent="0.25">
      <c r="A153" s="796" t="s">
        <v>529</v>
      </c>
      <c r="B153" s="1604" t="s">
        <v>686</v>
      </c>
      <c r="C153" s="1605"/>
      <c r="D153" s="1605"/>
      <c r="E153" s="1606"/>
      <c r="F153" s="791" t="s">
        <v>687</v>
      </c>
      <c r="G153" s="1473">
        <f>BS!D84</f>
        <v>132776</v>
      </c>
      <c r="H153" s="1476"/>
      <c r="I153" s="1473">
        <f>BS!E84</f>
        <v>132776</v>
      </c>
      <c r="J153" s="1475"/>
    </row>
    <row r="154" spans="1:10" s="501" customFormat="1" ht="27.75" customHeight="1" x14ac:dyDescent="0.25">
      <c r="A154" s="789" t="s">
        <v>532</v>
      </c>
      <c r="B154" s="1604" t="s">
        <v>688</v>
      </c>
      <c r="C154" s="1605"/>
      <c r="D154" s="1605"/>
      <c r="E154" s="1606"/>
      <c r="F154" s="791" t="s">
        <v>689</v>
      </c>
      <c r="G154" s="1473">
        <f>BS!D85</f>
        <v>0</v>
      </c>
      <c r="H154" s="1476"/>
      <c r="I154" s="1473">
        <f>BS!E85</f>
        <v>0</v>
      </c>
      <c r="J154" s="1475"/>
    </row>
    <row r="155" spans="1:10" s="501" customFormat="1" ht="27.75" customHeight="1" x14ac:dyDescent="0.25">
      <c r="A155" s="789" t="s">
        <v>535</v>
      </c>
      <c r="B155" s="1604" t="s">
        <v>690</v>
      </c>
      <c r="C155" s="1605"/>
      <c r="D155" s="1605"/>
      <c r="E155" s="1606"/>
      <c r="F155" s="791" t="s">
        <v>691</v>
      </c>
      <c r="G155" s="1473">
        <f>BS!D86</f>
        <v>0</v>
      </c>
      <c r="H155" s="1476"/>
      <c r="I155" s="1473">
        <f>BS!E86</f>
        <v>0</v>
      </c>
      <c r="J155" s="1475"/>
    </row>
    <row r="156" spans="1:10" ht="27.75" customHeight="1" x14ac:dyDescent="0.25">
      <c r="A156" s="789" t="s">
        <v>538</v>
      </c>
      <c r="B156" s="1604" t="s">
        <v>692</v>
      </c>
      <c r="C156" s="1605"/>
      <c r="D156" s="1605"/>
      <c r="E156" s="1606"/>
      <c r="F156" s="791" t="s">
        <v>693</v>
      </c>
      <c r="G156" s="1473">
        <f>BS!D87</f>
        <v>0</v>
      </c>
      <c r="H156" s="1476"/>
      <c r="I156" s="1473">
        <f>BS!E87</f>
        <v>0</v>
      </c>
      <c r="J156" s="1475"/>
    </row>
    <row r="157" spans="1:10" ht="27.75" customHeight="1" x14ac:dyDescent="0.25">
      <c r="A157" s="798" t="s">
        <v>550</v>
      </c>
      <c r="B157" s="1601" t="s">
        <v>694</v>
      </c>
      <c r="C157" s="1602"/>
      <c r="D157" s="1602"/>
      <c r="E157" s="1603"/>
      <c r="F157" s="797" t="s">
        <v>695</v>
      </c>
      <c r="G157" s="1473">
        <f>BS!D88</f>
        <v>1427</v>
      </c>
      <c r="H157" s="1476"/>
      <c r="I157" s="1473">
        <f>BS!E88</f>
        <v>1427</v>
      </c>
      <c r="J157" s="1475"/>
    </row>
    <row r="158" spans="1:10" ht="27.75" customHeight="1" x14ac:dyDescent="0.25">
      <c r="A158" s="796" t="s">
        <v>553</v>
      </c>
      <c r="B158" s="1604" t="s">
        <v>696</v>
      </c>
      <c r="C158" s="1605"/>
      <c r="D158" s="1605"/>
      <c r="E158" s="1606"/>
      <c r="F158" s="791" t="s">
        <v>697</v>
      </c>
      <c r="G158" s="1473">
        <f>BS!D89</f>
        <v>0</v>
      </c>
      <c r="H158" s="1476"/>
      <c r="I158" s="1473">
        <f>BS!E89</f>
        <v>0</v>
      </c>
      <c r="J158" s="1475"/>
    </row>
    <row r="159" spans="1:10" ht="27.75" customHeight="1" x14ac:dyDescent="0.25">
      <c r="A159" s="789" t="s">
        <v>532</v>
      </c>
      <c r="B159" s="1604" t="s">
        <v>698</v>
      </c>
      <c r="C159" s="1605"/>
      <c r="D159" s="1605"/>
      <c r="E159" s="1606"/>
      <c r="F159" s="791" t="s">
        <v>699</v>
      </c>
      <c r="G159" s="1473">
        <f>BS!D90</f>
        <v>1427</v>
      </c>
      <c r="H159" s="1476"/>
      <c r="I159" s="1473">
        <f>BS!E90</f>
        <v>1427</v>
      </c>
      <c r="J159" s="1475"/>
    </row>
    <row r="160" spans="1:10" s="501" customFormat="1" ht="27.75" customHeight="1" x14ac:dyDescent="0.25">
      <c r="A160" s="789" t="s">
        <v>535</v>
      </c>
      <c r="B160" s="1604" t="s">
        <v>700</v>
      </c>
      <c r="C160" s="1605"/>
      <c r="D160" s="1605"/>
      <c r="E160" s="1606"/>
      <c r="F160" s="791" t="s">
        <v>701</v>
      </c>
      <c r="G160" s="1473">
        <f>BS!D91</f>
        <v>0</v>
      </c>
      <c r="H160" s="1476"/>
      <c r="I160" s="1473">
        <f>BS!E91</f>
        <v>0</v>
      </c>
      <c r="J160" s="1475"/>
    </row>
    <row r="161" spans="1:10" ht="27.75" customHeight="1" x14ac:dyDescent="0.25">
      <c r="A161" s="789" t="s">
        <v>538</v>
      </c>
      <c r="B161" s="1604" t="s">
        <v>1603</v>
      </c>
      <c r="C161" s="1605"/>
      <c r="D161" s="1605"/>
      <c r="E161" s="1606"/>
      <c r="F161" s="791" t="s">
        <v>703</v>
      </c>
      <c r="G161" s="1473">
        <f>BS!D92</f>
        <v>0</v>
      </c>
      <c r="H161" s="1476"/>
      <c r="I161" s="1473">
        <f>BS!E92</f>
        <v>0</v>
      </c>
      <c r="J161" s="1475"/>
    </row>
    <row r="162" spans="1:10" ht="27.75" customHeight="1" x14ac:dyDescent="0.25">
      <c r="A162" s="789" t="s">
        <v>541</v>
      </c>
      <c r="B162" s="1604" t="s">
        <v>704</v>
      </c>
      <c r="C162" s="1605"/>
      <c r="D162" s="1605"/>
      <c r="E162" s="1606"/>
      <c r="F162" s="791" t="s">
        <v>705</v>
      </c>
      <c r="G162" s="1473">
        <f>BS!D93</f>
        <v>0</v>
      </c>
      <c r="H162" s="1476"/>
      <c r="I162" s="1473">
        <f>BS!E93</f>
        <v>0</v>
      </c>
      <c r="J162" s="1475"/>
    </row>
    <row r="163" spans="1:10" ht="27.75" customHeight="1" x14ac:dyDescent="0.25">
      <c r="A163" s="789" t="s">
        <v>544</v>
      </c>
      <c r="B163" s="1604" t="s">
        <v>706</v>
      </c>
      <c r="C163" s="1605"/>
      <c r="D163" s="1605"/>
      <c r="E163" s="1606"/>
      <c r="F163" s="791" t="s">
        <v>707</v>
      </c>
      <c r="G163" s="1473">
        <f>BS!D94</f>
        <v>0</v>
      </c>
      <c r="H163" s="1476"/>
      <c r="I163" s="1473">
        <f>BS!E94</f>
        <v>0</v>
      </c>
      <c r="J163" s="1475"/>
    </row>
    <row r="164" spans="1:10" ht="27.75" customHeight="1" x14ac:dyDescent="0.25">
      <c r="A164" s="798" t="s">
        <v>574</v>
      </c>
      <c r="B164" s="1601" t="s">
        <v>708</v>
      </c>
      <c r="C164" s="1602"/>
      <c r="D164" s="1602"/>
      <c r="E164" s="1603"/>
      <c r="F164" s="797" t="s">
        <v>709</v>
      </c>
      <c r="G164" s="1473">
        <f>BS!D95</f>
        <v>13278</v>
      </c>
      <c r="H164" s="1476"/>
      <c r="I164" s="1473">
        <f>BS!E95</f>
        <v>13278</v>
      </c>
      <c r="J164" s="1475"/>
    </row>
    <row r="165" spans="1:10" ht="27.75" customHeight="1" x14ac:dyDescent="0.25">
      <c r="A165" s="789" t="s">
        <v>577</v>
      </c>
      <c r="B165" s="1604" t="s">
        <v>710</v>
      </c>
      <c r="C165" s="1605"/>
      <c r="D165" s="1605"/>
      <c r="E165" s="1606"/>
      <c r="F165" s="791" t="s">
        <v>711</v>
      </c>
      <c r="G165" s="1473">
        <f>BS!D96</f>
        <v>13278</v>
      </c>
      <c r="H165" s="1476"/>
      <c r="I165" s="1473">
        <f>BS!E96</f>
        <v>13278</v>
      </c>
      <c r="J165" s="1475"/>
    </row>
    <row r="166" spans="1:10" ht="27.75" customHeight="1" x14ac:dyDescent="0.25">
      <c r="A166" s="789" t="s">
        <v>532</v>
      </c>
      <c r="B166" s="1604" t="s">
        <v>712</v>
      </c>
      <c r="C166" s="1605"/>
      <c r="D166" s="1605"/>
      <c r="E166" s="1606"/>
      <c r="F166" s="791" t="s">
        <v>713</v>
      </c>
      <c r="G166" s="1473">
        <f>BS!D97</f>
        <v>0</v>
      </c>
      <c r="H166" s="1476"/>
      <c r="I166" s="1473">
        <f>BS!E97</f>
        <v>0</v>
      </c>
      <c r="J166" s="1475"/>
    </row>
    <row r="167" spans="1:10" s="501" customFormat="1" ht="27.75" customHeight="1" x14ac:dyDescent="0.25">
      <c r="A167" s="789" t="s">
        <v>535</v>
      </c>
      <c r="B167" s="1604" t="s">
        <v>714</v>
      </c>
      <c r="C167" s="1605"/>
      <c r="D167" s="1605"/>
      <c r="E167" s="1606"/>
      <c r="F167" s="791" t="s">
        <v>715</v>
      </c>
      <c r="G167" s="1473">
        <f>BS!D98</f>
        <v>0</v>
      </c>
      <c r="H167" s="1476"/>
      <c r="I167" s="1473">
        <f>BS!E98</f>
        <v>0</v>
      </c>
      <c r="J167" s="1475"/>
    </row>
    <row r="168" spans="1:10" ht="27.75" customHeight="1" x14ac:dyDescent="0.25">
      <c r="A168" s="798" t="s">
        <v>716</v>
      </c>
      <c r="B168" s="1601" t="s">
        <v>717</v>
      </c>
      <c r="C168" s="1602"/>
      <c r="D168" s="1602"/>
      <c r="E168" s="1603"/>
      <c r="F168" s="797" t="s">
        <v>718</v>
      </c>
      <c r="G168" s="1473">
        <f>BS!D99</f>
        <v>0</v>
      </c>
      <c r="H168" s="1476"/>
      <c r="I168" s="1473">
        <f>BS!E99</f>
        <v>45857</v>
      </c>
      <c r="J168" s="1475"/>
    </row>
    <row r="169" spans="1:10" ht="27.75" customHeight="1" x14ac:dyDescent="0.25">
      <c r="A169" s="565" t="s">
        <v>719</v>
      </c>
      <c r="B169" s="1604" t="s">
        <v>720</v>
      </c>
      <c r="C169" s="1605"/>
      <c r="D169" s="1605"/>
      <c r="E169" s="1606"/>
      <c r="F169" s="791" t="s">
        <v>721</v>
      </c>
      <c r="G169" s="1473">
        <f>BS!D100</f>
        <v>0</v>
      </c>
      <c r="H169" s="1476"/>
      <c r="I169" s="1473">
        <f>BS!E100</f>
        <v>45857</v>
      </c>
      <c r="J169" s="1475"/>
    </row>
    <row r="170" spans="1:10" ht="27.75" customHeight="1" x14ac:dyDescent="0.25">
      <c r="A170" s="789" t="s">
        <v>532</v>
      </c>
      <c r="B170" s="1604" t="s">
        <v>722</v>
      </c>
      <c r="C170" s="1605"/>
      <c r="D170" s="1605"/>
      <c r="E170" s="1606"/>
      <c r="F170" s="791" t="s">
        <v>723</v>
      </c>
      <c r="G170" s="1473">
        <f>BS!D101</f>
        <v>0</v>
      </c>
      <c r="H170" s="1476"/>
      <c r="I170" s="1473">
        <f>BS!E101</f>
        <v>0</v>
      </c>
      <c r="J170" s="1475"/>
    </row>
    <row r="171" spans="1:10" s="501" customFormat="1" ht="31.5" customHeight="1" x14ac:dyDescent="0.25">
      <c r="A171" s="798" t="s">
        <v>724</v>
      </c>
      <c r="B171" s="1601" t="s">
        <v>1604</v>
      </c>
      <c r="C171" s="1602"/>
      <c r="D171" s="1602"/>
      <c r="E171" s="1603"/>
      <c r="F171" s="797" t="s">
        <v>726</v>
      </c>
      <c r="G171" s="1473">
        <f>BS!D102</f>
        <v>184304</v>
      </c>
      <c r="H171" s="1476"/>
      <c r="I171" s="1473">
        <f>BS!E102</f>
        <v>2924</v>
      </c>
      <c r="J171" s="1475"/>
    </row>
    <row r="172" spans="1:10" ht="27.75" customHeight="1" x14ac:dyDescent="0.25">
      <c r="A172" s="798" t="s">
        <v>594</v>
      </c>
      <c r="B172" s="1601" t="s">
        <v>727</v>
      </c>
      <c r="C172" s="1602"/>
      <c r="D172" s="1602"/>
      <c r="E172" s="1603"/>
      <c r="F172" s="797" t="s">
        <v>728</v>
      </c>
      <c r="G172" s="1473">
        <f>BS!D103</f>
        <v>2534343</v>
      </c>
      <c r="H172" s="1476"/>
      <c r="I172" s="1473">
        <f>BS!E103</f>
        <v>2020553</v>
      </c>
      <c r="J172" s="1475"/>
    </row>
    <row r="173" spans="1:10" ht="27.75" customHeight="1" x14ac:dyDescent="0.25">
      <c r="A173" s="798" t="s">
        <v>597</v>
      </c>
      <c r="B173" s="1601" t="s">
        <v>729</v>
      </c>
      <c r="C173" s="1602"/>
      <c r="D173" s="1602"/>
      <c r="E173" s="1603"/>
      <c r="F173" s="797" t="s">
        <v>730</v>
      </c>
      <c r="G173" s="1473">
        <f>BS!D104</f>
        <v>125226</v>
      </c>
      <c r="H173" s="1476"/>
      <c r="I173" s="1473">
        <f>BS!E104</f>
        <v>93989</v>
      </c>
      <c r="J173" s="1475"/>
    </row>
    <row r="174" spans="1:10" s="501" customFormat="1" ht="27.75" customHeight="1" x14ac:dyDescent="0.25">
      <c r="A174" s="796" t="s">
        <v>600</v>
      </c>
      <c r="B174" s="1604" t="s">
        <v>731</v>
      </c>
      <c r="C174" s="1605"/>
      <c r="D174" s="1605"/>
      <c r="E174" s="1606"/>
      <c r="F174" s="791" t="s">
        <v>732</v>
      </c>
      <c r="G174" s="1473">
        <f>BS!D105</f>
        <v>0</v>
      </c>
      <c r="H174" s="1476"/>
      <c r="I174" s="1473">
        <f>BS!E105</f>
        <v>0</v>
      </c>
      <c r="J174" s="1475"/>
    </row>
    <row r="175" spans="1:10" s="501" customFormat="1" ht="27.75" customHeight="1" x14ac:dyDescent="0.25">
      <c r="A175" s="789" t="s">
        <v>532</v>
      </c>
      <c r="B175" s="1604" t="s">
        <v>733</v>
      </c>
      <c r="C175" s="1605"/>
      <c r="D175" s="1605"/>
      <c r="E175" s="1606"/>
      <c r="F175" s="791" t="s">
        <v>734</v>
      </c>
      <c r="G175" s="1473">
        <f>BS!D106</f>
        <v>62283</v>
      </c>
      <c r="H175" s="1476"/>
      <c r="I175" s="1473">
        <f>BS!E106</f>
        <v>27949</v>
      </c>
      <c r="J175" s="1475"/>
    </row>
    <row r="176" spans="1:10" s="501" customFormat="1" ht="27.75" customHeight="1" x14ac:dyDescent="0.25">
      <c r="A176" s="789" t="s">
        <v>535</v>
      </c>
      <c r="B176" s="1604" t="s">
        <v>735</v>
      </c>
      <c r="C176" s="1605"/>
      <c r="D176" s="1605"/>
      <c r="E176" s="1606"/>
      <c r="F176" s="791" t="s">
        <v>736</v>
      </c>
      <c r="G176" s="1473">
        <f>BS!D107</f>
        <v>0</v>
      </c>
      <c r="H176" s="1476"/>
      <c r="I176" s="1473">
        <f>BS!E107</f>
        <v>0</v>
      </c>
      <c r="J176" s="1475"/>
    </row>
    <row r="177" spans="1:10" ht="27.75" customHeight="1" x14ac:dyDescent="0.25">
      <c r="A177" s="789" t="s">
        <v>538</v>
      </c>
      <c r="B177" s="1604" t="s">
        <v>737</v>
      </c>
      <c r="C177" s="1605"/>
      <c r="D177" s="1605"/>
      <c r="E177" s="1606"/>
      <c r="F177" s="791" t="s">
        <v>738</v>
      </c>
      <c r="G177" s="1473">
        <f>BS!D108</f>
        <v>62943</v>
      </c>
      <c r="H177" s="1476"/>
      <c r="I177" s="1473">
        <f>BS!E108</f>
        <v>66040</v>
      </c>
      <c r="J177" s="1475"/>
    </row>
    <row r="178" spans="1:10" ht="25.5" customHeight="1" thickBot="1" x14ac:dyDescent="0.3">
      <c r="A178" s="563" t="s">
        <v>613</v>
      </c>
      <c r="B178" s="1601" t="s">
        <v>739</v>
      </c>
      <c r="C178" s="1602"/>
      <c r="D178" s="1602"/>
      <c r="E178" s="1603"/>
      <c r="F178" s="562" t="s">
        <v>740</v>
      </c>
      <c r="G178" s="1607">
        <f>BS!D109</f>
        <v>3501</v>
      </c>
      <c r="H178" s="1608"/>
      <c r="I178" s="1607">
        <f>BS!E109</f>
        <v>9736</v>
      </c>
      <c r="J178" s="1609"/>
    </row>
    <row r="179" spans="1:10" ht="30" customHeight="1" x14ac:dyDescent="0.25">
      <c r="A179" s="787" t="s">
        <v>1534</v>
      </c>
      <c r="B179" s="1598" t="s">
        <v>1598</v>
      </c>
      <c r="C179" s="1599"/>
      <c r="D179" s="1599"/>
      <c r="E179" s="1600"/>
      <c r="F179" s="793" t="s">
        <v>1536</v>
      </c>
      <c r="G179" s="1480" t="s">
        <v>1599</v>
      </c>
      <c r="H179" s="1482"/>
      <c r="I179" s="1480" t="s">
        <v>1600</v>
      </c>
      <c r="J179" s="1489"/>
    </row>
    <row r="180" spans="1:10" ht="27.75" customHeight="1" x14ac:dyDescent="0.25">
      <c r="A180" s="796" t="s">
        <v>616</v>
      </c>
      <c r="B180" s="1601" t="s">
        <v>741</v>
      </c>
      <c r="C180" s="1602"/>
      <c r="D180" s="1602"/>
      <c r="E180" s="1603"/>
      <c r="F180" s="791" t="s">
        <v>742</v>
      </c>
      <c r="G180" s="1473">
        <f>BS!D110</f>
        <v>0</v>
      </c>
      <c r="H180" s="1476"/>
      <c r="I180" s="1473">
        <f>BS!E110</f>
        <v>0</v>
      </c>
      <c r="J180" s="1475"/>
    </row>
    <row r="181" spans="1:10" ht="27.75" customHeight="1" x14ac:dyDescent="0.25">
      <c r="A181" s="789" t="s">
        <v>532</v>
      </c>
      <c r="B181" s="1604" t="s">
        <v>619</v>
      </c>
      <c r="C181" s="1605"/>
      <c r="D181" s="1605"/>
      <c r="E181" s="1606"/>
      <c r="F181" s="791" t="s">
        <v>743</v>
      </c>
      <c r="G181" s="1473">
        <f>BS!D111</f>
        <v>0</v>
      </c>
      <c r="H181" s="1476"/>
      <c r="I181" s="1473">
        <f>BS!E111</f>
        <v>0</v>
      </c>
      <c r="J181" s="1475"/>
    </row>
    <row r="182" spans="1:10" s="501" customFormat="1" ht="27.75" customHeight="1" x14ac:dyDescent="0.25">
      <c r="A182" s="789" t="s">
        <v>535</v>
      </c>
      <c r="B182" s="1604" t="s">
        <v>744</v>
      </c>
      <c r="C182" s="1605"/>
      <c r="D182" s="1605"/>
      <c r="E182" s="1606"/>
      <c r="F182" s="791" t="s">
        <v>745</v>
      </c>
      <c r="G182" s="1473">
        <f>BS!D112</f>
        <v>0</v>
      </c>
      <c r="H182" s="1476"/>
      <c r="I182" s="1473">
        <f>BS!E112</f>
        <v>0</v>
      </c>
      <c r="J182" s="1475"/>
    </row>
    <row r="183" spans="1:10" ht="27.75" customHeight="1" x14ac:dyDescent="0.25">
      <c r="A183" s="789" t="s">
        <v>538</v>
      </c>
      <c r="B183" s="1604" t="s">
        <v>746</v>
      </c>
      <c r="C183" s="1605"/>
      <c r="D183" s="1605"/>
      <c r="E183" s="1606"/>
      <c r="F183" s="791" t="s">
        <v>747</v>
      </c>
      <c r="G183" s="1473">
        <f>BS!D113</f>
        <v>0</v>
      </c>
      <c r="H183" s="1476"/>
      <c r="I183" s="1473">
        <f>BS!E113</f>
        <v>0</v>
      </c>
      <c r="J183" s="1475"/>
    </row>
    <row r="184" spans="1:10" ht="27.75" customHeight="1" x14ac:dyDescent="0.25">
      <c r="A184" s="789" t="s">
        <v>541</v>
      </c>
      <c r="B184" s="1604" t="s">
        <v>748</v>
      </c>
      <c r="C184" s="1605"/>
      <c r="D184" s="1605"/>
      <c r="E184" s="1606"/>
      <c r="F184" s="791" t="s">
        <v>749</v>
      </c>
      <c r="G184" s="1473">
        <f>BS!D114</f>
        <v>0</v>
      </c>
      <c r="H184" s="1476"/>
      <c r="I184" s="1473">
        <f>BS!E114</f>
        <v>0</v>
      </c>
      <c r="J184" s="1475"/>
    </row>
    <row r="185" spans="1:10" ht="27.75" customHeight="1" x14ac:dyDescent="0.25">
      <c r="A185" s="789" t="s">
        <v>544</v>
      </c>
      <c r="B185" s="1604" t="s">
        <v>750</v>
      </c>
      <c r="C185" s="1605"/>
      <c r="D185" s="1605"/>
      <c r="E185" s="1606"/>
      <c r="F185" s="791" t="s">
        <v>751</v>
      </c>
      <c r="G185" s="1473">
        <f>BS!D115</f>
        <v>0</v>
      </c>
      <c r="H185" s="1476"/>
      <c r="I185" s="1473">
        <f>BS!E115</f>
        <v>0</v>
      </c>
      <c r="J185" s="1475"/>
    </row>
    <row r="186" spans="1:10" ht="27.75" customHeight="1" x14ac:dyDescent="0.25">
      <c r="A186" s="789" t="s">
        <v>547</v>
      </c>
      <c r="B186" s="1604" t="s">
        <v>752</v>
      </c>
      <c r="C186" s="1605"/>
      <c r="D186" s="1605"/>
      <c r="E186" s="1606"/>
      <c r="F186" s="791" t="s">
        <v>753</v>
      </c>
      <c r="G186" s="1473">
        <f>BS!D116</f>
        <v>0</v>
      </c>
      <c r="H186" s="1476"/>
      <c r="I186" s="1473">
        <f>BS!E116</f>
        <v>0</v>
      </c>
      <c r="J186" s="1475"/>
    </row>
    <row r="187" spans="1:10" ht="27.75" customHeight="1" x14ac:dyDescent="0.25">
      <c r="A187" s="789" t="s">
        <v>568</v>
      </c>
      <c r="B187" s="1604" t="s">
        <v>754</v>
      </c>
      <c r="C187" s="1605"/>
      <c r="D187" s="1605"/>
      <c r="E187" s="1606"/>
      <c r="F187" s="791" t="s">
        <v>755</v>
      </c>
      <c r="G187" s="1473">
        <f>BS!D117</f>
        <v>0</v>
      </c>
      <c r="H187" s="1476"/>
      <c r="I187" s="1473">
        <f>BS!E117</f>
        <v>0</v>
      </c>
      <c r="J187" s="1475"/>
    </row>
    <row r="188" spans="1:10" ht="27.75" customHeight="1" x14ac:dyDescent="0.25">
      <c r="A188" s="789" t="s">
        <v>571</v>
      </c>
      <c r="B188" s="1604" t="s">
        <v>756</v>
      </c>
      <c r="C188" s="1605"/>
      <c r="D188" s="1605"/>
      <c r="E188" s="1606"/>
      <c r="F188" s="791" t="s">
        <v>757</v>
      </c>
      <c r="G188" s="1473">
        <f>BS!D118</f>
        <v>1201</v>
      </c>
      <c r="H188" s="1476"/>
      <c r="I188" s="1473">
        <f>BS!E118</f>
        <v>849</v>
      </c>
      <c r="J188" s="1475"/>
    </row>
    <row r="189" spans="1:10" ht="27.75" customHeight="1" x14ac:dyDescent="0.25">
      <c r="A189" s="789" t="s">
        <v>758</v>
      </c>
      <c r="B189" s="1604" t="s">
        <v>1605</v>
      </c>
      <c r="C189" s="1605"/>
      <c r="D189" s="1605"/>
      <c r="E189" s="1606"/>
      <c r="F189" s="791" t="s">
        <v>760</v>
      </c>
      <c r="G189" s="1473">
        <f>BS!D119</f>
        <v>2300</v>
      </c>
      <c r="H189" s="1476"/>
      <c r="I189" s="1473">
        <f>BS!E119</f>
        <v>8887</v>
      </c>
      <c r="J189" s="1475"/>
    </row>
    <row r="190" spans="1:10" ht="27.75" customHeight="1" x14ac:dyDescent="0.25">
      <c r="A190" s="789" t="s">
        <v>761</v>
      </c>
      <c r="B190" s="1604" t="s">
        <v>762</v>
      </c>
      <c r="C190" s="1605"/>
      <c r="D190" s="1605"/>
      <c r="E190" s="1606"/>
      <c r="F190" s="791" t="s">
        <v>763</v>
      </c>
      <c r="G190" s="1473">
        <f>BS!D120</f>
        <v>0</v>
      </c>
      <c r="H190" s="1476"/>
      <c r="I190" s="1473">
        <f>BS!E120</f>
        <v>0</v>
      </c>
      <c r="J190" s="1475"/>
    </row>
    <row r="191" spans="1:10" ht="27.75" customHeight="1" x14ac:dyDescent="0.25">
      <c r="A191" s="798" t="s">
        <v>631</v>
      </c>
      <c r="B191" s="1601" t="s">
        <v>764</v>
      </c>
      <c r="C191" s="1602"/>
      <c r="D191" s="1602"/>
      <c r="E191" s="1603"/>
      <c r="F191" s="791" t="s">
        <v>765</v>
      </c>
      <c r="G191" s="1473">
        <f>BS!D121</f>
        <v>2405616</v>
      </c>
      <c r="H191" s="1476"/>
      <c r="I191" s="1473">
        <f>BS!E121</f>
        <v>1916828</v>
      </c>
      <c r="J191" s="1475"/>
    </row>
    <row r="192" spans="1:10" ht="27.75" customHeight="1" x14ac:dyDescent="0.25">
      <c r="A192" s="789" t="s">
        <v>634</v>
      </c>
      <c r="B192" s="1604" t="s">
        <v>1606</v>
      </c>
      <c r="C192" s="1605"/>
      <c r="D192" s="1605"/>
      <c r="E192" s="1606"/>
      <c r="F192" s="791" t="s">
        <v>767</v>
      </c>
      <c r="G192" s="1473">
        <f>BS!D122</f>
        <v>2343772</v>
      </c>
      <c r="H192" s="1476"/>
      <c r="I192" s="1473">
        <f>BS!E122</f>
        <v>1893144</v>
      </c>
      <c r="J192" s="1475"/>
    </row>
    <row r="193" spans="1:10" ht="27.75" customHeight="1" x14ac:dyDescent="0.25">
      <c r="A193" s="789" t="s">
        <v>532</v>
      </c>
      <c r="B193" s="1604" t="s">
        <v>619</v>
      </c>
      <c r="C193" s="1605"/>
      <c r="D193" s="1605"/>
      <c r="E193" s="1606"/>
      <c r="F193" s="791" t="s">
        <v>768</v>
      </c>
      <c r="G193" s="1473">
        <f>BS!D123</f>
        <v>0</v>
      </c>
      <c r="H193" s="1476"/>
      <c r="I193" s="1473">
        <f>BS!E123</f>
        <v>0</v>
      </c>
      <c r="J193" s="1475"/>
    </row>
    <row r="194" spans="1:10" ht="27.75" customHeight="1" x14ac:dyDescent="0.25">
      <c r="A194" s="789" t="s">
        <v>535</v>
      </c>
      <c r="B194" s="1604" t="s">
        <v>769</v>
      </c>
      <c r="C194" s="1605"/>
      <c r="D194" s="1605"/>
      <c r="E194" s="1606"/>
      <c r="F194" s="791" t="s">
        <v>770</v>
      </c>
      <c r="G194" s="1473">
        <f>BS!D124</f>
        <v>299</v>
      </c>
      <c r="H194" s="1476"/>
      <c r="I194" s="1473">
        <f>BS!E124</f>
        <v>336</v>
      </c>
      <c r="J194" s="1475"/>
    </row>
    <row r="195" spans="1:10" s="501" customFormat="1" ht="27.75" customHeight="1" x14ac:dyDescent="0.25">
      <c r="A195" s="789" t="s">
        <v>538</v>
      </c>
      <c r="B195" s="1604" t="s">
        <v>771</v>
      </c>
      <c r="C195" s="1605"/>
      <c r="D195" s="1605"/>
      <c r="E195" s="1606"/>
      <c r="F195" s="791" t="s">
        <v>772</v>
      </c>
      <c r="G195" s="1473">
        <f>BS!D125</f>
        <v>0</v>
      </c>
      <c r="H195" s="1476"/>
      <c r="I195" s="1473">
        <f>BS!E125</f>
        <v>0</v>
      </c>
      <c r="J195" s="1475"/>
    </row>
    <row r="196" spans="1:10" ht="27.75" customHeight="1" x14ac:dyDescent="0.25">
      <c r="A196" s="789" t="s">
        <v>541</v>
      </c>
      <c r="B196" s="1604" t="s">
        <v>1607</v>
      </c>
      <c r="C196" s="1605"/>
      <c r="D196" s="1605"/>
      <c r="E196" s="1606"/>
      <c r="F196" s="791" t="s">
        <v>774</v>
      </c>
      <c r="G196" s="1473">
        <f>BS!D126</f>
        <v>0</v>
      </c>
      <c r="H196" s="1476"/>
      <c r="I196" s="1473">
        <f>BS!E126</f>
        <v>0</v>
      </c>
      <c r="J196" s="1475"/>
    </row>
    <row r="197" spans="1:10" ht="27.75" customHeight="1" x14ac:dyDescent="0.25">
      <c r="A197" s="789" t="s">
        <v>544</v>
      </c>
      <c r="B197" s="1604" t="s">
        <v>775</v>
      </c>
      <c r="C197" s="1605"/>
      <c r="D197" s="1605"/>
      <c r="E197" s="1606"/>
      <c r="F197" s="791" t="s">
        <v>776</v>
      </c>
      <c r="G197" s="1473">
        <f>BS!D127</f>
        <v>0</v>
      </c>
      <c r="H197" s="1476"/>
      <c r="I197" s="1473">
        <f>BS!E127</f>
        <v>0</v>
      </c>
      <c r="J197" s="1475"/>
    </row>
    <row r="198" spans="1:10" ht="27.75" customHeight="1" x14ac:dyDescent="0.25">
      <c r="A198" s="789" t="s">
        <v>547</v>
      </c>
      <c r="B198" s="1604" t="s">
        <v>777</v>
      </c>
      <c r="C198" s="1605"/>
      <c r="D198" s="1605"/>
      <c r="E198" s="1606"/>
      <c r="F198" s="791" t="s">
        <v>778</v>
      </c>
      <c r="G198" s="1473">
        <f>BS!D128</f>
        <v>11269</v>
      </c>
      <c r="H198" s="1476"/>
      <c r="I198" s="1473">
        <f>BS!E128</f>
        <v>8281</v>
      </c>
      <c r="J198" s="1475"/>
    </row>
    <row r="199" spans="1:10" ht="27.75" customHeight="1" x14ac:dyDescent="0.25">
      <c r="A199" s="789" t="s">
        <v>568</v>
      </c>
      <c r="B199" s="1604" t="s">
        <v>779</v>
      </c>
      <c r="C199" s="1605"/>
      <c r="D199" s="1605"/>
      <c r="E199" s="1606"/>
      <c r="F199" s="791" t="s">
        <v>780</v>
      </c>
      <c r="G199" s="1473">
        <f>BS!D129</f>
        <v>6603</v>
      </c>
      <c r="H199" s="1476"/>
      <c r="I199" s="1473">
        <f>BS!E129</f>
        <v>4455</v>
      </c>
      <c r="J199" s="1475"/>
    </row>
    <row r="200" spans="1:10" ht="27.75" customHeight="1" x14ac:dyDescent="0.25">
      <c r="A200" s="789" t="s">
        <v>571</v>
      </c>
      <c r="B200" s="1604" t="s">
        <v>1608</v>
      </c>
      <c r="C200" s="1605"/>
      <c r="D200" s="1605"/>
      <c r="E200" s="1606"/>
      <c r="F200" s="791" t="s">
        <v>782</v>
      </c>
      <c r="G200" s="1473">
        <f>BS!D130</f>
        <v>36816</v>
      </c>
      <c r="H200" s="1476"/>
      <c r="I200" s="1473">
        <f>BS!E130</f>
        <v>2007</v>
      </c>
      <c r="J200" s="1475"/>
    </row>
    <row r="201" spans="1:10" ht="27.75" customHeight="1" x14ac:dyDescent="0.25">
      <c r="A201" s="789" t="s">
        <v>758</v>
      </c>
      <c r="B201" s="1604" t="s">
        <v>1609</v>
      </c>
      <c r="C201" s="1605"/>
      <c r="D201" s="1605"/>
      <c r="E201" s="1606"/>
      <c r="F201" s="791" t="s">
        <v>784</v>
      </c>
      <c r="G201" s="1473">
        <f>BS!D131</f>
        <v>6857</v>
      </c>
      <c r="H201" s="1476"/>
      <c r="I201" s="1473">
        <f>BS!E131</f>
        <v>8605</v>
      </c>
      <c r="J201" s="1475"/>
    </row>
    <row r="202" spans="1:10" ht="27.75" customHeight="1" x14ac:dyDescent="0.25">
      <c r="A202" s="798" t="s">
        <v>649</v>
      </c>
      <c r="B202" s="1601" t="s">
        <v>785</v>
      </c>
      <c r="C202" s="1602"/>
      <c r="D202" s="1602"/>
      <c r="E202" s="1603"/>
      <c r="F202" s="791" t="s">
        <v>786</v>
      </c>
      <c r="G202" s="1473">
        <f>BS!D132</f>
        <v>0</v>
      </c>
      <c r="H202" s="1476"/>
      <c r="I202" s="1473">
        <f>BS!E132</f>
        <v>0</v>
      </c>
      <c r="J202" s="1475"/>
    </row>
    <row r="203" spans="1:10" ht="27.75" customHeight="1" x14ac:dyDescent="0.25">
      <c r="A203" s="800" t="s">
        <v>787</v>
      </c>
      <c r="B203" s="1601" t="s">
        <v>788</v>
      </c>
      <c r="C203" s="1602"/>
      <c r="D203" s="1602"/>
      <c r="E203" s="1603"/>
      <c r="F203" s="791" t="s">
        <v>789</v>
      </c>
      <c r="G203" s="1473">
        <f>BS!D133</f>
        <v>0</v>
      </c>
      <c r="H203" s="1476"/>
      <c r="I203" s="1473">
        <f>BS!E133</f>
        <v>0</v>
      </c>
      <c r="J203" s="1475"/>
    </row>
    <row r="204" spans="1:10" ht="27.75" customHeight="1" x14ac:dyDescent="0.25">
      <c r="A204" s="789" t="s">
        <v>790</v>
      </c>
      <c r="B204" s="1604" t="s">
        <v>791</v>
      </c>
      <c r="C204" s="1605"/>
      <c r="D204" s="1605"/>
      <c r="E204" s="1606"/>
      <c r="F204" s="791" t="s">
        <v>792</v>
      </c>
      <c r="G204" s="1473">
        <f>BS!D134</f>
        <v>0</v>
      </c>
      <c r="H204" s="1476"/>
      <c r="I204" s="1473">
        <f>BS!E134</f>
        <v>0</v>
      </c>
      <c r="J204" s="1475"/>
    </row>
    <row r="205" spans="1:10" s="501" customFormat="1" ht="27.75" customHeight="1" x14ac:dyDescent="0.25">
      <c r="A205" s="789" t="s">
        <v>532</v>
      </c>
      <c r="B205" s="1604" t="s">
        <v>793</v>
      </c>
      <c r="C205" s="1605"/>
      <c r="D205" s="1605"/>
      <c r="E205" s="1606"/>
      <c r="F205" s="791" t="s">
        <v>794</v>
      </c>
      <c r="G205" s="1473">
        <f>BS!D135</f>
        <v>0</v>
      </c>
      <c r="H205" s="1476"/>
      <c r="I205" s="1473">
        <f>BS!E135</f>
        <v>0</v>
      </c>
      <c r="J205" s="1475"/>
    </row>
    <row r="206" spans="1:10" ht="27.75" customHeight="1" x14ac:dyDescent="0.25">
      <c r="A206" s="798" t="s">
        <v>663</v>
      </c>
      <c r="B206" s="1601" t="s">
        <v>795</v>
      </c>
      <c r="C206" s="1602"/>
      <c r="D206" s="1602"/>
      <c r="E206" s="1603"/>
      <c r="F206" s="791" t="s">
        <v>796</v>
      </c>
      <c r="G206" s="1473">
        <f>BS!D136</f>
        <v>1500</v>
      </c>
      <c r="H206" s="1476"/>
      <c r="I206" s="1473">
        <f>BS!E136</f>
        <v>0</v>
      </c>
      <c r="J206" s="1475"/>
    </row>
    <row r="207" spans="1:10" ht="27.75" customHeight="1" x14ac:dyDescent="0.25">
      <c r="A207" s="796" t="s">
        <v>666</v>
      </c>
      <c r="B207" s="1604" t="s">
        <v>797</v>
      </c>
      <c r="C207" s="1605"/>
      <c r="D207" s="1605"/>
      <c r="E207" s="1606"/>
      <c r="F207" s="791" t="s">
        <v>798</v>
      </c>
      <c r="G207" s="1473">
        <f>BS!D137</f>
        <v>0</v>
      </c>
      <c r="H207" s="1476"/>
      <c r="I207" s="1473">
        <f>BS!E137</f>
        <v>0</v>
      </c>
      <c r="J207" s="1475"/>
    </row>
    <row r="208" spans="1:10" ht="27.75" customHeight="1" x14ac:dyDescent="0.25">
      <c r="A208" s="789" t="s">
        <v>532</v>
      </c>
      <c r="B208" s="1604" t="s">
        <v>799</v>
      </c>
      <c r="C208" s="1605"/>
      <c r="D208" s="1605"/>
      <c r="E208" s="1606"/>
      <c r="F208" s="791" t="s">
        <v>800</v>
      </c>
      <c r="G208" s="1473">
        <f>BS!D138</f>
        <v>0</v>
      </c>
      <c r="H208" s="1476"/>
      <c r="I208" s="1473">
        <f>BS!E138</f>
        <v>0</v>
      </c>
      <c r="J208" s="1475"/>
    </row>
    <row r="209" spans="1:10" s="501" customFormat="1" ht="27.75" customHeight="1" x14ac:dyDescent="0.25">
      <c r="A209" s="789" t="s">
        <v>535</v>
      </c>
      <c r="B209" s="1604" t="s">
        <v>801</v>
      </c>
      <c r="C209" s="1605"/>
      <c r="D209" s="1605"/>
      <c r="E209" s="1606"/>
      <c r="F209" s="791" t="s">
        <v>802</v>
      </c>
      <c r="G209" s="1473">
        <f>BS!D139</f>
        <v>0</v>
      </c>
      <c r="H209" s="1476"/>
      <c r="I209" s="1473">
        <f>BS!E139</f>
        <v>0</v>
      </c>
      <c r="J209" s="1475"/>
    </row>
    <row r="210" spans="1:10" ht="27.75" customHeight="1" thickBot="1" x14ac:dyDescent="0.3">
      <c r="A210" s="555" t="s">
        <v>538</v>
      </c>
      <c r="B210" s="1610" t="s">
        <v>803</v>
      </c>
      <c r="C210" s="1611"/>
      <c r="D210" s="1611"/>
      <c r="E210" s="1612"/>
      <c r="F210" s="791" t="s">
        <v>804</v>
      </c>
      <c r="G210" s="1607">
        <f>BS!D140</f>
        <v>1500</v>
      </c>
      <c r="H210" s="1608"/>
      <c r="I210" s="1607">
        <f>BS!E140</f>
        <v>0</v>
      </c>
      <c r="J210" s="1609"/>
    </row>
    <row r="211" spans="1:10" ht="24.75" customHeight="1" x14ac:dyDescent="0.25"/>
    <row r="212" spans="1:10" ht="24.75" customHeight="1" x14ac:dyDescent="0.25"/>
    <row r="213" spans="1:10" ht="24.75" customHeight="1" x14ac:dyDescent="0.25"/>
  </sheetData>
  <mergeCells count="698">
    <mergeCell ref="B209:E209"/>
    <mergeCell ref="G209:H209"/>
    <mergeCell ref="I209:J209"/>
    <mergeCell ref="B210:E210"/>
    <mergeCell ref="G210:H210"/>
    <mergeCell ref="I210:J210"/>
    <mergeCell ref="B207:E207"/>
    <mergeCell ref="G207:H207"/>
    <mergeCell ref="I207:J207"/>
    <mergeCell ref="B208:E208"/>
    <mergeCell ref="G208:H208"/>
    <mergeCell ref="I208:J208"/>
    <mergeCell ref="B205:E205"/>
    <mergeCell ref="G205:H205"/>
    <mergeCell ref="I205:J205"/>
    <mergeCell ref="B206:E206"/>
    <mergeCell ref="G206:H206"/>
    <mergeCell ref="I206:J206"/>
    <mergeCell ref="B203:E203"/>
    <mergeCell ref="G203:H203"/>
    <mergeCell ref="I203:J203"/>
    <mergeCell ref="B204:E204"/>
    <mergeCell ref="G204:H204"/>
    <mergeCell ref="I204:J204"/>
    <mergeCell ref="B201:E201"/>
    <mergeCell ref="G201:H201"/>
    <mergeCell ref="I201:J201"/>
    <mergeCell ref="B202:E202"/>
    <mergeCell ref="G202:H202"/>
    <mergeCell ref="I202:J202"/>
    <mergeCell ref="B199:E199"/>
    <mergeCell ref="G199:H199"/>
    <mergeCell ref="I199:J199"/>
    <mergeCell ref="B200:E200"/>
    <mergeCell ref="G200:H200"/>
    <mergeCell ref="I200:J200"/>
    <mergeCell ref="B197:E197"/>
    <mergeCell ref="G197:H197"/>
    <mergeCell ref="I197:J197"/>
    <mergeCell ref="B198:E198"/>
    <mergeCell ref="G198:H198"/>
    <mergeCell ref="I198:J198"/>
    <mergeCell ref="B195:E195"/>
    <mergeCell ref="G195:H195"/>
    <mergeCell ref="I195:J195"/>
    <mergeCell ref="B196:E196"/>
    <mergeCell ref="G196:H196"/>
    <mergeCell ref="I196:J196"/>
    <mergeCell ref="B193:E193"/>
    <mergeCell ref="G193:H193"/>
    <mergeCell ref="I193:J193"/>
    <mergeCell ref="B194:E194"/>
    <mergeCell ref="G194:H194"/>
    <mergeCell ref="I194:J194"/>
    <mergeCell ref="B191:E191"/>
    <mergeCell ref="G191:H191"/>
    <mergeCell ref="I191:J191"/>
    <mergeCell ref="B192:E192"/>
    <mergeCell ref="G192:H192"/>
    <mergeCell ref="I192:J192"/>
    <mergeCell ref="B189:E189"/>
    <mergeCell ref="G189:H189"/>
    <mergeCell ref="I189:J189"/>
    <mergeCell ref="B190:E190"/>
    <mergeCell ref="G190:H190"/>
    <mergeCell ref="I190:J190"/>
    <mergeCell ref="B187:E187"/>
    <mergeCell ref="G187:H187"/>
    <mergeCell ref="I187:J187"/>
    <mergeCell ref="B188:E188"/>
    <mergeCell ref="G188:H188"/>
    <mergeCell ref="I188:J188"/>
    <mergeCell ref="B185:E185"/>
    <mergeCell ref="G185:H185"/>
    <mergeCell ref="I185:J185"/>
    <mergeCell ref="B186:E186"/>
    <mergeCell ref="G186:H186"/>
    <mergeCell ref="I186:J186"/>
    <mergeCell ref="B183:E183"/>
    <mergeCell ref="G183:H183"/>
    <mergeCell ref="I183:J183"/>
    <mergeCell ref="B184:E184"/>
    <mergeCell ref="G184:H184"/>
    <mergeCell ref="I184:J184"/>
    <mergeCell ref="B181:E181"/>
    <mergeCell ref="G181:H181"/>
    <mergeCell ref="I181:J181"/>
    <mergeCell ref="B182:E182"/>
    <mergeCell ref="G182:H182"/>
    <mergeCell ref="I182:J182"/>
    <mergeCell ref="B179:E179"/>
    <mergeCell ref="G179:H179"/>
    <mergeCell ref="I179:J179"/>
    <mergeCell ref="B180:E180"/>
    <mergeCell ref="G180:H180"/>
    <mergeCell ref="I180:J180"/>
    <mergeCell ref="B177:E177"/>
    <mergeCell ref="G177:H177"/>
    <mergeCell ref="I177:J177"/>
    <mergeCell ref="B178:E178"/>
    <mergeCell ref="G178:H178"/>
    <mergeCell ref="I178:J178"/>
    <mergeCell ref="B175:E175"/>
    <mergeCell ref="G175:H175"/>
    <mergeCell ref="I175:J175"/>
    <mergeCell ref="B176:E176"/>
    <mergeCell ref="G176:H176"/>
    <mergeCell ref="I176:J176"/>
    <mergeCell ref="B173:E173"/>
    <mergeCell ref="G173:H173"/>
    <mergeCell ref="I173:J173"/>
    <mergeCell ref="B174:E174"/>
    <mergeCell ref="G174:H174"/>
    <mergeCell ref="I174:J174"/>
    <mergeCell ref="B171:E171"/>
    <mergeCell ref="G171:H171"/>
    <mergeCell ref="I171:J171"/>
    <mergeCell ref="B172:E172"/>
    <mergeCell ref="G172:H172"/>
    <mergeCell ref="I172:J172"/>
    <mergeCell ref="B169:E169"/>
    <mergeCell ref="G169:H169"/>
    <mergeCell ref="I169:J169"/>
    <mergeCell ref="B170:E170"/>
    <mergeCell ref="G170:H170"/>
    <mergeCell ref="I170:J170"/>
    <mergeCell ref="B167:E167"/>
    <mergeCell ref="G167:H167"/>
    <mergeCell ref="I167:J167"/>
    <mergeCell ref="B168:E168"/>
    <mergeCell ref="G168:H168"/>
    <mergeCell ref="I168:J168"/>
    <mergeCell ref="B165:E165"/>
    <mergeCell ref="G165:H165"/>
    <mergeCell ref="I165:J165"/>
    <mergeCell ref="B166:E166"/>
    <mergeCell ref="G166:H166"/>
    <mergeCell ref="I166:J166"/>
    <mergeCell ref="B163:E163"/>
    <mergeCell ref="G163:H163"/>
    <mergeCell ref="I163:J163"/>
    <mergeCell ref="B164:E164"/>
    <mergeCell ref="G164:H164"/>
    <mergeCell ref="I164:J164"/>
    <mergeCell ref="B161:E161"/>
    <mergeCell ref="G161:H161"/>
    <mergeCell ref="I161:J161"/>
    <mergeCell ref="B162:E162"/>
    <mergeCell ref="G162:H162"/>
    <mergeCell ref="I162:J162"/>
    <mergeCell ref="B159:E159"/>
    <mergeCell ref="G159:H159"/>
    <mergeCell ref="I159:J159"/>
    <mergeCell ref="B160:E160"/>
    <mergeCell ref="G160:H160"/>
    <mergeCell ref="I160:J160"/>
    <mergeCell ref="B157:E157"/>
    <mergeCell ref="G157:H157"/>
    <mergeCell ref="I157:J157"/>
    <mergeCell ref="B158:E158"/>
    <mergeCell ref="G158:H158"/>
    <mergeCell ref="I158:J158"/>
    <mergeCell ref="B155:E155"/>
    <mergeCell ref="G155:H155"/>
    <mergeCell ref="I155:J155"/>
    <mergeCell ref="B156:E156"/>
    <mergeCell ref="G156:H156"/>
    <mergeCell ref="I156:J156"/>
    <mergeCell ref="B153:E153"/>
    <mergeCell ref="G153:H153"/>
    <mergeCell ref="I153:J153"/>
    <mergeCell ref="B154:E154"/>
    <mergeCell ref="G154:H154"/>
    <mergeCell ref="I154:J154"/>
    <mergeCell ref="B151:E151"/>
    <mergeCell ref="G151:H151"/>
    <mergeCell ref="I151:J151"/>
    <mergeCell ref="B152:E152"/>
    <mergeCell ref="G152:H152"/>
    <mergeCell ref="I152:J152"/>
    <mergeCell ref="B149:E149"/>
    <mergeCell ref="G149:H149"/>
    <mergeCell ref="I149:J149"/>
    <mergeCell ref="B150:E150"/>
    <mergeCell ref="G150:H150"/>
    <mergeCell ref="I150:J150"/>
    <mergeCell ref="A147:A148"/>
    <mergeCell ref="B147:B148"/>
    <mergeCell ref="C147:C148"/>
    <mergeCell ref="D147:F147"/>
    <mergeCell ref="G147:I147"/>
    <mergeCell ref="D148:F148"/>
    <mergeCell ref="H148:J148"/>
    <mergeCell ref="A145:A146"/>
    <mergeCell ref="B145:B146"/>
    <mergeCell ref="C145:C146"/>
    <mergeCell ref="D145:F145"/>
    <mergeCell ref="G145:I145"/>
    <mergeCell ref="D146:F146"/>
    <mergeCell ref="H146:J146"/>
    <mergeCell ref="A143:A144"/>
    <mergeCell ref="B143:B144"/>
    <mergeCell ref="C143:C144"/>
    <mergeCell ref="D143:F143"/>
    <mergeCell ref="G143:I143"/>
    <mergeCell ref="D144:F144"/>
    <mergeCell ref="H144:J144"/>
    <mergeCell ref="A141:A142"/>
    <mergeCell ref="B141:B142"/>
    <mergeCell ref="C141:C142"/>
    <mergeCell ref="D141:F141"/>
    <mergeCell ref="G141:I141"/>
    <mergeCell ref="D142:F142"/>
    <mergeCell ref="H142:J142"/>
    <mergeCell ref="A139:A140"/>
    <mergeCell ref="B139:B140"/>
    <mergeCell ref="C139:C140"/>
    <mergeCell ref="D139:F139"/>
    <mergeCell ref="G139:I139"/>
    <mergeCell ref="D140:F140"/>
    <mergeCell ref="H140:J140"/>
    <mergeCell ref="A137:A138"/>
    <mergeCell ref="B137:B138"/>
    <mergeCell ref="C137:C138"/>
    <mergeCell ref="D137:F137"/>
    <mergeCell ref="G137:I137"/>
    <mergeCell ref="D138:F138"/>
    <mergeCell ref="H138:J138"/>
    <mergeCell ref="A135:A136"/>
    <mergeCell ref="B135:B136"/>
    <mergeCell ref="C135:C136"/>
    <mergeCell ref="D135:F135"/>
    <mergeCell ref="G135:I135"/>
    <mergeCell ref="D136:F136"/>
    <mergeCell ref="H136:J136"/>
    <mergeCell ref="A133:A134"/>
    <mergeCell ref="B133:B134"/>
    <mergeCell ref="C133:C134"/>
    <mergeCell ref="D133:F133"/>
    <mergeCell ref="G133:I133"/>
    <mergeCell ref="D134:F134"/>
    <mergeCell ref="H134:J134"/>
    <mergeCell ref="I130:J130"/>
    <mergeCell ref="A131:A132"/>
    <mergeCell ref="B131:B132"/>
    <mergeCell ref="C131:C132"/>
    <mergeCell ref="D131:F131"/>
    <mergeCell ref="G131:I131"/>
    <mergeCell ref="D132:F132"/>
    <mergeCell ref="H132:J132"/>
    <mergeCell ref="A128:A130"/>
    <mergeCell ref="B128:B130"/>
    <mergeCell ref="C128:C130"/>
    <mergeCell ref="D128:H128"/>
    <mergeCell ref="I128:J129"/>
    <mergeCell ref="D129:D130"/>
    <mergeCell ref="E129:F129"/>
    <mergeCell ref="G129:H129"/>
    <mergeCell ref="E130:F130"/>
    <mergeCell ref="G130:H130"/>
    <mergeCell ref="A126:A127"/>
    <mergeCell ref="B126:B127"/>
    <mergeCell ref="C126:C127"/>
    <mergeCell ref="D126:F126"/>
    <mergeCell ref="G126:I126"/>
    <mergeCell ref="D127:F127"/>
    <mergeCell ref="H127:J127"/>
    <mergeCell ref="A124:A125"/>
    <mergeCell ref="B124:B125"/>
    <mergeCell ref="C124:C125"/>
    <mergeCell ref="D124:F124"/>
    <mergeCell ref="G124:I124"/>
    <mergeCell ref="D125:F125"/>
    <mergeCell ref="H125:J125"/>
    <mergeCell ref="A122:A123"/>
    <mergeCell ref="B122:B123"/>
    <mergeCell ref="C122:C123"/>
    <mergeCell ref="D122:F122"/>
    <mergeCell ref="G122:I122"/>
    <mergeCell ref="D123:F123"/>
    <mergeCell ref="H123:J123"/>
    <mergeCell ref="A120:A121"/>
    <mergeCell ref="B120:B121"/>
    <mergeCell ref="C120:C121"/>
    <mergeCell ref="D120:F120"/>
    <mergeCell ref="G120:I120"/>
    <mergeCell ref="D121:F121"/>
    <mergeCell ref="H121:J121"/>
    <mergeCell ref="A118:A119"/>
    <mergeCell ref="B118:B119"/>
    <mergeCell ref="C118:C119"/>
    <mergeCell ref="D118:F118"/>
    <mergeCell ref="G118:I118"/>
    <mergeCell ref="D119:F119"/>
    <mergeCell ref="H119:J119"/>
    <mergeCell ref="A116:A117"/>
    <mergeCell ref="B116:B117"/>
    <mergeCell ref="C116:C117"/>
    <mergeCell ref="D116:F116"/>
    <mergeCell ref="G116:I116"/>
    <mergeCell ref="D117:F117"/>
    <mergeCell ref="H117:J117"/>
    <mergeCell ref="A114:A115"/>
    <mergeCell ref="B114:B115"/>
    <mergeCell ref="C114:C115"/>
    <mergeCell ref="D114:F114"/>
    <mergeCell ref="G114:I114"/>
    <mergeCell ref="D115:F115"/>
    <mergeCell ref="H115:J115"/>
    <mergeCell ref="A112:A113"/>
    <mergeCell ref="B112:B113"/>
    <mergeCell ref="C112:C113"/>
    <mergeCell ref="D112:F112"/>
    <mergeCell ref="G112:I112"/>
    <mergeCell ref="D113:F113"/>
    <mergeCell ref="H113:J113"/>
    <mergeCell ref="A110:A111"/>
    <mergeCell ref="B110:B111"/>
    <mergeCell ref="C110:C111"/>
    <mergeCell ref="D110:F110"/>
    <mergeCell ref="G110:I110"/>
    <mergeCell ref="D111:F111"/>
    <mergeCell ref="H111:J111"/>
    <mergeCell ref="A108:A109"/>
    <mergeCell ref="B108:B109"/>
    <mergeCell ref="C108:C109"/>
    <mergeCell ref="D108:F108"/>
    <mergeCell ref="G108:I108"/>
    <mergeCell ref="D109:F109"/>
    <mergeCell ref="H109:J109"/>
    <mergeCell ref="A106:A107"/>
    <mergeCell ref="B106:B107"/>
    <mergeCell ref="C106:C107"/>
    <mergeCell ref="D106:F106"/>
    <mergeCell ref="G106:I106"/>
    <mergeCell ref="D107:F107"/>
    <mergeCell ref="H107:J107"/>
    <mergeCell ref="A104:A105"/>
    <mergeCell ref="B104:B105"/>
    <mergeCell ref="C104:C105"/>
    <mergeCell ref="D104:F104"/>
    <mergeCell ref="G104:I104"/>
    <mergeCell ref="D105:F105"/>
    <mergeCell ref="H105:J105"/>
    <mergeCell ref="A102:A103"/>
    <mergeCell ref="B102:B103"/>
    <mergeCell ref="C102:C103"/>
    <mergeCell ref="D102:F102"/>
    <mergeCell ref="G102:I102"/>
    <mergeCell ref="D103:F103"/>
    <mergeCell ref="H103:J103"/>
    <mergeCell ref="A100:A101"/>
    <mergeCell ref="B100:B101"/>
    <mergeCell ref="C100:C101"/>
    <mergeCell ref="D100:F100"/>
    <mergeCell ref="G100:I100"/>
    <mergeCell ref="D101:F101"/>
    <mergeCell ref="H101:J101"/>
    <mergeCell ref="I97:J97"/>
    <mergeCell ref="A98:A99"/>
    <mergeCell ref="B98:B99"/>
    <mergeCell ref="C98:C99"/>
    <mergeCell ref="D98:F98"/>
    <mergeCell ref="G98:I98"/>
    <mergeCell ref="D99:F99"/>
    <mergeCell ref="H99:J99"/>
    <mergeCell ref="A95:A97"/>
    <mergeCell ref="B95:B97"/>
    <mergeCell ref="C95:C97"/>
    <mergeCell ref="D95:H95"/>
    <mergeCell ref="I95:J96"/>
    <mergeCell ref="D96:D97"/>
    <mergeCell ref="E96:F96"/>
    <mergeCell ref="G96:H96"/>
    <mergeCell ref="E97:F97"/>
    <mergeCell ref="G97:H97"/>
    <mergeCell ref="A93:A94"/>
    <mergeCell ref="B93:B94"/>
    <mergeCell ref="C93:C94"/>
    <mergeCell ref="D93:F93"/>
    <mergeCell ref="G93:I93"/>
    <mergeCell ref="D94:F94"/>
    <mergeCell ref="H94:J94"/>
    <mergeCell ref="A91:A92"/>
    <mergeCell ref="B91:B92"/>
    <mergeCell ref="C91:C92"/>
    <mergeCell ref="D91:F91"/>
    <mergeCell ref="G91:I91"/>
    <mergeCell ref="D92:F92"/>
    <mergeCell ref="H92:J92"/>
    <mergeCell ref="A89:A90"/>
    <mergeCell ref="B89:B90"/>
    <mergeCell ref="C89:C90"/>
    <mergeCell ref="D89:F89"/>
    <mergeCell ref="G89:I89"/>
    <mergeCell ref="D90:F90"/>
    <mergeCell ref="H90:J90"/>
    <mergeCell ref="A87:A88"/>
    <mergeCell ref="B87:B88"/>
    <mergeCell ref="C87:C88"/>
    <mergeCell ref="D87:F87"/>
    <mergeCell ref="G87:I87"/>
    <mergeCell ref="D88:F88"/>
    <mergeCell ref="H88:J88"/>
    <mergeCell ref="A85:A86"/>
    <mergeCell ref="B85:B86"/>
    <mergeCell ref="C85:C86"/>
    <mergeCell ref="D85:F85"/>
    <mergeCell ref="G85:I85"/>
    <mergeCell ref="D86:F86"/>
    <mergeCell ref="H86:J86"/>
    <mergeCell ref="A83:A84"/>
    <mergeCell ref="B83:B84"/>
    <mergeCell ref="C83:C84"/>
    <mergeCell ref="D83:F83"/>
    <mergeCell ref="G83:I83"/>
    <mergeCell ref="D84:F84"/>
    <mergeCell ref="H84:J84"/>
    <mergeCell ref="A81:A82"/>
    <mergeCell ref="B81:B82"/>
    <mergeCell ref="C81:C82"/>
    <mergeCell ref="D81:F81"/>
    <mergeCell ref="G81:I81"/>
    <mergeCell ref="D82:F82"/>
    <mergeCell ref="H82:J82"/>
    <mergeCell ref="A79:A80"/>
    <mergeCell ref="B79:B80"/>
    <mergeCell ref="C79:C80"/>
    <mergeCell ref="D79:F79"/>
    <mergeCell ref="G79:I79"/>
    <mergeCell ref="D80:F80"/>
    <mergeCell ref="H80:J80"/>
    <mergeCell ref="A77:A78"/>
    <mergeCell ref="B77:B78"/>
    <mergeCell ref="C77:C78"/>
    <mergeCell ref="D77:F77"/>
    <mergeCell ref="G77:I77"/>
    <mergeCell ref="D78:F78"/>
    <mergeCell ref="H78:J78"/>
    <mergeCell ref="A75:A76"/>
    <mergeCell ref="B75:B76"/>
    <mergeCell ref="C75:C76"/>
    <mergeCell ref="D75:F75"/>
    <mergeCell ref="G75:I75"/>
    <mergeCell ref="D76:F76"/>
    <mergeCell ref="H76:J76"/>
    <mergeCell ref="A73:A74"/>
    <mergeCell ref="B73:B74"/>
    <mergeCell ref="C73:C74"/>
    <mergeCell ref="D73:F73"/>
    <mergeCell ref="G73:I73"/>
    <mergeCell ref="D74:F74"/>
    <mergeCell ref="H74:J74"/>
    <mergeCell ref="A71:A72"/>
    <mergeCell ref="B71:B72"/>
    <mergeCell ref="C71:C72"/>
    <mergeCell ref="D71:F71"/>
    <mergeCell ref="G71:I71"/>
    <mergeCell ref="D72:F72"/>
    <mergeCell ref="H72:J72"/>
    <mergeCell ref="A69:A70"/>
    <mergeCell ref="B69:B70"/>
    <mergeCell ref="C69:C70"/>
    <mergeCell ref="D69:F69"/>
    <mergeCell ref="G69:I69"/>
    <mergeCell ref="D70:F70"/>
    <mergeCell ref="H70:J70"/>
    <mergeCell ref="I66:J66"/>
    <mergeCell ref="A67:A68"/>
    <mergeCell ref="B67:B68"/>
    <mergeCell ref="C67:C68"/>
    <mergeCell ref="D67:F67"/>
    <mergeCell ref="G67:I67"/>
    <mergeCell ref="D68:F68"/>
    <mergeCell ref="H68:J68"/>
    <mergeCell ref="A64:A66"/>
    <mergeCell ref="B64:B66"/>
    <mergeCell ref="C64:C66"/>
    <mergeCell ref="D64:H64"/>
    <mergeCell ref="I64:J65"/>
    <mergeCell ref="D65:D66"/>
    <mergeCell ref="E65:F65"/>
    <mergeCell ref="G65:H65"/>
    <mergeCell ref="E66:F66"/>
    <mergeCell ref="G66:H66"/>
    <mergeCell ref="A62:A63"/>
    <mergeCell ref="B62:B63"/>
    <mergeCell ref="C62:C63"/>
    <mergeCell ref="D62:F62"/>
    <mergeCell ref="G62:I62"/>
    <mergeCell ref="D63:F63"/>
    <mergeCell ref="H63:J63"/>
    <mergeCell ref="A60:A61"/>
    <mergeCell ref="B60:B61"/>
    <mergeCell ref="C60:C61"/>
    <mergeCell ref="D60:F60"/>
    <mergeCell ref="G60:I60"/>
    <mergeCell ref="D61:F61"/>
    <mergeCell ref="H61:J61"/>
    <mergeCell ref="A58:A59"/>
    <mergeCell ref="B58:B59"/>
    <mergeCell ref="C58:C59"/>
    <mergeCell ref="D58:F58"/>
    <mergeCell ref="G58:I58"/>
    <mergeCell ref="D59:F59"/>
    <mergeCell ref="H59:J59"/>
    <mergeCell ref="A56:A57"/>
    <mergeCell ref="B56:B57"/>
    <mergeCell ref="C56:C57"/>
    <mergeCell ref="D56:F56"/>
    <mergeCell ref="G56:I56"/>
    <mergeCell ref="D57:F57"/>
    <mergeCell ref="H57:J57"/>
    <mergeCell ref="A54:A55"/>
    <mergeCell ref="B54:B55"/>
    <mergeCell ref="C54:C55"/>
    <mergeCell ref="D54:F54"/>
    <mergeCell ref="G54:I54"/>
    <mergeCell ref="D55:F55"/>
    <mergeCell ref="H55:J55"/>
    <mergeCell ref="A52:A53"/>
    <mergeCell ref="B52:B53"/>
    <mergeCell ref="C52:C53"/>
    <mergeCell ref="D52:F52"/>
    <mergeCell ref="G52:I52"/>
    <mergeCell ref="D53:F53"/>
    <mergeCell ref="H53:J53"/>
    <mergeCell ref="A50:A51"/>
    <mergeCell ref="B50:B51"/>
    <mergeCell ref="C50:C51"/>
    <mergeCell ref="D50:F50"/>
    <mergeCell ref="G50:I50"/>
    <mergeCell ref="D51:F51"/>
    <mergeCell ref="H51:J51"/>
    <mergeCell ref="A48:A49"/>
    <mergeCell ref="B48:B49"/>
    <mergeCell ref="C48:C49"/>
    <mergeCell ref="D48:F48"/>
    <mergeCell ref="G48:I48"/>
    <mergeCell ref="D49:F49"/>
    <mergeCell ref="H49:J49"/>
    <mergeCell ref="A46:A47"/>
    <mergeCell ref="B46:B47"/>
    <mergeCell ref="C46:C47"/>
    <mergeCell ref="D46:F46"/>
    <mergeCell ref="G46:I46"/>
    <mergeCell ref="D47:F47"/>
    <mergeCell ref="H47:J47"/>
    <mergeCell ref="A44:A45"/>
    <mergeCell ref="B44:B45"/>
    <mergeCell ref="C44:C45"/>
    <mergeCell ref="D44:F44"/>
    <mergeCell ref="G44:I44"/>
    <mergeCell ref="D45:F45"/>
    <mergeCell ref="H45:J45"/>
    <mergeCell ref="A42:A43"/>
    <mergeCell ref="B42:B43"/>
    <mergeCell ref="C42:C43"/>
    <mergeCell ref="D42:F42"/>
    <mergeCell ref="G42:I42"/>
    <mergeCell ref="D43:F43"/>
    <mergeCell ref="H43:J43"/>
    <mergeCell ref="A40:A41"/>
    <mergeCell ref="B40:B41"/>
    <mergeCell ref="C40:C41"/>
    <mergeCell ref="D40:F40"/>
    <mergeCell ref="G40:I40"/>
    <mergeCell ref="D41:F41"/>
    <mergeCell ref="H41:J41"/>
    <mergeCell ref="A38:A39"/>
    <mergeCell ref="B38:B39"/>
    <mergeCell ref="C38:C39"/>
    <mergeCell ref="D38:F38"/>
    <mergeCell ref="G38:I38"/>
    <mergeCell ref="D39:F39"/>
    <mergeCell ref="H39:J39"/>
    <mergeCell ref="I35:J35"/>
    <mergeCell ref="A36:A37"/>
    <mergeCell ref="B36:B37"/>
    <mergeCell ref="C36:C37"/>
    <mergeCell ref="D36:F36"/>
    <mergeCell ref="G36:I36"/>
    <mergeCell ref="D37:F37"/>
    <mergeCell ref="H37:J37"/>
    <mergeCell ref="A33:A35"/>
    <mergeCell ref="B33:B35"/>
    <mergeCell ref="C33:C35"/>
    <mergeCell ref="D33:H33"/>
    <mergeCell ref="I33:J34"/>
    <mergeCell ref="D34:D35"/>
    <mergeCell ref="E34:F34"/>
    <mergeCell ref="G34:H34"/>
    <mergeCell ref="E35:F35"/>
    <mergeCell ref="G35:H35"/>
    <mergeCell ref="A31:A32"/>
    <mergeCell ref="B31:B32"/>
    <mergeCell ref="C31:C32"/>
    <mergeCell ref="D31:F31"/>
    <mergeCell ref="G31:I31"/>
    <mergeCell ref="D32:F32"/>
    <mergeCell ref="H32:J32"/>
    <mergeCell ref="A29:A30"/>
    <mergeCell ref="B29:B30"/>
    <mergeCell ref="C29:C30"/>
    <mergeCell ref="D29:F29"/>
    <mergeCell ref="G29:I29"/>
    <mergeCell ref="D30:F30"/>
    <mergeCell ref="H30:J30"/>
    <mergeCell ref="A27:A28"/>
    <mergeCell ref="B27:B28"/>
    <mergeCell ref="C27:C28"/>
    <mergeCell ref="D27:F27"/>
    <mergeCell ref="G27:I27"/>
    <mergeCell ref="D28:F28"/>
    <mergeCell ref="H28:J28"/>
    <mergeCell ref="A25:A26"/>
    <mergeCell ref="B25:B26"/>
    <mergeCell ref="C25:C26"/>
    <mergeCell ref="D25:F25"/>
    <mergeCell ref="G25:I25"/>
    <mergeCell ref="D26:F26"/>
    <mergeCell ref="H26:J26"/>
    <mergeCell ref="A23:A24"/>
    <mergeCell ref="B23:B24"/>
    <mergeCell ref="C23:C24"/>
    <mergeCell ref="D23:F23"/>
    <mergeCell ref="G23:I23"/>
    <mergeCell ref="D24:F24"/>
    <mergeCell ref="H24:J24"/>
    <mergeCell ref="A21:A22"/>
    <mergeCell ref="B21:B22"/>
    <mergeCell ref="C21:C22"/>
    <mergeCell ref="D21:F21"/>
    <mergeCell ref="G21:I21"/>
    <mergeCell ref="D22:F22"/>
    <mergeCell ref="H22:J22"/>
    <mergeCell ref="A19:A20"/>
    <mergeCell ref="B19:B20"/>
    <mergeCell ref="C19:C20"/>
    <mergeCell ref="D19:F19"/>
    <mergeCell ref="G19:I19"/>
    <mergeCell ref="D20:F20"/>
    <mergeCell ref="H20:J20"/>
    <mergeCell ref="A17:A18"/>
    <mergeCell ref="B17:B18"/>
    <mergeCell ref="C17:C18"/>
    <mergeCell ref="D17:F17"/>
    <mergeCell ref="G17:I17"/>
    <mergeCell ref="D18:F18"/>
    <mergeCell ref="H18:J18"/>
    <mergeCell ref="A15:A16"/>
    <mergeCell ref="B15:B16"/>
    <mergeCell ref="C15:C16"/>
    <mergeCell ref="D15:F15"/>
    <mergeCell ref="G15:I15"/>
    <mergeCell ref="D16:F16"/>
    <mergeCell ref="H16:J16"/>
    <mergeCell ref="A13:A14"/>
    <mergeCell ref="B13:B14"/>
    <mergeCell ref="C13:C14"/>
    <mergeCell ref="D13:F13"/>
    <mergeCell ref="G13:I13"/>
    <mergeCell ref="D14:F14"/>
    <mergeCell ref="H14:J14"/>
    <mergeCell ref="A7:A8"/>
    <mergeCell ref="B7:B8"/>
    <mergeCell ref="C7:C8"/>
    <mergeCell ref="D7:F7"/>
    <mergeCell ref="G7:I7"/>
    <mergeCell ref="D8:F8"/>
    <mergeCell ref="H8:J8"/>
    <mergeCell ref="A11:A12"/>
    <mergeCell ref="B11:B12"/>
    <mergeCell ref="C11:C12"/>
    <mergeCell ref="D11:F11"/>
    <mergeCell ref="G11:I11"/>
    <mergeCell ref="D12:F12"/>
    <mergeCell ref="H12:J12"/>
    <mergeCell ref="A9:A10"/>
    <mergeCell ref="B9:B10"/>
    <mergeCell ref="C9:C10"/>
    <mergeCell ref="D9:F9"/>
    <mergeCell ref="G9:I9"/>
    <mergeCell ref="D10:F10"/>
    <mergeCell ref="H10:J10"/>
    <mergeCell ref="B2:C2"/>
    <mergeCell ref="G2:I2"/>
    <mergeCell ref="A4:A6"/>
    <mergeCell ref="B4:B6"/>
    <mergeCell ref="C4:C6"/>
    <mergeCell ref="D4:H4"/>
    <mergeCell ref="I4:J5"/>
    <mergeCell ref="D5:D6"/>
    <mergeCell ref="E5:F5"/>
    <mergeCell ref="G5:H5"/>
    <mergeCell ref="E6:F6"/>
    <mergeCell ref="G6:H6"/>
    <mergeCell ref="I6:J6"/>
  </mergeCells>
  <pageMargins left="0.74803149606299213" right="0.55118110236220474" top="0.31496062992125984" bottom="0.35433070866141736" header="0.31496062992125984" footer="0.15748031496062992"/>
  <pageSetup paperSize="9" scale="88" firstPageNumber="2" orientation="portrait" useFirstPageNumber="1" r:id="rId1"/>
  <headerFooter alignWithMargins="0">
    <oddFooter>&amp;LMF SR č. 25947/1/2010&amp;RPage &amp;P</oddFooter>
  </headerFooter>
  <rowBreaks count="6" manualBreakCount="6">
    <brk id="32" max="16383" man="1"/>
    <brk id="63" max="16383" man="1"/>
    <brk id="94" max="16383" man="1"/>
    <brk id="127" max="16383" man="1"/>
    <brk id="148" max="16383" man="1"/>
    <brk id="178" max="16383" man="1"/>
  </row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 summaryRight="0"/>
  </sheetPr>
  <dimension ref="A1:AQ51"/>
  <sheetViews>
    <sheetView showGridLines="0" view="pageBreakPreview" zoomScaleNormal="100" zoomScaleSheetLayoutView="100" workbookViewId="0"/>
  </sheetViews>
  <sheetFormatPr defaultRowHeight="12.75" x14ac:dyDescent="0.25"/>
  <cols>
    <col min="1" max="37" width="2.5703125" style="441" customWidth="1"/>
    <col min="38" max="38" width="0.140625" style="441" customWidth="1"/>
    <col min="39" max="41" width="2.5703125" style="441" customWidth="1"/>
    <col min="42" max="42" width="9.140625" style="441"/>
    <col min="43" max="45" width="2.5703125" style="441" customWidth="1"/>
    <col min="46" max="46" width="7.7109375" style="441" customWidth="1"/>
    <col min="47" max="61" width="2.5703125" style="441" customWidth="1"/>
    <col min="62" max="16384" width="9.140625" style="441"/>
  </cols>
  <sheetData>
    <row r="1" spans="1:37" s="551" customFormat="1" ht="10.5" customHeight="1" thickBot="1" x14ac:dyDescent="0.3">
      <c r="B1" s="817" t="s">
        <v>1321</v>
      </c>
      <c r="N1" s="1544" t="s">
        <v>1610</v>
      </c>
      <c r="O1" s="1544"/>
      <c r="P1" s="1544"/>
      <c r="Q1" s="1544"/>
      <c r="R1" s="1544"/>
      <c r="S1" s="1544"/>
      <c r="T1" s="1544"/>
      <c r="U1" s="1544"/>
      <c r="V1" s="1544"/>
      <c r="W1" s="1544"/>
      <c r="X1" s="1547"/>
    </row>
    <row r="2" spans="1:37" s="448" customFormat="1" ht="21" customHeight="1" thickBot="1" x14ac:dyDescent="0.3">
      <c r="B2" s="819" t="s">
        <v>1611</v>
      </c>
      <c r="C2" s="820"/>
      <c r="D2" s="820"/>
      <c r="E2" s="820"/>
      <c r="F2" s="820"/>
      <c r="G2" s="820"/>
      <c r="H2" s="820"/>
      <c r="I2" s="820"/>
      <c r="J2" s="821"/>
      <c r="K2" s="820"/>
      <c r="L2" s="820"/>
      <c r="M2" s="822"/>
      <c r="N2" s="1544"/>
      <c r="O2" s="1544"/>
      <c r="P2" s="1544"/>
      <c r="Q2" s="1544"/>
      <c r="R2" s="1544"/>
      <c r="S2" s="1544"/>
      <c r="T2" s="1544"/>
      <c r="U2" s="1544"/>
      <c r="V2" s="1544"/>
      <c r="W2" s="1544"/>
      <c r="X2" s="1547"/>
    </row>
    <row r="3" spans="1:37" ht="13.5" customHeight="1" thickBot="1" x14ac:dyDescent="0.3">
      <c r="N3" s="1545"/>
      <c r="O3" s="1545"/>
      <c r="P3" s="1545"/>
      <c r="Q3" s="1545"/>
      <c r="R3" s="1545"/>
      <c r="S3" s="1545"/>
      <c r="T3" s="1545"/>
      <c r="U3" s="1545"/>
      <c r="V3" s="1545"/>
      <c r="W3" s="1545"/>
      <c r="X3" s="1613"/>
    </row>
    <row r="4" spans="1:37" ht="28.5" customHeight="1" thickBot="1" x14ac:dyDescent="0.3">
      <c r="J4" s="1550" t="s">
        <v>1499</v>
      </c>
      <c r="K4" s="1614" t="s">
        <v>1612</v>
      </c>
      <c r="L4" s="545" t="str">
        <f>+MID('Input data'!$B$11,1,1)</f>
        <v>3</v>
      </c>
      <c r="M4" s="545" t="str">
        <f>+MID('Input data'!$B$11,2,1)</f>
        <v>1</v>
      </c>
      <c r="N4" s="545" t="s">
        <v>1147</v>
      </c>
      <c r="O4" s="545" t="str">
        <f>LEFT('Input data'!B13,1)</f>
        <v>1</v>
      </c>
      <c r="P4" s="545" t="str">
        <f>RIGHT('Input data'!B13,1)</f>
        <v>2</v>
      </c>
      <c r="Q4" s="545" t="s">
        <v>1147</v>
      </c>
      <c r="R4" s="545" t="str">
        <f>+LEFT('Input data'!$B$14,1)</f>
        <v>2</v>
      </c>
      <c r="S4" s="545" t="str">
        <f>+MID('Input data'!$B$14,2,1)</f>
        <v>0</v>
      </c>
      <c r="T4" s="545" t="str">
        <f>+MID('Input data'!$B$14,3,1)</f>
        <v>1</v>
      </c>
      <c r="U4" s="545" t="str">
        <f>+MID('Input data'!$B$14,4,1)</f>
        <v>3</v>
      </c>
      <c r="V4" s="824"/>
      <c r="W4" s="543" t="s">
        <v>1500</v>
      </c>
      <c r="X4" s="543"/>
      <c r="Y4" s="543"/>
      <c r="Z4" s="543"/>
      <c r="AA4" s="542"/>
    </row>
    <row r="5" spans="1:37" ht="7.5" customHeight="1" thickBot="1" x14ac:dyDescent="0.3"/>
    <row r="6" spans="1:37" s="538" customFormat="1" ht="14.25" customHeight="1" x14ac:dyDescent="0.25">
      <c r="A6" s="541" t="s">
        <v>1613</v>
      </c>
      <c r="B6" s="540"/>
      <c r="C6" s="540"/>
      <c r="D6" s="540"/>
      <c r="E6" s="540"/>
      <c r="F6" s="540"/>
      <c r="G6" s="540"/>
      <c r="H6" s="540"/>
      <c r="I6" s="540"/>
      <c r="J6" s="540"/>
      <c r="K6" s="540"/>
      <c r="L6" s="540"/>
      <c r="M6" s="540"/>
      <c r="N6" s="540"/>
      <c r="O6" s="540"/>
      <c r="P6" s="540"/>
      <c r="Q6" s="540"/>
      <c r="R6" s="540"/>
      <c r="S6" s="539"/>
      <c r="T6" s="540"/>
      <c r="U6" s="540"/>
      <c r="V6" s="540"/>
      <c r="W6" s="540"/>
      <c r="X6" s="540"/>
      <c r="Y6" s="540"/>
      <c r="Z6" s="540"/>
      <c r="AA6" s="540"/>
      <c r="AB6" s="540"/>
      <c r="AC6" s="540"/>
      <c r="AD6" s="540"/>
      <c r="AE6" s="540"/>
      <c r="AF6" s="540"/>
      <c r="AG6" s="540"/>
      <c r="AH6" s="540"/>
      <c r="AI6" s="540"/>
      <c r="AJ6" s="540"/>
      <c r="AK6" s="539"/>
    </row>
    <row r="7" spans="1:37" s="442" customFormat="1" ht="15" customHeight="1" x14ac:dyDescent="0.25">
      <c r="A7" s="454" t="s">
        <v>1614</v>
      </c>
      <c r="B7" s="453"/>
      <c r="C7" s="453"/>
      <c r="D7" s="453"/>
      <c r="E7" s="453"/>
      <c r="F7" s="453"/>
      <c r="G7" s="453"/>
      <c r="H7" s="453"/>
      <c r="I7" s="453"/>
      <c r="J7" s="453"/>
      <c r="K7" s="453"/>
      <c r="L7" s="453"/>
      <c r="M7" s="453"/>
      <c r="N7" s="453"/>
      <c r="O7" s="453"/>
      <c r="P7" s="453"/>
      <c r="Q7" s="453"/>
      <c r="R7" s="453"/>
      <c r="S7" s="453"/>
      <c r="T7" s="453"/>
      <c r="U7" s="453"/>
      <c r="V7" s="453"/>
      <c r="W7" s="453"/>
      <c r="X7" s="453"/>
      <c r="Y7" s="453"/>
      <c r="Z7" s="453"/>
      <c r="AA7" s="453"/>
      <c r="AB7" s="453"/>
      <c r="AC7" s="453"/>
      <c r="AD7" s="453"/>
      <c r="AE7" s="453"/>
      <c r="AF7" s="453"/>
      <c r="AG7" s="453"/>
      <c r="AH7" s="453"/>
      <c r="AI7" s="453"/>
      <c r="AJ7" s="453"/>
      <c r="AK7" s="537"/>
    </row>
    <row r="8" spans="1:37" s="533" customFormat="1" ht="18" customHeight="1" thickBot="1" x14ac:dyDescent="0.3">
      <c r="A8" s="536" t="s">
        <v>1151</v>
      </c>
      <c r="B8" s="535"/>
      <c r="C8" s="535"/>
      <c r="D8" s="535"/>
      <c r="E8" s="536"/>
      <c r="F8" s="535"/>
      <c r="G8" s="535"/>
      <c r="H8" s="535"/>
      <c r="I8" s="535"/>
      <c r="J8" s="535"/>
      <c r="K8" s="535"/>
      <c r="L8" s="535"/>
      <c r="M8" s="535"/>
      <c r="N8" s="535"/>
      <c r="O8" s="535"/>
      <c r="P8" s="535"/>
      <c r="Q8" s="535"/>
      <c r="R8" s="535"/>
      <c r="S8" s="534"/>
      <c r="T8" s="535"/>
      <c r="U8" s="535"/>
      <c r="V8" s="535"/>
      <c r="W8" s="535"/>
      <c r="X8" s="535"/>
      <c r="Y8" s="535"/>
      <c r="Z8" s="535"/>
      <c r="AA8" s="535"/>
      <c r="AB8" s="535"/>
      <c r="AC8" s="535"/>
      <c r="AD8" s="535"/>
      <c r="AE8" s="535"/>
      <c r="AF8" s="535"/>
      <c r="AG8" s="535"/>
      <c r="AH8" s="535"/>
      <c r="AI8" s="535"/>
      <c r="AJ8" s="535"/>
      <c r="AK8" s="534"/>
    </row>
    <row r="9" spans="1:37" s="513" customFormat="1" ht="3.75" customHeight="1" thickBot="1" x14ac:dyDescent="0.3">
      <c r="AF9" s="516"/>
      <c r="AG9" s="516"/>
    </row>
    <row r="10" spans="1:37" s="513" customFormat="1" ht="14.25" customHeight="1" x14ac:dyDescent="0.25">
      <c r="A10" s="515" t="s">
        <v>1504</v>
      </c>
      <c r="B10" s="514"/>
      <c r="C10" s="514"/>
      <c r="D10" s="514"/>
      <c r="E10" s="514"/>
      <c r="F10" s="514"/>
      <c r="G10" s="514"/>
      <c r="H10" s="514"/>
      <c r="I10" s="458"/>
      <c r="J10" s="852"/>
      <c r="K10" s="531" t="s">
        <v>1505</v>
      </c>
      <c r="L10" s="514"/>
      <c r="M10" s="532"/>
      <c r="N10" s="532"/>
      <c r="O10" s="532"/>
      <c r="P10" s="514"/>
      <c r="Q10" s="531" t="s">
        <v>1505</v>
      </c>
      <c r="R10" s="514"/>
      <c r="S10" s="458"/>
      <c r="T10" s="514"/>
      <c r="U10" s="514"/>
      <c r="V10" s="853"/>
      <c r="W10" s="514"/>
      <c r="X10" s="514"/>
      <c r="Y10" s="514"/>
      <c r="Z10" s="514"/>
      <c r="AA10" s="514"/>
      <c r="AB10" s="514"/>
      <c r="AC10" s="514"/>
      <c r="AD10" s="531" t="s">
        <v>1506</v>
      </c>
      <c r="AE10" s="531"/>
      <c r="AF10" s="531"/>
      <c r="AG10" s="531" t="s">
        <v>1507</v>
      </c>
      <c r="AH10" s="514"/>
      <c r="AI10" s="514"/>
      <c r="AJ10" s="514"/>
      <c r="AK10" s="530"/>
    </row>
    <row r="11" spans="1:37" s="513" customFormat="1" ht="19.5" customHeight="1" x14ac:dyDescent="0.2">
      <c r="A11" s="527" t="str">
        <f>LEFT('Input data'!C24,1)</f>
        <v>2</v>
      </c>
      <c r="B11" s="492" t="str">
        <f>MID('Input data'!$C$24,2,1)</f>
        <v>0</v>
      </c>
      <c r="C11" s="492" t="str">
        <f>MID('Input data'!$C$24,3,1)</f>
        <v>2</v>
      </c>
      <c r="D11" s="492" t="str">
        <f>MID('Input data'!$C$24,4,1)</f>
        <v>0</v>
      </c>
      <c r="E11" s="492" t="str">
        <f>MID('Input data'!$C$24,5,1)</f>
        <v>3</v>
      </c>
      <c r="F11" s="492" t="str">
        <f>MID('Input data'!$C$24,6,1)</f>
        <v>3</v>
      </c>
      <c r="G11" s="492" t="str">
        <f>MID('Input data'!$C$24,7,1)</f>
        <v>6</v>
      </c>
      <c r="H11" s="492" t="str">
        <f>MID('Input data'!$C$24,8,1)</f>
        <v>4</v>
      </c>
      <c r="I11" s="492" t="str">
        <f>MID('Input data'!$C$24,9,1)</f>
        <v>0</v>
      </c>
      <c r="J11" s="854" t="str">
        <f>MID('Input data'!$C$24,10,1)</f>
        <v>6</v>
      </c>
      <c r="K11" s="855"/>
      <c r="L11" s="516"/>
      <c r="M11" s="516"/>
      <c r="N11" s="516"/>
      <c r="O11" s="516"/>
      <c r="P11" s="516"/>
      <c r="Q11" s="516"/>
      <c r="R11" s="516"/>
      <c r="S11" s="516"/>
      <c r="T11" s="516"/>
      <c r="U11" s="516"/>
      <c r="V11" s="856"/>
      <c r="W11" s="521" t="s">
        <v>1508</v>
      </c>
      <c r="X11" s="516"/>
      <c r="Y11" s="516"/>
      <c r="Z11" s="516"/>
      <c r="AA11" s="516"/>
      <c r="AB11" s="521" t="s">
        <v>1509</v>
      </c>
      <c r="AC11" s="516"/>
      <c r="AD11" s="492" t="str">
        <f>MID('Input data'!$B$8,1,1)</f>
        <v>0</v>
      </c>
      <c r="AE11" s="492" t="str">
        <f>MID('Input data'!$B$8,2,1)</f>
        <v>1</v>
      </c>
      <c r="AF11" s="492"/>
      <c r="AG11" s="492" t="str">
        <f>MID('Input data'!$B$9,1,1)</f>
        <v>2</v>
      </c>
      <c r="AH11" s="492" t="str">
        <f>MID('Input data'!$B$9,2,1)</f>
        <v>0</v>
      </c>
      <c r="AI11" s="492" t="str">
        <f>MID('Input data'!$B$9,3,1)</f>
        <v>1</v>
      </c>
      <c r="AJ11" s="492" t="str">
        <f>MID('Input data'!$B$9,4,1)</f>
        <v>3</v>
      </c>
      <c r="AK11" s="522"/>
    </row>
    <row r="12" spans="1:37" s="513" customFormat="1" ht="19.5" customHeight="1" x14ac:dyDescent="0.25">
      <c r="A12" s="454" t="s">
        <v>1510</v>
      </c>
      <c r="B12" s="516"/>
      <c r="C12" s="516"/>
      <c r="D12" s="516"/>
      <c r="E12" s="516"/>
      <c r="F12" s="516"/>
      <c r="G12" s="516"/>
      <c r="H12" s="450"/>
      <c r="I12" s="450"/>
      <c r="J12" s="579"/>
      <c r="K12" s="855"/>
      <c r="L12" s="529" t="str">
        <f>IF('Input data'!D7="x","x"," ")</f>
        <v>x</v>
      </c>
      <c r="M12" s="521" t="s">
        <v>1418</v>
      </c>
      <c r="N12" s="523"/>
      <c r="O12" s="523"/>
      <c r="P12" s="523"/>
      <c r="Q12" s="523"/>
      <c r="R12" s="529" t="str">
        <f>IF('Input data'!D16="x","x"," ")</f>
        <v>x</v>
      </c>
      <c r="S12" s="521" t="s">
        <v>1411</v>
      </c>
      <c r="T12" s="516"/>
      <c r="U12" s="516"/>
      <c r="V12" s="856"/>
      <c r="W12" s="825"/>
      <c r="X12" s="826"/>
      <c r="Y12" s="826"/>
      <c r="Z12" s="826"/>
      <c r="AA12" s="826"/>
      <c r="AB12" s="827" t="s">
        <v>1513</v>
      </c>
      <c r="AC12" s="826"/>
      <c r="AD12" s="828" t="str">
        <f>MID('Input data'!$B$13,1,1)</f>
        <v>1</v>
      </c>
      <c r="AE12" s="828" t="str">
        <f>MID('Input data'!$B$13,2,1)</f>
        <v>2</v>
      </c>
      <c r="AF12" s="828"/>
      <c r="AG12" s="828" t="str">
        <f>MID('Input data'!$B$14,1,1)</f>
        <v>2</v>
      </c>
      <c r="AH12" s="828" t="str">
        <f>MID('Input data'!$B$14,2,1)</f>
        <v>0</v>
      </c>
      <c r="AI12" s="828" t="str">
        <f>MID('Input data'!$B$14,3,1)</f>
        <v>1</v>
      </c>
      <c r="AJ12" s="828" t="str">
        <f>MID('Input data'!$B$14,4,1)</f>
        <v>3</v>
      </c>
      <c r="AK12" s="829"/>
    </row>
    <row r="13" spans="1:37" s="513" customFormat="1" ht="19.5" customHeight="1" x14ac:dyDescent="0.2">
      <c r="A13" s="527" t="str">
        <f>LEFT('Input data'!C26,1)</f>
        <v>3</v>
      </c>
      <c r="B13" s="492" t="str">
        <f>MID('Input data'!$C$26,2,1)</f>
        <v>1</v>
      </c>
      <c r="C13" s="492" t="str">
        <f>MID('Input data'!$C$26,3,1)</f>
        <v>3</v>
      </c>
      <c r="D13" s="492" t="str">
        <f>MID('Input data'!$C$26,4,1)</f>
        <v>5</v>
      </c>
      <c r="E13" s="492" t="str">
        <f>MID('Input data'!$C$26,5,1)</f>
        <v>8</v>
      </c>
      <c r="F13" s="492" t="str">
        <f>MID('Input data'!$C$26,6,1)</f>
        <v>7</v>
      </c>
      <c r="G13" s="492" t="str">
        <f>MID('Input data'!$C$26,7,1)</f>
        <v>3</v>
      </c>
      <c r="H13" s="492" t="str">
        <f>MID('Input data'!$C$26,8,1)</f>
        <v>0</v>
      </c>
      <c r="I13" s="450"/>
      <c r="J13" s="579"/>
      <c r="K13" s="855"/>
      <c r="L13" s="450" t="str">
        <f>IF('Input data'!D8="x","x", "")</f>
        <v/>
      </c>
      <c r="M13" s="521" t="s">
        <v>1417</v>
      </c>
      <c r="N13" s="523"/>
      <c r="O13" s="523"/>
      <c r="P13" s="523"/>
      <c r="Q13" s="523"/>
      <c r="R13" s="523" t="str">
        <f>IF('Input data'!D17="x","x"," ")</f>
        <v xml:space="preserve"> </v>
      </c>
      <c r="S13" s="521" t="s">
        <v>1409</v>
      </c>
      <c r="T13" s="516"/>
      <c r="U13" s="516"/>
      <c r="V13" s="856"/>
      <c r="W13" s="1615" t="s">
        <v>1516</v>
      </c>
      <c r="X13" s="1553"/>
      <c r="Y13" s="1553"/>
      <c r="Z13" s="1553"/>
      <c r="AA13" s="1553"/>
      <c r="AB13" s="523"/>
      <c r="AC13" s="450"/>
      <c r="AD13" s="525"/>
      <c r="AE13" s="525"/>
      <c r="AF13" s="525"/>
      <c r="AG13" s="525"/>
      <c r="AH13" s="525"/>
      <c r="AI13" s="525"/>
      <c r="AJ13" s="525"/>
      <c r="AK13" s="449"/>
    </row>
    <row r="14" spans="1:37" s="513" customFormat="1" ht="19.5" customHeight="1" x14ac:dyDescent="0.2">
      <c r="A14" s="454" t="s">
        <v>1165</v>
      </c>
      <c r="B14" s="516"/>
      <c r="C14" s="516"/>
      <c r="D14" s="516"/>
      <c r="E14" s="516"/>
      <c r="F14" s="516"/>
      <c r="G14" s="516"/>
      <c r="H14" s="516"/>
      <c r="I14" s="450"/>
      <c r="J14" s="579"/>
      <c r="K14" s="855"/>
      <c r="L14" s="450"/>
      <c r="M14" s="521"/>
      <c r="N14" s="523"/>
      <c r="O14" s="523"/>
      <c r="P14" s="523"/>
      <c r="Q14" s="523"/>
      <c r="R14" s="524" t="s">
        <v>1615</v>
      </c>
      <c r="S14" s="523"/>
      <c r="T14" s="516"/>
      <c r="U14" s="516"/>
      <c r="V14" s="856"/>
      <c r="W14" s="1616"/>
      <c r="X14" s="1555"/>
      <c r="Y14" s="1555"/>
      <c r="Z14" s="1555"/>
      <c r="AA14" s="1555"/>
      <c r="AB14" s="521" t="s">
        <v>1509</v>
      </c>
      <c r="AC14" s="450"/>
      <c r="AD14" s="492" t="str">
        <f>MID('Input data'!$B$18,1,1)</f>
        <v>0</v>
      </c>
      <c r="AE14" s="492" t="str">
        <f>MID('Input data'!$B$18,2,1)</f>
        <v>1</v>
      </c>
      <c r="AF14" s="492"/>
      <c r="AG14" s="492" t="str">
        <f>MID('Input data'!$B$19,1,1)</f>
        <v>2</v>
      </c>
      <c r="AH14" s="492" t="str">
        <f>MID('Input data'!$B$19,2,1)</f>
        <v>0</v>
      </c>
      <c r="AI14" s="492" t="str">
        <f>MID('Input data'!$B$19,3,1)</f>
        <v>1</v>
      </c>
      <c r="AJ14" s="492" t="str">
        <f>MID('Input data'!$B$19,4,1)</f>
        <v>2</v>
      </c>
      <c r="AK14" s="449"/>
    </row>
    <row r="15" spans="1:37" s="513" customFormat="1" ht="19.5" customHeight="1" thickBot="1" x14ac:dyDescent="0.25">
      <c r="A15" s="520" t="str">
        <f>'BS-E Cover sheet'!A15</f>
        <v>7</v>
      </c>
      <c r="B15" s="445" t="str">
        <f>'BS-E Cover sheet'!B15</f>
        <v>3</v>
      </c>
      <c r="C15" s="518" t="str">
        <f>'BS-E Cover sheet'!C15</f>
        <v>.</v>
      </c>
      <c r="D15" s="445" t="str">
        <f>'BS-E Cover sheet'!D15</f>
        <v>1</v>
      </c>
      <c r="E15" s="445" t="str">
        <f>'BS-E Cover sheet'!E15</f>
        <v>1</v>
      </c>
      <c r="F15" s="857" t="str">
        <f>'BS-E Cover sheet'!F15</f>
        <v>.</v>
      </c>
      <c r="G15" s="445" t="str">
        <f>'BS-E Cover sheet'!G15</f>
        <v>0</v>
      </c>
      <c r="H15" s="445"/>
      <c r="I15" s="445"/>
      <c r="J15" s="858"/>
      <c r="K15" s="859"/>
      <c r="L15" s="445"/>
      <c r="M15" s="445"/>
      <c r="N15" s="445"/>
      <c r="O15" s="445"/>
      <c r="P15" s="445"/>
      <c r="Q15" s="445"/>
      <c r="R15" s="445"/>
      <c r="S15" s="445"/>
      <c r="T15" s="518"/>
      <c r="U15" s="518"/>
      <c r="V15" s="860"/>
      <c r="W15" s="1617"/>
      <c r="X15" s="1557"/>
      <c r="Y15" s="1557"/>
      <c r="Z15" s="1557"/>
      <c r="AA15" s="1557"/>
      <c r="AB15" s="517" t="s">
        <v>1513</v>
      </c>
      <c r="AC15" s="445"/>
      <c r="AD15" s="490" t="str">
        <f>MID('Input data'!$B$21,1,1)</f>
        <v>1</v>
      </c>
      <c r="AE15" s="490" t="str">
        <f>MID('Input data'!$B$21,2,1)</f>
        <v>2</v>
      </c>
      <c r="AF15" s="490"/>
      <c r="AG15" s="490" t="str">
        <f>MID('Input data'!$B$22,1,1)</f>
        <v>2</v>
      </c>
      <c r="AH15" s="490" t="str">
        <f>MID('Input data'!$B$22,2,1)</f>
        <v>0</v>
      </c>
      <c r="AI15" s="490" t="str">
        <f>MID('Input data'!$B$22,3,1)</f>
        <v>1</v>
      </c>
      <c r="AJ15" s="490" t="str">
        <f>MID('Input data'!$B$22,4,1)</f>
        <v>2</v>
      </c>
      <c r="AK15" s="444"/>
    </row>
    <row r="16" spans="1:37" s="513" customFormat="1" ht="4.5" customHeight="1" x14ac:dyDescent="0.25">
      <c r="A16" s="516"/>
      <c r="B16" s="516"/>
      <c r="C16" s="516"/>
      <c r="D16" s="516"/>
      <c r="E16" s="516"/>
      <c r="F16" s="516"/>
      <c r="G16" s="516"/>
      <c r="H16" s="450"/>
      <c r="I16" s="450"/>
      <c r="J16" s="450"/>
      <c r="K16" s="450"/>
      <c r="L16" s="450"/>
      <c r="M16" s="450"/>
      <c r="N16" s="450"/>
      <c r="O16" s="450"/>
      <c r="P16" s="450"/>
      <c r="Q16" s="450"/>
      <c r="R16" s="450"/>
      <c r="S16" s="450"/>
      <c r="T16" s="516"/>
      <c r="U16" s="516"/>
      <c r="V16" s="450"/>
      <c r="W16" s="450"/>
      <c r="X16" s="450"/>
      <c r="Y16" s="450"/>
      <c r="Z16" s="450"/>
      <c r="AA16" s="450"/>
      <c r="AB16" s="450"/>
      <c r="AC16" s="450"/>
      <c r="AD16" s="450"/>
      <c r="AE16" s="450"/>
      <c r="AF16" s="450"/>
      <c r="AG16" s="450"/>
      <c r="AH16" s="450"/>
      <c r="AI16" s="450"/>
      <c r="AJ16" s="450"/>
      <c r="AK16" s="450"/>
    </row>
    <row r="17" spans="1:43" s="513" customFormat="1" ht="3" customHeight="1" thickBot="1" x14ac:dyDescent="0.3">
      <c r="H17" s="443"/>
      <c r="I17" s="443"/>
      <c r="J17" s="443"/>
      <c r="K17" s="443"/>
      <c r="L17" s="443"/>
      <c r="M17" s="443"/>
      <c r="N17" s="443"/>
      <c r="O17" s="443"/>
      <c r="P17" s="443"/>
      <c r="Q17" s="443"/>
      <c r="R17" s="443"/>
      <c r="S17" s="443"/>
      <c r="W17" s="443"/>
      <c r="X17" s="443"/>
      <c r="Y17" s="443"/>
      <c r="Z17" s="443"/>
      <c r="AA17" s="443"/>
      <c r="AB17" s="443"/>
      <c r="AC17" s="443"/>
      <c r="AD17" s="443"/>
      <c r="AE17" s="443"/>
      <c r="AF17" s="443"/>
      <c r="AG17" s="443"/>
      <c r="AH17" s="443"/>
      <c r="AI17" s="443"/>
      <c r="AJ17" s="443"/>
      <c r="AK17" s="443"/>
    </row>
    <row r="18" spans="1:43" s="513" customFormat="1" ht="16.5" x14ac:dyDescent="0.25">
      <c r="A18" s="515" t="s">
        <v>1518</v>
      </c>
      <c r="B18" s="514"/>
      <c r="C18" s="514"/>
      <c r="D18" s="514"/>
      <c r="E18" s="514"/>
      <c r="F18" s="514"/>
      <c r="G18" s="514"/>
      <c r="H18" s="458"/>
      <c r="I18" s="458"/>
      <c r="J18" s="458"/>
      <c r="K18" s="458"/>
      <c r="L18" s="458"/>
      <c r="M18" s="458"/>
      <c r="N18" s="458"/>
      <c r="O18" s="458"/>
      <c r="P18" s="458"/>
      <c r="Q18" s="458"/>
      <c r="R18" s="458"/>
      <c r="S18" s="458"/>
      <c r="T18" s="514"/>
      <c r="U18" s="514"/>
      <c r="V18" s="514"/>
      <c r="W18" s="458"/>
      <c r="X18" s="458"/>
      <c r="Y18" s="458"/>
      <c r="Z18" s="458"/>
      <c r="AA18" s="458"/>
      <c r="AB18" s="458"/>
      <c r="AC18" s="458"/>
      <c r="AD18" s="458"/>
      <c r="AE18" s="458"/>
      <c r="AF18" s="458"/>
      <c r="AG18" s="458"/>
      <c r="AH18" s="458"/>
      <c r="AI18" s="458"/>
      <c r="AJ18" s="458"/>
      <c r="AK18" s="457"/>
    </row>
    <row r="19" spans="1:43" s="443" customFormat="1" ht="19.5" customHeight="1" x14ac:dyDescent="0.25">
      <c r="A19" s="500" t="str">
        <f>+LEFT('Input data'!$F$3,1)</f>
        <v>C</v>
      </c>
      <c r="B19" s="492" t="str">
        <f>+MID('Input data'!$F$3,2,1)</f>
        <v>a</v>
      </c>
      <c r="C19" s="492" t="str">
        <f>+MID('Input data'!$F$3,3,1)</f>
        <v>r</v>
      </c>
      <c r="D19" s="492" t="str">
        <f>+MID('Input data'!$F$3,4,1)</f>
        <v>a</v>
      </c>
      <c r="E19" s="492" t="str">
        <f>+MID('Input data'!$F$3,5,1)</f>
        <v>t</v>
      </c>
      <c r="F19" s="492" t="str">
        <f>+MID('Input data'!$F$3,6,1)</f>
        <v xml:space="preserve"> </v>
      </c>
      <c r="G19" s="492" t="str">
        <f>+MID('Input data'!$F$3,7,1)</f>
        <v>-</v>
      </c>
      <c r="H19" s="492" t="str">
        <f>+MID('Input data'!$F$3,8,1)</f>
        <v xml:space="preserve"> </v>
      </c>
      <c r="I19" s="492" t="str">
        <f>+MID('Input data'!$F$3,9,1)</f>
        <v>S</v>
      </c>
      <c r="J19" s="492" t="str">
        <f>+MID('Input data'!$F$3,10,1)</f>
        <v>l</v>
      </c>
      <c r="K19" s="492" t="str">
        <f>+MID('Input data'!$F$3,11,1)</f>
        <v>o</v>
      </c>
      <c r="L19" s="492" t="str">
        <f>+MID('Input data'!$F$3,12,1)</f>
        <v>v</v>
      </c>
      <c r="M19" s="492" t="str">
        <f>+MID('Input data'!$F$3,13,1)</f>
        <v>a</v>
      </c>
      <c r="N19" s="492" t="str">
        <f>+MID('Input data'!$F$3,14,1)</f>
        <v>k</v>
      </c>
      <c r="O19" s="492" t="str">
        <f>+MID('Input data'!$F$3,15,1)</f>
        <v>i</v>
      </c>
      <c r="P19" s="492" t="str">
        <f>+MID('Input data'!$F$3,16,1)</f>
        <v>a</v>
      </c>
      <c r="Q19" s="492" t="str">
        <f>+MID('Input data'!$F$3,17,1)</f>
        <v>,</v>
      </c>
      <c r="R19" s="492" t="str">
        <f>+MID('Input data'!$F$3,18,1)</f>
        <v xml:space="preserve"> </v>
      </c>
      <c r="S19" s="492" t="str">
        <f>+MID('Input data'!$F$3,19,1)</f>
        <v>s</v>
      </c>
      <c r="T19" s="492" t="str">
        <f>+MID('Input data'!$F$3,20,1)</f>
        <v>.</v>
      </c>
      <c r="U19" s="492" t="str">
        <f>+MID('Input data'!$F$3,21,1)</f>
        <v>r</v>
      </c>
      <c r="V19" s="492" t="str">
        <f>+MID('Input data'!$F$3,22,1)</f>
        <v>.</v>
      </c>
      <c r="W19" s="492" t="str">
        <f>+MID('Input data'!$F$3,23,1)</f>
        <v>o</v>
      </c>
      <c r="X19" s="492" t="str">
        <f>+MID('Input data'!$F$3,24,1)</f>
        <v>.</v>
      </c>
      <c r="Y19" s="492" t="str">
        <f>+MID('Input data'!$F$3,25,1)</f>
        <v/>
      </c>
      <c r="Z19" s="492" t="str">
        <f>+MID('Input data'!$F$3,26,1)</f>
        <v/>
      </c>
      <c r="AA19" s="492" t="str">
        <f>+MID('Input data'!$F$3,27,1)</f>
        <v/>
      </c>
      <c r="AB19" s="492" t="str">
        <f>+MID('Input data'!$F$3,28,1)</f>
        <v/>
      </c>
      <c r="AC19" s="492" t="str">
        <f>+MID('Input data'!$F$3,29,1)</f>
        <v/>
      </c>
      <c r="AD19" s="492" t="str">
        <f>+MID('Input data'!$F$3,30,1)</f>
        <v/>
      </c>
      <c r="AE19" s="492" t="str">
        <f>+MID('Input data'!$F$3,31,1)</f>
        <v/>
      </c>
      <c r="AF19" s="492" t="str">
        <f>+MID('Input data'!$F$3,32,1)</f>
        <v/>
      </c>
      <c r="AG19" s="492" t="str">
        <f>+MID('Input data'!$F$3,33,1)</f>
        <v/>
      </c>
      <c r="AH19" s="492" t="str">
        <f>+MID('Input data'!$E$3,34,1)</f>
        <v/>
      </c>
      <c r="AI19" s="492" t="str">
        <f>+MID('Input data'!$E$3,35,1)</f>
        <v/>
      </c>
      <c r="AJ19" s="492" t="str">
        <f>+MID('Input data'!$E$3,36,1)</f>
        <v/>
      </c>
      <c r="AK19" s="499" t="str">
        <f>+MID('Input data'!$E$3,37,1)</f>
        <v/>
      </c>
      <c r="AL19" s="513"/>
      <c r="AM19" s="513"/>
      <c r="AN19" s="513"/>
    </row>
    <row r="20" spans="1:43" s="583" customFormat="1" ht="19.5" customHeight="1" x14ac:dyDescent="0.25">
      <c r="A20" s="830" t="str">
        <f>+MID('Input data'!$E$3,38,1)</f>
        <v/>
      </c>
      <c r="B20" s="525" t="str">
        <f>+MID('Input data'!$E$3,39,1)</f>
        <v/>
      </c>
      <c r="C20" s="525" t="str">
        <f>+MID('Input data'!$E$3,40,1)</f>
        <v/>
      </c>
      <c r="D20" s="525" t="str">
        <f>+MID('Input data'!$E$3,41,1)</f>
        <v/>
      </c>
      <c r="E20" s="525" t="str">
        <f>+MID('Input data'!$E$3,42,1)</f>
        <v/>
      </c>
      <c r="F20" s="525" t="str">
        <f>+MID('Input data'!$E$3,43,1)</f>
        <v/>
      </c>
      <c r="G20" s="525" t="str">
        <f>+MID('Input data'!$E$3,44,1)</f>
        <v/>
      </c>
      <c r="H20" s="525" t="str">
        <f>+MID('Input data'!$E$3,45,1)</f>
        <v/>
      </c>
      <c r="I20" s="525" t="str">
        <f>+MID('Input data'!$E$3,46,1)</f>
        <v/>
      </c>
      <c r="J20" s="525" t="str">
        <f>+MID('Input data'!$E$3,47,1)</f>
        <v/>
      </c>
      <c r="K20" s="525" t="str">
        <f>+MID('Input data'!$E$3,48,1)</f>
        <v/>
      </c>
      <c r="L20" s="525" t="str">
        <f>+MID('Input data'!$E$3,49,1)</f>
        <v/>
      </c>
      <c r="M20" s="525" t="str">
        <f>+MID('Input data'!$E$3,50,1)</f>
        <v/>
      </c>
      <c r="N20" s="525" t="str">
        <f>+MID('Input data'!$E$3,51,1)</f>
        <v/>
      </c>
      <c r="O20" s="525" t="str">
        <f>+MID('Input data'!$E$3,52,1)</f>
        <v/>
      </c>
      <c r="P20" s="525" t="str">
        <f>+MID('Input data'!$E$3,53,1)</f>
        <v/>
      </c>
      <c r="Q20" s="525" t="str">
        <f>+MID('Input data'!$E$3,54,1)</f>
        <v/>
      </c>
      <c r="R20" s="525" t="str">
        <f>+MID('Input data'!$E$3,55,1)</f>
        <v/>
      </c>
      <c r="S20" s="525" t="str">
        <f>+MID('Input data'!$E$3,56,1)</f>
        <v/>
      </c>
      <c r="T20" s="525" t="str">
        <f>+MID('Input data'!$E$3,57,1)</f>
        <v/>
      </c>
      <c r="U20" s="525" t="str">
        <f>+MID('Input data'!$E$3,58,1)</f>
        <v/>
      </c>
      <c r="V20" s="525" t="str">
        <f>+MID('Input data'!$E$3,59,1)</f>
        <v/>
      </c>
      <c r="W20" s="525" t="str">
        <f>+MID('Input data'!$E$3,60,1)</f>
        <v/>
      </c>
      <c r="X20" s="525" t="str">
        <f>+MID('Input data'!$E$3,61,1)</f>
        <v/>
      </c>
      <c r="Y20" s="525" t="str">
        <f>+MID('Input data'!$E$3,62,1)</f>
        <v/>
      </c>
      <c r="Z20" s="525" t="str">
        <f>+MID('Input data'!$E$3,63,1)</f>
        <v/>
      </c>
      <c r="AA20" s="525" t="str">
        <f>+MID('Input data'!$E$3,64,1)</f>
        <v/>
      </c>
      <c r="AB20" s="525" t="str">
        <f>+MID('Input data'!$E$3,65,1)</f>
        <v/>
      </c>
      <c r="AC20" s="525" t="str">
        <f>+MID('Input data'!$E$3,66,1)</f>
        <v/>
      </c>
      <c r="AD20" s="525" t="str">
        <f>+MID('Input data'!$E$3,67,1)</f>
        <v/>
      </c>
      <c r="AE20" s="525" t="str">
        <f>+MID('Input data'!$E$3,68,1)</f>
        <v/>
      </c>
      <c r="AF20" s="525" t="str">
        <f>+MID('Input data'!$E$3,69,1)</f>
        <v/>
      </c>
      <c r="AG20" s="525" t="str">
        <f>+MID('Input data'!$E$3,70,1)</f>
        <v/>
      </c>
      <c r="AH20" s="525" t="str">
        <f>+MID('Input data'!$E$3,71,1)</f>
        <v/>
      </c>
      <c r="AI20" s="525" t="str">
        <f>+MID('Input data'!$E$3,72,1)</f>
        <v/>
      </c>
      <c r="AJ20" s="525" t="str">
        <f>+MID('Input data'!$E$3,73,1)</f>
        <v/>
      </c>
      <c r="AK20" s="831" t="str">
        <f>+MID('Input data'!$E$3,74,1)</f>
        <v/>
      </c>
      <c r="AL20" s="441"/>
      <c r="AM20" s="441"/>
      <c r="AN20" s="441"/>
    </row>
    <row r="21" spans="1:43" s="501" customFormat="1" ht="14.25" customHeight="1" x14ac:dyDescent="0.25">
      <c r="A21" s="505" t="s">
        <v>1519</v>
      </c>
      <c r="B21" s="504"/>
      <c r="C21" s="504"/>
      <c r="D21" s="504"/>
      <c r="E21" s="504"/>
      <c r="F21" s="504"/>
      <c r="G21" s="504"/>
      <c r="H21" s="504"/>
      <c r="I21" s="504"/>
      <c r="J21" s="504"/>
      <c r="K21" s="504"/>
      <c r="L21" s="504"/>
      <c r="M21" s="504"/>
      <c r="N21" s="504"/>
      <c r="O21" s="504"/>
      <c r="P21" s="504"/>
      <c r="Q21" s="504"/>
      <c r="R21" s="504"/>
      <c r="S21" s="504"/>
      <c r="T21" s="504"/>
      <c r="U21" s="504"/>
      <c r="V21" s="504"/>
      <c r="W21" s="503"/>
      <c r="X21" s="503"/>
      <c r="Y21" s="503"/>
      <c r="Z21" s="503"/>
      <c r="AA21" s="503"/>
      <c r="AB21" s="503"/>
      <c r="AC21" s="503"/>
      <c r="AD21" s="503"/>
      <c r="AE21" s="503"/>
      <c r="AF21" s="503"/>
      <c r="AG21" s="503"/>
      <c r="AH21" s="503"/>
      <c r="AI21" s="503"/>
      <c r="AJ21" s="503"/>
      <c r="AK21" s="502"/>
    </row>
    <row r="22" spans="1:43" x14ac:dyDescent="0.25">
      <c r="A22" s="497" t="s">
        <v>1520</v>
      </c>
      <c r="B22" s="455"/>
      <c r="C22" s="455"/>
      <c r="D22" s="455"/>
      <c r="E22" s="455"/>
      <c r="F22" s="455"/>
      <c r="G22" s="455"/>
      <c r="H22" s="455"/>
      <c r="I22" s="455"/>
      <c r="J22" s="455"/>
      <c r="K22" s="455"/>
      <c r="L22" s="455"/>
      <c r="M22" s="455"/>
      <c r="N22" s="455"/>
      <c r="O22" s="455"/>
      <c r="P22" s="455"/>
      <c r="Q22" s="455"/>
      <c r="R22" s="455"/>
      <c r="S22" s="455"/>
      <c r="T22" s="455"/>
      <c r="U22" s="455"/>
      <c r="V22" s="455"/>
      <c r="W22" s="450"/>
      <c r="X22" s="450"/>
      <c r="Y22" s="450"/>
      <c r="Z22" s="450"/>
      <c r="AA22" s="450"/>
      <c r="AB22" s="455"/>
      <c r="AC22" s="450"/>
      <c r="AD22" s="453" t="s">
        <v>1521</v>
      </c>
      <c r="AE22" s="450"/>
      <c r="AF22" s="450"/>
      <c r="AG22" s="450"/>
      <c r="AH22" s="450"/>
      <c r="AI22" s="450"/>
      <c r="AJ22" s="450"/>
      <c r="AK22" s="449"/>
    </row>
    <row r="23" spans="1:43" s="582" customFormat="1" ht="19.5" customHeight="1" x14ac:dyDescent="0.25">
      <c r="A23" s="500" t="str">
        <f>+LEFT('Input data'!$C$28,1)</f>
        <v>T</v>
      </c>
      <c r="B23" s="492" t="str">
        <f>+MID('Input data'!$C$28,2,1)</f>
        <v>e</v>
      </c>
      <c r="C23" s="492" t="str">
        <f>+MID('Input data'!$C$28,3,1)</f>
        <v>s</v>
      </c>
      <c r="D23" s="492" t="str">
        <f>+MID('Input data'!$C$28,4,1)</f>
        <v>l</v>
      </c>
      <c r="E23" s="492" t="str">
        <f>+MID('Input data'!$C$28,5,1)</f>
        <v>o</v>
      </c>
      <c r="F23" s="492" t="str">
        <f>+MID('Input data'!$C$28,6,1)</f>
        <v>v</v>
      </c>
      <c r="G23" s="492" t="str">
        <f>+MID('Input data'!$C$28,7,1)</f>
        <v>a</v>
      </c>
      <c r="H23" s="492" t="str">
        <f>+MID('Input data'!$C$28,8,1)</f>
        <v/>
      </c>
      <c r="I23" s="492" t="str">
        <f>+MID('Input data'!$C$28,9,1)</f>
        <v/>
      </c>
      <c r="J23" s="492" t="str">
        <f>+MID('Input data'!$C$28,10,1)</f>
        <v/>
      </c>
      <c r="K23" s="492" t="str">
        <f>+MID('Input data'!$C$28,11,1)</f>
        <v/>
      </c>
      <c r="L23" s="492" t="str">
        <f>+MID('Input data'!$C$28,12,1)</f>
        <v/>
      </c>
      <c r="M23" s="492" t="str">
        <f>+MID('Input data'!$C$28,13,1)</f>
        <v/>
      </c>
      <c r="N23" s="492" t="str">
        <f>+MID('Input data'!$C$28,14,1)</f>
        <v/>
      </c>
      <c r="O23" s="492" t="str">
        <f>+MID('Input data'!$C$28,15,1)</f>
        <v/>
      </c>
      <c r="P23" s="492" t="str">
        <f>+MID('Input data'!$C$28,16,1)</f>
        <v/>
      </c>
      <c r="Q23" s="492" t="str">
        <f>+MID('Input data'!$C$28,17,1)</f>
        <v/>
      </c>
      <c r="R23" s="492" t="str">
        <f>+MID('Input data'!$C$28,18,1)</f>
        <v/>
      </c>
      <c r="S23" s="492" t="str">
        <f>+MID('Input data'!$C$28,19,1)</f>
        <v/>
      </c>
      <c r="T23" s="492" t="str">
        <f>+MID('Input data'!$C$28,20,1)</f>
        <v/>
      </c>
      <c r="U23" s="492" t="str">
        <f>+MID('Input data'!$C$28,21,1)</f>
        <v/>
      </c>
      <c r="V23" s="492" t="str">
        <f>+MID('Input data'!$C$28,22,1)</f>
        <v/>
      </c>
      <c r="W23" s="492" t="str">
        <f>+MID('Input data'!$C$28,23,1)</f>
        <v/>
      </c>
      <c r="X23" s="492" t="str">
        <f>+MID('Input data'!$C$28,24,1)</f>
        <v/>
      </c>
      <c r="Y23" s="492" t="str">
        <f>+MID('Input data'!$C$28,25,1)</f>
        <v/>
      </c>
      <c r="Z23" s="492" t="str">
        <f>+MID('Input data'!$C$28,26,1)</f>
        <v/>
      </c>
      <c r="AA23" s="492" t="str">
        <f>+MID('Input data'!$C$28,27,1)</f>
        <v/>
      </c>
      <c r="AB23" s="492" t="str">
        <f>+MID('Input data'!$C$28,28,1)</f>
        <v/>
      </c>
      <c r="AC23" s="494"/>
      <c r="AD23" s="492" t="str">
        <f>+LEFT('Input data'!$C$30,1)</f>
        <v>2</v>
      </c>
      <c r="AE23" s="492" t="str">
        <f>+MID('Input data'!$C$30,2,1)</f>
        <v>0</v>
      </c>
      <c r="AF23" s="492" t="str">
        <f>+MID('Input data'!$C$30,3,1)</f>
        <v/>
      </c>
      <c r="AG23" s="492" t="str">
        <f>+MID('Input data'!$C$30,4,1)</f>
        <v/>
      </c>
      <c r="AH23" s="492" t="str">
        <f>+MID('Input data'!$C$30,5,1)</f>
        <v/>
      </c>
      <c r="AI23" s="492" t="str">
        <f>+MID('Input data'!$C$30,6,1)</f>
        <v/>
      </c>
      <c r="AJ23" s="492" t="str">
        <f>+MID('Input data'!$C$30,7,1)</f>
        <v/>
      </c>
      <c r="AK23" s="499" t="str">
        <f>+MID('Input data'!$C$30,8,1)</f>
        <v/>
      </c>
    </row>
    <row r="24" spans="1:43" x14ac:dyDescent="0.25">
      <c r="A24" s="497" t="s">
        <v>1522</v>
      </c>
      <c r="B24" s="455"/>
      <c r="C24" s="455"/>
      <c r="D24" s="455"/>
      <c r="E24" s="455"/>
      <c r="F24" s="455"/>
      <c r="G24" s="496" t="s">
        <v>1523</v>
      </c>
      <c r="H24" s="496"/>
      <c r="I24" s="496"/>
      <c r="J24" s="496"/>
      <c r="K24" s="496"/>
      <c r="L24" s="496"/>
      <c r="M24" s="496"/>
      <c r="N24" s="496"/>
      <c r="O24" s="496"/>
      <c r="P24" s="496"/>
      <c r="Q24" s="496"/>
      <c r="R24" s="496"/>
      <c r="S24" s="496"/>
      <c r="T24" s="496"/>
      <c r="U24" s="496"/>
      <c r="V24" s="496"/>
      <c r="W24" s="496"/>
      <c r="X24" s="496"/>
      <c r="Y24" s="496"/>
      <c r="Z24" s="496"/>
      <c r="AA24" s="496"/>
      <c r="AB24" s="496"/>
      <c r="AC24" s="496"/>
      <c r="AD24" s="496"/>
      <c r="AE24" s="450"/>
      <c r="AF24" s="450"/>
      <c r="AG24" s="450"/>
      <c r="AH24" s="450"/>
      <c r="AI24" s="450"/>
      <c r="AJ24" s="450"/>
      <c r="AK24" s="449"/>
    </row>
    <row r="25" spans="1:43" s="582" customFormat="1" ht="19.5" customHeight="1" x14ac:dyDescent="0.25">
      <c r="A25" s="500" t="str">
        <f>+LEFT('Input data'!$C$32,1)</f>
        <v>8</v>
      </c>
      <c r="B25" s="492" t="str">
        <f>+MID('Input data'!$C$32,2,1)</f>
        <v>2</v>
      </c>
      <c r="C25" s="492" t="str">
        <f>+MID('Input data'!$C$32,3,1)</f>
        <v>1</v>
      </c>
      <c r="D25" s="492" t="str">
        <f>+MID('Input data'!$C$32,4,1)</f>
        <v>0</v>
      </c>
      <c r="E25" s="492" t="str">
        <f>+MID('Input data'!$C$32,5,1)</f>
        <v>2</v>
      </c>
      <c r="F25" s="492"/>
      <c r="G25" s="492" t="str">
        <f>+LEFT('Input data'!$C$34,1)</f>
        <v>B</v>
      </c>
      <c r="H25" s="492" t="str">
        <f>+MID('Input data'!$C$34,2,1)</f>
        <v>r</v>
      </c>
      <c r="I25" s="492" t="str">
        <f>+MID('Input data'!$C$34,3,1)</f>
        <v>a</v>
      </c>
      <c r="J25" s="492" t="str">
        <f>+MID('Input data'!$C$34,4,1)</f>
        <v>t</v>
      </c>
      <c r="K25" s="492" t="str">
        <f>+MID('Input data'!$C$34,5,1)</f>
        <v>i</v>
      </c>
      <c r="L25" s="492" t="str">
        <f>+MID('Input data'!$C$34,6,1)</f>
        <v>s</v>
      </c>
      <c r="M25" s="492" t="str">
        <f>+MID('Input data'!$C$34,7,1)</f>
        <v>l</v>
      </c>
      <c r="N25" s="492" t="str">
        <f>+MID('Input data'!$C$34,8,1)</f>
        <v>a</v>
      </c>
      <c r="O25" s="492" t="str">
        <f>+MID('Input data'!$C$34,9,1)</f>
        <v>v</v>
      </c>
      <c r="P25" s="492" t="str">
        <f>+MID('Input data'!$C$34,10,1)</f>
        <v>a</v>
      </c>
      <c r="Q25" s="492" t="str">
        <f>+MID('Input data'!$C$34,11,1)</f>
        <v/>
      </c>
      <c r="R25" s="492" t="str">
        <f>+MID('Input data'!$C$34,12,1)</f>
        <v/>
      </c>
      <c r="S25" s="492" t="str">
        <f>+MID('Input data'!$C$34,13,1)</f>
        <v/>
      </c>
      <c r="T25" s="492" t="str">
        <f>+MID('Input data'!$C$34,14,1)</f>
        <v/>
      </c>
      <c r="U25" s="492" t="str">
        <f>+MID('Input data'!$C$34,15,1)</f>
        <v/>
      </c>
      <c r="V25" s="492" t="str">
        <f>+MID('Input data'!$C$34,16,1)</f>
        <v/>
      </c>
      <c r="W25" s="492" t="str">
        <f>+MID('Input data'!$C$34,17,1)</f>
        <v/>
      </c>
      <c r="X25" s="492" t="str">
        <f>+MID('Input data'!$C$34,18,1)</f>
        <v/>
      </c>
      <c r="Y25" s="492" t="str">
        <f>+MID('Input data'!$C$34,19,1)</f>
        <v/>
      </c>
      <c r="Z25" s="492" t="str">
        <f>+MID('Input data'!$C$34,20,1)</f>
        <v/>
      </c>
      <c r="AA25" s="492" t="str">
        <f>+MID('Input data'!$C$34,21,1)</f>
        <v/>
      </c>
      <c r="AB25" s="492" t="str">
        <f>+MID('Input data'!$C$34,22,1)</f>
        <v/>
      </c>
      <c r="AC25" s="492" t="str">
        <f>+MID('Input data'!$C$34,23,1)</f>
        <v/>
      </c>
      <c r="AD25" s="492" t="str">
        <f>+MID('Input data'!$C$34,24,1)</f>
        <v/>
      </c>
      <c r="AE25" s="492" t="str">
        <f>+MID('Input data'!$C$34,25,1)</f>
        <v/>
      </c>
      <c r="AF25" s="492" t="str">
        <f>+MID('Input data'!$C$34,26,1)</f>
        <v/>
      </c>
      <c r="AG25" s="492" t="str">
        <f>+MID('Input data'!$C$34,27,1)</f>
        <v/>
      </c>
      <c r="AH25" s="492" t="str">
        <f>+MID('Input data'!$C$34,28,1)</f>
        <v/>
      </c>
      <c r="AI25" s="492" t="str">
        <f>+MID('Input data'!$C$34,29,1)</f>
        <v/>
      </c>
      <c r="AJ25" s="492" t="str">
        <f>+MID('Input data'!$C$34,30,1)</f>
        <v/>
      </c>
      <c r="AK25" s="499" t="str">
        <f>+MID('Input data'!$C$34,31,1)</f>
        <v/>
      </c>
    </row>
    <row r="26" spans="1:43" x14ac:dyDescent="0.25">
      <c r="A26" s="497" t="s">
        <v>1524</v>
      </c>
      <c r="B26" s="455"/>
      <c r="C26" s="455"/>
      <c r="D26" s="455"/>
      <c r="E26" s="455"/>
      <c r="F26" s="455"/>
      <c r="G26" s="496"/>
      <c r="H26" s="496"/>
      <c r="I26" s="496"/>
      <c r="J26" s="496"/>
      <c r="K26" s="496"/>
      <c r="L26" s="496"/>
      <c r="M26" s="496"/>
      <c r="N26" s="455"/>
      <c r="O26" s="496" t="s">
        <v>1525</v>
      </c>
      <c r="P26" s="496"/>
      <c r="Q26" s="496"/>
      <c r="R26" s="496"/>
      <c r="S26" s="496"/>
      <c r="T26" s="496"/>
      <c r="U26" s="496"/>
      <c r="V26" s="496"/>
      <c r="W26" s="496"/>
      <c r="X26" s="496"/>
      <c r="Y26" s="496"/>
      <c r="Z26" s="496"/>
      <c r="AA26" s="496"/>
      <c r="AB26" s="496"/>
      <c r="AC26" s="496"/>
      <c r="AD26" s="496"/>
      <c r="AE26" s="450"/>
      <c r="AF26" s="450"/>
      <c r="AG26" s="450"/>
      <c r="AH26" s="450"/>
      <c r="AI26" s="450"/>
      <c r="AJ26" s="450"/>
      <c r="AK26" s="449"/>
    </row>
    <row r="27" spans="1:43" s="582" customFormat="1" ht="19.5" customHeight="1" x14ac:dyDescent="0.25">
      <c r="A27" s="495">
        <v>0</v>
      </c>
      <c r="B27" s="492" t="str">
        <f>+LEFT('Input data'!$C$36,1)</f>
        <v>2</v>
      </c>
      <c r="C27" s="492" t="str">
        <f>+MID('Input data'!$C$36,2,1)</f>
        <v/>
      </c>
      <c r="D27" s="492" t="str">
        <f>+MID('Input data'!$C$36,3,1)</f>
        <v/>
      </c>
      <c r="E27" s="492" t="s">
        <v>1176</v>
      </c>
      <c r="F27" s="492" t="str">
        <f>+LEFT('Input data'!$C$38,1)</f>
        <v>4</v>
      </c>
      <c r="G27" s="492" t="str">
        <f>+MID('Input data'!$C$38,2,1)</f>
        <v>9</v>
      </c>
      <c r="H27" s="492" t="str">
        <f>+MID('Input data'!$C$38,3,1)</f>
        <v>3</v>
      </c>
      <c r="I27" s="492" t="str">
        <f>+MID('Input data'!$C$38,4,1)</f>
        <v>0</v>
      </c>
      <c r="J27" s="492" t="str">
        <f>+MID('Input data'!$C$38,5,1)</f>
        <v>0</v>
      </c>
      <c r="K27" s="492" t="str">
        <f>+MID('Input data'!$C$38,6,1)</f>
        <v>5</v>
      </c>
      <c r="L27" s="492" t="str">
        <f>+MID('Input data'!$C$38,7,1)</f>
        <v>1</v>
      </c>
      <c r="M27" s="492" t="str">
        <f>+MID('Input data'!$C$38,8,1)</f>
        <v>3</v>
      </c>
      <c r="N27" s="494"/>
      <c r="O27" s="493">
        <v>0</v>
      </c>
      <c r="P27" s="492" t="str">
        <f>+LEFT('Input data'!$C$36,1)</f>
        <v>2</v>
      </c>
      <c r="Q27" s="492" t="str">
        <f>+MID('Input data'!$C$36,2,1)</f>
        <v/>
      </c>
      <c r="R27" s="492" t="str">
        <f>+MID('Input data'!$C$36,3,1)</f>
        <v/>
      </c>
      <c r="S27" s="492" t="s">
        <v>1176</v>
      </c>
      <c r="T27" s="492" t="str">
        <f>+LEFT('Input data'!$C$40,1)</f>
        <v>4</v>
      </c>
      <c r="U27" s="492" t="str">
        <f>+MID('Input data'!$C$40,2,1)</f>
        <v>9</v>
      </c>
      <c r="V27" s="492" t="str">
        <f>+MID('Input data'!$C$40,3,1)</f>
        <v>3</v>
      </c>
      <c r="W27" s="492" t="str">
        <f>+MID('Input data'!$C$40,4,1)</f>
        <v>0</v>
      </c>
      <c r="X27" s="492" t="str">
        <f>+MID('Input data'!$C$40,5,1)</f>
        <v>0</v>
      </c>
      <c r="Y27" s="492" t="str">
        <f>+MID('Input data'!$C$40,6,1)</f>
        <v>5</v>
      </c>
      <c r="Z27" s="492" t="str">
        <f>+MID('Input data'!$C$40,7,1)</f>
        <v>5</v>
      </c>
      <c r="AA27" s="492" t="str">
        <f>+MID('Input data'!$C$40,8,1)</f>
        <v>0</v>
      </c>
      <c r="AB27" s="492"/>
      <c r="AC27" s="492"/>
      <c r="AD27" s="492"/>
      <c r="AE27" s="450"/>
      <c r="AF27" s="450"/>
      <c r="AG27" s="450"/>
      <c r="AH27" s="450"/>
      <c r="AI27" s="450"/>
      <c r="AJ27" s="450"/>
      <c r="AK27" s="449"/>
      <c r="AQ27" s="582" t="s">
        <v>1177</v>
      </c>
    </row>
    <row r="28" spans="1:43" s="442" customFormat="1" x14ac:dyDescent="0.25">
      <c r="A28" s="454" t="s">
        <v>1526</v>
      </c>
      <c r="B28" s="453"/>
      <c r="C28" s="453"/>
      <c r="D28" s="453"/>
      <c r="E28" s="453"/>
      <c r="F28" s="453"/>
      <c r="G28" s="453"/>
      <c r="H28" s="453"/>
      <c r="I28" s="453"/>
      <c r="J28" s="453"/>
      <c r="K28" s="453"/>
      <c r="L28" s="453"/>
      <c r="M28" s="453"/>
      <c r="N28" s="453"/>
      <c r="O28" s="453"/>
      <c r="P28" s="453"/>
      <c r="Q28" s="453"/>
      <c r="R28" s="453"/>
      <c r="S28" s="453"/>
      <c r="T28" s="453"/>
      <c r="U28" s="453"/>
      <c r="V28" s="453"/>
      <c r="W28" s="450"/>
      <c r="X28" s="450"/>
      <c r="Y28" s="450"/>
      <c r="Z28" s="450"/>
      <c r="AA28" s="450"/>
      <c r="AB28" s="450"/>
      <c r="AC28" s="450"/>
      <c r="AD28" s="450"/>
      <c r="AE28" s="450"/>
      <c r="AF28" s="450"/>
      <c r="AG28" s="450"/>
      <c r="AH28" s="450"/>
      <c r="AI28" s="450"/>
      <c r="AJ28" s="450"/>
      <c r="AK28" s="449"/>
    </row>
    <row r="29" spans="1:43" s="582" customFormat="1" ht="19.5" customHeight="1" thickBot="1" x14ac:dyDescent="0.3">
      <c r="A29" s="491" t="str">
        <f>+LEFT('Input data'!$B$42,1)</f>
        <v/>
      </c>
      <c r="B29" s="490" t="str">
        <f>+MID('Input data'!$B$42,2,1)</f>
        <v/>
      </c>
      <c r="C29" s="490" t="str">
        <f>+MID('Input data'!$B$42,3,1)</f>
        <v/>
      </c>
      <c r="D29" s="490" t="str">
        <f>+MID('Input data'!$B$42,4,1)</f>
        <v/>
      </c>
      <c r="E29" s="490" t="str">
        <f>+MID('Input data'!$B$42,5,1)</f>
        <v/>
      </c>
      <c r="F29" s="490" t="str">
        <f>+MID('Input data'!$B$42,6,1)</f>
        <v/>
      </c>
      <c r="G29" s="490" t="str">
        <f>+MID('Input data'!$B$42,7,1)</f>
        <v/>
      </c>
      <c r="H29" s="490" t="str">
        <f>+MID('Input data'!$B$42,8,1)</f>
        <v/>
      </c>
      <c r="I29" s="490" t="str">
        <f>+MID('Input data'!$B$42,9,1)</f>
        <v/>
      </c>
      <c r="J29" s="490" t="str">
        <f>+MID('Input data'!$B$42,10,1)</f>
        <v/>
      </c>
      <c r="K29" s="490" t="str">
        <f>+MID('Input data'!$B$42,11,1)</f>
        <v/>
      </c>
      <c r="L29" s="490" t="str">
        <f>+MID('Input data'!$B$42,12,1)</f>
        <v/>
      </c>
      <c r="M29" s="490" t="str">
        <f>+MID('Input data'!$B$42,13,1)</f>
        <v/>
      </c>
      <c r="N29" s="490" t="str">
        <f>+MID('Input data'!$B$42,14,1)</f>
        <v/>
      </c>
      <c r="O29" s="490" t="str">
        <f>+MID('Input data'!$B$42,15,1)</f>
        <v/>
      </c>
      <c r="P29" s="490" t="str">
        <f>+MID('Input data'!$B$42,16,1)</f>
        <v/>
      </c>
      <c r="Q29" s="490" t="str">
        <f>+MID('Input data'!$B$42,17,1)</f>
        <v/>
      </c>
      <c r="R29" s="490" t="str">
        <f>+MID('Input data'!$B$42,18,1)</f>
        <v/>
      </c>
      <c r="S29" s="490" t="str">
        <f>+MID('Input data'!$B$42,19,1)</f>
        <v/>
      </c>
      <c r="T29" s="490" t="str">
        <f>+MID('Input data'!$B$42,20,1)</f>
        <v/>
      </c>
      <c r="U29" s="490" t="str">
        <f>+MID('Input data'!$B$42,21,1)</f>
        <v/>
      </c>
      <c r="V29" s="490" t="str">
        <f>+MID('Input data'!$B$42,22,1)</f>
        <v/>
      </c>
      <c r="W29" s="490" t="str">
        <f>+MID('Input data'!$B$42,23,1)</f>
        <v/>
      </c>
      <c r="X29" s="490" t="str">
        <f>+MID('Input data'!$B$42,24,1)</f>
        <v/>
      </c>
      <c r="Y29" s="490" t="str">
        <f>+MID('Input data'!$B$42,25,1)</f>
        <v/>
      </c>
      <c r="Z29" s="490" t="str">
        <f>+MID('Input data'!$B$42,26,1)</f>
        <v/>
      </c>
      <c r="AA29" s="490" t="str">
        <f>+MID('Input data'!$B$42,27,1)</f>
        <v/>
      </c>
      <c r="AB29" s="490" t="str">
        <f>+MID('Input data'!$B$42,28,1)</f>
        <v/>
      </c>
      <c r="AC29" s="490" t="str">
        <f>+MID('Input data'!$B$42,29,1)</f>
        <v/>
      </c>
      <c r="AD29" s="490" t="str">
        <f>+MID('Input data'!$B$42,30,1)</f>
        <v/>
      </c>
      <c r="AE29" s="490" t="str">
        <f>+MID('Input data'!$B$42,31,1)</f>
        <v/>
      </c>
      <c r="AF29" s="490" t="str">
        <f>+MID('Input data'!$B$42,32,1)</f>
        <v/>
      </c>
      <c r="AG29" s="490" t="str">
        <f>+MID('Input data'!$B$42,33,1)</f>
        <v/>
      </c>
      <c r="AH29" s="490" t="str">
        <f>+MID('Input data'!$B$42,34,1)</f>
        <v/>
      </c>
      <c r="AI29" s="490" t="str">
        <f>+MID('Input data'!$B$42,35,1)</f>
        <v/>
      </c>
      <c r="AJ29" s="490" t="str">
        <f>+MID('Input data'!$B$42,36,1)</f>
        <v/>
      </c>
      <c r="AK29" s="489" t="str">
        <f>+MID('Input data'!$B$42,37,1)</f>
        <v/>
      </c>
    </row>
    <row r="30" spans="1:43" s="442" customFormat="1" ht="4.5" customHeight="1" thickBot="1" x14ac:dyDescent="0.3">
      <c r="W30" s="443"/>
      <c r="X30" s="443"/>
      <c r="Y30" s="443"/>
      <c r="Z30" s="443"/>
      <c r="AA30" s="443"/>
      <c r="AB30" s="443"/>
      <c r="AC30" s="443"/>
      <c r="AD30" s="443"/>
      <c r="AE30" s="443"/>
      <c r="AF30" s="443"/>
      <c r="AG30" s="443"/>
      <c r="AH30" s="443"/>
      <c r="AI30" s="443"/>
      <c r="AJ30" s="443"/>
      <c r="AK30" s="443"/>
    </row>
    <row r="31" spans="1:43" s="485" customFormat="1" ht="12.75" customHeight="1" x14ac:dyDescent="0.25">
      <c r="A31" s="488" t="s">
        <v>1403</v>
      </c>
      <c r="B31" s="487"/>
      <c r="C31" s="487"/>
      <c r="D31" s="487"/>
      <c r="E31" s="487"/>
      <c r="F31" s="487"/>
      <c r="G31" s="487"/>
      <c r="H31" s="487"/>
      <c r="I31" s="487"/>
      <c r="J31" s="487"/>
      <c r="K31" s="832"/>
      <c r="L31" s="832"/>
      <c r="M31" s="1465" t="s">
        <v>1527</v>
      </c>
      <c r="N31" s="1466"/>
      <c r="O31" s="1466"/>
      <c r="P31" s="1466"/>
      <c r="Q31" s="1466"/>
      <c r="R31" s="1466"/>
      <c r="S31" s="1466"/>
      <c r="T31" s="1466"/>
      <c r="U31" s="1471"/>
      <c r="V31" s="1018" t="s">
        <v>1528</v>
      </c>
      <c r="W31" s="1018"/>
      <c r="X31" s="1018"/>
      <c r="Y31" s="1018"/>
      <c r="Z31" s="1018"/>
      <c r="AA31" s="1018"/>
      <c r="AB31" s="1018"/>
      <c r="AC31" s="1019"/>
      <c r="AD31" s="1465" t="s">
        <v>1529</v>
      </c>
      <c r="AE31" s="1466"/>
      <c r="AF31" s="1466"/>
      <c r="AG31" s="1466"/>
      <c r="AH31" s="1466"/>
      <c r="AI31" s="1466"/>
      <c r="AJ31" s="1466"/>
      <c r="AK31" s="1466"/>
      <c r="AL31" s="1467"/>
    </row>
    <row r="32" spans="1:43" s="442" customFormat="1" ht="19.5" customHeight="1" x14ac:dyDescent="0.25">
      <c r="A32" s="471" t="str">
        <f>LEFT(TEXT('Input data'!F25,"dd.m.yyyy"),1)</f>
        <v>1</v>
      </c>
      <c r="B32" s="470" t="str">
        <f>MID(TEXT('Input data'!$F$25,"dd.mm.yyyy"),2,1)</f>
        <v>3</v>
      </c>
      <c r="C32" s="469" t="s">
        <v>1147</v>
      </c>
      <c r="D32" s="470" t="str">
        <f>MID(TEXT('Input data'!$F$25,"dd.mm.yyyy"),4,1)</f>
        <v>0</v>
      </c>
      <c r="E32" s="470" t="str">
        <f>MID(TEXT('Input data'!$F$25,"dd.mm.yyyy"),5,1)</f>
        <v>6</v>
      </c>
      <c r="F32" s="469" t="s">
        <v>1147</v>
      </c>
      <c r="G32" s="470" t="str">
        <f>MID(TEXT('Input data'!$F$25,"dd.mm.yyyy"),7,1)</f>
        <v>2</v>
      </c>
      <c r="H32" s="470" t="str">
        <f>MID(TEXT('Input data'!$F$25,"dd.mm.yyyy"),8,1)</f>
        <v>0</v>
      </c>
      <c r="I32" s="470" t="str">
        <f>MID(TEXT('Input data'!$F$25,"dd.mm.yyyy"),9,1)</f>
        <v>1</v>
      </c>
      <c r="J32" s="470" t="str">
        <f>MID(TEXT('Input data'!$F$25,"dd.mm.yyyy"),10,1)</f>
        <v>4</v>
      </c>
      <c r="K32" s="833"/>
      <c r="L32" s="477"/>
      <c r="M32" s="1468"/>
      <c r="N32" s="1469"/>
      <c r="O32" s="1469"/>
      <c r="P32" s="1469"/>
      <c r="Q32" s="1469"/>
      <c r="R32" s="1469"/>
      <c r="S32" s="1469"/>
      <c r="T32" s="1469"/>
      <c r="U32" s="1472"/>
      <c r="V32" s="1021"/>
      <c r="W32" s="1021"/>
      <c r="X32" s="1021"/>
      <c r="Y32" s="1021"/>
      <c r="Z32" s="1021"/>
      <c r="AA32" s="1021"/>
      <c r="AB32" s="1021"/>
      <c r="AC32" s="1022"/>
      <c r="AD32" s="1468"/>
      <c r="AE32" s="1469"/>
      <c r="AF32" s="1469"/>
      <c r="AG32" s="1469"/>
      <c r="AH32" s="1469"/>
      <c r="AI32" s="1469"/>
      <c r="AJ32" s="1469"/>
      <c r="AK32" s="1469"/>
      <c r="AL32" s="1470"/>
      <c r="AP32" s="581"/>
    </row>
    <row r="33" spans="1:38" s="442" customFormat="1" ht="12.75" customHeight="1" x14ac:dyDescent="0.25">
      <c r="A33" s="483"/>
      <c r="B33" s="482"/>
      <c r="C33" s="482"/>
      <c r="D33" s="482"/>
      <c r="E33" s="482"/>
      <c r="F33" s="482"/>
      <c r="G33" s="482"/>
      <c r="H33" s="482"/>
      <c r="I33" s="482"/>
      <c r="J33" s="482"/>
      <c r="K33" s="834"/>
      <c r="L33" s="834"/>
      <c r="M33" s="1468"/>
      <c r="N33" s="1469"/>
      <c r="O33" s="1469"/>
      <c r="P33" s="1469"/>
      <c r="Q33" s="1469"/>
      <c r="R33" s="1469"/>
      <c r="S33" s="1469"/>
      <c r="T33" s="1469"/>
      <c r="U33" s="1472"/>
      <c r="V33" s="1021"/>
      <c r="W33" s="1021"/>
      <c r="X33" s="1021"/>
      <c r="Y33" s="1021"/>
      <c r="Z33" s="1021"/>
      <c r="AA33" s="1021"/>
      <c r="AB33" s="1021"/>
      <c r="AC33" s="1022"/>
      <c r="AD33" s="1468"/>
      <c r="AE33" s="1469"/>
      <c r="AF33" s="1469"/>
      <c r="AG33" s="1469"/>
      <c r="AH33" s="1469"/>
      <c r="AI33" s="1469"/>
      <c r="AJ33" s="1469"/>
      <c r="AK33" s="1469"/>
      <c r="AL33" s="1470"/>
    </row>
    <row r="34" spans="1:38" s="442" customFormat="1" x14ac:dyDescent="0.2">
      <c r="A34" s="454" t="s">
        <v>1401</v>
      </c>
      <c r="B34" s="453"/>
      <c r="C34" s="453"/>
      <c r="D34" s="453"/>
      <c r="E34" s="453"/>
      <c r="F34" s="453"/>
      <c r="G34" s="453"/>
      <c r="H34" s="453"/>
      <c r="I34" s="453"/>
      <c r="J34" s="453"/>
      <c r="K34" s="477"/>
      <c r="L34" s="835"/>
      <c r="M34" s="477"/>
      <c r="N34" s="477"/>
      <c r="O34" s="477"/>
      <c r="P34" s="477"/>
      <c r="Q34" s="477"/>
      <c r="R34" s="477"/>
      <c r="S34" s="477"/>
      <c r="T34" s="453"/>
      <c r="U34" s="475"/>
      <c r="V34" s="476"/>
      <c r="W34" s="476"/>
      <c r="X34" s="476"/>
      <c r="Y34" s="476"/>
      <c r="Z34" s="476"/>
      <c r="AA34" s="450"/>
      <c r="AB34" s="476"/>
      <c r="AC34" s="475"/>
      <c r="AD34" s="474"/>
      <c r="AE34" s="473"/>
      <c r="AF34" s="473"/>
      <c r="AG34" s="473"/>
      <c r="AH34" s="473"/>
      <c r="AI34" s="473"/>
      <c r="AJ34" s="473"/>
      <c r="AK34" s="473"/>
      <c r="AL34" s="472"/>
    </row>
    <row r="35" spans="1:38" s="442" customFormat="1" ht="19.5" customHeight="1" x14ac:dyDescent="0.25">
      <c r="A35" s="471" t="str">
        <f>IF('Input data'!$F$27="","",LEFT(TEXT('Input data'!$F$27,"dd.mm.yyyy"),1))</f>
        <v/>
      </c>
      <c r="B35" s="470" t="str">
        <f>IF('Input data'!$F$27="","",MID(TEXT('Input data'!$F$27,"dd.mm.yyyy"),2,1))</f>
        <v/>
      </c>
      <c r="C35" s="469" t="s">
        <v>1147</v>
      </c>
      <c r="D35" s="470" t="str">
        <f>IF('Input data'!$F$27="","",MID(TEXT('Input data'!$F$27,"dd.mm.yyyy"),4,1))</f>
        <v/>
      </c>
      <c r="E35" s="470" t="str">
        <f>IF('Input data'!$F$27="","",MID(TEXT('Input data'!$F$27,"dd.mm.yyyy"),5,1))</f>
        <v/>
      </c>
      <c r="F35" s="469" t="s">
        <v>1147</v>
      </c>
      <c r="G35" s="468" t="str">
        <f>IF('Input data'!$F$27="","",MID(TEXT('Input data'!$F$27,"dd.mm.yyyy"),7,1))</f>
        <v/>
      </c>
      <c r="H35" s="468" t="str">
        <f>IF('Input data'!$F$27="","",MID(TEXT('Input data'!$F$27,"dd.mm.yyyy"),8,1))</f>
        <v/>
      </c>
      <c r="I35" s="468" t="str">
        <f>IF('Input data'!$F$27="","",MID(TEXT('Input data'!$F$27,"dd.mm.yyyy"),9,1))</f>
        <v/>
      </c>
      <c r="J35" s="468" t="str">
        <f>IF('Input data'!$F$27="","",MID(TEXT('Input data'!$F$27,"dd.mm.yyyy"),10,1))</f>
        <v/>
      </c>
      <c r="K35" s="836"/>
      <c r="L35" s="580"/>
      <c r="M35" s="453"/>
      <c r="N35" s="453"/>
      <c r="O35" s="453"/>
      <c r="P35" s="453"/>
      <c r="Q35" s="453"/>
      <c r="R35" s="453"/>
      <c r="S35" s="453"/>
      <c r="T35" s="453"/>
      <c r="U35" s="580"/>
      <c r="V35" s="453"/>
      <c r="W35" s="450"/>
      <c r="X35" s="450"/>
      <c r="Y35" s="450"/>
      <c r="Z35" s="450"/>
      <c r="AA35" s="450"/>
      <c r="AB35" s="450"/>
      <c r="AC35" s="579"/>
      <c r="AD35" s="450"/>
      <c r="AE35" s="450"/>
      <c r="AF35" s="450"/>
      <c r="AG35" s="450"/>
      <c r="AH35" s="450"/>
      <c r="AI35" s="450"/>
      <c r="AJ35" s="450"/>
      <c r="AK35" s="450"/>
      <c r="AL35" s="449"/>
    </row>
    <row r="36" spans="1:38" s="448" customFormat="1" thickBot="1" x14ac:dyDescent="0.3">
      <c r="A36" s="463"/>
      <c r="B36" s="462"/>
      <c r="C36" s="462"/>
      <c r="D36" s="462"/>
      <c r="E36" s="462"/>
      <c r="F36" s="462"/>
      <c r="G36" s="462"/>
      <c r="H36" s="462"/>
      <c r="I36" s="462"/>
      <c r="J36" s="462"/>
      <c r="K36" s="462"/>
      <c r="L36" s="461"/>
      <c r="M36" s="1025">
        <f>'Input data'!F31</f>
        <v>0</v>
      </c>
      <c r="N36" s="1026"/>
      <c r="O36" s="1026"/>
      <c r="P36" s="1026"/>
      <c r="Q36" s="1026"/>
      <c r="R36" s="1026"/>
      <c r="S36" s="1026"/>
      <c r="T36" s="1026"/>
      <c r="U36" s="1027"/>
      <c r="V36" s="1025">
        <f>'Input data'!F35</f>
        <v>0</v>
      </c>
      <c r="W36" s="1026"/>
      <c r="X36" s="1026"/>
      <c r="Y36" s="1026"/>
      <c r="Z36" s="1026"/>
      <c r="AA36" s="1026"/>
      <c r="AB36" s="1026"/>
      <c r="AC36" s="1027"/>
      <c r="AD36" s="1028">
        <f>'Input data'!F39</f>
        <v>0</v>
      </c>
      <c r="AE36" s="1026"/>
      <c r="AF36" s="1026"/>
      <c r="AG36" s="1026"/>
      <c r="AH36" s="1026"/>
      <c r="AI36" s="1026"/>
      <c r="AJ36" s="1026"/>
      <c r="AK36" s="1026"/>
      <c r="AL36" s="1029"/>
    </row>
    <row r="37" spans="1:38" s="448" customFormat="1" x14ac:dyDescent="0.25">
      <c r="W37" s="443"/>
      <c r="X37" s="443"/>
      <c r="Y37" s="443"/>
      <c r="Z37" s="443"/>
      <c r="AA37" s="443"/>
      <c r="AB37" s="443"/>
      <c r="AC37" s="443"/>
      <c r="AD37" s="443"/>
      <c r="AE37" s="443"/>
      <c r="AF37" s="443"/>
      <c r="AG37" s="443"/>
      <c r="AH37" s="443"/>
      <c r="AI37" s="443"/>
      <c r="AJ37" s="443"/>
      <c r="AK37" s="443"/>
    </row>
    <row r="38" spans="1:38" s="448" customFormat="1" x14ac:dyDescent="0.25">
      <c r="W38" s="443"/>
      <c r="X38" s="443"/>
      <c r="Y38" s="443"/>
      <c r="Z38" s="443"/>
      <c r="AA38" s="443"/>
      <c r="AB38" s="443"/>
      <c r="AC38" s="443"/>
      <c r="AD38" s="443"/>
      <c r="AE38" s="443"/>
      <c r="AF38" s="443"/>
      <c r="AG38" s="443"/>
      <c r="AH38" s="443"/>
      <c r="AI38" s="443"/>
      <c r="AJ38" s="443"/>
      <c r="AK38" s="443"/>
    </row>
    <row r="39" spans="1:38" s="448" customFormat="1" x14ac:dyDescent="0.25">
      <c r="W39" s="443"/>
      <c r="X39" s="443"/>
      <c r="Y39" s="443"/>
      <c r="Z39" s="443"/>
      <c r="AA39" s="443"/>
      <c r="AB39" s="443"/>
      <c r="AC39" s="443"/>
      <c r="AD39" s="443"/>
      <c r="AE39" s="443"/>
      <c r="AF39" s="443"/>
      <c r="AG39" s="443"/>
      <c r="AH39" s="443"/>
      <c r="AI39" s="443"/>
      <c r="AJ39" s="443"/>
      <c r="AK39" s="443"/>
    </row>
    <row r="40" spans="1:38" ht="13.5" thickBot="1" x14ac:dyDescent="0.3">
      <c r="W40" s="443"/>
      <c r="X40" s="443"/>
      <c r="Y40" s="443"/>
      <c r="Z40" s="443"/>
      <c r="AA40" s="443"/>
      <c r="AB40" s="443"/>
      <c r="AC40" s="443"/>
      <c r="AD40" s="443"/>
      <c r="AE40" s="443"/>
      <c r="AF40" s="443"/>
      <c r="AG40" s="443"/>
      <c r="AH40" s="443"/>
      <c r="AI40" s="443"/>
      <c r="AJ40" s="443"/>
      <c r="AK40" s="443"/>
    </row>
    <row r="41" spans="1:38" s="448" customFormat="1" x14ac:dyDescent="0.25">
      <c r="B41" s="460" t="s">
        <v>1530</v>
      </c>
      <c r="C41" s="459"/>
      <c r="D41" s="459"/>
      <c r="E41" s="459"/>
      <c r="F41" s="459"/>
      <c r="G41" s="459"/>
      <c r="H41" s="459"/>
      <c r="I41" s="459"/>
      <c r="J41" s="459"/>
      <c r="K41" s="459"/>
      <c r="L41" s="459"/>
      <c r="M41" s="459"/>
      <c r="N41" s="459"/>
      <c r="O41" s="459"/>
      <c r="P41" s="459"/>
      <c r="Q41" s="459"/>
      <c r="R41" s="459"/>
      <c r="S41" s="459"/>
      <c r="T41" s="459"/>
      <c r="U41" s="459"/>
      <c r="V41" s="459"/>
      <c r="W41" s="458"/>
      <c r="X41" s="458"/>
      <c r="Y41" s="458"/>
      <c r="Z41" s="458"/>
      <c r="AA41" s="458"/>
      <c r="AB41" s="458"/>
      <c r="AC41" s="458"/>
      <c r="AD41" s="458"/>
      <c r="AE41" s="458"/>
      <c r="AF41" s="458"/>
      <c r="AG41" s="458"/>
      <c r="AH41" s="458"/>
      <c r="AI41" s="458"/>
      <c r="AJ41" s="457"/>
      <c r="AK41" s="443"/>
    </row>
    <row r="42" spans="1:38" s="448" customFormat="1" x14ac:dyDescent="0.25">
      <c r="B42" s="452"/>
      <c r="C42" s="451"/>
      <c r="D42" s="451"/>
      <c r="E42" s="451"/>
      <c r="F42" s="451"/>
      <c r="G42" s="451"/>
      <c r="H42" s="451"/>
      <c r="I42" s="451"/>
      <c r="J42" s="451"/>
      <c r="K42" s="451"/>
      <c r="L42" s="451"/>
      <c r="M42" s="451"/>
      <c r="N42" s="451"/>
      <c r="O42" s="451"/>
      <c r="P42" s="451"/>
      <c r="Q42" s="451"/>
      <c r="R42" s="451"/>
      <c r="S42" s="451"/>
      <c r="T42" s="451"/>
      <c r="U42" s="451"/>
      <c r="V42" s="451"/>
      <c r="W42" s="450"/>
      <c r="X42" s="450"/>
      <c r="Y42" s="450"/>
      <c r="Z42" s="450"/>
      <c r="AA42" s="450"/>
      <c r="AB42" s="450"/>
      <c r="AC42" s="450"/>
      <c r="AD42" s="450"/>
      <c r="AE42" s="450"/>
      <c r="AF42" s="450"/>
      <c r="AG42" s="450"/>
      <c r="AH42" s="450"/>
      <c r="AI42" s="450"/>
      <c r="AJ42" s="449"/>
      <c r="AK42" s="443"/>
    </row>
    <row r="43" spans="1:38" x14ac:dyDescent="0.25">
      <c r="B43" s="456"/>
      <c r="C43" s="455"/>
      <c r="D43" s="455"/>
      <c r="E43" s="455"/>
      <c r="F43" s="455"/>
      <c r="G43" s="455"/>
      <c r="H43" s="455"/>
      <c r="I43" s="455"/>
      <c r="J43" s="455"/>
      <c r="K43" s="455"/>
      <c r="L43" s="455"/>
      <c r="M43" s="455"/>
      <c r="N43" s="455"/>
      <c r="O43" s="455"/>
      <c r="P43" s="455"/>
      <c r="Q43" s="455"/>
      <c r="R43" s="455"/>
      <c r="S43" s="455"/>
      <c r="T43" s="455"/>
      <c r="U43" s="455"/>
      <c r="V43" s="455"/>
      <c r="W43" s="450"/>
      <c r="X43" s="450"/>
      <c r="Y43" s="450"/>
      <c r="Z43" s="450"/>
      <c r="AA43" s="450"/>
      <c r="AB43" s="450"/>
      <c r="AC43" s="450"/>
      <c r="AD43" s="450"/>
      <c r="AE43" s="450"/>
      <c r="AF43" s="450"/>
      <c r="AG43" s="450"/>
      <c r="AH43" s="450"/>
      <c r="AI43" s="450"/>
      <c r="AJ43" s="449"/>
      <c r="AK43" s="443"/>
    </row>
    <row r="44" spans="1:38" s="448" customFormat="1" x14ac:dyDescent="0.25">
      <c r="B44" s="452"/>
      <c r="C44" s="451"/>
      <c r="D44" s="451"/>
      <c r="E44" s="451"/>
      <c r="F44" s="451"/>
      <c r="G44" s="451"/>
      <c r="H44" s="451"/>
      <c r="I44" s="451"/>
      <c r="J44" s="451"/>
      <c r="K44" s="451"/>
      <c r="L44" s="451"/>
      <c r="M44" s="451"/>
      <c r="N44" s="451"/>
      <c r="O44" s="451"/>
      <c r="P44" s="451"/>
      <c r="Q44" s="451"/>
      <c r="R44" s="451"/>
      <c r="S44" s="451"/>
      <c r="T44" s="451"/>
      <c r="U44" s="451"/>
      <c r="V44" s="451"/>
      <c r="W44" s="450"/>
      <c r="X44" s="450"/>
      <c r="Y44" s="450"/>
      <c r="Z44" s="450"/>
      <c r="AA44" s="450"/>
      <c r="AB44" s="450"/>
      <c r="AC44" s="450"/>
      <c r="AD44" s="450"/>
      <c r="AE44" s="450"/>
      <c r="AF44" s="450"/>
      <c r="AG44" s="450"/>
      <c r="AH44" s="450"/>
      <c r="AI44" s="450"/>
      <c r="AJ44" s="449"/>
      <c r="AK44" s="443"/>
    </row>
    <row r="45" spans="1:38" s="442" customFormat="1" x14ac:dyDescent="0.25">
      <c r="B45" s="454"/>
      <c r="C45" s="453"/>
      <c r="D45" s="453"/>
      <c r="E45" s="453"/>
      <c r="F45" s="453"/>
      <c r="G45" s="453"/>
      <c r="H45" s="453"/>
      <c r="I45" s="453"/>
      <c r="J45" s="453"/>
      <c r="K45" s="453"/>
      <c r="L45" s="453"/>
      <c r="M45" s="453"/>
      <c r="N45" s="453"/>
      <c r="O45" s="453"/>
      <c r="P45" s="453"/>
      <c r="Q45" s="453"/>
      <c r="R45" s="453"/>
      <c r="S45" s="453"/>
      <c r="T45" s="453"/>
      <c r="U45" s="453"/>
      <c r="V45" s="453"/>
      <c r="W45" s="450"/>
      <c r="X45" s="450"/>
      <c r="Y45" s="450"/>
      <c r="Z45" s="450"/>
      <c r="AA45" s="450"/>
      <c r="AB45" s="450"/>
      <c r="AC45" s="450"/>
      <c r="AD45" s="450"/>
      <c r="AE45" s="450"/>
      <c r="AF45" s="450"/>
      <c r="AG45" s="450"/>
      <c r="AH45" s="450"/>
      <c r="AI45" s="450"/>
      <c r="AJ45" s="449"/>
      <c r="AK45" s="443"/>
    </row>
    <row r="46" spans="1:38" s="442" customFormat="1" x14ac:dyDescent="0.25">
      <c r="B46" s="454"/>
      <c r="C46" s="453"/>
      <c r="D46" s="453"/>
      <c r="E46" s="453"/>
      <c r="F46" s="453"/>
      <c r="G46" s="453"/>
      <c r="H46" s="453"/>
      <c r="I46" s="453"/>
      <c r="J46" s="453"/>
      <c r="K46" s="453"/>
      <c r="L46" s="453"/>
      <c r="M46" s="453"/>
      <c r="N46" s="453"/>
      <c r="O46" s="453"/>
      <c r="P46" s="453"/>
      <c r="Q46" s="453"/>
      <c r="R46" s="453"/>
      <c r="S46" s="453"/>
      <c r="T46" s="453"/>
      <c r="U46" s="453"/>
      <c r="V46" s="453"/>
      <c r="W46" s="450"/>
      <c r="X46" s="450"/>
      <c r="Y46" s="450"/>
      <c r="Z46" s="450"/>
      <c r="AA46" s="450"/>
      <c r="AB46" s="450"/>
      <c r="AC46" s="450"/>
      <c r="AD46" s="450"/>
      <c r="AE46" s="450"/>
      <c r="AF46" s="450"/>
      <c r="AG46" s="450"/>
      <c r="AH46" s="450"/>
      <c r="AI46" s="450"/>
      <c r="AJ46" s="449"/>
      <c r="AK46" s="443"/>
    </row>
    <row r="47" spans="1:38" s="448" customFormat="1" x14ac:dyDescent="0.25">
      <c r="B47" s="452"/>
      <c r="C47" s="451"/>
      <c r="D47" s="451"/>
      <c r="E47" s="451"/>
      <c r="F47" s="451"/>
      <c r="G47" s="451"/>
      <c r="H47" s="451"/>
      <c r="I47" s="451"/>
      <c r="J47" s="451"/>
      <c r="K47" s="451"/>
      <c r="L47" s="451"/>
      <c r="M47" s="451"/>
      <c r="N47" s="451"/>
      <c r="O47" s="451"/>
      <c r="P47" s="451"/>
      <c r="Q47" s="451"/>
      <c r="R47" s="451"/>
      <c r="S47" s="451"/>
      <c r="T47" s="451"/>
      <c r="U47" s="451"/>
      <c r="V47" s="451"/>
      <c r="W47" s="450"/>
      <c r="X47" s="450"/>
      <c r="Y47" s="450"/>
      <c r="Z47" s="450"/>
      <c r="AA47" s="450"/>
      <c r="AB47" s="450"/>
      <c r="AC47" s="450"/>
      <c r="AD47" s="450"/>
      <c r="AE47" s="450"/>
      <c r="AF47" s="450"/>
      <c r="AG47" s="450"/>
      <c r="AH47" s="450"/>
      <c r="AI47" s="450"/>
      <c r="AJ47" s="449"/>
      <c r="AK47" s="443"/>
    </row>
    <row r="48" spans="1:38" s="448" customFormat="1" x14ac:dyDescent="0.25">
      <c r="B48" s="452"/>
      <c r="C48" s="451"/>
      <c r="D48" s="451"/>
      <c r="E48" s="451"/>
      <c r="F48" s="451"/>
      <c r="G48" s="451"/>
      <c r="H48" s="451"/>
      <c r="I48" s="451"/>
      <c r="J48" s="451"/>
      <c r="K48" s="451"/>
      <c r="L48" s="451"/>
      <c r="M48" s="451"/>
      <c r="N48" s="451"/>
      <c r="O48" s="451"/>
      <c r="P48" s="451"/>
      <c r="Q48" s="451"/>
      <c r="R48" s="451"/>
      <c r="S48" s="451"/>
      <c r="T48" s="451"/>
      <c r="U48" s="451"/>
      <c r="V48" s="451"/>
      <c r="W48" s="450"/>
      <c r="X48" s="450"/>
      <c r="Y48" s="450"/>
      <c r="Z48" s="450"/>
      <c r="AA48" s="450"/>
      <c r="AB48" s="450"/>
      <c r="AC48" s="450"/>
      <c r="AD48" s="450"/>
      <c r="AE48" s="450"/>
      <c r="AF48" s="450"/>
      <c r="AG48" s="450"/>
      <c r="AH48" s="450"/>
      <c r="AI48" s="450"/>
      <c r="AJ48" s="449"/>
      <c r="AK48" s="443"/>
    </row>
    <row r="49" spans="2:37" s="448" customFormat="1" x14ac:dyDescent="0.25">
      <c r="B49" s="452"/>
      <c r="C49" s="451"/>
      <c r="D49" s="451"/>
      <c r="E49" s="451"/>
      <c r="F49" s="451"/>
      <c r="G49" s="451"/>
      <c r="H49" s="451"/>
      <c r="I49" s="451"/>
      <c r="J49" s="451"/>
      <c r="K49" s="451"/>
      <c r="L49" s="451"/>
      <c r="M49" s="451"/>
      <c r="N49" s="451"/>
      <c r="O49" s="451"/>
      <c r="P49" s="451"/>
      <c r="Q49" s="451"/>
      <c r="R49" s="451"/>
      <c r="S49" s="451"/>
      <c r="T49" s="451"/>
      <c r="U49" s="451"/>
      <c r="V49" s="451"/>
      <c r="W49" s="450"/>
      <c r="X49" s="450"/>
      <c r="Y49" s="450"/>
      <c r="Z49" s="450"/>
      <c r="AA49" s="450"/>
      <c r="AB49" s="450"/>
      <c r="AC49" s="450"/>
      <c r="AD49" s="450"/>
      <c r="AE49" s="450"/>
      <c r="AF49" s="450"/>
      <c r="AG49" s="450"/>
      <c r="AH49" s="450"/>
      <c r="AI49" s="450"/>
      <c r="AJ49" s="449"/>
      <c r="AK49" s="443"/>
    </row>
    <row r="50" spans="2:37" s="448" customFormat="1" x14ac:dyDescent="0.25">
      <c r="B50" s="452"/>
      <c r="C50" s="451"/>
      <c r="D50" s="451"/>
      <c r="E50" s="451"/>
      <c r="F50" s="451"/>
      <c r="G50" s="451"/>
      <c r="H50" s="451"/>
      <c r="I50" s="451"/>
      <c r="J50" s="451"/>
      <c r="K50" s="451"/>
      <c r="L50" s="451"/>
      <c r="M50" s="451"/>
      <c r="N50" s="451"/>
      <c r="O50" s="451"/>
      <c r="P50" s="451"/>
      <c r="Q50" s="451"/>
      <c r="R50" s="451"/>
      <c r="S50" s="451"/>
      <c r="T50" s="451"/>
      <c r="U50" s="451"/>
      <c r="V50" s="451"/>
      <c r="W50" s="450"/>
      <c r="X50" s="450"/>
      <c r="Y50" s="450"/>
      <c r="Z50" s="450"/>
      <c r="AA50" s="450"/>
      <c r="AB50" s="450"/>
      <c r="AC50" s="450"/>
      <c r="AD50" s="450"/>
      <c r="AE50" s="450"/>
      <c r="AF50" s="450"/>
      <c r="AG50" s="450"/>
      <c r="AH50" s="450"/>
      <c r="AI50" s="450"/>
      <c r="AJ50" s="449"/>
      <c r="AK50" s="443"/>
    </row>
    <row r="51" spans="2:37" s="442" customFormat="1" ht="13.5" thickBot="1" x14ac:dyDescent="0.3">
      <c r="B51" s="447"/>
      <c r="C51" s="446"/>
      <c r="D51" s="446"/>
      <c r="E51" s="446"/>
      <c r="F51" s="446"/>
      <c r="G51" s="446" t="s">
        <v>1531</v>
      </c>
      <c r="H51" s="446"/>
      <c r="I51" s="446"/>
      <c r="J51" s="446"/>
      <c r="K51" s="446"/>
      <c r="L51" s="446"/>
      <c r="M51" s="446"/>
      <c r="N51" s="446"/>
      <c r="O51" s="446"/>
      <c r="P51" s="446"/>
      <c r="Q51" s="446"/>
      <c r="R51" s="446"/>
      <c r="S51" s="446"/>
      <c r="T51" s="446"/>
      <c r="U51" s="446" t="s">
        <v>1532</v>
      </c>
      <c r="V51" s="446"/>
      <c r="W51" s="445"/>
      <c r="X51" s="445"/>
      <c r="Y51" s="445"/>
      <c r="Z51" s="445"/>
      <c r="AA51" s="445"/>
      <c r="AB51" s="445"/>
      <c r="AC51" s="445"/>
      <c r="AD51" s="445"/>
      <c r="AE51" s="445"/>
      <c r="AF51" s="445"/>
      <c r="AG51" s="445"/>
      <c r="AH51" s="445"/>
      <c r="AI51" s="445"/>
      <c r="AJ51" s="444"/>
      <c r="AK51" s="443"/>
    </row>
  </sheetData>
  <mergeCells count="9">
    <mergeCell ref="M36:U36"/>
    <mergeCell ref="V36:AC36"/>
    <mergeCell ref="AD36:AL36"/>
    <mergeCell ref="N1:X3"/>
    <mergeCell ref="J4:K4"/>
    <mergeCell ref="W13:AA15"/>
    <mergeCell ref="M31:U33"/>
    <mergeCell ref="V31:AC33"/>
    <mergeCell ref="AD31:AL33"/>
  </mergeCells>
  <pageMargins left="0.39370078740157483" right="0.39370078740157483" top="0.35433070866141736" bottom="0.35433070866141736" header="0.23622047244094491" footer="0.23622047244094491"/>
  <pageSetup orientation="portrait" r:id="rId1"/>
  <headerFooter alignWithMargins="0">
    <oddFooter>&amp;LMF SR č. 24219/3/2008/1&amp;RPage 1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 summaryRight="0"/>
  </sheetPr>
  <dimension ref="A1:J66"/>
  <sheetViews>
    <sheetView view="pageBreakPreview" zoomScaleNormal="100" zoomScaleSheetLayoutView="100" workbookViewId="0"/>
  </sheetViews>
  <sheetFormatPr defaultRowHeight="10.5" x14ac:dyDescent="0.25"/>
  <cols>
    <col min="1" max="1" width="4.42578125" style="587" customWidth="1"/>
    <col min="2" max="2" width="35" style="587" customWidth="1"/>
    <col min="3" max="3" width="3.5703125" style="587" customWidth="1"/>
    <col min="4" max="4" width="6.85546875" style="587" customWidth="1"/>
    <col min="5" max="6" width="29.5703125" style="587" customWidth="1"/>
    <col min="7" max="16384" width="9.140625" style="587"/>
  </cols>
  <sheetData>
    <row r="1" spans="1:10" s="553" customFormat="1" ht="7.5" customHeight="1" x14ac:dyDescent="0.25">
      <c r="A1" s="552"/>
      <c r="H1" s="496"/>
      <c r="I1" s="496"/>
    </row>
    <row r="2" spans="1:10" s="553" customFormat="1" ht="17.25" customHeight="1" x14ac:dyDescent="0.25">
      <c r="A2" s="552"/>
      <c r="B2" s="578" t="s">
        <v>1611</v>
      </c>
      <c r="C2" s="861"/>
      <c r="D2" s="862" t="s">
        <v>1533</v>
      </c>
      <c r="E2" s="863" t="str">
        <f>"  "&amp;'BS-SK Cover sheet'!A11&amp;"  "&amp;'BS-SK Cover sheet'!B11&amp;"  "&amp;'BS-SK Cover sheet'!C11&amp;"  "&amp;'BS-SK Cover sheet'!D11&amp;"  "&amp;'BS-SK Cover sheet'!E11&amp;"  "&amp;'BS-SK Cover sheet'!F11&amp;"  "&amp;'BS-SK Cover sheet'!G11&amp;"  "&amp;'BS-SK Cover sheet'!H11&amp;"  "&amp;'BS-SK Cover sheet'!I11&amp;"  "&amp;'BS-SK Cover sheet'!J11</f>
        <v xml:space="preserve">  2  0  2  0  3  3  6  4  0  6</v>
      </c>
    </row>
    <row r="3" spans="1:10" s="553" customFormat="1" ht="7.5" customHeight="1" thickBot="1" x14ac:dyDescent="0.3">
      <c r="A3" s="552"/>
      <c r="B3" s="632"/>
      <c r="C3" s="496"/>
      <c r="D3" s="496"/>
    </row>
    <row r="4" spans="1:10" s="612" customFormat="1" ht="11.25" customHeight="1" x14ac:dyDescent="0.25">
      <c r="A4" s="631"/>
      <c r="B4" s="630"/>
      <c r="C4" s="629"/>
      <c r="D4" s="628"/>
      <c r="E4" s="1522" t="s">
        <v>1616</v>
      </c>
      <c r="F4" s="1546"/>
    </row>
    <row r="5" spans="1:10" s="612" customFormat="1" ht="33.75" customHeight="1" x14ac:dyDescent="0.25">
      <c r="A5" s="788" t="s">
        <v>1534</v>
      </c>
      <c r="B5" s="786" t="s">
        <v>1385</v>
      </c>
      <c r="C5" s="625"/>
      <c r="D5" s="794" t="s">
        <v>1617</v>
      </c>
      <c r="E5" s="792" t="s">
        <v>1618</v>
      </c>
      <c r="F5" s="622" t="s">
        <v>1619</v>
      </c>
    </row>
    <row r="6" spans="1:10" s="612" customFormat="1" ht="29.65" customHeight="1" x14ac:dyDescent="0.25">
      <c r="A6" s="796" t="s">
        <v>813</v>
      </c>
      <c r="B6" s="593" t="s">
        <v>1620</v>
      </c>
      <c r="C6" s="592"/>
      <c r="D6" s="791" t="s">
        <v>814</v>
      </c>
      <c r="E6" s="795">
        <f>'P&amp;L'!D9</f>
        <v>0</v>
      </c>
      <c r="F6" s="591">
        <f>'P&amp;L'!E9</f>
        <v>0</v>
      </c>
    </row>
    <row r="7" spans="1:10" s="612" customFormat="1" ht="29.65" customHeight="1" x14ac:dyDescent="0.25">
      <c r="A7" s="796" t="s">
        <v>815</v>
      </c>
      <c r="B7" s="593" t="s">
        <v>1621</v>
      </c>
      <c r="C7" s="592"/>
      <c r="D7" s="791" t="s">
        <v>817</v>
      </c>
      <c r="E7" s="795">
        <f>'P&amp;L'!D10</f>
        <v>0</v>
      </c>
      <c r="F7" s="591">
        <f>'P&amp;L'!E10</f>
        <v>0</v>
      </c>
    </row>
    <row r="8" spans="1:10" s="617" customFormat="1" ht="29.65" customHeight="1" x14ac:dyDescent="0.25">
      <c r="A8" s="798" t="s">
        <v>818</v>
      </c>
      <c r="B8" s="595" t="s">
        <v>819</v>
      </c>
      <c r="C8" s="594"/>
      <c r="D8" s="797" t="s">
        <v>820</v>
      </c>
      <c r="E8" s="795">
        <f>'P&amp;L'!D11</f>
        <v>0</v>
      </c>
      <c r="F8" s="591">
        <f>'P&amp;L'!E11</f>
        <v>0</v>
      </c>
    </row>
    <row r="9" spans="1:10" s="617" customFormat="1" ht="29.65" customHeight="1" x14ac:dyDescent="0.25">
      <c r="A9" s="798" t="s">
        <v>821</v>
      </c>
      <c r="B9" s="595" t="s">
        <v>822</v>
      </c>
      <c r="C9" s="594"/>
      <c r="D9" s="797" t="s">
        <v>823</v>
      </c>
      <c r="E9" s="795">
        <f>'P&amp;L'!D12</f>
        <v>8560306</v>
      </c>
      <c r="F9" s="591">
        <f>'P&amp;L'!E12</f>
        <v>7374403</v>
      </c>
    </row>
    <row r="10" spans="1:10" s="612" customFormat="1" ht="29.65" customHeight="1" x14ac:dyDescent="0.25">
      <c r="A10" s="789" t="s">
        <v>824</v>
      </c>
      <c r="B10" s="593" t="s">
        <v>825</v>
      </c>
      <c r="C10" s="592"/>
      <c r="D10" s="791" t="s">
        <v>826</v>
      </c>
      <c r="E10" s="795">
        <f>'P&amp;L'!D13</f>
        <v>8560306</v>
      </c>
      <c r="F10" s="591">
        <f>'P&amp;L'!E13</f>
        <v>7374403</v>
      </c>
    </row>
    <row r="11" spans="1:10" s="612" customFormat="1" ht="29.65" customHeight="1" x14ac:dyDescent="0.25">
      <c r="A11" s="789" t="s">
        <v>532</v>
      </c>
      <c r="B11" s="593" t="s">
        <v>827</v>
      </c>
      <c r="C11" s="592"/>
      <c r="D11" s="791" t="s">
        <v>828</v>
      </c>
      <c r="E11" s="795">
        <f>'P&amp;L'!D14</f>
        <v>0</v>
      </c>
      <c r="F11" s="591">
        <f>'P&amp;L'!E14</f>
        <v>0</v>
      </c>
    </row>
    <row r="12" spans="1:10" s="612" customFormat="1" ht="29.65" customHeight="1" x14ac:dyDescent="0.25">
      <c r="A12" s="789" t="s">
        <v>535</v>
      </c>
      <c r="B12" s="593" t="s">
        <v>829</v>
      </c>
      <c r="C12" s="592"/>
      <c r="D12" s="791" t="s">
        <v>830</v>
      </c>
      <c r="E12" s="795">
        <f>'P&amp;L'!D15</f>
        <v>0</v>
      </c>
      <c r="F12" s="591">
        <f>'P&amp;L'!E15</f>
        <v>0</v>
      </c>
    </row>
    <row r="13" spans="1:10" s="617" customFormat="1" ht="29.65" customHeight="1" x14ac:dyDescent="0.25">
      <c r="A13" s="798" t="s">
        <v>594</v>
      </c>
      <c r="B13" s="595" t="s">
        <v>831</v>
      </c>
      <c r="C13" s="594"/>
      <c r="D13" s="797" t="s">
        <v>832</v>
      </c>
      <c r="E13" s="795">
        <f>'P&amp;L'!D16</f>
        <v>8246068</v>
      </c>
      <c r="F13" s="591">
        <f>'P&amp;L'!E16</f>
        <v>7117044</v>
      </c>
      <c r="J13" s="612"/>
    </row>
    <row r="14" spans="1:10" s="612" customFormat="1" ht="29.65" customHeight="1" x14ac:dyDescent="0.25">
      <c r="A14" s="796" t="s">
        <v>833</v>
      </c>
      <c r="B14" s="593" t="s">
        <v>834</v>
      </c>
      <c r="C14" s="592"/>
      <c r="D14" s="791" t="s">
        <v>835</v>
      </c>
      <c r="E14" s="795">
        <f>'P&amp;L'!D17</f>
        <v>7367</v>
      </c>
      <c r="F14" s="591">
        <f>'P&amp;L'!E17</f>
        <v>8207</v>
      </c>
    </row>
    <row r="15" spans="1:10" s="612" customFormat="1" ht="29.65" customHeight="1" x14ac:dyDescent="0.25">
      <c r="A15" s="796" t="s">
        <v>836</v>
      </c>
      <c r="B15" s="593" t="s">
        <v>837</v>
      </c>
      <c r="C15" s="592"/>
      <c r="D15" s="791" t="s">
        <v>838</v>
      </c>
      <c r="E15" s="795">
        <f>'P&amp;L'!D18</f>
        <v>8238701</v>
      </c>
      <c r="F15" s="591">
        <f>'P&amp;L'!E18</f>
        <v>7108837</v>
      </c>
    </row>
    <row r="16" spans="1:10" s="617" customFormat="1" ht="29.65" customHeight="1" x14ac:dyDescent="0.25">
      <c r="A16" s="798" t="s">
        <v>818</v>
      </c>
      <c r="B16" s="595" t="s">
        <v>839</v>
      </c>
      <c r="C16" s="594"/>
      <c r="D16" s="797" t="s">
        <v>840</v>
      </c>
      <c r="E16" s="795">
        <f>'P&amp;L'!D19</f>
        <v>314238</v>
      </c>
      <c r="F16" s="591">
        <f>'P&amp;L'!E19</f>
        <v>257359</v>
      </c>
    </row>
    <row r="17" spans="1:6" s="612" customFormat="1" ht="29.65" customHeight="1" x14ac:dyDescent="0.25">
      <c r="A17" s="796" t="s">
        <v>663</v>
      </c>
      <c r="B17" s="593" t="s">
        <v>841</v>
      </c>
      <c r="C17" s="592"/>
      <c r="D17" s="791" t="s">
        <v>842</v>
      </c>
      <c r="E17" s="795">
        <f>'P&amp;L'!D20</f>
        <v>201246</v>
      </c>
      <c r="F17" s="591">
        <f>'P&amp;L'!E20</f>
        <v>168325</v>
      </c>
    </row>
    <row r="18" spans="1:6" s="612" customFormat="1" ht="29.65" customHeight="1" x14ac:dyDescent="0.25">
      <c r="A18" s="796" t="s">
        <v>666</v>
      </c>
      <c r="B18" s="593" t="s">
        <v>843</v>
      </c>
      <c r="C18" s="592"/>
      <c r="D18" s="791" t="s">
        <v>844</v>
      </c>
      <c r="E18" s="795">
        <f>'P&amp;L'!D21</f>
        <v>149026</v>
      </c>
      <c r="F18" s="591">
        <f>'P&amp;L'!E21</f>
        <v>131857</v>
      </c>
    </row>
    <row r="19" spans="1:6" s="612" customFormat="1" ht="29.65" customHeight="1" x14ac:dyDescent="0.25">
      <c r="A19" s="796" t="s">
        <v>836</v>
      </c>
      <c r="B19" s="593" t="s">
        <v>845</v>
      </c>
      <c r="C19" s="592"/>
      <c r="D19" s="791" t="s">
        <v>846</v>
      </c>
      <c r="E19" s="795">
        <f>'P&amp;L'!D22</f>
        <v>0</v>
      </c>
      <c r="F19" s="591">
        <f>'P&amp;L'!E22</f>
        <v>0</v>
      </c>
    </row>
    <row r="20" spans="1:6" s="612" customFormat="1" ht="29.65" customHeight="1" x14ac:dyDescent="0.25">
      <c r="A20" s="796" t="s">
        <v>847</v>
      </c>
      <c r="B20" s="593" t="s">
        <v>848</v>
      </c>
      <c r="C20" s="592"/>
      <c r="D20" s="791" t="s">
        <v>849</v>
      </c>
      <c r="E20" s="795">
        <f>'P&amp;L'!D23</f>
        <v>49605</v>
      </c>
      <c r="F20" s="591">
        <f>'P&amp;L'!E23</f>
        <v>34441</v>
      </c>
    </row>
    <row r="21" spans="1:6" s="612" customFormat="1" ht="29.65" customHeight="1" x14ac:dyDescent="0.25">
      <c r="A21" s="796" t="s">
        <v>850</v>
      </c>
      <c r="B21" s="593" t="s">
        <v>851</v>
      </c>
      <c r="C21" s="592"/>
      <c r="D21" s="791" t="s">
        <v>852</v>
      </c>
      <c r="E21" s="795">
        <f>'P&amp;L'!D24</f>
        <v>2615</v>
      </c>
      <c r="F21" s="591">
        <f>'P&amp;L'!E24</f>
        <v>2027</v>
      </c>
    </row>
    <row r="22" spans="1:6" s="612" customFormat="1" ht="29.65" customHeight="1" x14ac:dyDescent="0.25">
      <c r="A22" s="796" t="s">
        <v>853</v>
      </c>
      <c r="B22" s="593" t="s">
        <v>854</v>
      </c>
      <c r="C22" s="592"/>
      <c r="D22" s="791" t="s">
        <v>855</v>
      </c>
      <c r="E22" s="795">
        <f>'P&amp;L'!D25</f>
        <v>255</v>
      </c>
      <c r="F22" s="591">
        <f>'P&amp;L'!E25</f>
        <v>355</v>
      </c>
    </row>
    <row r="23" spans="1:6" s="612" customFormat="1" ht="29.65" customHeight="1" x14ac:dyDescent="0.25">
      <c r="A23" s="796" t="s">
        <v>856</v>
      </c>
      <c r="B23" s="593" t="s">
        <v>857</v>
      </c>
      <c r="C23" s="592"/>
      <c r="D23" s="791" t="s">
        <v>858</v>
      </c>
      <c r="E23" s="795">
        <f>'P&amp;L'!D26</f>
        <v>7770</v>
      </c>
      <c r="F23" s="591">
        <f>'P&amp;L'!E26</f>
        <v>7770</v>
      </c>
    </row>
    <row r="24" spans="1:6" s="612" customFormat="1" ht="29.65" customHeight="1" x14ac:dyDescent="0.25">
      <c r="A24" s="796" t="s">
        <v>859</v>
      </c>
      <c r="B24" s="593" t="s">
        <v>860</v>
      </c>
      <c r="C24" s="592"/>
      <c r="D24" s="791" t="s">
        <v>861</v>
      </c>
      <c r="E24" s="795">
        <f>'P&amp;L'!D27</f>
        <v>0</v>
      </c>
      <c r="F24" s="591">
        <f>'P&amp;L'!E27</f>
        <v>0</v>
      </c>
    </row>
    <row r="25" spans="1:6" s="612" customFormat="1" ht="29.65" customHeight="1" x14ac:dyDescent="0.25">
      <c r="A25" s="796" t="s">
        <v>862</v>
      </c>
      <c r="B25" s="593" t="s">
        <v>863</v>
      </c>
      <c r="C25" s="592"/>
      <c r="D25" s="791" t="s">
        <v>864</v>
      </c>
      <c r="E25" s="795">
        <f>'P&amp;L'!D28</f>
        <v>0</v>
      </c>
      <c r="F25" s="591">
        <f>'P&amp;L'!E28</f>
        <v>0</v>
      </c>
    </row>
    <row r="26" spans="1:6" s="612" customFormat="1" ht="29.65" customHeight="1" x14ac:dyDescent="0.25">
      <c r="A26" s="796" t="s">
        <v>865</v>
      </c>
      <c r="B26" s="621" t="s">
        <v>866</v>
      </c>
      <c r="C26" s="620"/>
      <c r="D26" s="791" t="s">
        <v>867</v>
      </c>
      <c r="E26" s="795">
        <f>'P&amp;L'!D29</f>
        <v>-47976</v>
      </c>
      <c r="F26" s="591">
        <f>'P&amp;L'!E29</f>
        <v>49692</v>
      </c>
    </row>
    <row r="27" spans="1:6" s="612" customFormat="1" ht="29.65" customHeight="1" x14ac:dyDescent="0.25">
      <c r="A27" s="796" t="s">
        <v>868</v>
      </c>
      <c r="B27" s="593" t="s">
        <v>1622</v>
      </c>
      <c r="C27" s="592"/>
      <c r="D27" s="791" t="s">
        <v>870</v>
      </c>
      <c r="E27" s="795">
        <f>'P&amp;L'!D30</f>
        <v>69681</v>
      </c>
      <c r="F27" s="591">
        <f>'P&amp;L'!E30</f>
        <v>100</v>
      </c>
    </row>
    <row r="28" spans="1:6" s="612" customFormat="1" ht="29.65" customHeight="1" x14ac:dyDescent="0.25">
      <c r="A28" s="796" t="s">
        <v>871</v>
      </c>
      <c r="B28" s="621" t="s">
        <v>1623</v>
      </c>
      <c r="C28" s="620"/>
      <c r="D28" s="791" t="s">
        <v>873</v>
      </c>
      <c r="E28" s="795">
        <f>'P&amp;L'!D31</f>
        <v>651</v>
      </c>
      <c r="F28" s="591">
        <f>'P&amp;L'!E31</f>
        <v>300</v>
      </c>
    </row>
    <row r="29" spans="1:6" s="612" customFormat="1" ht="29.65" customHeight="1" x14ac:dyDescent="0.25">
      <c r="A29" s="796" t="s">
        <v>874</v>
      </c>
      <c r="B29" s="593" t="s">
        <v>875</v>
      </c>
      <c r="C29" s="592"/>
      <c r="D29" s="791" t="s">
        <v>876</v>
      </c>
      <c r="E29" s="795">
        <f>'P&amp;L'!D32</f>
        <v>0</v>
      </c>
      <c r="F29" s="591">
        <f>'P&amp;L'!E32</f>
        <v>0</v>
      </c>
    </row>
    <row r="30" spans="1:6" s="612" customFormat="1" ht="29.65" customHeight="1" x14ac:dyDescent="0.25">
      <c r="A30" s="796" t="s">
        <v>877</v>
      </c>
      <c r="B30" s="593" t="s">
        <v>878</v>
      </c>
      <c r="C30" s="592"/>
      <c r="D30" s="791" t="s">
        <v>879</v>
      </c>
      <c r="E30" s="795">
        <f>'P&amp;L'!D33</f>
        <v>0</v>
      </c>
      <c r="F30" s="591">
        <f>'P&amp;L'!E33</f>
        <v>0</v>
      </c>
    </row>
    <row r="31" spans="1:6" s="617" customFormat="1" ht="33.75" customHeight="1" x14ac:dyDescent="0.25">
      <c r="A31" s="798" t="s">
        <v>880</v>
      </c>
      <c r="B31" s="619" t="s">
        <v>881</v>
      </c>
      <c r="C31" s="618"/>
      <c r="D31" s="797" t="s">
        <v>882</v>
      </c>
      <c r="E31" s="795">
        <f>'P&amp;L'!D34</f>
        <v>221973</v>
      </c>
      <c r="F31" s="591">
        <f>'P&amp;L'!E34</f>
        <v>31017</v>
      </c>
    </row>
    <row r="32" spans="1:6" s="612" customFormat="1" ht="29.65" customHeight="1" thickBot="1" x14ac:dyDescent="0.3">
      <c r="A32" s="616" t="s">
        <v>883</v>
      </c>
      <c r="B32" s="615" t="s">
        <v>884</v>
      </c>
      <c r="C32" s="614"/>
      <c r="D32" s="613" t="s">
        <v>885</v>
      </c>
      <c r="E32" s="864">
        <f>'P&amp;L'!D35</f>
        <v>0</v>
      </c>
      <c r="F32" s="865">
        <f>'P&amp;L'!E35</f>
        <v>0</v>
      </c>
    </row>
    <row r="33" spans="1:6" ht="24.75" customHeight="1" x14ac:dyDescent="0.25">
      <c r="A33" s="604" t="s">
        <v>886</v>
      </c>
      <c r="B33" s="603" t="s">
        <v>887</v>
      </c>
      <c r="C33" s="602"/>
      <c r="D33" s="790" t="s">
        <v>888</v>
      </c>
      <c r="E33" s="843">
        <f>'P&amp;L'!D36</f>
        <v>0</v>
      </c>
      <c r="F33" s="866">
        <f>'P&amp;L'!E36</f>
        <v>0</v>
      </c>
    </row>
    <row r="34" spans="1:6" ht="30.75" customHeight="1" x14ac:dyDescent="0.25">
      <c r="A34" s="604" t="s">
        <v>889</v>
      </c>
      <c r="B34" s="611" t="s">
        <v>1624</v>
      </c>
      <c r="C34" s="610"/>
      <c r="D34" s="790" t="s">
        <v>891</v>
      </c>
      <c r="E34" s="843">
        <f>'P&amp;L'!D37</f>
        <v>0</v>
      </c>
      <c r="F34" s="866">
        <f>'P&amp;L'!E37</f>
        <v>0</v>
      </c>
    </row>
    <row r="35" spans="1:6" ht="36.75" customHeight="1" x14ac:dyDescent="0.25">
      <c r="A35" s="796" t="s">
        <v>892</v>
      </c>
      <c r="B35" s="593" t="s">
        <v>893</v>
      </c>
      <c r="C35" s="592"/>
      <c r="D35" s="791" t="s">
        <v>894</v>
      </c>
      <c r="E35" s="795">
        <f>'P&amp;L'!D38</f>
        <v>0</v>
      </c>
      <c r="F35" s="591">
        <f>'P&amp;L'!E38</f>
        <v>0</v>
      </c>
    </row>
    <row r="36" spans="1:6" ht="30.75" customHeight="1" x14ac:dyDescent="0.25">
      <c r="A36" s="796" t="s">
        <v>895</v>
      </c>
      <c r="B36" s="593" t="s">
        <v>896</v>
      </c>
      <c r="C36" s="592"/>
      <c r="D36" s="791" t="s">
        <v>897</v>
      </c>
      <c r="E36" s="795">
        <f>'P&amp;L'!D39</f>
        <v>0</v>
      </c>
      <c r="F36" s="591">
        <f>'P&amp;L'!E39</f>
        <v>0</v>
      </c>
    </row>
    <row r="37" spans="1:6" ht="30" customHeight="1" x14ac:dyDescent="0.25">
      <c r="A37" s="796" t="s">
        <v>898</v>
      </c>
      <c r="B37" s="593" t="s">
        <v>899</v>
      </c>
      <c r="C37" s="592"/>
      <c r="D37" s="791" t="s">
        <v>900</v>
      </c>
      <c r="E37" s="795">
        <f>'P&amp;L'!D40</f>
        <v>0</v>
      </c>
      <c r="F37" s="591">
        <f>'P&amp;L'!E40</f>
        <v>0</v>
      </c>
    </row>
    <row r="38" spans="1:6" ht="26.25" customHeight="1" x14ac:dyDescent="0.25">
      <c r="A38" s="796" t="s">
        <v>901</v>
      </c>
      <c r="B38" s="593" t="s">
        <v>902</v>
      </c>
      <c r="C38" s="592"/>
      <c r="D38" s="791" t="s">
        <v>903</v>
      </c>
      <c r="E38" s="795">
        <f>'P&amp;L'!D41</f>
        <v>0</v>
      </c>
      <c r="F38" s="591">
        <f>'P&amp;L'!E41</f>
        <v>0</v>
      </c>
    </row>
    <row r="39" spans="1:6" ht="22.5" customHeight="1" x14ac:dyDescent="0.25">
      <c r="A39" s="796" t="s">
        <v>904</v>
      </c>
      <c r="B39" s="593" t="s">
        <v>905</v>
      </c>
      <c r="C39" s="592"/>
      <c r="D39" s="791" t="s">
        <v>906</v>
      </c>
      <c r="E39" s="795">
        <f>'P&amp;L'!D42</f>
        <v>0</v>
      </c>
      <c r="F39" s="591">
        <f>'P&amp;L'!E42</f>
        <v>0</v>
      </c>
    </row>
    <row r="40" spans="1:6" ht="30.75" customHeight="1" x14ac:dyDescent="0.25">
      <c r="A40" s="796" t="s">
        <v>907</v>
      </c>
      <c r="B40" s="593" t="s">
        <v>908</v>
      </c>
      <c r="C40" s="592"/>
      <c r="D40" s="791" t="s">
        <v>909</v>
      </c>
      <c r="E40" s="795">
        <f>'P&amp;L'!D43</f>
        <v>0</v>
      </c>
      <c r="F40" s="591">
        <f>'P&amp;L'!E43</f>
        <v>0</v>
      </c>
    </row>
    <row r="41" spans="1:6" ht="30" customHeight="1" x14ac:dyDescent="0.25">
      <c r="A41" s="796" t="s">
        <v>910</v>
      </c>
      <c r="B41" s="593" t="s">
        <v>911</v>
      </c>
      <c r="C41" s="592"/>
      <c r="D41" s="791" t="s">
        <v>912</v>
      </c>
      <c r="E41" s="795">
        <f>'P&amp;L'!D44</f>
        <v>0</v>
      </c>
      <c r="F41" s="591">
        <f>'P&amp;L'!E44</f>
        <v>0</v>
      </c>
    </row>
    <row r="42" spans="1:6" ht="32.25" customHeight="1" x14ac:dyDescent="0.25">
      <c r="A42" s="796" t="s">
        <v>913</v>
      </c>
      <c r="B42" s="593" t="s">
        <v>914</v>
      </c>
      <c r="C42" s="592"/>
      <c r="D42" s="791" t="s">
        <v>915</v>
      </c>
      <c r="E42" s="795">
        <f>'P&amp;L'!D45</f>
        <v>0</v>
      </c>
      <c r="F42" s="591">
        <f>'P&amp;L'!E45</f>
        <v>0</v>
      </c>
    </row>
    <row r="43" spans="1:6" ht="24" customHeight="1" x14ac:dyDescent="0.25">
      <c r="A43" s="796" t="s">
        <v>916</v>
      </c>
      <c r="B43" s="593" t="s">
        <v>917</v>
      </c>
      <c r="C43" s="592"/>
      <c r="D43" s="791" t="s">
        <v>918</v>
      </c>
      <c r="E43" s="795">
        <f>'P&amp;L'!D46</f>
        <v>4</v>
      </c>
      <c r="F43" s="591">
        <f>'P&amp;L'!E46</f>
        <v>149</v>
      </c>
    </row>
    <row r="44" spans="1:6" ht="26.25" customHeight="1" x14ac:dyDescent="0.25">
      <c r="A44" s="796" t="s">
        <v>919</v>
      </c>
      <c r="B44" s="593" t="s">
        <v>920</v>
      </c>
      <c r="C44" s="592"/>
      <c r="D44" s="791" t="s">
        <v>921</v>
      </c>
      <c r="E44" s="795">
        <f>'P&amp;L'!D47</f>
        <v>889</v>
      </c>
      <c r="F44" s="591">
        <f>'P&amp;L'!E47</f>
        <v>1307</v>
      </c>
    </row>
    <row r="45" spans="1:6" ht="24.75" customHeight="1" x14ac:dyDescent="0.25">
      <c r="A45" s="796" t="s">
        <v>922</v>
      </c>
      <c r="B45" s="593" t="s">
        <v>923</v>
      </c>
      <c r="C45" s="592"/>
      <c r="D45" s="791" t="s">
        <v>924</v>
      </c>
      <c r="E45" s="795">
        <f>'P&amp;L'!D48</f>
        <v>130</v>
      </c>
      <c r="F45" s="591">
        <f>'P&amp;L'!E48</f>
        <v>8</v>
      </c>
    </row>
    <row r="46" spans="1:6" ht="27" customHeight="1" x14ac:dyDescent="0.25">
      <c r="A46" s="796" t="s">
        <v>925</v>
      </c>
      <c r="B46" s="593" t="s">
        <v>926</v>
      </c>
      <c r="C46" s="592"/>
      <c r="D46" s="791" t="s">
        <v>927</v>
      </c>
      <c r="E46" s="795">
        <f>'P&amp;L'!D49</f>
        <v>96</v>
      </c>
      <c r="F46" s="591">
        <f>'P&amp;L'!E49</f>
        <v>18</v>
      </c>
    </row>
    <row r="47" spans="1:6" ht="29.25" customHeight="1" x14ac:dyDescent="0.25">
      <c r="A47" s="796" t="s">
        <v>928</v>
      </c>
      <c r="B47" s="593" t="s">
        <v>929</v>
      </c>
      <c r="C47" s="592"/>
      <c r="D47" s="791" t="s">
        <v>930</v>
      </c>
      <c r="E47" s="795">
        <f>'P&amp;L'!D50</f>
        <v>0</v>
      </c>
      <c r="F47" s="591">
        <f>'P&amp;L'!E50</f>
        <v>0</v>
      </c>
    </row>
    <row r="48" spans="1:6" ht="27.75" customHeight="1" x14ac:dyDescent="0.25">
      <c r="A48" s="796" t="s">
        <v>931</v>
      </c>
      <c r="B48" s="593" t="s">
        <v>932</v>
      </c>
      <c r="C48" s="592"/>
      <c r="D48" s="791" t="s">
        <v>933</v>
      </c>
      <c r="E48" s="795">
        <f>'P&amp;L'!D51</f>
        <v>2591</v>
      </c>
      <c r="F48" s="591">
        <f>'P&amp;L'!E51</f>
        <v>6724</v>
      </c>
    </row>
    <row r="49" spans="1:6" ht="27.75" customHeight="1" x14ac:dyDescent="0.25">
      <c r="A49" s="796" t="s">
        <v>934</v>
      </c>
      <c r="B49" s="593" t="s">
        <v>935</v>
      </c>
      <c r="C49" s="592"/>
      <c r="D49" s="791" t="s">
        <v>936</v>
      </c>
      <c r="E49" s="795">
        <f>'P&amp;L'!D52</f>
        <v>0</v>
      </c>
      <c r="F49" s="591">
        <f>'P&amp;L'!E52</f>
        <v>0</v>
      </c>
    </row>
    <row r="50" spans="1:6" ht="27.75" customHeight="1" x14ac:dyDescent="0.25">
      <c r="A50" s="796" t="s">
        <v>937</v>
      </c>
      <c r="B50" s="593" t="s">
        <v>938</v>
      </c>
      <c r="C50" s="592"/>
      <c r="D50" s="791" t="s">
        <v>939</v>
      </c>
      <c r="E50" s="795">
        <f>'P&amp;L'!D53</f>
        <v>0</v>
      </c>
      <c r="F50" s="591">
        <f>'P&amp;L'!E53</f>
        <v>0</v>
      </c>
    </row>
    <row r="51" spans="1:6" s="588" customFormat="1" ht="44.25" customHeight="1" x14ac:dyDescent="0.25">
      <c r="A51" s="607" t="s">
        <v>880</v>
      </c>
      <c r="B51" s="609" t="s">
        <v>1625</v>
      </c>
      <c r="C51" s="608"/>
      <c r="D51" s="797" t="s">
        <v>941</v>
      </c>
      <c r="E51" s="795">
        <f>'P&amp;L'!D54</f>
        <v>-3442</v>
      </c>
      <c r="F51" s="591">
        <f>'P&amp;L'!E54</f>
        <v>-7892</v>
      </c>
    </row>
    <row r="52" spans="1:6" s="588" customFormat="1" ht="29.25" customHeight="1" x14ac:dyDescent="0.25">
      <c r="A52" s="607" t="s">
        <v>942</v>
      </c>
      <c r="B52" s="606" t="s">
        <v>943</v>
      </c>
      <c r="C52" s="605"/>
      <c r="D52" s="797" t="s">
        <v>944</v>
      </c>
      <c r="E52" s="795">
        <f>'P&amp;L'!D55</f>
        <v>218531</v>
      </c>
      <c r="F52" s="591">
        <f>'P&amp;L'!E55</f>
        <v>23125</v>
      </c>
    </row>
    <row r="53" spans="1:6" ht="30.75" customHeight="1" x14ac:dyDescent="0.25">
      <c r="A53" s="796" t="s">
        <v>945</v>
      </c>
      <c r="B53" s="593" t="s">
        <v>946</v>
      </c>
      <c r="C53" s="592"/>
      <c r="D53" s="791" t="s">
        <v>947</v>
      </c>
      <c r="E53" s="795">
        <f>'P&amp;L'!D56</f>
        <v>34227</v>
      </c>
      <c r="F53" s="591">
        <f>'P&amp;L'!E56</f>
        <v>20201</v>
      </c>
    </row>
    <row r="54" spans="1:6" ht="28.5" customHeight="1" x14ac:dyDescent="0.25">
      <c r="A54" s="799" t="s">
        <v>948</v>
      </c>
      <c r="B54" s="593" t="s">
        <v>1626</v>
      </c>
      <c r="C54" s="592"/>
      <c r="D54" s="791" t="s">
        <v>950</v>
      </c>
      <c r="E54" s="795">
        <f>'P&amp;L'!D57</f>
        <v>39946</v>
      </c>
      <c r="F54" s="591">
        <f>'P&amp;L'!E57</f>
        <v>49</v>
      </c>
    </row>
    <row r="55" spans="1:6" ht="28.5" customHeight="1" x14ac:dyDescent="0.25">
      <c r="A55" s="796" t="s">
        <v>836</v>
      </c>
      <c r="B55" s="593" t="s">
        <v>1627</v>
      </c>
      <c r="C55" s="592"/>
      <c r="D55" s="791" t="s">
        <v>952</v>
      </c>
      <c r="E55" s="795">
        <f>'P&amp;L'!D58</f>
        <v>-5719</v>
      </c>
      <c r="F55" s="591">
        <f>'P&amp;L'!E58</f>
        <v>20152</v>
      </c>
    </row>
    <row r="56" spans="1:6" s="588" customFormat="1" ht="31.5" customHeight="1" x14ac:dyDescent="0.25">
      <c r="A56" s="607" t="s">
        <v>942</v>
      </c>
      <c r="B56" s="606" t="s">
        <v>1628</v>
      </c>
      <c r="C56" s="605"/>
      <c r="D56" s="797" t="s">
        <v>954</v>
      </c>
      <c r="E56" s="795">
        <f>'P&amp;L'!D59</f>
        <v>184304</v>
      </c>
      <c r="F56" s="591">
        <f>'P&amp;L'!E59</f>
        <v>2924</v>
      </c>
    </row>
    <row r="57" spans="1:6" ht="29.25" customHeight="1" x14ac:dyDescent="0.25">
      <c r="A57" s="796" t="s">
        <v>955</v>
      </c>
      <c r="B57" s="593" t="s">
        <v>956</v>
      </c>
      <c r="C57" s="592"/>
      <c r="D57" s="791" t="s">
        <v>957</v>
      </c>
      <c r="E57" s="795">
        <f>'P&amp;L'!D60</f>
        <v>0</v>
      </c>
      <c r="F57" s="591">
        <f>'P&amp;L'!E60</f>
        <v>0</v>
      </c>
    </row>
    <row r="58" spans="1:6" ht="28.5" customHeight="1" x14ac:dyDescent="0.25">
      <c r="A58" s="796" t="s">
        <v>958</v>
      </c>
      <c r="B58" s="593" t="s">
        <v>959</v>
      </c>
      <c r="C58" s="592"/>
      <c r="D58" s="791" t="s">
        <v>960</v>
      </c>
      <c r="E58" s="795">
        <f>'P&amp;L'!D61</f>
        <v>0</v>
      </c>
      <c r="F58" s="591">
        <f>'P&amp;L'!E61</f>
        <v>0</v>
      </c>
    </row>
    <row r="59" spans="1:6" ht="30.75" customHeight="1" thickBot="1" x14ac:dyDescent="0.3">
      <c r="A59" s="563" t="s">
        <v>880</v>
      </c>
      <c r="B59" s="590" t="s">
        <v>961</v>
      </c>
      <c r="C59" s="589"/>
      <c r="D59" s="562" t="s">
        <v>962</v>
      </c>
      <c r="E59" s="864">
        <f>'P&amp;L'!D62</f>
        <v>0</v>
      </c>
      <c r="F59" s="865">
        <f>'P&amp;L'!E62</f>
        <v>0</v>
      </c>
    </row>
    <row r="60" spans="1:6" ht="27.75" customHeight="1" x14ac:dyDescent="0.25">
      <c r="A60" s="604" t="s">
        <v>963</v>
      </c>
      <c r="B60" s="603" t="s">
        <v>964</v>
      </c>
      <c r="C60" s="602"/>
      <c r="D60" s="790" t="s">
        <v>965</v>
      </c>
      <c r="E60" s="843">
        <f>'P&amp;L'!D63</f>
        <v>0</v>
      </c>
      <c r="F60" s="866">
        <f>'P&amp;L'!E63</f>
        <v>0</v>
      </c>
    </row>
    <row r="61" spans="1:6" ht="27.75" customHeight="1" x14ac:dyDescent="0.25">
      <c r="A61" s="799" t="s">
        <v>966</v>
      </c>
      <c r="B61" s="593" t="s">
        <v>1629</v>
      </c>
      <c r="C61" s="592"/>
      <c r="D61" s="791" t="s">
        <v>968</v>
      </c>
      <c r="E61" s="795">
        <f>'P&amp;L'!D64</f>
        <v>0</v>
      </c>
      <c r="F61" s="591">
        <f>'P&amp;L'!E64</f>
        <v>0</v>
      </c>
    </row>
    <row r="62" spans="1:6" ht="27.75" customHeight="1" x14ac:dyDescent="0.25">
      <c r="A62" s="796" t="s">
        <v>836</v>
      </c>
      <c r="B62" s="593" t="s">
        <v>1630</v>
      </c>
      <c r="C62" s="592"/>
      <c r="D62" s="791" t="s">
        <v>970</v>
      </c>
      <c r="E62" s="795">
        <f>'P&amp;L'!D65</f>
        <v>0</v>
      </c>
      <c r="F62" s="591">
        <f>'P&amp;L'!E65</f>
        <v>0</v>
      </c>
    </row>
    <row r="63" spans="1:6" s="588" customFormat="1" ht="27.75" customHeight="1" x14ac:dyDescent="0.25">
      <c r="A63" s="599" t="s">
        <v>880</v>
      </c>
      <c r="B63" s="598" t="s">
        <v>971</v>
      </c>
      <c r="C63" s="597"/>
      <c r="D63" s="801" t="s">
        <v>972</v>
      </c>
      <c r="E63" s="843">
        <f>'P&amp;L'!D66</f>
        <v>0</v>
      </c>
      <c r="F63" s="866">
        <f>'P&amp;L'!E66</f>
        <v>0</v>
      </c>
    </row>
    <row r="64" spans="1:6" s="588" customFormat="1" ht="27.75" customHeight="1" x14ac:dyDescent="0.25">
      <c r="A64" s="798" t="s">
        <v>973</v>
      </c>
      <c r="B64" s="595" t="s">
        <v>974</v>
      </c>
      <c r="C64" s="594"/>
      <c r="D64" s="797" t="s">
        <v>975</v>
      </c>
      <c r="E64" s="795">
        <f>'P&amp;L'!D67</f>
        <v>218531</v>
      </c>
      <c r="F64" s="591">
        <f>'P&amp;L'!E67</f>
        <v>23125</v>
      </c>
    </row>
    <row r="65" spans="1:6" ht="27.75" customHeight="1" x14ac:dyDescent="0.25">
      <c r="A65" s="796" t="s">
        <v>976</v>
      </c>
      <c r="B65" s="593" t="s">
        <v>1631</v>
      </c>
      <c r="C65" s="592"/>
      <c r="D65" s="791" t="s">
        <v>978</v>
      </c>
      <c r="E65" s="795">
        <f>'P&amp;L'!D68</f>
        <v>0</v>
      </c>
      <c r="F65" s="591">
        <f>'P&amp;L'!E68</f>
        <v>0</v>
      </c>
    </row>
    <row r="66" spans="1:6" s="588" customFormat="1" ht="27.75" customHeight="1" thickBot="1" x14ac:dyDescent="0.3">
      <c r="A66" s="563" t="s">
        <v>973</v>
      </c>
      <c r="B66" s="590" t="s">
        <v>979</v>
      </c>
      <c r="C66" s="589"/>
      <c r="D66" s="562" t="s">
        <v>980</v>
      </c>
      <c r="E66" s="864">
        <f>'P&amp;L'!D69</f>
        <v>184304</v>
      </c>
      <c r="F66" s="865">
        <f>'P&amp;L'!E69</f>
        <v>2924</v>
      </c>
    </row>
  </sheetData>
  <mergeCells count="1">
    <mergeCell ref="E4:F4"/>
  </mergeCells>
  <pageMargins left="0.74803149606299213" right="0.55118110236220474" top="0.78740157480314965" bottom="0.47244094488188981" header="0.47244094488188981" footer="0.23622047244094491"/>
  <pageSetup paperSize="9" scale="80" firstPageNumber="2" orientation="portrait" useFirstPageNumber="1" r:id="rId1"/>
  <headerFooter alignWithMargins="0">
    <oddHeader>&amp;LUVPOD2v09_&amp;P</oddHeader>
    <oddFooter>&amp;LMF SR č. 24219/3/2008/1&amp;RPage &amp;P</oddFooter>
  </headerFooter>
  <rowBreaks count="2" manualBreakCount="2">
    <brk id="32" max="5" man="1"/>
    <brk id="59" max="5" man="1"/>
  </row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</sheetPr>
  <dimension ref="A1:AM52"/>
  <sheetViews>
    <sheetView showGridLines="0" view="pageBreakPreview" zoomScaleNormal="100" zoomScaleSheetLayoutView="100" workbookViewId="0"/>
  </sheetViews>
  <sheetFormatPr defaultRowHeight="12.75" x14ac:dyDescent="0.25"/>
  <cols>
    <col min="1" max="10" width="2.5703125" style="818" customWidth="1"/>
    <col min="11" max="11" width="3.42578125" style="818" customWidth="1"/>
    <col min="12" max="36" width="2.5703125" style="818" customWidth="1"/>
    <col min="37" max="37" width="2.140625" style="818" customWidth="1"/>
    <col min="38" max="38" width="1.85546875" style="818" customWidth="1"/>
    <col min="39" max="39" width="2.140625" style="818" customWidth="1"/>
    <col min="40" max="45" width="2.5703125" style="818" customWidth="1"/>
    <col min="46" max="46" width="7.7109375" style="818" customWidth="1"/>
    <col min="47" max="61" width="2.5703125" style="818" customWidth="1"/>
    <col min="62" max="16384" width="9.140625" style="818"/>
  </cols>
  <sheetData>
    <row r="1" spans="1:38" s="551" customFormat="1" ht="10.5" thickBot="1" x14ac:dyDescent="0.3">
      <c r="C1" s="817" t="s">
        <v>1143</v>
      </c>
    </row>
    <row r="2" spans="1:38" s="448" customFormat="1" ht="21" customHeight="1" thickBot="1" x14ac:dyDescent="0.3">
      <c r="C2" s="819" t="s">
        <v>1634</v>
      </c>
      <c r="D2" s="820"/>
      <c r="E2" s="820"/>
      <c r="F2" s="820"/>
      <c r="G2" s="820"/>
      <c r="H2" s="820"/>
      <c r="I2" s="820"/>
      <c r="J2" s="821"/>
      <c r="Q2" s="547" t="s">
        <v>1635</v>
      </c>
    </row>
    <row r="3" spans="1:38" ht="13.5" thickBot="1" x14ac:dyDescent="0.3"/>
    <row r="4" spans="1:38" ht="28.5" customHeight="1" thickBot="1" x14ac:dyDescent="0.3">
      <c r="K4" s="867" t="s">
        <v>1636</v>
      </c>
      <c r="L4" s="545" t="str">
        <f>+MID('Input data'!$B$11,1,1)</f>
        <v>3</v>
      </c>
      <c r="M4" s="545" t="str">
        <f>+MID('Input data'!$B$11,2,1)</f>
        <v>1</v>
      </c>
      <c r="N4" s="545" t="s">
        <v>1147</v>
      </c>
      <c r="O4" s="545" t="str">
        <f>LEFT('Input data'!B13,1)</f>
        <v>1</v>
      </c>
      <c r="P4" s="545" t="str">
        <f>RIGHT('Input data'!B13,1)</f>
        <v>2</v>
      </c>
      <c r="Q4" s="545" t="s">
        <v>1147</v>
      </c>
      <c r="R4" s="545" t="str">
        <f>+LEFT('Input data'!$B$14,1)</f>
        <v>2</v>
      </c>
      <c r="S4" s="545" t="str">
        <f>+MID('Input data'!$B$14,2,1)</f>
        <v>0</v>
      </c>
      <c r="T4" s="545" t="str">
        <f>+MID('Input data'!$B$14,3,1)</f>
        <v>1</v>
      </c>
      <c r="U4" s="545" t="str">
        <f>+MID('Input data'!$B$14,4,1)</f>
        <v>3</v>
      </c>
      <c r="V4" s="1618" t="s">
        <v>1637</v>
      </c>
      <c r="W4" s="1619"/>
      <c r="X4" s="1619"/>
      <c r="Y4" s="1619"/>
      <c r="Z4" s="1619"/>
      <c r="AA4" s="1620"/>
    </row>
    <row r="5" spans="1:38" ht="7.5" customHeight="1" thickBot="1" x14ac:dyDescent="0.3"/>
    <row r="6" spans="1:38" s="538" customFormat="1" ht="14.25" customHeight="1" x14ac:dyDescent="0.25">
      <c r="A6" s="541" t="s">
        <v>1638</v>
      </c>
      <c r="B6" s="541"/>
      <c r="C6" s="540"/>
      <c r="D6" s="540"/>
      <c r="E6" s="540"/>
      <c r="F6" s="540"/>
      <c r="G6" s="540"/>
      <c r="H6" s="540"/>
      <c r="I6" s="540"/>
      <c r="J6" s="540"/>
      <c r="K6" s="540"/>
      <c r="L6" s="540"/>
      <c r="M6" s="540"/>
      <c r="N6" s="540"/>
      <c r="O6" s="540"/>
      <c r="P6" s="540"/>
      <c r="Q6" s="540"/>
      <c r="R6" s="540"/>
      <c r="S6" s="539"/>
      <c r="T6" s="540"/>
      <c r="U6" s="540"/>
      <c r="V6" s="540"/>
      <c r="W6" s="540"/>
      <c r="X6" s="540"/>
      <c r="Y6" s="540"/>
      <c r="Z6" s="540"/>
      <c r="AA6" s="540"/>
      <c r="AB6" s="540"/>
      <c r="AC6" s="540"/>
      <c r="AD6" s="540"/>
      <c r="AE6" s="540"/>
      <c r="AF6" s="540"/>
      <c r="AG6" s="540"/>
      <c r="AH6" s="540"/>
      <c r="AI6" s="540"/>
      <c r="AJ6" s="540"/>
      <c r="AK6" s="540"/>
      <c r="AL6" s="539"/>
    </row>
    <row r="7" spans="1:38" s="538" customFormat="1" ht="14.25" customHeight="1" x14ac:dyDescent="0.25">
      <c r="A7" s="868" t="s">
        <v>1639</v>
      </c>
      <c r="B7" s="868"/>
      <c r="C7" s="869"/>
      <c r="D7" s="869"/>
      <c r="E7" s="869"/>
      <c r="F7" s="869"/>
      <c r="G7" s="869"/>
      <c r="H7" s="869"/>
      <c r="I7" s="869"/>
      <c r="J7" s="869"/>
      <c r="K7" s="869"/>
      <c r="L7" s="869"/>
      <c r="M7" s="869"/>
      <c r="N7" s="869"/>
      <c r="O7" s="869"/>
      <c r="P7" s="869"/>
      <c r="Q7" s="869"/>
      <c r="R7" s="869"/>
      <c r="S7" s="869"/>
      <c r="T7" s="869"/>
      <c r="U7" s="869"/>
      <c r="V7" s="869"/>
      <c r="W7" s="869"/>
      <c r="X7" s="869"/>
      <c r="Y7" s="869"/>
      <c r="Z7" s="869"/>
      <c r="AA7" s="869"/>
      <c r="AB7" s="869"/>
      <c r="AC7" s="869"/>
      <c r="AD7" s="869"/>
      <c r="AE7" s="869"/>
      <c r="AF7" s="869"/>
      <c r="AG7" s="869"/>
      <c r="AH7" s="869"/>
      <c r="AI7" s="869"/>
      <c r="AJ7" s="869"/>
      <c r="AK7" s="869"/>
      <c r="AL7" s="870"/>
    </row>
    <row r="8" spans="1:38" s="874" customFormat="1" ht="15" customHeight="1" x14ac:dyDescent="0.25">
      <c r="A8" s="871" t="s">
        <v>1640</v>
      </c>
      <c r="B8" s="871"/>
      <c r="C8" s="872"/>
      <c r="D8" s="872"/>
      <c r="E8" s="872"/>
      <c r="F8" s="872"/>
      <c r="G8" s="872"/>
      <c r="H8" s="872"/>
      <c r="I8" s="872"/>
      <c r="J8" s="872"/>
      <c r="K8" s="872"/>
      <c r="L8" s="872"/>
      <c r="M8" s="872"/>
      <c r="N8" s="872"/>
      <c r="O8" s="872"/>
      <c r="P8" s="872"/>
      <c r="Q8" s="872"/>
      <c r="R8" s="872"/>
      <c r="S8" s="873"/>
      <c r="T8" s="872"/>
      <c r="U8" s="872"/>
      <c r="V8" s="872"/>
      <c r="W8" s="872"/>
      <c r="X8" s="872"/>
      <c r="Y8" s="872"/>
      <c r="Z8" s="872"/>
      <c r="AA8" s="872"/>
      <c r="AB8" s="872"/>
      <c r="AC8" s="872"/>
      <c r="AD8" s="872"/>
      <c r="AE8" s="872"/>
      <c r="AF8" s="872"/>
      <c r="AG8" s="872"/>
      <c r="AH8" s="872"/>
      <c r="AI8" s="872"/>
      <c r="AJ8" s="872"/>
      <c r="AK8" s="872"/>
      <c r="AL8" s="870"/>
    </row>
    <row r="9" spans="1:38" s="533" customFormat="1" ht="18" customHeight="1" thickBot="1" x14ac:dyDescent="0.3">
      <c r="A9" s="536" t="s">
        <v>1641</v>
      </c>
      <c r="B9" s="536"/>
      <c r="C9" s="535"/>
      <c r="D9" s="535"/>
      <c r="E9" s="536"/>
      <c r="F9" s="535"/>
      <c r="G9" s="535"/>
      <c r="H9" s="535"/>
      <c r="I9" s="535"/>
      <c r="J9" s="535"/>
      <c r="K9" s="535"/>
      <c r="L9" s="535"/>
      <c r="M9" s="535"/>
      <c r="N9" s="535"/>
      <c r="O9" s="535"/>
      <c r="P9" s="535"/>
      <c r="Q9" s="535"/>
      <c r="R9" s="535"/>
      <c r="S9" s="534"/>
      <c r="T9" s="535"/>
      <c r="U9" s="535"/>
      <c r="V9" s="535"/>
      <c r="W9" s="535"/>
      <c r="X9" s="535"/>
      <c r="Y9" s="535"/>
      <c r="Z9" s="535"/>
      <c r="AA9" s="535"/>
      <c r="AB9" s="535"/>
      <c r="AC9" s="535"/>
      <c r="AD9" s="535"/>
      <c r="AE9" s="535"/>
      <c r="AF9" s="535"/>
      <c r="AG9" s="535"/>
      <c r="AH9" s="535"/>
      <c r="AI9" s="535"/>
      <c r="AJ9" s="535"/>
      <c r="AK9" s="535"/>
      <c r="AL9" s="534"/>
    </row>
    <row r="10" spans="1:38" s="513" customFormat="1" ht="3.75" customHeight="1" thickBot="1" x14ac:dyDescent="0.3"/>
    <row r="11" spans="1:38" s="513" customFormat="1" ht="14.25" customHeight="1" x14ac:dyDescent="0.25">
      <c r="A11" s="515" t="s">
        <v>1642</v>
      </c>
      <c r="B11" s="514"/>
      <c r="C11" s="514"/>
      <c r="D11" s="514"/>
      <c r="E11" s="514"/>
      <c r="F11" s="514"/>
      <c r="G11" s="514"/>
      <c r="H11" s="514"/>
      <c r="I11" s="458"/>
      <c r="J11" s="852"/>
      <c r="K11" s="531" t="s">
        <v>1643</v>
      </c>
      <c r="L11" s="514"/>
      <c r="M11" s="532"/>
      <c r="N11" s="532"/>
      <c r="O11" s="532"/>
      <c r="P11" s="514"/>
      <c r="Q11" s="531" t="s">
        <v>1643</v>
      </c>
      <c r="R11" s="514"/>
      <c r="S11" s="458"/>
      <c r="T11" s="514"/>
      <c r="U11" s="514"/>
      <c r="V11" s="853"/>
      <c r="W11" s="514"/>
      <c r="X11" s="514"/>
      <c r="Y11" s="514"/>
      <c r="Z11" s="514"/>
      <c r="AA11" s="514"/>
      <c r="AB11" s="514"/>
      <c r="AC11" s="514"/>
      <c r="AD11" s="531" t="s">
        <v>1644</v>
      </c>
      <c r="AE11" s="531"/>
      <c r="AF11" s="531"/>
      <c r="AG11" s="531" t="s">
        <v>1645</v>
      </c>
      <c r="AH11" s="514"/>
      <c r="AI11" s="514"/>
      <c r="AJ11" s="514"/>
      <c r="AK11" s="514"/>
      <c r="AL11" s="530"/>
    </row>
    <row r="12" spans="1:38" s="513" customFormat="1" ht="19.5" customHeight="1" x14ac:dyDescent="0.2">
      <c r="A12" s="527" t="str">
        <f>LEFT('Input data'!C24,1)</f>
        <v>2</v>
      </c>
      <c r="B12" s="492" t="str">
        <f>MID('Input data'!$C$24,2,1)</f>
        <v>0</v>
      </c>
      <c r="C12" s="492" t="str">
        <f>MID('Input data'!$C$24,3,1)</f>
        <v>2</v>
      </c>
      <c r="D12" s="492" t="str">
        <f>MID('Input data'!$C$24,4,1)</f>
        <v>0</v>
      </c>
      <c r="E12" s="492" t="str">
        <f>MID('Input data'!$C$24,5,1)</f>
        <v>3</v>
      </c>
      <c r="F12" s="492" t="str">
        <f>MID('Input data'!$C$24,6,1)</f>
        <v>3</v>
      </c>
      <c r="G12" s="492" t="str">
        <f>MID('Input data'!$C$24,7,1)</f>
        <v>6</v>
      </c>
      <c r="H12" s="492" t="str">
        <f>MID('Input data'!$C$24,8,1)</f>
        <v>4</v>
      </c>
      <c r="I12" s="492" t="str">
        <f>MID('Input data'!$C$24,9,1)</f>
        <v>0</v>
      </c>
      <c r="J12" s="854" t="str">
        <f>MID('Input data'!$C$24,10,1)</f>
        <v>6</v>
      </c>
      <c r="K12" s="855"/>
      <c r="L12" s="516"/>
      <c r="M12" s="516"/>
      <c r="N12" s="516"/>
      <c r="O12" s="516"/>
      <c r="P12" s="516"/>
      <c r="Q12" s="516"/>
      <c r="R12" s="516"/>
      <c r="S12" s="516"/>
      <c r="T12" s="516"/>
      <c r="U12" s="516"/>
      <c r="V12" s="856"/>
      <c r="W12" s="521" t="s">
        <v>1646</v>
      </c>
      <c r="X12" s="516"/>
      <c r="Y12" s="516"/>
      <c r="Z12" s="516"/>
      <c r="AA12" s="516"/>
      <c r="AB12" s="521" t="s">
        <v>1647</v>
      </c>
      <c r="AC12" s="516"/>
      <c r="AD12" s="492" t="str">
        <f>MID('Input data'!$B$8,1,1)</f>
        <v>0</v>
      </c>
      <c r="AE12" s="492" t="str">
        <f>MID('Input data'!$B$8,2,1)</f>
        <v>1</v>
      </c>
      <c r="AF12" s="492"/>
      <c r="AG12" s="492" t="str">
        <f>MID('Input data'!$B$9,1,1)</f>
        <v>2</v>
      </c>
      <c r="AH12" s="492" t="str">
        <f>MID('Input data'!$B$9,2,1)</f>
        <v>0</v>
      </c>
      <c r="AI12" s="492" t="str">
        <f>MID('Input data'!$B$9,3,1)</f>
        <v>1</v>
      </c>
      <c r="AJ12" s="492" t="str">
        <f>MID('Input data'!$B$9,4,1)</f>
        <v>3</v>
      </c>
      <c r="AK12" s="516"/>
      <c r="AL12" s="522"/>
    </row>
    <row r="13" spans="1:38" s="513" customFormat="1" ht="19.5" customHeight="1" x14ac:dyDescent="0.25">
      <c r="A13" s="454" t="s">
        <v>1648</v>
      </c>
      <c r="B13" s="516"/>
      <c r="C13" s="516"/>
      <c r="D13" s="516"/>
      <c r="E13" s="516"/>
      <c r="F13" s="516"/>
      <c r="G13" s="516"/>
      <c r="H13" s="450"/>
      <c r="I13" s="450"/>
      <c r="J13" s="579"/>
      <c r="K13" s="529" t="str">
        <f>IF('Input data'!D7="x","x"," ")</f>
        <v>x</v>
      </c>
      <c r="L13" s="521" t="s">
        <v>1649</v>
      </c>
      <c r="N13" s="523"/>
      <c r="O13" s="523"/>
      <c r="P13" s="523"/>
      <c r="Q13" s="523"/>
      <c r="R13" s="529" t="str">
        <f>IF('Input data'!D16="x","x"," ")</f>
        <v>x</v>
      </c>
      <c r="S13" s="521" t="s">
        <v>1650</v>
      </c>
      <c r="T13" s="516"/>
      <c r="U13" s="516"/>
      <c r="V13" s="856"/>
      <c r="W13" s="825"/>
      <c r="X13" s="826"/>
      <c r="Y13" s="826"/>
      <c r="Z13" s="826"/>
      <c r="AA13" s="826"/>
      <c r="AB13" s="827" t="s">
        <v>1651</v>
      </c>
      <c r="AC13" s="826"/>
      <c r="AD13" s="828" t="str">
        <f>MID('Input data'!$B$13,1,1)</f>
        <v>1</v>
      </c>
      <c r="AE13" s="828" t="str">
        <f>MID('Input data'!$B$13,2,1)</f>
        <v>2</v>
      </c>
      <c r="AF13" s="828"/>
      <c r="AG13" s="828" t="str">
        <f>MID('Input data'!$B$14,1,1)</f>
        <v>2</v>
      </c>
      <c r="AH13" s="828" t="str">
        <f>MID('Input data'!$B$14,2,1)</f>
        <v>0</v>
      </c>
      <c r="AI13" s="828" t="str">
        <f>MID('Input data'!$B$14,3,1)</f>
        <v>1</v>
      </c>
      <c r="AJ13" s="828" t="str">
        <f>MID('Input data'!$B$14,4,1)</f>
        <v>3</v>
      </c>
      <c r="AK13" s="826"/>
      <c r="AL13" s="829"/>
    </row>
    <row r="14" spans="1:38" s="513" customFormat="1" ht="19.5" customHeight="1" x14ac:dyDescent="0.2">
      <c r="A14" s="875" t="str">
        <f>LEFT('Input data'!C26,1)</f>
        <v>3</v>
      </c>
      <c r="B14" s="525" t="str">
        <f>MID('Input data'!$C$26,2,1)</f>
        <v>1</v>
      </c>
      <c r="C14" s="525" t="str">
        <f>MID('Input data'!$C$26,3,1)</f>
        <v>3</v>
      </c>
      <c r="D14" s="525" t="str">
        <f>MID('Input data'!$C$26,4,1)</f>
        <v>5</v>
      </c>
      <c r="E14" s="525" t="str">
        <f>MID('Input data'!$C$26,5,1)</f>
        <v>8</v>
      </c>
      <c r="F14" s="525" t="str">
        <f>MID('Input data'!$C$26,6,1)</f>
        <v>7</v>
      </c>
      <c r="G14" s="525" t="str">
        <f>MID('Input data'!$C$26,7,1)</f>
        <v>3</v>
      </c>
      <c r="H14" s="525" t="str">
        <f>MID('Input data'!$C$26,8,1)</f>
        <v>0</v>
      </c>
      <c r="I14" s="450"/>
      <c r="J14" s="579"/>
      <c r="K14" s="450" t="str">
        <f>IF('Input data'!D8="x","x", "")</f>
        <v/>
      </c>
      <c r="L14" s="521" t="s">
        <v>1652</v>
      </c>
      <c r="M14" s="521"/>
      <c r="N14" s="523"/>
      <c r="O14" s="523"/>
      <c r="P14" s="523"/>
      <c r="Q14" s="523"/>
      <c r="R14" s="523" t="str">
        <f>IF('Input data'!D17="x","x"," ")</f>
        <v xml:space="preserve"> </v>
      </c>
      <c r="S14" s="521" t="s">
        <v>1653</v>
      </c>
      <c r="T14" s="516"/>
      <c r="U14" s="516"/>
      <c r="V14" s="856"/>
      <c r="W14" s="521"/>
      <c r="X14" s="516"/>
      <c r="Y14" s="453"/>
      <c r="Z14" s="450"/>
      <c r="AA14" s="450"/>
      <c r="AB14" s="523"/>
      <c r="AC14" s="450"/>
      <c r="AD14" s="525"/>
      <c r="AE14" s="525"/>
      <c r="AF14" s="525"/>
      <c r="AG14" s="525"/>
      <c r="AH14" s="525"/>
      <c r="AI14" s="525"/>
      <c r="AJ14" s="525"/>
      <c r="AK14" s="450"/>
      <c r="AL14" s="522"/>
    </row>
    <row r="15" spans="1:38" s="513" customFormat="1" ht="19.5" customHeight="1" x14ac:dyDescent="0.2">
      <c r="A15" s="454" t="s">
        <v>1165</v>
      </c>
      <c r="B15" s="516"/>
      <c r="C15" s="516"/>
      <c r="D15" s="516"/>
      <c r="E15" s="516"/>
      <c r="F15" s="469"/>
      <c r="G15" s="516"/>
      <c r="H15" s="516"/>
      <c r="I15" s="450"/>
      <c r="J15" s="579"/>
      <c r="K15" s="855"/>
      <c r="L15" s="450"/>
      <c r="M15" s="521"/>
      <c r="N15" s="523"/>
      <c r="O15" s="523"/>
      <c r="P15" s="523"/>
      <c r="Q15" s="523"/>
      <c r="R15" s="876" t="s">
        <v>1654</v>
      </c>
      <c r="S15" s="523"/>
      <c r="T15" s="516"/>
      <c r="U15" s="516"/>
      <c r="V15" s="856"/>
      <c r="W15" s="521" t="s">
        <v>1655</v>
      </c>
      <c r="X15" s="516"/>
      <c r="Y15" s="453"/>
      <c r="Z15" s="450"/>
      <c r="AA15" s="450"/>
      <c r="AB15" s="521" t="s">
        <v>1647</v>
      </c>
      <c r="AC15" s="450"/>
      <c r="AD15" s="492" t="str">
        <f>MID('Input data'!$B$18,1,1)</f>
        <v>0</v>
      </c>
      <c r="AE15" s="492" t="str">
        <f>MID('Input data'!$B$18,2,1)</f>
        <v>1</v>
      </c>
      <c r="AF15" s="492"/>
      <c r="AG15" s="492" t="str">
        <f>MID('Input data'!$B$19,1,1)</f>
        <v>2</v>
      </c>
      <c r="AH15" s="492" t="str">
        <f>MID('Input data'!$B$19,2,1)</f>
        <v>0</v>
      </c>
      <c r="AI15" s="492" t="str">
        <f>MID('Input data'!$B$19,3,1)</f>
        <v>1</v>
      </c>
      <c r="AJ15" s="492" t="str">
        <f>MID('Input data'!$B$19,4,1)</f>
        <v>2</v>
      </c>
      <c r="AK15" s="450"/>
      <c r="AL15" s="522"/>
    </row>
    <row r="16" spans="1:38" s="513" customFormat="1" ht="19.5" customHeight="1" thickBot="1" x14ac:dyDescent="0.25">
      <c r="A16" s="520" t="str">
        <f>'BS-SK Cover sheet'!A15</f>
        <v>7</v>
      </c>
      <c r="B16" s="445" t="str">
        <f>'BS-SK Cover sheet'!B15</f>
        <v>3</v>
      </c>
      <c r="C16" s="518" t="s">
        <v>1147</v>
      </c>
      <c r="D16" s="445" t="str">
        <f>'BS-SK Cover sheet'!D15</f>
        <v>1</v>
      </c>
      <c r="E16" s="445" t="str">
        <f>'BS-SK Cover sheet'!E15</f>
        <v>1</v>
      </c>
      <c r="F16" s="518" t="s">
        <v>1147</v>
      </c>
      <c r="G16" s="445" t="str">
        <f>'BS-SK Cover sheet'!G15</f>
        <v>0</v>
      </c>
      <c r="H16" s="445"/>
      <c r="I16" s="445"/>
      <c r="J16" s="858"/>
      <c r="K16" s="859"/>
      <c r="L16" s="445"/>
      <c r="M16" s="445"/>
      <c r="N16" s="445"/>
      <c r="O16" s="445"/>
      <c r="P16" s="445"/>
      <c r="Q16" s="445"/>
      <c r="R16" s="445"/>
      <c r="S16" s="445"/>
      <c r="T16" s="518"/>
      <c r="U16" s="518"/>
      <c r="V16" s="860"/>
      <c r="W16" s="517"/>
      <c r="X16" s="518"/>
      <c r="Y16" s="446"/>
      <c r="Z16" s="445"/>
      <c r="AA16" s="445"/>
      <c r="AB16" s="517" t="s">
        <v>1651</v>
      </c>
      <c r="AC16" s="445"/>
      <c r="AD16" s="490" t="str">
        <f>MID('Input data'!$B$21,1,1)</f>
        <v>1</v>
      </c>
      <c r="AE16" s="490" t="str">
        <f>MID('Input data'!$B$21,2,1)</f>
        <v>2</v>
      </c>
      <c r="AF16" s="490"/>
      <c r="AG16" s="490" t="str">
        <f>MID('Input data'!$B$22,1,1)</f>
        <v>2</v>
      </c>
      <c r="AH16" s="490" t="str">
        <f>MID('Input data'!$B$22,2,1)</f>
        <v>0</v>
      </c>
      <c r="AI16" s="490" t="str">
        <f>MID('Input data'!$B$22,3,1)</f>
        <v>1</v>
      </c>
      <c r="AJ16" s="490" t="str">
        <f>MID('Input data'!$B$22,4,1)</f>
        <v>2</v>
      </c>
      <c r="AK16" s="445"/>
      <c r="AL16" s="519"/>
    </row>
    <row r="17" spans="1:39" s="513" customFormat="1" ht="4.5" customHeight="1" x14ac:dyDescent="0.25">
      <c r="A17" s="516"/>
      <c r="B17" s="516"/>
      <c r="C17" s="516"/>
      <c r="D17" s="516"/>
      <c r="E17" s="516"/>
      <c r="F17" s="516"/>
      <c r="G17" s="516"/>
      <c r="H17" s="450"/>
      <c r="I17" s="450"/>
      <c r="J17" s="450"/>
      <c r="K17" s="450"/>
      <c r="L17" s="450"/>
      <c r="M17" s="450"/>
      <c r="N17" s="450"/>
      <c r="O17" s="450"/>
      <c r="P17" s="450"/>
      <c r="Q17" s="450"/>
      <c r="R17" s="450"/>
      <c r="S17" s="450"/>
      <c r="T17" s="516"/>
      <c r="U17" s="516"/>
      <c r="V17" s="450"/>
      <c r="W17" s="450"/>
      <c r="X17" s="450"/>
      <c r="Y17" s="450"/>
      <c r="Z17" s="450"/>
      <c r="AA17" s="450"/>
      <c r="AB17" s="450"/>
      <c r="AC17" s="450"/>
      <c r="AD17" s="450"/>
      <c r="AE17" s="450"/>
      <c r="AF17" s="450"/>
      <c r="AG17" s="450"/>
      <c r="AH17" s="450"/>
      <c r="AI17" s="450"/>
      <c r="AJ17" s="450"/>
      <c r="AK17" s="450"/>
      <c r="AL17" s="516"/>
      <c r="AM17" s="516"/>
    </row>
    <row r="18" spans="1:39" s="513" customFormat="1" ht="3" customHeight="1" thickBot="1" x14ac:dyDescent="0.3">
      <c r="A18" s="877"/>
      <c r="B18" s="516"/>
      <c r="C18" s="516"/>
      <c r="D18" s="516"/>
      <c r="E18" s="516"/>
      <c r="F18" s="516"/>
      <c r="G18" s="516"/>
      <c r="H18" s="450"/>
      <c r="I18" s="450"/>
      <c r="J18" s="450"/>
      <c r="K18" s="450"/>
      <c r="L18" s="450"/>
      <c r="M18" s="450"/>
      <c r="N18" s="450"/>
      <c r="O18" s="450"/>
      <c r="P18" s="450"/>
      <c r="Q18" s="450"/>
      <c r="R18" s="450"/>
      <c r="S18" s="450"/>
      <c r="T18" s="516"/>
      <c r="U18" s="516"/>
      <c r="V18" s="516"/>
      <c r="W18" s="450"/>
      <c r="X18" s="450"/>
      <c r="Y18" s="450"/>
      <c r="Z18" s="450"/>
      <c r="AA18" s="450"/>
      <c r="AB18" s="450"/>
      <c r="AC18" s="450"/>
      <c r="AD18" s="450"/>
      <c r="AE18" s="450"/>
      <c r="AF18" s="450"/>
      <c r="AG18" s="450"/>
      <c r="AH18" s="450"/>
      <c r="AI18" s="450"/>
      <c r="AJ18" s="450"/>
      <c r="AK18" s="450"/>
      <c r="AL18" s="516"/>
      <c r="AM18" s="516"/>
    </row>
    <row r="19" spans="1:39" s="513" customFormat="1" ht="16.5" x14ac:dyDescent="0.25">
      <c r="A19" s="515" t="s">
        <v>1656</v>
      </c>
      <c r="B19" s="514"/>
      <c r="C19" s="514"/>
      <c r="D19" s="514"/>
      <c r="E19" s="514"/>
      <c r="F19" s="514"/>
      <c r="G19" s="514"/>
      <c r="H19" s="458"/>
      <c r="I19" s="458"/>
      <c r="J19" s="458"/>
      <c r="K19" s="458"/>
      <c r="L19" s="458"/>
      <c r="M19" s="458"/>
      <c r="N19" s="458"/>
      <c r="O19" s="458"/>
      <c r="P19" s="458"/>
      <c r="Q19" s="458"/>
      <c r="R19" s="458"/>
      <c r="S19" s="458"/>
      <c r="T19" s="514"/>
      <c r="U19" s="514"/>
      <c r="V19" s="514"/>
      <c r="W19" s="458"/>
      <c r="X19" s="458"/>
      <c r="Y19" s="458"/>
      <c r="Z19" s="458"/>
      <c r="AA19" s="458"/>
      <c r="AB19" s="458"/>
      <c r="AC19" s="458"/>
      <c r="AD19" s="458"/>
      <c r="AE19" s="458"/>
      <c r="AF19" s="458"/>
      <c r="AG19" s="458"/>
      <c r="AH19" s="458"/>
      <c r="AI19" s="458"/>
      <c r="AJ19" s="458"/>
      <c r="AK19" s="458"/>
      <c r="AL19" s="530"/>
    </row>
    <row r="20" spans="1:39" s="513" customFormat="1" ht="19.5" customHeight="1" x14ac:dyDescent="0.25">
      <c r="A20" s="500" t="str">
        <f>+LEFT('Input data'!$F$3,1)</f>
        <v>C</v>
      </c>
      <c r="B20" s="492" t="str">
        <f>+MID('Input data'!$F$3,2,1)</f>
        <v>a</v>
      </c>
      <c r="C20" s="492" t="str">
        <f>+MID('Input data'!$F$3,3,1)</f>
        <v>r</v>
      </c>
      <c r="D20" s="492" t="str">
        <f>+MID('Input data'!$F$3,4,1)</f>
        <v>a</v>
      </c>
      <c r="E20" s="492" t="str">
        <f>+MID('Input data'!$F$3,5,1)</f>
        <v>t</v>
      </c>
      <c r="F20" s="492" t="str">
        <f>+MID('Input data'!$F$3,6,1)</f>
        <v xml:space="preserve"> </v>
      </c>
      <c r="G20" s="492" t="str">
        <f>+MID('Input data'!$F$3,7,1)</f>
        <v>-</v>
      </c>
      <c r="H20" s="492" t="str">
        <f>+MID('Input data'!$F$3,8,1)</f>
        <v xml:space="preserve"> </v>
      </c>
      <c r="I20" s="492" t="str">
        <f>+MID('Input data'!$F$3,9,1)</f>
        <v>S</v>
      </c>
      <c r="J20" s="492" t="str">
        <f>+MID('Input data'!$F$3,10,1)</f>
        <v>l</v>
      </c>
      <c r="K20" s="492" t="str">
        <f>+MID('Input data'!$F$3,11,1)</f>
        <v>o</v>
      </c>
      <c r="L20" s="492" t="str">
        <f>+MID('Input data'!$F$3,12,1)</f>
        <v>v</v>
      </c>
      <c r="M20" s="492" t="str">
        <f>+MID('Input data'!$F$3,13,1)</f>
        <v>a</v>
      </c>
      <c r="N20" s="492" t="str">
        <f>+MID('Input data'!$F$3,14,1)</f>
        <v>k</v>
      </c>
      <c r="O20" s="492" t="str">
        <f>+MID('Input data'!$F$3,15,1)</f>
        <v>i</v>
      </c>
      <c r="P20" s="492" t="str">
        <f>+MID('Input data'!$F$3,16,1)</f>
        <v>a</v>
      </c>
      <c r="Q20" s="492" t="str">
        <f>+MID('Input data'!$F$3,17,1)</f>
        <v>,</v>
      </c>
      <c r="R20" s="492" t="str">
        <f>+MID('Input data'!$F$3,18,1)</f>
        <v xml:space="preserve"> </v>
      </c>
      <c r="S20" s="492" t="str">
        <f>+MID('Input data'!$F$3,19,1)</f>
        <v>s</v>
      </c>
      <c r="T20" s="492" t="str">
        <f>+MID('Input data'!$F$3,20,1)</f>
        <v>.</v>
      </c>
      <c r="U20" s="492" t="str">
        <f>+MID('Input data'!$F$3,21,1)</f>
        <v>r</v>
      </c>
      <c r="V20" s="492" t="str">
        <f>+MID('Input data'!$F$3,22,1)</f>
        <v>.</v>
      </c>
      <c r="W20" s="492" t="str">
        <f>+MID('Input data'!$F$3,23,1)</f>
        <v>o</v>
      </c>
      <c r="X20" s="492" t="str">
        <f>+MID('Input data'!$F$3,24,1)</f>
        <v>.</v>
      </c>
      <c r="Y20" s="492" t="str">
        <f>+MID('Input data'!$F$3,25,1)</f>
        <v/>
      </c>
      <c r="Z20" s="492" t="str">
        <f>+MID('Input data'!$F$3,26,1)</f>
        <v/>
      </c>
      <c r="AA20" s="492" t="str">
        <f>+MID('Input data'!$F$3,27,1)</f>
        <v/>
      </c>
      <c r="AB20" s="492" t="str">
        <f>+MID('Input data'!$F$3,28,1)</f>
        <v/>
      </c>
      <c r="AC20" s="492" t="str">
        <f>+MID('Input data'!$F$3,29,1)</f>
        <v/>
      </c>
      <c r="AD20" s="492" t="str">
        <f>+MID('Input data'!$F$3,30,1)</f>
        <v/>
      </c>
      <c r="AE20" s="492" t="str">
        <f>+MID('Input data'!$F$3,31,1)</f>
        <v/>
      </c>
      <c r="AF20" s="492" t="str">
        <f>+MID('Input data'!$F$3,32,1)</f>
        <v/>
      </c>
      <c r="AG20" s="492" t="str">
        <f>+MID('Input data'!$F$3,33,1)</f>
        <v/>
      </c>
      <c r="AH20" s="492" t="str">
        <f>+MID('Input data'!$E$3,34,1)</f>
        <v/>
      </c>
      <c r="AI20" s="492" t="str">
        <f>+MID('Input data'!$E$3,35,1)</f>
        <v/>
      </c>
      <c r="AJ20" s="492" t="str">
        <f>+MID('Input data'!$E$3,36,1)</f>
        <v/>
      </c>
      <c r="AK20" s="492" t="str">
        <f>+MID('Input data'!$E$3,37,1)</f>
        <v/>
      </c>
      <c r="AL20" s="522"/>
    </row>
    <row r="21" spans="1:39" s="582" customFormat="1" ht="19.5" customHeight="1" x14ac:dyDescent="0.25">
      <c r="A21" s="500" t="str">
        <f>+MID('Input data'!$E$3,38,1)</f>
        <v/>
      </c>
      <c r="B21" s="492" t="str">
        <f>+MID('Input data'!$E$3,39,1)</f>
        <v/>
      </c>
      <c r="C21" s="492" t="str">
        <f>+MID('Input data'!$E$3,40,1)</f>
        <v/>
      </c>
      <c r="D21" s="492" t="str">
        <f>+MID('Input data'!$E$3,41,1)</f>
        <v/>
      </c>
      <c r="E21" s="492" t="str">
        <f>+MID('Input data'!$E$3,42,1)</f>
        <v/>
      </c>
      <c r="F21" s="492" t="str">
        <f>+MID('Input data'!$E$3,43,1)</f>
        <v/>
      </c>
      <c r="G21" s="492" t="str">
        <f>+MID('Input data'!$E$3,44,1)</f>
        <v/>
      </c>
      <c r="H21" s="492" t="str">
        <f>+MID('Input data'!$E$3,45,1)</f>
        <v/>
      </c>
      <c r="I21" s="492" t="str">
        <f>+MID('Input data'!$E$3,46,1)</f>
        <v/>
      </c>
      <c r="J21" s="492" t="str">
        <f>+MID('Input data'!$E$3,47,1)</f>
        <v/>
      </c>
      <c r="K21" s="492" t="str">
        <f>+MID('Input data'!$E$3,48,1)</f>
        <v/>
      </c>
      <c r="L21" s="492" t="str">
        <f>+MID('Input data'!$E$3,49,1)</f>
        <v/>
      </c>
      <c r="M21" s="492" t="str">
        <f>+MID('Input data'!$E$3,50,1)</f>
        <v/>
      </c>
      <c r="N21" s="492" t="str">
        <f>+MID('Input data'!$E$3,51,1)</f>
        <v/>
      </c>
      <c r="O21" s="492" t="str">
        <f>+MID('Input data'!$E$3,52,1)</f>
        <v/>
      </c>
      <c r="P21" s="492" t="str">
        <f>+MID('Input data'!$E$3,53,1)</f>
        <v/>
      </c>
      <c r="Q21" s="492" t="str">
        <f>+MID('Input data'!$E$3,54,1)</f>
        <v/>
      </c>
      <c r="R21" s="492" t="str">
        <f>+MID('Input data'!$E$3,55,1)</f>
        <v/>
      </c>
      <c r="S21" s="492" t="str">
        <f>+MID('Input data'!$E$3,56,1)</f>
        <v/>
      </c>
      <c r="T21" s="492" t="str">
        <f>+MID('Input data'!$E$3,57,1)</f>
        <v/>
      </c>
      <c r="U21" s="492" t="str">
        <f>+MID('Input data'!$E$3,58,1)</f>
        <v/>
      </c>
      <c r="V21" s="492" t="str">
        <f>+MID('Input data'!$E$3,59,1)</f>
        <v/>
      </c>
      <c r="W21" s="492" t="str">
        <f>+MID('Input data'!$E$3,60,1)</f>
        <v/>
      </c>
      <c r="X21" s="492" t="str">
        <f>+MID('Input data'!$E$3,61,1)</f>
        <v/>
      </c>
      <c r="Y21" s="492" t="str">
        <f>+MID('Input data'!$E$3,62,1)</f>
        <v/>
      </c>
      <c r="Z21" s="492" t="str">
        <f>+MID('Input data'!$E$3,63,1)</f>
        <v/>
      </c>
      <c r="AA21" s="492" t="str">
        <f>+MID('Input data'!$E$3,64,1)</f>
        <v/>
      </c>
      <c r="AB21" s="492" t="str">
        <f>+MID('Input data'!$E$3,65,1)</f>
        <v/>
      </c>
      <c r="AC21" s="492" t="str">
        <f>+MID('Input data'!$E$3,66,1)</f>
        <v/>
      </c>
      <c r="AD21" s="492" t="str">
        <f>+MID('Input data'!$E$3,67,1)</f>
        <v/>
      </c>
      <c r="AE21" s="492" t="str">
        <f>+MID('Input data'!$E$3,68,1)</f>
        <v/>
      </c>
      <c r="AF21" s="492" t="str">
        <f>+MID('Input data'!$E$3,69,1)</f>
        <v/>
      </c>
      <c r="AG21" s="492" t="str">
        <f>+MID('Input data'!$E$3,70,1)</f>
        <v/>
      </c>
      <c r="AH21" s="492" t="str">
        <f>+MID('Input data'!$E$3,71,1)</f>
        <v/>
      </c>
      <c r="AI21" s="492" t="str">
        <f>+MID('Input data'!$E$3,72,1)</f>
        <v/>
      </c>
      <c r="AJ21" s="492" t="str">
        <f>+MID('Input data'!$E$3,73,1)</f>
        <v/>
      </c>
      <c r="AK21" s="492" t="str">
        <f>+MID('Input data'!$E$3,74,1)</f>
        <v/>
      </c>
      <c r="AL21" s="878"/>
    </row>
    <row r="22" spans="1:39" s="501" customFormat="1" ht="14.25" customHeight="1" x14ac:dyDescent="0.25">
      <c r="A22" s="879" t="s">
        <v>1657</v>
      </c>
      <c r="B22" s="880"/>
      <c r="C22" s="880"/>
      <c r="D22" s="880"/>
      <c r="E22" s="880"/>
      <c r="F22" s="880"/>
      <c r="G22" s="880"/>
      <c r="H22" s="880"/>
      <c r="I22" s="880"/>
      <c r="J22" s="880"/>
      <c r="K22" s="880"/>
      <c r="L22" s="880"/>
      <c r="M22" s="880"/>
      <c r="N22" s="880"/>
      <c r="O22" s="880"/>
      <c r="P22" s="880"/>
      <c r="Q22" s="880"/>
      <c r="R22" s="880"/>
      <c r="S22" s="880"/>
      <c r="T22" s="880"/>
      <c r="U22" s="880"/>
      <c r="V22" s="880"/>
      <c r="W22" s="510"/>
      <c r="X22" s="510"/>
      <c r="Y22" s="510"/>
      <c r="Z22" s="510"/>
      <c r="AA22" s="510"/>
      <c r="AB22" s="510"/>
      <c r="AC22" s="510"/>
      <c r="AD22" s="510"/>
      <c r="AE22" s="510"/>
      <c r="AF22" s="510"/>
      <c r="AG22" s="510"/>
      <c r="AH22" s="510"/>
      <c r="AI22" s="510"/>
      <c r="AJ22" s="510"/>
      <c r="AK22" s="510"/>
      <c r="AL22" s="881"/>
    </row>
    <row r="23" spans="1:39" x14ac:dyDescent="0.25">
      <c r="A23" s="497" t="s">
        <v>1658</v>
      </c>
      <c r="B23" s="823"/>
      <c r="C23" s="823"/>
      <c r="D23" s="823"/>
      <c r="E23" s="823"/>
      <c r="F23" s="823"/>
      <c r="G23" s="823"/>
      <c r="H23" s="823"/>
      <c r="I23" s="823"/>
      <c r="J23" s="823"/>
      <c r="K23" s="823"/>
      <c r="L23" s="823"/>
      <c r="M23" s="823"/>
      <c r="N23" s="823"/>
      <c r="O23" s="823"/>
      <c r="P23" s="823"/>
      <c r="Q23" s="823"/>
      <c r="R23" s="823"/>
      <c r="S23" s="823"/>
      <c r="T23" s="823"/>
      <c r="U23" s="823"/>
      <c r="V23" s="823"/>
      <c r="W23" s="450"/>
      <c r="X23" s="450"/>
      <c r="Y23" s="450"/>
      <c r="Z23" s="450"/>
      <c r="AA23" s="450"/>
      <c r="AB23" s="823"/>
      <c r="AC23" s="450"/>
      <c r="AD23" s="453" t="s">
        <v>1659</v>
      </c>
      <c r="AE23" s="450"/>
      <c r="AF23" s="450"/>
      <c r="AG23" s="450"/>
      <c r="AH23" s="450"/>
      <c r="AI23" s="450"/>
      <c r="AJ23" s="450"/>
      <c r="AK23" s="450"/>
      <c r="AL23" s="882"/>
    </row>
    <row r="24" spans="1:39" s="582" customFormat="1" ht="19.5" customHeight="1" x14ac:dyDescent="0.25">
      <c r="A24" s="500" t="str">
        <f>+LEFT('Input data'!$C$28,1)</f>
        <v>T</v>
      </c>
      <c r="B24" s="492" t="str">
        <f>+MID('Input data'!$C$28,2,1)</f>
        <v>e</v>
      </c>
      <c r="C24" s="492" t="str">
        <f>+MID('Input data'!$C$28,3,1)</f>
        <v>s</v>
      </c>
      <c r="D24" s="492" t="str">
        <f>+MID('Input data'!$C$28,4,1)</f>
        <v>l</v>
      </c>
      <c r="E24" s="492" t="str">
        <f>+MID('Input data'!$C$28,5,1)</f>
        <v>o</v>
      </c>
      <c r="F24" s="492" t="str">
        <f>+MID('Input data'!$C$28,6,1)</f>
        <v>v</v>
      </c>
      <c r="G24" s="492" t="str">
        <f>+MID('Input data'!$C$28,7,1)</f>
        <v>a</v>
      </c>
      <c r="H24" s="492" t="str">
        <f>+MID('Input data'!$C$28,8,1)</f>
        <v/>
      </c>
      <c r="I24" s="492" t="str">
        <f>+MID('Input data'!$C$28,9,1)</f>
        <v/>
      </c>
      <c r="J24" s="492" t="str">
        <f>+MID('Input data'!$C$28,10,1)</f>
        <v/>
      </c>
      <c r="K24" s="492" t="str">
        <f>+MID('Input data'!$C$28,11,1)</f>
        <v/>
      </c>
      <c r="L24" s="492" t="str">
        <f>+MID('Input data'!$C$28,12,1)</f>
        <v/>
      </c>
      <c r="M24" s="492" t="str">
        <f>+MID('Input data'!$C$28,13,1)</f>
        <v/>
      </c>
      <c r="N24" s="492" t="str">
        <f>+MID('Input data'!$C$28,14,1)</f>
        <v/>
      </c>
      <c r="O24" s="492" t="str">
        <f>+MID('Input data'!$C$28,15,1)</f>
        <v/>
      </c>
      <c r="P24" s="492" t="str">
        <f>+MID('Input data'!$C$28,16,1)</f>
        <v/>
      </c>
      <c r="Q24" s="492" t="str">
        <f>+MID('Input data'!$C$28,17,1)</f>
        <v/>
      </c>
      <c r="R24" s="492" t="str">
        <f>+MID('Input data'!$C$28,18,1)</f>
        <v/>
      </c>
      <c r="S24" s="492" t="str">
        <f>+MID('Input data'!$C$28,19,1)</f>
        <v/>
      </c>
      <c r="T24" s="492" t="str">
        <f>+MID('Input data'!$C$28,20,1)</f>
        <v/>
      </c>
      <c r="U24" s="492" t="str">
        <f>+MID('Input data'!$C$28,21,1)</f>
        <v/>
      </c>
      <c r="V24" s="492" t="str">
        <f>+MID('Input data'!$C$28,22,1)</f>
        <v/>
      </c>
      <c r="W24" s="492" t="str">
        <f>+MID('Input data'!$C$28,23,1)</f>
        <v/>
      </c>
      <c r="X24" s="492" t="str">
        <f>+MID('Input data'!$C$28,24,1)</f>
        <v/>
      </c>
      <c r="Y24" s="492" t="str">
        <f>+MID('Input data'!$C$28,25,1)</f>
        <v/>
      </c>
      <c r="Z24" s="492" t="str">
        <f>+MID('Input data'!$C$28,26,1)</f>
        <v/>
      </c>
      <c r="AA24" s="492" t="str">
        <f>+MID('Input data'!$C$28,27,1)</f>
        <v/>
      </c>
      <c r="AB24" s="492" t="str">
        <f>+MID('Input data'!$C$28,28,1)</f>
        <v/>
      </c>
      <c r="AC24" s="494"/>
      <c r="AD24" s="492" t="str">
        <f>+LEFT('Input data'!$C$30,1)</f>
        <v>2</v>
      </c>
      <c r="AE24" s="492" t="str">
        <f>+MID('Input data'!$C$30,2,1)</f>
        <v>0</v>
      </c>
      <c r="AF24" s="492" t="str">
        <f>+MID('Input data'!$C$30,3,1)</f>
        <v/>
      </c>
      <c r="AG24" s="492" t="str">
        <f>+MID('Input data'!$C$30,4,1)</f>
        <v/>
      </c>
      <c r="AH24" s="492" t="str">
        <f>+MID('Input data'!$C$30,5,1)</f>
        <v/>
      </c>
      <c r="AI24" s="492" t="str">
        <f>+MID('Input data'!$C$30,6,1)</f>
        <v/>
      </c>
      <c r="AJ24" s="492" t="str">
        <f>+MID('Input data'!$C$30,7,1)</f>
        <v/>
      </c>
      <c r="AK24" s="492" t="str">
        <f>+MID('Input data'!$C$30,8,1)</f>
        <v/>
      </c>
      <c r="AL24" s="878"/>
    </row>
    <row r="25" spans="1:39" x14ac:dyDescent="0.25">
      <c r="A25" s="497" t="s">
        <v>1660</v>
      </c>
      <c r="B25" s="823"/>
      <c r="C25" s="823"/>
      <c r="D25" s="823"/>
      <c r="E25" s="823"/>
      <c r="F25" s="823"/>
      <c r="G25" s="496" t="s">
        <v>1661</v>
      </c>
      <c r="H25" s="496"/>
      <c r="I25" s="496"/>
      <c r="J25" s="496"/>
      <c r="K25" s="496"/>
      <c r="L25" s="496"/>
      <c r="M25" s="496"/>
      <c r="N25" s="496"/>
      <c r="O25" s="496"/>
      <c r="P25" s="496"/>
      <c r="Q25" s="496"/>
      <c r="R25" s="496"/>
      <c r="S25" s="496"/>
      <c r="T25" s="496"/>
      <c r="U25" s="496"/>
      <c r="V25" s="496"/>
      <c r="W25" s="496"/>
      <c r="X25" s="496"/>
      <c r="Y25" s="496"/>
      <c r="Z25" s="496"/>
      <c r="AA25" s="496"/>
      <c r="AB25" s="496"/>
      <c r="AC25" s="496"/>
      <c r="AD25" s="496"/>
      <c r="AE25" s="450"/>
      <c r="AF25" s="450"/>
      <c r="AG25" s="450"/>
      <c r="AH25" s="450"/>
      <c r="AI25" s="450"/>
      <c r="AJ25" s="450"/>
      <c r="AK25" s="450"/>
      <c r="AL25" s="882"/>
    </row>
    <row r="26" spans="1:39" s="582" customFormat="1" ht="19.5" customHeight="1" x14ac:dyDescent="0.25">
      <c r="A26" s="500" t="str">
        <f>+LEFT('Input data'!$C$32,1)</f>
        <v>8</v>
      </c>
      <c r="B26" s="492" t="str">
        <f>+MID('Input data'!$C$32,2,1)</f>
        <v>2</v>
      </c>
      <c r="C26" s="492" t="str">
        <f>+MID('Input data'!$C$32,3,1)</f>
        <v>1</v>
      </c>
      <c r="D26" s="492" t="str">
        <f>+MID('Input data'!$C$32,4,1)</f>
        <v>0</v>
      </c>
      <c r="E26" s="492" t="str">
        <f>+MID('Input data'!$C$32,5,1)</f>
        <v>2</v>
      </c>
      <c r="F26" s="492"/>
      <c r="G26" s="492" t="str">
        <f>+LEFT('Input data'!$C$34,1)</f>
        <v>B</v>
      </c>
      <c r="H26" s="492" t="str">
        <f>+MID('Input data'!$C$34,2,1)</f>
        <v>r</v>
      </c>
      <c r="I26" s="492" t="str">
        <f>+MID('Input data'!$C$34,3,1)</f>
        <v>a</v>
      </c>
      <c r="J26" s="492" t="str">
        <f>+MID('Input data'!$C$34,4,1)</f>
        <v>t</v>
      </c>
      <c r="K26" s="492" t="str">
        <f>+MID('Input data'!$C$34,5,1)</f>
        <v>i</v>
      </c>
      <c r="L26" s="492" t="str">
        <f>+MID('Input data'!$C$34,6,1)</f>
        <v>s</v>
      </c>
      <c r="M26" s="492" t="str">
        <f>+MID('Input data'!$C$34,7,1)</f>
        <v>l</v>
      </c>
      <c r="N26" s="492" t="str">
        <f>+MID('Input data'!$C$34,8,1)</f>
        <v>a</v>
      </c>
      <c r="O26" s="492" t="str">
        <f>+MID('Input data'!$C$34,9,1)</f>
        <v>v</v>
      </c>
      <c r="P26" s="492" t="str">
        <f>+MID('Input data'!$C$34,10,1)</f>
        <v>a</v>
      </c>
      <c r="Q26" s="492" t="str">
        <f>+MID('Input data'!$C$34,11,1)</f>
        <v/>
      </c>
      <c r="R26" s="492" t="str">
        <f>+MID('Input data'!$C$34,12,1)</f>
        <v/>
      </c>
      <c r="S26" s="492" t="str">
        <f>+MID('Input data'!$C$34,13,1)</f>
        <v/>
      </c>
      <c r="T26" s="492" t="str">
        <f>+MID('Input data'!$C$34,14,1)</f>
        <v/>
      </c>
      <c r="U26" s="492" t="str">
        <f>+MID('Input data'!$C$34,15,1)</f>
        <v/>
      </c>
      <c r="V26" s="492" t="str">
        <f>+MID('Input data'!$C$34,16,1)</f>
        <v/>
      </c>
      <c r="W26" s="492" t="str">
        <f>+MID('Input data'!$C$34,17,1)</f>
        <v/>
      </c>
      <c r="X26" s="492" t="str">
        <f>+MID('Input data'!$C$34,18,1)</f>
        <v/>
      </c>
      <c r="Y26" s="492" t="str">
        <f>+MID('Input data'!$C$34,19,1)</f>
        <v/>
      </c>
      <c r="Z26" s="492" t="str">
        <f>+MID('Input data'!$C$34,20,1)</f>
        <v/>
      </c>
      <c r="AA26" s="492" t="str">
        <f>+MID('Input data'!$C$34,21,1)</f>
        <v/>
      </c>
      <c r="AB26" s="492" t="str">
        <f>+MID('Input data'!$C$34,22,1)</f>
        <v/>
      </c>
      <c r="AC26" s="492" t="str">
        <f>+MID('Input data'!$C$34,23,1)</f>
        <v/>
      </c>
      <c r="AD26" s="492" t="str">
        <f>+MID('Input data'!$C$34,24,1)</f>
        <v/>
      </c>
      <c r="AE26" s="492" t="str">
        <f>+MID('Input data'!$C$34,25,1)</f>
        <v/>
      </c>
      <c r="AF26" s="492" t="str">
        <f>+MID('Input data'!$C$34,26,1)</f>
        <v/>
      </c>
      <c r="AG26" s="492" t="str">
        <f>+MID('Input data'!$C$34,27,1)</f>
        <v/>
      </c>
      <c r="AH26" s="492" t="str">
        <f>+MID('Input data'!$C$34,28,1)</f>
        <v/>
      </c>
      <c r="AI26" s="492" t="str">
        <f>+MID('Input data'!$C$34,29,1)</f>
        <v/>
      </c>
      <c r="AJ26" s="492" t="str">
        <f>+MID('Input data'!$C$34,30,1)</f>
        <v/>
      </c>
      <c r="AK26" s="492" t="str">
        <f>+MID('Input data'!$C$34,31,1)</f>
        <v/>
      </c>
      <c r="AL26" s="878"/>
    </row>
    <row r="27" spans="1:39" x14ac:dyDescent="0.25">
      <c r="A27" s="497" t="s">
        <v>1662</v>
      </c>
      <c r="B27" s="823"/>
      <c r="C27" s="823"/>
      <c r="D27" s="823"/>
      <c r="E27" s="823"/>
      <c r="F27" s="823"/>
      <c r="G27" s="496"/>
      <c r="H27" s="496"/>
      <c r="I27" s="496"/>
      <c r="J27" s="496"/>
      <c r="K27" s="496"/>
      <c r="L27" s="496"/>
      <c r="M27" s="496"/>
      <c r="N27" s="823"/>
      <c r="O27" s="496" t="s">
        <v>1663</v>
      </c>
      <c r="P27" s="496"/>
      <c r="Q27" s="496"/>
      <c r="R27" s="496"/>
      <c r="S27" s="496"/>
      <c r="T27" s="496"/>
      <c r="U27" s="496"/>
      <c r="V27" s="496"/>
      <c r="W27" s="496"/>
      <c r="X27" s="496"/>
      <c r="Y27" s="496"/>
      <c r="Z27" s="496"/>
      <c r="AA27" s="496"/>
      <c r="AB27" s="496"/>
      <c r="AC27" s="496"/>
      <c r="AD27" s="496"/>
      <c r="AE27" s="450"/>
      <c r="AF27" s="450"/>
      <c r="AG27" s="450"/>
      <c r="AH27" s="450"/>
      <c r="AI27" s="450"/>
      <c r="AJ27" s="450"/>
      <c r="AK27" s="450"/>
      <c r="AL27" s="882"/>
    </row>
    <row r="28" spans="1:39" s="582" customFormat="1" ht="19.5" customHeight="1" x14ac:dyDescent="0.25">
      <c r="A28" s="495">
        <v>0</v>
      </c>
      <c r="B28" s="492" t="str">
        <f>+LEFT('Input data'!$C$36,1)</f>
        <v>2</v>
      </c>
      <c r="C28" s="492" t="str">
        <f>+MID('Input data'!$C$36,2,1)</f>
        <v/>
      </c>
      <c r="D28" s="492" t="str">
        <f>+MID('Input data'!$C$36,3,1)</f>
        <v/>
      </c>
      <c r="E28" s="492" t="s">
        <v>1176</v>
      </c>
      <c r="F28" s="492" t="str">
        <f>+LEFT('Input data'!$C$38,1)</f>
        <v>4</v>
      </c>
      <c r="G28" s="492" t="str">
        <f>+MID('Input data'!$C$38,2,1)</f>
        <v>9</v>
      </c>
      <c r="H28" s="492" t="str">
        <f>+MID('Input data'!$C$38,3,1)</f>
        <v>3</v>
      </c>
      <c r="I28" s="492" t="str">
        <f>+MID('Input data'!$C$38,4,1)</f>
        <v>0</v>
      </c>
      <c r="J28" s="492" t="str">
        <f>+MID('Input data'!$C$38,5,1)</f>
        <v>0</v>
      </c>
      <c r="K28" s="492" t="str">
        <f>+MID('Input data'!$C$38,6,1)</f>
        <v>5</v>
      </c>
      <c r="L28" s="492" t="str">
        <f>+MID('Input data'!$C$38,7,1)</f>
        <v>1</v>
      </c>
      <c r="M28" s="492" t="str">
        <f>+MID('Input data'!$C$38,8,1)</f>
        <v>3</v>
      </c>
      <c r="N28" s="494"/>
      <c r="O28" s="493">
        <v>0</v>
      </c>
      <c r="P28" s="492" t="str">
        <f>+LEFT('Input data'!$C$36,1)</f>
        <v>2</v>
      </c>
      <c r="Q28" s="492" t="str">
        <f>+MID('Input data'!$C$36,2,1)</f>
        <v/>
      </c>
      <c r="R28" s="492" t="str">
        <f>+MID('Input data'!$C$36,3,1)</f>
        <v/>
      </c>
      <c r="S28" s="492" t="s">
        <v>1176</v>
      </c>
      <c r="T28" s="492" t="str">
        <f>+LEFT('Input data'!$C$40,1)</f>
        <v>4</v>
      </c>
      <c r="U28" s="492" t="str">
        <f>+MID('Input data'!$C$40,2,1)</f>
        <v>9</v>
      </c>
      <c r="V28" s="492" t="str">
        <f>+MID('Input data'!$C$40,3,1)</f>
        <v>3</v>
      </c>
      <c r="W28" s="492" t="str">
        <f>+MID('Input data'!$C$40,4,1)</f>
        <v>0</v>
      </c>
      <c r="X28" s="492" t="str">
        <f>+MID('Input data'!$C$40,5,1)</f>
        <v>0</v>
      </c>
      <c r="Y28" s="492" t="str">
        <f>+MID('Input data'!$C$40,6,1)</f>
        <v>5</v>
      </c>
      <c r="Z28" s="492" t="str">
        <f>+MID('Input data'!$C$40,7,1)</f>
        <v>5</v>
      </c>
      <c r="AA28" s="492" t="str">
        <f>+MID('Input data'!$C$40,8,1)</f>
        <v>0</v>
      </c>
      <c r="AB28" s="492"/>
      <c r="AC28" s="492"/>
      <c r="AD28" s="492"/>
      <c r="AE28" s="450"/>
      <c r="AF28" s="450"/>
      <c r="AG28" s="450"/>
      <c r="AH28" s="450"/>
      <c r="AI28" s="450"/>
      <c r="AJ28" s="450"/>
      <c r="AK28" s="450"/>
      <c r="AL28" s="878"/>
    </row>
    <row r="29" spans="1:39" s="442" customFormat="1" x14ac:dyDescent="0.25">
      <c r="A29" s="454" t="s">
        <v>1664</v>
      </c>
      <c r="B29" s="453"/>
      <c r="C29" s="453"/>
      <c r="D29" s="453"/>
      <c r="E29" s="453"/>
      <c r="F29" s="453"/>
      <c r="G29" s="453"/>
      <c r="H29" s="453"/>
      <c r="I29" s="453"/>
      <c r="J29" s="453"/>
      <c r="K29" s="453"/>
      <c r="L29" s="453"/>
      <c r="M29" s="453"/>
      <c r="N29" s="453"/>
      <c r="O29" s="453"/>
      <c r="P29" s="453"/>
      <c r="Q29" s="453"/>
      <c r="R29" s="453"/>
      <c r="S29" s="453"/>
      <c r="T29" s="453"/>
      <c r="U29" s="453"/>
      <c r="V29" s="453"/>
      <c r="W29" s="450"/>
      <c r="X29" s="450"/>
      <c r="Y29" s="450"/>
      <c r="Z29" s="450"/>
      <c r="AA29" s="450"/>
      <c r="AB29" s="450"/>
      <c r="AC29" s="450"/>
      <c r="AD29" s="450"/>
      <c r="AE29" s="450"/>
      <c r="AF29" s="450"/>
      <c r="AG29" s="450"/>
      <c r="AH29" s="450"/>
      <c r="AI29" s="450"/>
      <c r="AJ29" s="450"/>
      <c r="AK29" s="450"/>
      <c r="AL29" s="537"/>
    </row>
    <row r="30" spans="1:39" s="582" customFormat="1" ht="19.5" customHeight="1" thickBot="1" x14ac:dyDescent="0.3">
      <c r="A30" s="491" t="str">
        <f>+LEFT('Input data'!$B$42,1)</f>
        <v/>
      </c>
      <c r="B30" s="490" t="str">
        <f>+MID('Input data'!$B$42,2,1)</f>
        <v/>
      </c>
      <c r="C30" s="490" t="str">
        <f>+MID('Input data'!$B$42,3,1)</f>
        <v/>
      </c>
      <c r="D30" s="490" t="str">
        <f>+MID('Input data'!$B$42,4,1)</f>
        <v/>
      </c>
      <c r="E30" s="490" t="str">
        <f>+MID('Input data'!$B$42,5,1)</f>
        <v/>
      </c>
      <c r="F30" s="490" t="str">
        <f>+MID('Input data'!$B$42,6,1)</f>
        <v/>
      </c>
      <c r="G30" s="490" t="str">
        <f>+MID('Input data'!$B$42,7,1)</f>
        <v/>
      </c>
      <c r="H30" s="490" t="str">
        <f>+MID('Input data'!$B$42,8,1)</f>
        <v/>
      </c>
      <c r="I30" s="490" t="str">
        <f>+MID('Input data'!$B$42,9,1)</f>
        <v/>
      </c>
      <c r="J30" s="490" t="str">
        <f>+MID('Input data'!$B$42,10,1)</f>
        <v/>
      </c>
      <c r="K30" s="490" t="str">
        <f>+MID('Input data'!$B$42,11,1)</f>
        <v/>
      </c>
      <c r="L30" s="490" t="str">
        <f>+MID('Input data'!$B$42,12,1)</f>
        <v/>
      </c>
      <c r="M30" s="490" t="str">
        <f>+MID('Input data'!$B$42,13,1)</f>
        <v/>
      </c>
      <c r="N30" s="490" t="str">
        <f>+MID('Input data'!$B$42,14,1)</f>
        <v/>
      </c>
      <c r="O30" s="490" t="str">
        <f>+MID('Input data'!$B$42,15,1)</f>
        <v/>
      </c>
      <c r="P30" s="490" t="str">
        <f>+MID('Input data'!$B$42,16,1)</f>
        <v/>
      </c>
      <c r="Q30" s="490" t="str">
        <f>+MID('Input data'!$B$42,17,1)</f>
        <v/>
      </c>
      <c r="R30" s="490" t="str">
        <f>+MID('Input data'!$B$42,18,1)</f>
        <v/>
      </c>
      <c r="S30" s="490" t="str">
        <f>+MID('Input data'!$B$42,19,1)</f>
        <v/>
      </c>
      <c r="T30" s="490" t="str">
        <f>+MID('Input data'!$B$42,20,1)</f>
        <v/>
      </c>
      <c r="U30" s="490" t="str">
        <f>+MID('Input data'!$B$42,21,1)</f>
        <v/>
      </c>
      <c r="V30" s="490" t="str">
        <f>+MID('Input data'!$B$42,22,1)</f>
        <v/>
      </c>
      <c r="W30" s="490" t="str">
        <f>+MID('Input data'!$B$42,23,1)</f>
        <v/>
      </c>
      <c r="X30" s="490" t="str">
        <f>+MID('Input data'!$B$42,24,1)</f>
        <v/>
      </c>
      <c r="Y30" s="490" t="str">
        <f>+MID('Input data'!$B$42,25,1)</f>
        <v/>
      </c>
      <c r="Z30" s="490" t="str">
        <f>+MID('Input data'!$B$42,26,1)</f>
        <v/>
      </c>
      <c r="AA30" s="490" t="str">
        <f>+MID('Input data'!$B$42,27,1)</f>
        <v/>
      </c>
      <c r="AB30" s="490" t="str">
        <f>+MID('Input data'!$B$42,28,1)</f>
        <v/>
      </c>
      <c r="AC30" s="490" t="str">
        <f>+MID('Input data'!$B$42,29,1)</f>
        <v/>
      </c>
      <c r="AD30" s="490" t="str">
        <f>+MID('Input data'!$B$42,30,1)</f>
        <v/>
      </c>
      <c r="AE30" s="490" t="str">
        <f>+MID('Input data'!$B$42,31,1)</f>
        <v/>
      </c>
      <c r="AF30" s="490" t="str">
        <f>+MID('Input data'!$B$42,32,1)</f>
        <v/>
      </c>
      <c r="AG30" s="490" t="str">
        <f>+MID('Input data'!$B$42,33,1)</f>
        <v/>
      </c>
      <c r="AH30" s="490" t="str">
        <f>+MID('Input data'!$B$42,34,1)</f>
        <v/>
      </c>
      <c r="AI30" s="490" t="str">
        <f>+MID('Input data'!$B$42,35,1)</f>
        <v/>
      </c>
      <c r="AJ30" s="490" t="str">
        <f>+MID('Input data'!$B$42,36,1)</f>
        <v/>
      </c>
      <c r="AK30" s="490" t="str">
        <f>+MID('Input data'!$B$42,37,1)</f>
        <v/>
      </c>
      <c r="AL30" s="883"/>
    </row>
    <row r="31" spans="1:39" s="442" customFormat="1" ht="4.5" customHeight="1" thickBot="1" x14ac:dyDescent="0.3">
      <c r="A31" s="453"/>
      <c r="B31" s="453"/>
      <c r="C31" s="453"/>
      <c r="D31" s="453"/>
      <c r="E31" s="453"/>
      <c r="F31" s="453"/>
      <c r="G31" s="453"/>
      <c r="H31" s="453"/>
      <c r="I31" s="453"/>
      <c r="J31" s="453"/>
      <c r="K31" s="453"/>
      <c r="L31" s="453"/>
      <c r="M31" s="453"/>
      <c r="N31" s="453"/>
      <c r="O31" s="453"/>
      <c r="P31" s="453"/>
      <c r="Q31" s="453"/>
      <c r="R31" s="453"/>
      <c r="S31" s="453"/>
      <c r="T31" s="453"/>
      <c r="U31" s="453"/>
      <c r="V31" s="453"/>
      <c r="W31" s="450"/>
      <c r="X31" s="450"/>
      <c r="Y31" s="450"/>
      <c r="Z31" s="450"/>
      <c r="AA31" s="450"/>
      <c r="AB31" s="450"/>
      <c r="AC31" s="450"/>
      <c r="AD31" s="450"/>
      <c r="AE31" s="450"/>
      <c r="AF31" s="450"/>
      <c r="AG31" s="450"/>
      <c r="AH31" s="450"/>
      <c r="AI31" s="450"/>
      <c r="AJ31" s="450"/>
      <c r="AK31" s="450"/>
      <c r="AL31" s="453"/>
      <c r="AM31" s="453"/>
    </row>
    <row r="32" spans="1:39" s="485" customFormat="1" ht="12.75" customHeight="1" x14ac:dyDescent="0.25">
      <c r="A32" s="488" t="s">
        <v>1665</v>
      </c>
      <c r="B32" s="487"/>
      <c r="C32" s="487"/>
      <c r="D32" s="487"/>
      <c r="E32" s="487"/>
      <c r="F32" s="487"/>
      <c r="G32" s="487"/>
      <c r="H32" s="487"/>
      <c r="I32" s="487"/>
      <c r="J32" s="487"/>
      <c r="K32" s="832"/>
      <c r="L32" s="832"/>
      <c r="M32" s="1465" t="s">
        <v>1666</v>
      </c>
      <c r="N32" s="1466"/>
      <c r="O32" s="1466"/>
      <c r="P32" s="1466"/>
      <c r="Q32" s="1466"/>
      <c r="R32" s="1466"/>
      <c r="S32" s="1466"/>
      <c r="T32" s="1466"/>
      <c r="U32" s="1471"/>
      <c r="V32" s="1465" t="s">
        <v>1667</v>
      </c>
      <c r="W32" s="1466"/>
      <c r="X32" s="1466"/>
      <c r="Y32" s="1466"/>
      <c r="Z32" s="1466"/>
      <c r="AA32" s="1466"/>
      <c r="AB32" s="1466"/>
      <c r="AC32" s="1471"/>
      <c r="AD32" s="1465" t="s">
        <v>1668</v>
      </c>
      <c r="AE32" s="1466"/>
      <c r="AF32" s="1466"/>
      <c r="AG32" s="1466"/>
      <c r="AH32" s="1466"/>
      <c r="AI32" s="1466"/>
      <c r="AJ32" s="1466"/>
      <c r="AK32" s="1466"/>
      <c r="AL32" s="1467"/>
    </row>
    <row r="33" spans="1:38" s="442" customFormat="1" ht="19.5" customHeight="1" x14ac:dyDescent="0.25">
      <c r="A33" s="471" t="str">
        <f>LEFT(TEXT('Input data'!F25,"dd.m.yyyy"),1)</f>
        <v>1</v>
      </c>
      <c r="B33" s="470" t="str">
        <f>MID(TEXT('Input data'!$F$25,"dd.mm.yyyy"),2,1)</f>
        <v>3</v>
      </c>
      <c r="C33" s="469" t="s">
        <v>1147</v>
      </c>
      <c r="D33" s="470" t="str">
        <f>MID(TEXT('Input data'!$F$25,"dd.mm.yyyy"),4,1)</f>
        <v>0</v>
      </c>
      <c r="E33" s="470" t="str">
        <f>MID(TEXT('Input data'!$F$25,"dd.mm.yyyy"),5,1)</f>
        <v>6</v>
      </c>
      <c r="F33" s="469" t="s">
        <v>1147</v>
      </c>
      <c r="G33" s="470" t="str">
        <f>MID(TEXT('Input data'!$F$25,"dd.mm.yyyy"),7,1)</f>
        <v>2</v>
      </c>
      <c r="H33" s="470" t="str">
        <f>MID(TEXT('Input data'!$F$25,"dd.mm.yyyy"),8,1)</f>
        <v>0</v>
      </c>
      <c r="I33" s="470" t="str">
        <f>MID(TEXT('Input data'!$F$25,"dd.mm.yyyy"),9,1)</f>
        <v>1</v>
      </c>
      <c r="J33" s="470" t="str">
        <f>MID(TEXT('Input data'!$F$25,"dd.mm.yyyy"),10,1)</f>
        <v>4</v>
      </c>
      <c r="K33" s="884"/>
      <c r="L33" s="477"/>
      <c r="M33" s="1468"/>
      <c r="N33" s="1469"/>
      <c r="O33" s="1469"/>
      <c r="P33" s="1469"/>
      <c r="Q33" s="1469"/>
      <c r="R33" s="1469"/>
      <c r="S33" s="1469"/>
      <c r="T33" s="1469"/>
      <c r="U33" s="1472"/>
      <c r="V33" s="1468"/>
      <c r="W33" s="1469"/>
      <c r="X33" s="1469"/>
      <c r="Y33" s="1469"/>
      <c r="Z33" s="1469"/>
      <c r="AA33" s="1469"/>
      <c r="AB33" s="1469"/>
      <c r="AC33" s="1472"/>
      <c r="AD33" s="1468"/>
      <c r="AE33" s="1469"/>
      <c r="AF33" s="1469"/>
      <c r="AG33" s="1469"/>
      <c r="AH33" s="1469"/>
      <c r="AI33" s="1469"/>
      <c r="AJ33" s="1469"/>
      <c r="AK33" s="1469"/>
      <c r="AL33" s="1470"/>
    </row>
    <row r="34" spans="1:38" s="442" customFormat="1" ht="12.75" customHeight="1" x14ac:dyDescent="0.25">
      <c r="A34" s="483"/>
      <c r="B34" s="482"/>
      <c r="C34" s="482"/>
      <c r="D34" s="482"/>
      <c r="E34" s="482"/>
      <c r="F34" s="482"/>
      <c r="G34" s="482"/>
      <c r="H34" s="482"/>
      <c r="I34" s="482"/>
      <c r="J34" s="482"/>
      <c r="K34" s="834"/>
      <c r="L34" s="834"/>
      <c r="M34" s="1468"/>
      <c r="N34" s="1469"/>
      <c r="O34" s="1469"/>
      <c r="P34" s="1469"/>
      <c r="Q34" s="1469"/>
      <c r="R34" s="1469"/>
      <c r="S34" s="1469"/>
      <c r="T34" s="1469"/>
      <c r="U34" s="1472"/>
      <c r="V34" s="1468"/>
      <c r="W34" s="1469"/>
      <c r="X34" s="1469"/>
      <c r="Y34" s="1469"/>
      <c r="Z34" s="1469"/>
      <c r="AA34" s="1469"/>
      <c r="AB34" s="1469"/>
      <c r="AC34" s="1472"/>
      <c r="AD34" s="1468"/>
      <c r="AE34" s="1469"/>
      <c r="AF34" s="1469"/>
      <c r="AG34" s="1469"/>
      <c r="AH34" s="1469"/>
      <c r="AI34" s="1469"/>
      <c r="AJ34" s="1469"/>
      <c r="AK34" s="1469"/>
      <c r="AL34" s="1470"/>
    </row>
    <row r="35" spans="1:38" s="442" customFormat="1" x14ac:dyDescent="0.2">
      <c r="A35" s="454" t="s">
        <v>1669</v>
      </c>
      <c r="B35" s="453"/>
      <c r="C35" s="453"/>
      <c r="D35" s="453"/>
      <c r="E35" s="453"/>
      <c r="F35" s="453"/>
      <c r="G35" s="453"/>
      <c r="H35" s="453"/>
      <c r="I35" s="453"/>
      <c r="J35" s="453"/>
      <c r="K35" s="477"/>
      <c r="L35" s="835"/>
      <c r="M35" s="477"/>
      <c r="N35" s="477"/>
      <c r="O35" s="477"/>
      <c r="P35" s="477"/>
      <c r="Q35" s="477"/>
      <c r="R35" s="477"/>
      <c r="S35" s="477"/>
      <c r="T35" s="453"/>
      <c r="U35" s="475"/>
      <c r="V35" s="476"/>
      <c r="W35" s="476"/>
      <c r="X35" s="476"/>
      <c r="Y35" s="476"/>
      <c r="Z35" s="476"/>
      <c r="AA35" s="450"/>
      <c r="AB35" s="476"/>
      <c r="AC35" s="475"/>
      <c r="AD35" s="474"/>
      <c r="AE35" s="473"/>
      <c r="AF35" s="473"/>
      <c r="AG35" s="473"/>
      <c r="AH35" s="473"/>
      <c r="AI35" s="473"/>
      <c r="AJ35" s="473"/>
      <c r="AK35" s="473"/>
      <c r="AL35" s="472"/>
    </row>
    <row r="36" spans="1:38" s="442" customFormat="1" ht="19.5" customHeight="1" x14ac:dyDescent="0.25">
      <c r="A36" s="471" t="str">
        <f>IF('Input data'!$F$27="","",LEFT(TEXT('Input data'!$F$27,"dd.mm.yyyy"),1))</f>
        <v/>
      </c>
      <c r="B36" s="470" t="str">
        <f>IF('Input data'!$F$27="","",MID(TEXT('Input data'!$F$27,"dd.mm.yyyy"),2,1))</f>
        <v/>
      </c>
      <c r="C36" s="469" t="s">
        <v>1147</v>
      </c>
      <c r="D36" s="470" t="str">
        <f>IF('Input data'!$F$27="","",MID(TEXT('Input data'!$F$27,"dd.mm.yyyy"),4,1))</f>
        <v/>
      </c>
      <c r="E36" s="470" t="str">
        <f>IF('Input data'!$F$27="","",MID(TEXT('Input data'!$F$27,"dd.mm.yyyy"),5,1))</f>
        <v/>
      </c>
      <c r="F36" s="469" t="s">
        <v>1147</v>
      </c>
      <c r="G36" s="468" t="str">
        <f>IF('Input data'!$F$27="","",MID(TEXT('Input data'!$F$27,"dd.mm.yyyy"),7,1))</f>
        <v/>
      </c>
      <c r="H36" s="468" t="str">
        <f>IF('Input data'!$F$27="","",MID(TEXT('Input data'!$F$27,"dd.mm.yyyy"),8,1))</f>
        <v/>
      </c>
      <c r="I36" s="468" t="str">
        <f>IF('Input data'!$F$27="","",MID(TEXT('Input data'!$F$27,"dd.mm.yyyy"),9,1))</f>
        <v/>
      </c>
      <c r="J36" s="468" t="str">
        <f>IF('Input data'!$F$27="","",MID(TEXT('Input data'!$F$27,"dd.mm.yyyy"),10,1))</f>
        <v/>
      </c>
      <c r="K36" s="836"/>
      <c r="L36" s="580"/>
      <c r="M36" s="453"/>
      <c r="N36" s="453"/>
      <c r="O36" s="453"/>
      <c r="P36" s="453"/>
      <c r="Q36" s="453"/>
      <c r="R36" s="453"/>
      <c r="S36" s="453"/>
      <c r="T36" s="453"/>
      <c r="U36" s="580"/>
      <c r="V36" s="453"/>
      <c r="W36" s="450"/>
      <c r="X36" s="450"/>
      <c r="Y36" s="450"/>
      <c r="Z36" s="450"/>
      <c r="AA36" s="450"/>
      <c r="AB36" s="450"/>
      <c r="AC36" s="579"/>
      <c r="AD36" s="450"/>
      <c r="AE36" s="450"/>
      <c r="AF36" s="450"/>
      <c r="AG36" s="450"/>
      <c r="AH36" s="450"/>
      <c r="AI36" s="450"/>
      <c r="AJ36" s="450"/>
      <c r="AK36" s="450"/>
      <c r="AL36" s="449"/>
    </row>
    <row r="37" spans="1:38" s="448" customFormat="1" thickBot="1" x14ac:dyDescent="0.3">
      <c r="A37" s="463"/>
      <c r="B37" s="462"/>
      <c r="C37" s="462"/>
      <c r="D37" s="462"/>
      <c r="E37" s="462"/>
      <c r="F37" s="462"/>
      <c r="G37" s="462"/>
      <c r="H37" s="462"/>
      <c r="I37" s="462"/>
      <c r="J37" s="462"/>
      <c r="K37" s="462"/>
      <c r="L37" s="461"/>
      <c r="M37" s="1025">
        <f>'Input data'!F31</f>
        <v>0</v>
      </c>
      <c r="N37" s="1026"/>
      <c r="O37" s="1026"/>
      <c r="P37" s="1026"/>
      <c r="Q37" s="1026"/>
      <c r="R37" s="1026"/>
      <c r="S37" s="1026"/>
      <c r="T37" s="1026"/>
      <c r="U37" s="1027"/>
      <c r="V37" s="1025">
        <f>'Input data'!F35</f>
        <v>0</v>
      </c>
      <c r="W37" s="1026"/>
      <c r="X37" s="1026"/>
      <c r="Y37" s="1026"/>
      <c r="Z37" s="1026"/>
      <c r="AA37" s="1026"/>
      <c r="AB37" s="1026"/>
      <c r="AC37" s="1027"/>
      <c r="AD37" s="1028">
        <f>'Input data'!F39</f>
        <v>0</v>
      </c>
      <c r="AE37" s="1026"/>
      <c r="AF37" s="1026"/>
      <c r="AG37" s="1026"/>
      <c r="AH37" s="1026"/>
      <c r="AI37" s="1026"/>
      <c r="AJ37" s="1026"/>
      <c r="AK37" s="1026"/>
      <c r="AL37" s="1029"/>
    </row>
    <row r="38" spans="1:38" s="448" customFormat="1" x14ac:dyDescent="0.2">
      <c r="A38" s="451"/>
      <c r="B38" s="451"/>
      <c r="C38" s="451"/>
      <c r="D38" s="451"/>
      <c r="E38" s="451"/>
      <c r="F38" s="451"/>
      <c r="G38" s="451"/>
      <c r="H38" s="451"/>
      <c r="I38" s="451"/>
      <c r="J38" s="451"/>
      <c r="K38" s="451"/>
      <c r="L38" s="451"/>
      <c r="M38" s="885"/>
      <c r="N38" s="885"/>
      <c r="O38" s="885"/>
      <c r="P38" s="885"/>
      <c r="Q38" s="885"/>
      <c r="R38" s="885"/>
      <c r="S38" s="885"/>
      <c r="T38" s="885"/>
      <c r="U38" s="885"/>
      <c r="V38" s="451"/>
      <c r="W38" s="450"/>
      <c r="X38" s="450"/>
      <c r="Y38" s="450"/>
      <c r="Z38" s="450"/>
      <c r="AA38" s="450"/>
      <c r="AB38" s="450"/>
      <c r="AC38" s="450"/>
      <c r="AD38" s="451"/>
      <c r="AE38" s="451"/>
      <c r="AF38" s="451"/>
      <c r="AG38" s="451"/>
      <c r="AH38" s="451"/>
      <c r="AI38" s="451"/>
      <c r="AJ38" s="451"/>
      <c r="AK38" s="451"/>
      <c r="AL38" s="451"/>
    </row>
    <row r="39" spans="1:38" s="448" customFormat="1" x14ac:dyDescent="0.2">
      <c r="A39" s="451"/>
      <c r="B39" s="451"/>
      <c r="C39" s="451"/>
      <c r="D39" s="451"/>
      <c r="E39" s="451"/>
      <c r="F39" s="451"/>
      <c r="G39" s="451"/>
      <c r="H39" s="451"/>
      <c r="I39" s="451"/>
      <c r="J39" s="451"/>
      <c r="K39" s="451"/>
      <c r="L39" s="451"/>
      <c r="M39" s="885"/>
      <c r="N39" s="885"/>
      <c r="O39" s="885"/>
      <c r="P39" s="885"/>
      <c r="Q39" s="885"/>
      <c r="R39" s="885"/>
      <c r="S39" s="885"/>
      <c r="T39" s="885"/>
      <c r="U39" s="885"/>
      <c r="V39" s="451"/>
      <c r="W39" s="450"/>
      <c r="X39" s="450"/>
      <c r="Y39" s="450"/>
      <c r="Z39" s="450"/>
      <c r="AA39" s="450"/>
      <c r="AB39" s="450"/>
      <c r="AC39" s="450"/>
      <c r="AD39" s="451"/>
      <c r="AE39" s="451"/>
      <c r="AF39" s="451"/>
      <c r="AG39" s="451"/>
      <c r="AH39" s="451"/>
      <c r="AI39" s="451"/>
      <c r="AJ39" s="451"/>
      <c r="AK39" s="451"/>
      <c r="AL39" s="451"/>
    </row>
    <row r="40" spans="1:38" s="448" customFormat="1" x14ac:dyDescent="0.25">
      <c r="W40" s="443"/>
      <c r="X40" s="443"/>
      <c r="Y40" s="443"/>
      <c r="Z40" s="443"/>
      <c r="AA40" s="443"/>
      <c r="AB40" s="443"/>
      <c r="AC40" s="443"/>
      <c r="AD40" s="443"/>
      <c r="AE40" s="443"/>
      <c r="AF40" s="443"/>
      <c r="AG40" s="443"/>
      <c r="AH40" s="443"/>
      <c r="AI40" s="443"/>
      <c r="AJ40" s="443"/>
      <c r="AK40" s="443"/>
    </row>
    <row r="41" spans="1:38" ht="13.5" thickBot="1" x14ac:dyDescent="0.3">
      <c r="W41" s="443"/>
      <c r="X41" s="443"/>
      <c r="Y41" s="443"/>
      <c r="Z41" s="443"/>
      <c r="AA41" s="443"/>
      <c r="AB41" s="443"/>
      <c r="AC41" s="443"/>
      <c r="AD41" s="443"/>
      <c r="AE41" s="443"/>
      <c r="AF41" s="443"/>
      <c r="AG41" s="443"/>
      <c r="AH41" s="443"/>
      <c r="AI41" s="443"/>
      <c r="AJ41" s="443"/>
      <c r="AK41" s="443"/>
    </row>
    <row r="42" spans="1:38" s="448" customFormat="1" x14ac:dyDescent="0.25">
      <c r="B42" s="460" t="s">
        <v>1670</v>
      </c>
      <c r="C42" s="459"/>
      <c r="D42" s="459"/>
      <c r="E42" s="459"/>
      <c r="F42" s="459"/>
      <c r="G42" s="459"/>
      <c r="H42" s="459"/>
      <c r="I42" s="459"/>
      <c r="J42" s="459"/>
      <c r="K42" s="459"/>
      <c r="L42" s="459"/>
      <c r="M42" s="459"/>
      <c r="N42" s="459"/>
      <c r="O42" s="459"/>
      <c r="P42" s="459"/>
      <c r="Q42" s="459"/>
      <c r="R42" s="459"/>
      <c r="S42" s="459"/>
      <c r="T42" s="459"/>
      <c r="U42" s="459"/>
      <c r="V42" s="459"/>
      <c r="W42" s="458"/>
      <c r="X42" s="458"/>
      <c r="Y42" s="458"/>
      <c r="Z42" s="458"/>
      <c r="AA42" s="458"/>
      <c r="AB42" s="458"/>
      <c r="AC42" s="458"/>
      <c r="AD42" s="458"/>
      <c r="AE42" s="458"/>
      <c r="AF42" s="458"/>
      <c r="AG42" s="458"/>
      <c r="AH42" s="458"/>
      <c r="AI42" s="458"/>
      <c r="AJ42" s="457"/>
      <c r="AK42" s="443"/>
    </row>
    <row r="43" spans="1:38" s="448" customFormat="1" x14ac:dyDescent="0.25">
      <c r="B43" s="452"/>
      <c r="C43" s="451"/>
      <c r="D43" s="451"/>
      <c r="E43" s="451"/>
      <c r="F43" s="451"/>
      <c r="G43" s="451"/>
      <c r="H43" s="451"/>
      <c r="I43" s="451"/>
      <c r="J43" s="451"/>
      <c r="K43" s="451"/>
      <c r="L43" s="451"/>
      <c r="M43" s="451"/>
      <c r="N43" s="451"/>
      <c r="O43" s="451"/>
      <c r="P43" s="451"/>
      <c r="Q43" s="451"/>
      <c r="R43" s="451"/>
      <c r="S43" s="451"/>
      <c r="T43" s="451"/>
      <c r="U43" s="451"/>
      <c r="V43" s="451"/>
      <c r="W43" s="450"/>
      <c r="X43" s="450"/>
      <c r="Y43" s="450"/>
      <c r="Z43" s="450"/>
      <c r="AA43" s="450"/>
      <c r="AB43" s="450"/>
      <c r="AC43" s="450"/>
      <c r="AD43" s="450"/>
      <c r="AE43" s="450"/>
      <c r="AF43" s="450"/>
      <c r="AG43" s="450"/>
      <c r="AH43" s="450"/>
      <c r="AI43" s="450"/>
      <c r="AJ43" s="449"/>
      <c r="AK43" s="443"/>
    </row>
    <row r="44" spans="1:38" x14ac:dyDescent="0.25">
      <c r="B44" s="456"/>
      <c r="C44" s="823"/>
      <c r="D44" s="823"/>
      <c r="E44" s="823"/>
      <c r="F44" s="823"/>
      <c r="G44" s="823"/>
      <c r="H44" s="823"/>
      <c r="I44" s="823"/>
      <c r="J44" s="823"/>
      <c r="K44" s="823"/>
      <c r="L44" s="823"/>
      <c r="M44" s="823"/>
      <c r="N44" s="823"/>
      <c r="O44" s="823"/>
      <c r="P44" s="823"/>
      <c r="Q44" s="823"/>
      <c r="R44" s="823"/>
      <c r="S44" s="823"/>
      <c r="T44" s="823"/>
      <c r="U44" s="823"/>
      <c r="V44" s="823"/>
      <c r="W44" s="450"/>
      <c r="X44" s="450"/>
      <c r="Y44" s="450"/>
      <c r="Z44" s="450"/>
      <c r="AA44" s="450"/>
      <c r="AB44" s="450"/>
      <c r="AC44" s="450"/>
      <c r="AD44" s="450"/>
      <c r="AE44" s="450"/>
      <c r="AF44" s="450"/>
      <c r="AG44" s="450"/>
      <c r="AH44" s="450"/>
      <c r="AI44" s="450"/>
      <c r="AJ44" s="449"/>
      <c r="AK44" s="443"/>
    </row>
    <row r="45" spans="1:38" s="448" customFormat="1" x14ac:dyDescent="0.25">
      <c r="B45" s="452"/>
      <c r="C45" s="451"/>
      <c r="D45" s="451"/>
      <c r="E45" s="451"/>
      <c r="F45" s="451"/>
      <c r="G45" s="451"/>
      <c r="H45" s="451"/>
      <c r="I45" s="451"/>
      <c r="J45" s="451"/>
      <c r="K45" s="451"/>
      <c r="L45" s="451"/>
      <c r="M45" s="451"/>
      <c r="N45" s="451"/>
      <c r="O45" s="451"/>
      <c r="P45" s="451"/>
      <c r="Q45" s="451"/>
      <c r="R45" s="451"/>
      <c r="S45" s="451"/>
      <c r="T45" s="451"/>
      <c r="U45" s="451"/>
      <c r="V45" s="451"/>
      <c r="W45" s="450"/>
      <c r="X45" s="450"/>
      <c r="Y45" s="450"/>
      <c r="Z45" s="450"/>
      <c r="AA45" s="450"/>
      <c r="AB45" s="450"/>
      <c r="AC45" s="450"/>
      <c r="AD45" s="450"/>
      <c r="AE45" s="450"/>
      <c r="AF45" s="450"/>
      <c r="AG45" s="450"/>
      <c r="AH45" s="450"/>
      <c r="AI45" s="450"/>
      <c r="AJ45" s="449"/>
      <c r="AK45" s="443"/>
    </row>
    <row r="46" spans="1:38" s="442" customFormat="1" x14ac:dyDescent="0.25">
      <c r="B46" s="454"/>
      <c r="C46" s="453"/>
      <c r="D46" s="453"/>
      <c r="E46" s="453"/>
      <c r="F46" s="453"/>
      <c r="G46" s="453"/>
      <c r="H46" s="453"/>
      <c r="I46" s="453"/>
      <c r="J46" s="453"/>
      <c r="K46" s="453"/>
      <c r="L46" s="453"/>
      <c r="M46" s="453"/>
      <c r="N46" s="453"/>
      <c r="O46" s="453"/>
      <c r="P46" s="453"/>
      <c r="Q46" s="453"/>
      <c r="R46" s="453"/>
      <c r="S46" s="453"/>
      <c r="T46" s="453"/>
      <c r="U46" s="453"/>
      <c r="V46" s="453"/>
      <c r="W46" s="450"/>
      <c r="X46" s="450"/>
      <c r="Y46" s="450"/>
      <c r="Z46" s="450"/>
      <c r="AA46" s="450"/>
      <c r="AB46" s="450"/>
      <c r="AC46" s="450"/>
      <c r="AD46" s="450"/>
      <c r="AE46" s="450"/>
      <c r="AF46" s="450"/>
      <c r="AG46" s="450"/>
      <c r="AH46" s="450"/>
      <c r="AI46" s="450"/>
      <c r="AJ46" s="449"/>
      <c r="AK46" s="443"/>
    </row>
    <row r="47" spans="1:38" s="442" customFormat="1" x14ac:dyDescent="0.25">
      <c r="B47" s="454"/>
      <c r="C47" s="453"/>
      <c r="D47" s="453"/>
      <c r="E47" s="453"/>
      <c r="F47" s="453"/>
      <c r="G47" s="453"/>
      <c r="H47" s="453"/>
      <c r="I47" s="453"/>
      <c r="J47" s="453"/>
      <c r="K47" s="453"/>
      <c r="L47" s="453"/>
      <c r="M47" s="453"/>
      <c r="N47" s="453"/>
      <c r="O47" s="453"/>
      <c r="P47" s="453"/>
      <c r="Q47" s="453"/>
      <c r="R47" s="453"/>
      <c r="S47" s="453"/>
      <c r="T47" s="453"/>
      <c r="U47" s="453"/>
      <c r="V47" s="453"/>
      <c r="W47" s="450"/>
      <c r="X47" s="450"/>
      <c r="Y47" s="450"/>
      <c r="Z47" s="450"/>
      <c r="AA47" s="450"/>
      <c r="AB47" s="450"/>
      <c r="AC47" s="450"/>
      <c r="AD47" s="450"/>
      <c r="AE47" s="450"/>
      <c r="AF47" s="450"/>
      <c r="AG47" s="450"/>
      <c r="AH47" s="450"/>
      <c r="AI47" s="450"/>
      <c r="AJ47" s="449"/>
      <c r="AK47" s="443"/>
    </row>
    <row r="48" spans="1:38" s="448" customFormat="1" x14ac:dyDescent="0.25">
      <c r="B48" s="452"/>
      <c r="C48" s="451"/>
      <c r="D48" s="451"/>
      <c r="E48" s="451"/>
      <c r="F48" s="451"/>
      <c r="G48" s="451"/>
      <c r="H48" s="451"/>
      <c r="I48" s="451"/>
      <c r="J48" s="451"/>
      <c r="K48" s="451"/>
      <c r="L48" s="451"/>
      <c r="M48" s="451"/>
      <c r="N48" s="451"/>
      <c r="O48" s="451"/>
      <c r="P48" s="451"/>
      <c r="Q48" s="451"/>
      <c r="R48" s="451"/>
      <c r="S48" s="451"/>
      <c r="T48" s="451"/>
      <c r="U48" s="451"/>
      <c r="V48" s="451"/>
      <c r="W48" s="450"/>
      <c r="X48" s="450"/>
      <c r="Y48" s="450"/>
      <c r="Z48" s="450"/>
      <c r="AA48" s="450"/>
      <c r="AB48" s="450"/>
      <c r="AC48" s="450"/>
      <c r="AD48" s="450"/>
      <c r="AE48" s="450"/>
      <c r="AF48" s="450"/>
      <c r="AG48" s="450"/>
      <c r="AH48" s="450"/>
      <c r="AI48" s="450"/>
      <c r="AJ48" s="449"/>
      <c r="AK48" s="443"/>
    </row>
    <row r="49" spans="2:37" s="448" customFormat="1" x14ac:dyDescent="0.25">
      <c r="B49" s="452"/>
      <c r="C49" s="451"/>
      <c r="D49" s="451"/>
      <c r="E49" s="451"/>
      <c r="F49" s="451"/>
      <c r="G49" s="451"/>
      <c r="H49" s="451"/>
      <c r="I49" s="451"/>
      <c r="J49" s="451"/>
      <c r="K49" s="451"/>
      <c r="L49" s="451"/>
      <c r="M49" s="451"/>
      <c r="N49" s="451"/>
      <c r="O49" s="451"/>
      <c r="P49" s="451"/>
      <c r="Q49" s="451"/>
      <c r="R49" s="451"/>
      <c r="S49" s="451"/>
      <c r="T49" s="451"/>
      <c r="U49" s="451"/>
      <c r="V49" s="451"/>
      <c r="W49" s="450"/>
      <c r="X49" s="450"/>
      <c r="Y49" s="450"/>
      <c r="Z49" s="450"/>
      <c r="AA49" s="450"/>
      <c r="AB49" s="450"/>
      <c r="AC49" s="450"/>
      <c r="AD49" s="450"/>
      <c r="AE49" s="450"/>
      <c r="AF49" s="450"/>
      <c r="AG49" s="450"/>
      <c r="AH49" s="450"/>
      <c r="AI49" s="450"/>
      <c r="AJ49" s="449"/>
      <c r="AK49" s="443"/>
    </row>
    <row r="50" spans="2:37" s="448" customFormat="1" x14ac:dyDescent="0.25">
      <c r="B50" s="452"/>
      <c r="C50" s="451"/>
      <c r="D50" s="451"/>
      <c r="E50" s="451"/>
      <c r="F50" s="451"/>
      <c r="G50" s="451"/>
      <c r="H50" s="451"/>
      <c r="I50" s="451"/>
      <c r="J50" s="451"/>
      <c r="K50" s="451"/>
      <c r="L50" s="451"/>
      <c r="M50" s="451"/>
      <c r="N50" s="451"/>
      <c r="O50" s="451"/>
      <c r="P50" s="451"/>
      <c r="Q50" s="451"/>
      <c r="R50" s="451"/>
      <c r="S50" s="451"/>
      <c r="T50" s="451"/>
      <c r="U50" s="451"/>
      <c r="V50" s="451"/>
      <c r="W50" s="450"/>
      <c r="X50" s="450"/>
      <c r="Y50" s="450"/>
      <c r="Z50" s="450"/>
      <c r="AA50" s="450"/>
      <c r="AB50" s="450"/>
      <c r="AC50" s="450"/>
      <c r="AD50" s="450"/>
      <c r="AE50" s="450"/>
      <c r="AF50" s="450"/>
      <c r="AG50" s="450"/>
      <c r="AH50" s="450"/>
      <c r="AI50" s="450"/>
      <c r="AJ50" s="449"/>
      <c r="AK50" s="443"/>
    </row>
    <row r="51" spans="2:37" s="448" customFormat="1" x14ac:dyDescent="0.25">
      <c r="B51" s="452"/>
      <c r="C51" s="451"/>
      <c r="D51" s="451"/>
      <c r="E51" s="451"/>
      <c r="F51" s="451"/>
      <c r="G51" s="451"/>
      <c r="H51" s="451"/>
      <c r="I51" s="451"/>
      <c r="J51" s="451"/>
      <c r="K51" s="451"/>
      <c r="L51" s="451"/>
      <c r="M51" s="451"/>
      <c r="N51" s="451"/>
      <c r="O51" s="451"/>
      <c r="P51" s="451"/>
      <c r="Q51" s="451"/>
      <c r="R51" s="451"/>
      <c r="S51" s="451"/>
      <c r="T51" s="451"/>
      <c r="U51" s="451"/>
      <c r="V51" s="451"/>
      <c r="W51" s="450"/>
      <c r="X51" s="450"/>
      <c r="Y51" s="450"/>
      <c r="Z51" s="450"/>
      <c r="AA51" s="450"/>
      <c r="AB51" s="450"/>
      <c r="AC51" s="450"/>
      <c r="AD51" s="450"/>
      <c r="AE51" s="450"/>
      <c r="AF51" s="450"/>
      <c r="AG51" s="450"/>
      <c r="AH51" s="450"/>
      <c r="AI51" s="450"/>
      <c r="AJ51" s="449"/>
      <c r="AK51" s="443"/>
    </row>
    <row r="52" spans="2:37" s="442" customFormat="1" ht="13.5" thickBot="1" x14ac:dyDescent="0.3">
      <c r="B52" s="447"/>
      <c r="C52" s="446"/>
      <c r="D52" s="446"/>
      <c r="E52" s="446"/>
      <c r="F52" s="446"/>
      <c r="G52" s="446" t="s">
        <v>1671</v>
      </c>
      <c r="H52" s="446"/>
      <c r="I52" s="446"/>
      <c r="J52" s="446"/>
      <c r="K52" s="446"/>
      <c r="L52" s="446"/>
      <c r="M52" s="446"/>
      <c r="N52" s="446"/>
      <c r="O52" s="446"/>
      <c r="P52" s="446"/>
      <c r="Q52" s="446"/>
      <c r="R52" s="446"/>
      <c r="S52" s="446"/>
      <c r="T52" s="446"/>
      <c r="U52" s="446" t="s">
        <v>1672</v>
      </c>
      <c r="V52" s="446"/>
      <c r="W52" s="445"/>
      <c r="X52" s="445"/>
      <c r="Y52" s="445"/>
      <c r="Z52" s="445"/>
      <c r="AA52" s="445"/>
      <c r="AB52" s="445"/>
      <c r="AC52" s="445"/>
      <c r="AD52" s="445"/>
      <c r="AE52" s="445"/>
      <c r="AF52" s="445"/>
      <c r="AG52" s="445"/>
      <c r="AH52" s="445"/>
      <c r="AI52" s="445"/>
      <c r="AJ52" s="444"/>
      <c r="AK52" s="443"/>
    </row>
  </sheetData>
  <mergeCells count="7">
    <mergeCell ref="V4:AA4"/>
    <mergeCell ref="M32:U34"/>
    <mergeCell ref="V32:AC34"/>
    <mergeCell ref="AD32:AL34"/>
    <mergeCell ref="M37:U37"/>
    <mergeCell ref="V37:AC37"/>
    <mergeCell ref="AD37:AL37"/>
  </mergeCells>
  <pageMargins left="0.39370078740157483" right="0.39370078740157483" top="0.35433070866141736" bottom="0.35433070866141736" header="0.23622047244094491" footer="0.23622047244094491"/>
  <pageSetup scale="98" orientation="portrait" r:id="rId1"/>
  <headerFooter alignWithMargins="0">
    <oddFooter>&amp;LMF SR č. 25947/1/2010&amp;RSeite 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92D050"/>
    <pageSetUpPr fitToPage="1"/>
  </sheetPr>
  <dimension ref="A2:J201"/>
  <sheetViews>
    <sheetView showGridLines="0" zoomScale="60" zoomScaleNormal="60" zoomScaleSheetLayoutView="55" workbookViewId="0"/>
  </sheetViews>
  <sheetFormatPr defaultColWidth="10.28515625" defaultRowHeight="18" x14ac:dyDescent="0.25"/>
  <cols>
    <col min="1" max="1" width="10.42578125" style="301" customWidth="1"/>
    <col min="2" max="2" width="140.42578125" style="303" customWidth="1"/>
    <col min="3" max="3" width="4.28515625" style="303" customWidth="1"/>
    <col min="4" max="4" width="19.42578125" style="304" customWidth="1"/>
    <col min="5" max="5" width="19.7109375" style="304" customWidth="1"/>
    <col min="6" max="6" width="3" style="301" customWidth="1"/>
    <col min="7" max="7" width="57.140625" style="301" hidden="1" customWidth="1"/>
    <col min="8" max="8" width="11.5703125" style="305" bestFit="1" customWidth="1"/>
    <col min="9" max="9" width="11.5703125" style="307" bestFit="1" customWidth="1"/>
    <col min="10" max="16384" width="10.28515625" style="307"/>
  </cols>
  <sheetData>
    <row r="2" spans="1:9" ht="33.75" x14ac:dyDescent="0.5">
      <c r="B2" s="302" t="s">
        <v>981</v>
      </c>
      <c r="I2" s="306"/>
    </row>
    <row r="3" spans="1:9" ht="24" customHeight="1" x14ac:dyDescent="0.4">
      <c r="B3" s="308" t="s">
        <v>1929</v>
      </c>
      <c r="C3" s="308"/>
      <c r="D3" s="309"/>
      <c r="F3" s="310"/>
      <c r="G3" s="311"/>
    </row>
    <row r="4" spans="1:9" ht="24" customHeight="1" x14ac:dyDescent="0.4">
      <c r="B4" s="312" t="s">
        <v>982</v>
      </c>
      <c r="C4" s="308"/>
      <c r="D4" s="309"/>
      <c r="F4" s="310"/>
      <c r="G4" s="311"/>
      <c r="H4" s="306"/>
      <c r="I4" s="306"/>
    </row>
    <row r="5" spans="1:9" ht="24" customHeight="1" x14ac:dyDescent="0.4">
      <c r="B5" s="312"/>
      <c r="C5" s="308"/>
      <c r="D5" s="309"/>
      <c r="F5" s="310"/>
      <c r="G5" s="311"/>
      <c r="H5" s="306"/>
      <c r="I5" s="306"/>
    </row>
    <row r="6" spans="1:9" ht="24" customHeight="1" x14ac:dyDescent="0.4">
      <c r="B6" s="313"/>
      <c r="C6" s="308"/>
      <c r="D6" s="309"/>
      <c r="F6" s="310"/>
      <c r="G6" s="311"/>
      <c r="H6" s="306"/>
      <c r="I6" s="306"/>
    </row>
    <row r="7" spans="1:9" ht="20.100000000000001" customHeight="1" thickBot="1" x14ac:dyDescent="0.35">
      <c r="A7" s="314"/>
      <c r="B7" s="315"/>
      <c r="F7" s="316"/>
      <c r="G7" s="315"/>
    </row>
    <row r="8" spans="1:9" s="322" customFormat="1" ht="40.5" customHeight="1" x14ac:dyDescent="0.25">
      <c r="A8" s="317" t="s">
        <v>983</v>
      </c>
      <c r="B8" s="318" t="s">
        <v>984</v>
      </c>
      <c r="C8" s="319"/>
      <c r="D8" s="1421" t="s">
        <v>985</v>
      </c>
      <c r="E8" s="1422"/>
      <c r="F8" s="320"/>
      <c r="G8" s="321"/>
      <c r="H8" s="305"/>
    </row>
    <row r="9" spans="1:9" s="322" customFormat="1" x14ac:dyDescent="0.25">
      <c r="A9" s="323"/>
      <c r="B9" s="324"/>
      <c r="C9" s="324"/>
      <c r="D9" s="1423" t="s">
        <v>986</v>
      </c>
      <c r="E9" s="1424" t="s">
        <v>987</v>
      </c>
      <c r="F9" s="320"/>
      <c r="G9" s="321"/>
      <c r="H9" s="305"/>
    </row>
    <row r="10" spans="1:9" s="322" customFormat="1" x14ac:dyDescent="0.25">
      <c r="A10" s="323" t="s">
        <v>518</v>
      </c>
      <c r="B10" s="324" t="s">
        <v>519</v>
      </c>
      <c r="C10" s="324" t="s">
        <v>520</v>
      </c>
      <c r="D10" s="1423"/>
      <c r="E10" s="1424"/>
      <c r="F10" s="320"/>
      <c r="G10" s="321"/>
      <c r="H10" s="305"/>
    </row>
    <row r="11" spans="1:9" s="322" customFormat="1" ht="23.25" customHeight="1" thickBot="1" x14ac:dyDescent="0.3">
      <c r="A11" s="325"/>
      <c r="B11" s="326"/>
      <c r="C11" s="326"/>
      <c r="D11" s="327"/>
      <c r="E11" s="328"/>
      <c r="F11" s="320"/>
      <c r="G11" s="329"/>
      <c r="H11" s="305"/>
    </row>
    <row r="12" spans="1:9" s="322" customFormat="1" ht="20.25" customHeight="1" x14ac:dyDescent="0.25">
      <c r="A12" s="330"/>
      <c r="B12" s="331"/>
      <c r="C12" s="332"/>
      <c r="D12" s="333"/>
      <c r="E12" s="334"/>
      <c r="F12" s="335"/>
      <c r="G12" s="336"/>
      <c r="H12" s="305"/>
    </row>
    <row r="13" spans="1:9" s="322" customFormat="1" ht="27.95" customHeight="1" x14ac:dyDescent="0.25">
      <c r="A13" s="337" t="s">
        <v>988</v>
      </c>
      <c r="B13" s="338" t="s">
        <v>989</v>
      </c>
      <c r="C13" s="339"/>
      <c r="D13" s="340">
        <f>'P&amp;L'!D55</f>
        <v>218531</v>
      </c>
      <c r="E13" s="340">
        <f>'P&amp;L'!E55</f>
        <v>23125</v>
      </c>
      <c r="F13" s="335"/>
      <c r="G13" s="336"/>
      <c r="H13" s="305"/>
    </row>
    <row r="14" spans="1:9" s="322" customFormat="1" ht="21.95" customHeight="1" x14ac:dyDescent="0.25">
      <c r="A14" s="341"/>
      <c r="B14" s="342"/>
      <c r="C14" s="343"/>
      <c r="D14" s="344"/>
      <c r="E14" s="345"/>
      <c r="F14" s="335"/>
      <c r="G14" s="336"/>
      <c r="H14" s="305"/>
    </row>
    <row r="15" spans="1:9" s="322" customFormat="1" ht="21.95" customHeight="1" x14ac:dyDescent="0.25">
      <c r="A15" s="346" t="s">
        <v>990</v>
      </c>
      <c r="B15" s="347" t="s">
        <v>991</v>
      </c>
      <c r="C15" s="348"/>
      <c r="D15" s="778">
        <f>SUM(D16:D28)</f>
        <v>9331</v>
      </c>
      <c r="E15" s="779">
        <v>-72607</v>
      </c>
      <c r="F15" s="351"/>
      <c r="G15" s="352"/>
      <c r="H15" s="305"/>
    </row>
    <row r="16" spans="1:9" s="322" customFormat="1" ht="21.95" customHeight="1" x14ac:dyDescent="0.25">
      <c r="A16" s="346" t="s">
        <v>992</v>
      </c>
      <c r="B16" s="347" t="s">
        <v>993</v>
      </c>
      <c r="C16" s="348"/>
      <c r="D16" s="353">
        <v>7770</v>
      </c>
      <c r="E16" s="354">
        <v>7770</v>
      </c>
      <c r="F16" s="351"/>
      <c r="G16" s="352"/>
      <c r="H16" s="356"/>
    </row>
    <row r="17" spans="1:10" s="322" customFormat="1" ht="21.95" customHeight="1" x14ac:dyDescent="0.25">
      <c r="A17" s="346" t="s">
        <v>994</v>
      </c>
      <c r="B17" s="347" t="s">
        <v>995</v>
      </c>
      <c r="C17" s="348"/>
      <c r="D17" s="353"/>
      <c r="E17" s="354"/>
      <c r="F17" s="351"/>
      <c r="G17" s="352"/>
      <c r="H17" s="305"/>
    </row>
    <row r="18" spans="1:10" s="322" customFormat="1" ht="21.95" customHeight="1" x14ac:dyDescent="0.25">
      <c r="A18" s="346" t="s">
        <v>996</v>
      </c>
      <c r="B18" s="347" t="s">
        <v>997</v>
      </c>
      <c r="C18" s="348"/>
      <c r="D18" s="353"/>
      <c r="E18" s="354"/>
      <c r="F18" s="351"/>
      <c r="G18" s="352"/>
      <c r="H18" s="305"/>
      <c r="I18" s="355"/>
    </row>
    <row r="19" spans="1:10" s="322" customFormat="1" ht="21.95" customHeight="1" x14ac:dyDescent="0.25">
      <c r="A19" s="346" t="s">
        <v>998</v>
      </c>
      <c r="B19" s="347" t="s">
        <v>2007</v>
      </c>
      <c r="C19" s="348"/>
      <c r="D19" s="353">
        <v>31237</v>
      </c>
      <c r="E19" s="354">
        <v>-126943</v>
      </c>
      <c r="F19" s="351"/>
      <c r="G19" s="352"/>
      <c r="H19" s="305"/>
      <c r="I19" s="355"/>
    </row>
    <row r="20" spans="1:10" s="322" customFormat="1" ht="21.95" customHeight="1" x14ac:dyDescent="0.25">
      <c r="A20" s="346" t="s">
        <v>999</v>
      </c>
      <c r="B20" s="347" t="s">
        <v>1000</v>
      </c>
      <c r="C20" s="348"/>
      <c r="D20" s="353">
        <v>-47976</v>
      </c>
      <c r="E20" s="354">
        <v>44673</v>
      </c>
      <c r="F20" s="351"/>
      <c r="G20" s="352"/>
      <c r="H20" s="305"/>
      <c r="I20" s="355"/>
    </row>
    <row r="21" spans="1:10" s="322" customFormat="1" ht="21.95" customHeight="1" x14ac:dyDescent="0.25">
      <c r="A21" s="346" t="s">
        <v>1001</v>
      </c>
      <c r="B21" s="347" t="s">
        <v>1002</v>
      </c>
      <c r="C21" s="348"/>
      <c r="D21" s="353">
        <v>17415</v>
      </c>
      <c r="E21" s="354">
        <v>735</v>
      </c>
      <c r="F21" s="351"/>
      <c r="G21" s="352"/>
      <c r="H21" s="305"/>
      <c r="I21" s="355"/>
      <c r="J21" s="322" t="s">
        <v>1177</v>
      </c>
    </row>
    <row r="22" spans="1:10" s="322" customFormat="1" ht="21.95" customHeight="1" x14ac:dyDescent="0.25">
      <c r="A22" s="346" t="s">
        <v>1003</v>
      </c>
      <c r="B22" s="347" t="s">
        <v>1004</v>
      </c>
      <c r="C22" s="348"/>
      <c r="D22" s="353"/>
      <c r="E22" s="354"/>
      <c r="F22" s="351"/>
      <c r="G22" s="352"/>
      <c r="H22" s="305"/>
      <c r="I22" s="355"/>
    </row>
    <row r="23" spans="1:10" s="322" customFormat="1" ht="21.95" customHeight="1" x14ac:dyDescent="0.25">
      <c r="A23" s="346" t="s">
        <v>1005</v>
      </c>
      <c r="B23" s="347" t="s">
        <v>1006</v>
      </c>
      <c r="C23" s="348"/>
      <c r="D23" s="353">
        <v>889</v>
      </c>
      <c r="E23" s="354">
        <v>1307</v>
      </c>
      <c r="F23" s="351"/>
      <c r="G23" s="352"/>
      <c r="H23" s="305"/>
      <c r="I23" s="355"/>
    </row>
    <row r="24" spans="1:10" s="322" customFormat="1" ht="21.95" customHeight="1" x14ac:dyDescent="0.25">
      <c r="A24" s="346" t="s">
        <v>1007</v>
      </c>
      <c r="B24" s="347" t="s">
        <v>1008</v>
      </c>
      <c r="C24" s="348"/>
      <c r="D24" s="353">
        <v>-4</v>
      </c>
      <c r="E24" s="354">
        <v>-149</v>
      </c>
      <c r="F24" s="351"/>
      <c r="G24" s="352"/>
      <c r="H24" s="305"/>
      <c r="I24" s="355"/>
    </row>
    <row r="25" spans="1:10" s="322" customFormat="1" ht="21.95" customHeight="1" x14ac:dyDescent="0.25">
      <c r="A25" s="346" t="s">
        <v>1009</v>
      </c>
      <c r="B25" s="347" t="s">
        <v>1010</v>
      </c>
      <c r="C25" s="348"/>
      <c r="D25" s="353"/>
      <c r="E25" s="354"/>
      <c r="F25" s="351"/>
      <c r="G25" s="352"/>
      <c r="H25" s="305"/>
      <c r="I25" s="355"/>
    </row>
    <row r="26" spans="1:10" s="322" customFormat="1" ht="21.95" customHeight="1" x14ac:dyDescent="0.25">
      <c r="A26" s="346" t="s">
        <v>1011</v>
      </c>
      <c r="B26" s="347" t="s">
        <v>1012</v>
      </c>
      <c r="C26" s="348"/>
      <c r="D26" s="353"/>
      <c r="E26" s="354"/>
      <c r="F26" s="351"/>
      <c r="G26" s="352"/>
      <c r="H26" s="305"/>
      <c r="I26" s="355"/>
    </row>
    <row r="27" spans="1:10" s="322" customFormat="1" ht="21.95" customHeight="1" x14ac:dyDescent="0.25">
      <c r="A27" s="346" t="s">
        <v>1013</v>
      </c>
      <c r="B27" s="347" t="s">
        <v>1014</v>
      </c>
      <c r="C27" s="348"/>
      <c r="D27" s="353"/>
      <c r="E27" s="354"/>
      <c r="F27" s="351"/>
      <c r="G27" s="352"/>
      <c r="H27" s="305"/>
      <c r="I27" s="355"/>
    </row>
    <row r="28" spans="1:10" s="322" customFormat="1" ht="21.95" customHeight="1" x14ac:dyDescent="0.25">
      <c r="A28" s="346" t="s">
        <v>1015</v>
      </c>
      <c r="B28" s="347" t="s">
        <v>1016</v>
      </c>
      <c r="C28" s="348"/>
      <c r="D28" s="353"/>
      <c r="E28" s="354">
        <v>0</v>
      </c>
      <c r="F28" s="351"/>
      <c r="G28" s="352"/>
      <c r="H28" s="305"/>
      <c r="I28" s="355"/>
    </row>
    <row r="29" spans="1:10" s="322" customFormat="1" ht="21.95" customHeight="1" x14ac:dyDescent="0.25">
      <c r="A29" s="346" t="s">
        <v>1017</v>
      </c>
      <c r="B29" s="347" t="s">
        <v>1018</v>
      </c>
      <c r="C29" s="348"/>
      <c r="D29" s="778">
        <f>SUM(D30:D33)</f>
        <v>-194316.71999999997</v>
      </c>
      <c r="E29" s="1011">
        <v>26029</v>
      </c>
      <c r="F29" s="335"/>
      <c r="G29" s="336"/>
      <c r="H29" s="356"/>
    </row>
    <row r="30" spans="1:10" s="322" customFormat="1" ht="21.95" customHeight="1" x14ac:dyDescent="0.25">
      <c r="A30" s="346" t="s">
        <v>1019</v>
      </c>
      <c r="B30" s="347" t="s">
        <v>1020</v>
      </c>
      <c r="C30" s="348"/>
      <c r="D30" s="344">
        <v>-649405.72</v>
      </c>
      <c r="E30" s="354">
        <v>-368397</v>
      </c>
      <c r="F30" s="335"/>
      <c r="G30" s="336"/>
      <c r="H30" s="356"/>
      <c r="I30" s="357"/>
    </row>
    <row r="31" spans="1:10" s="322" customFormat="1" ht="21.95" customHeight="1" x14ac:dyDescent="0.25">
      <c r="A31" s="346" t="s">
        <v>1021</v>
      </c>
      <c r="B31" s="347" t="s">
        <v>1022</v>
      </c>
      <c r="C31" s="348"/>
      <c r="D31" s="344">
        <v>455089</v>
      </c>
      <c r="E31" s="354">
        <v>394426</v>
      </c>
      <c r="F31" s="335"/>
      <c r="G31" s="336"/>
      <c r="H31" s="356"/>
    </row>
    <row r="32" spans="1:10" s="322" customFormat="1" ht="21.95" customHeight="1" x14ac:dyDescent="0.25">
      <c r="A32" s="346" t="s">
        <v>1023</v>
      </c>
      <c r="B32" s="347" t="s">
        <v>1024</v>
      </c>
      <c r="C32" s="348"/>
      <c r="D32" s="353"/>
      <c r="E32" s="354"/>
      <c r="F32" s="335"/>
      <c r="G32" s="336"/>
      <c r="H32" s="356"/>
    </row>
    <row r="33" spans="1:9" s="322" customFormat="1" ht="21.95" customHeight="1" x14ac:dyDescent="0.25">
      <c r="A33" s="346" t="s">
        <v>1025</v>
      </c>
      <c r="B33" s="347" t="s">
        <v>1026</v>
      </c>
      <c r="C33" s="348"/>
      <c r="D33" s="353"/>
      <c r="E33" s="354"/>
      <c r="F33" s="335"/>
      <c r="G33" s="336"/>
      <c r="H33" s="356"/>
    </row>
    <row r="34" spans="1:9" s="322" customFormat="1" ht="21.95" customHeight="1" x14ac:dyDescent="0.25">
      <c r="A34" s="346" t="s">
        <v>1027</v>
      </c>
      <c r="B34" s="347" t="s">
        <v>1028</v>
      </c>
      <c r="C34" s="348"/>
      <c r="D34" s="353">
        <v>4</v>
      </c>
      <c r="E34" s="354">
        <v>149</v>
      </c>
      <c r="F34" s="335"/>
      <c r="G34" s="336"/>
      <c r="H34" s="356"/>
    </row>
    <row r="35" spans="1:9" s="322" customFormat="1" ht="21.95" customHeight="1" x14ac:dyDescent="0.25">
      <c r="A35" s="346" t="s">
        <v>1029</v>
      </c>
      <c r="B35" s="347" t="s">
        <v>1030</v>
      </c>
      <c r="C35" s="348"/>
      <c r="D35" s="353">
        <v>-889</v>
      </c>
      <c r="E35" s="354">
        <v>-1307</v>
      </c>
      <c r="F35" s="335"/>
      <c r="G35" s="336"/>
      <c r="H35" s="356"/>
    </row>
    <row r="36" spans="1:9" s="322" customFormat="1" ht="21.95" customHeight="1" x14ac:dyDescent="0.25">
      <c r="A36" s="346" t="s">
        <v>1031</v>
      </c>
      <c r="B36" s="347" t="s">
        <v>1032</v>
      </c>
      <c r="C36" s="348"/>
      <c r="D36" s="353"/>
      <c r="E36" s="354"/>
      <c r="F36" s="335"/>
      <c r="G36" s="336"/>
      <c r="H36" s="356"/>
    </row>
    <row r="37" spans="1:9" s="322" customFormat="1" ht="21.95" customHeight="1" x14ac:dyDescent="0.25">
      <c r="A37" s="346" t="s">
        <v>1033</v>
      </c>
      <c r="B37" s="347" t="s">
        <v>1034</v>
      </c>
      <c r="C37" s="348"/>
      <c r="D37" s="353"/>
      <c r="E37" s="354"/>
      <c r="F37" s="335"/>
      <c r="G37" s="336"/>
      <c r="H37" s="356"/>
    </row>
    <row r="38" spans="1:9" s="322" customFormat="1" ht="21.95" customHeight="1" x14ac:dyDescent="0.25">
      <c r="A38" s="346" t="s">
        <v>1035</v>
      </c>
      <c r="B38" s="342" t="s">
        <v>1036</v>
      </c>
      <c r="C38" s="348"/>
      <c r="D38" s="344">
        <v>21229.15</v>
      </c>
      <c r="E38" s="354">
        <v>-52191</v>
      </c>
      <c r="F38" s="335"/>
      <c r="G38" s="336"/>
      <c r="H38" s="356"/>
    </row>
    <row r="39" spans="1:9" s="322" customFormat="1" ht="21.95" customHeight="1" x14ac:dyDescent="0.25">
      <c r="A39" s="346" t="s">
        <v>1037</v>
      </c>
      <c r="B39" s="342" t="s">
        <v>1038</v>
      </c>
      <c r="C39" s="348"/>
      <c r="D39" s="353"/>
      <c r="E39" s="354"/>
      <c r="F39" s="335"/>
      <c r="G39" s="336"/>
      <c r="H39" s="356"/>
    </row>
    <row r="40" spans="1:9" s="322" customFormat="1" ht="21.95" customHeight="1" x14ac:dyDescent="0.25">
      <c r="A40" s="346" t="s">
        <v>1039</v>
      </c>
      <c r="B40" s="342" t="s">
        <v>1040</v>
      </c>
      <c r="C40" s="348"/>
      <c r="D40" s="353"/>
      <c r="E40" s="354"/>
      <c r="F40" s="335"/>
      <c r="G40" s="336"/>
      <c r="H40" s="356"/>
    </row>
    <row r="41" spans="1:9" s="361" customFormat="1" ht="27.95" customHeight="1" x14ac:dyDescent="0.25">
      <c r="A41" s="337" t="s">
        <v>523</v>
      </c>
      <c r="B41" s="338" t="s">
        <v>1041</v>
      </c>
      <c r="C41" s="339"/>
      <c r="D41" s="780">
        <f>D13+D15+D29+SUM(D34:D40)</f>
        <v>53889.430000000029</v>
      </c>
      <c r="E41" s="781">
        <f>E13+E15+E29+SUM(E34:E40)</f>
        <v>-76802</v>
      </c>
      <c r="F41" s="358"/>
      <c r="G41" s="359"/>
      <c r="H41" s="360"/>
    </row>
    <row r="42" spans="1:9" s="322" customFormat="1" ht="21.95" customHeight="1" x14ac:dyDescent="0.25">
      <c r="A42" s="341" t="s">
        <v>833</v>
      </c>
      <c r="B42" s="342" t="s">
        <v>1042</v>
      </c>
      <c r="C42" s="343"/>
      <c r="D42" s="344"/>
      <c r="E42" s="345"/>
      <c r="F42" s="335"/>
      <c r="G42" s="359"/>
      <c r="H42" s="356"/>
    </row>
    <row r="43" spans="1:9" s="322" customFormat="1" ht="21.95" customHeight="1" x14ac:dyDescent="0.25">
      <c r="A43" s="341" t="s">
        <v>1043</v>
      </c>
      <c r="B43" s="342" t="s">
        <v>1044</v>
      </c>
      <c r="C43" s="343"/>
      <c r="D43" s="344"/>
      <c r="E43" s="345"/>
      <c r="F43" s="335"/>
      <c r="G43" s="359"/>
      <c r="H43" s="356"/>
    </row>
    <row r="44" spans="1:9" s="322" customFormat="1" ht="21.95" customHeight="1" x14ac:dyDescent="0.25">
      <c r="A44" s="341" t="s">
        <v>1045</v>
      </c>
      <c r="B44" s="342" t="s">
        <v>1046</v>
      </c>
      <c r="C44" s="343"/>
      <c r="D44" s="344"/>
      <c r="E44" s="345"/>
      <c r="F44" s="335"/>
      <c r="G44" s="359"/>
      <c r="H44" s="356"/>
    </row>
    <row r="45" spans="1:9" s="322" customFormat="1" ht="21.95" customHeight="1" x14ac:dyDescent="0.25">
      <c r="A45" s="341" t="s">
        <v>1047</v>
      </c>
      <c r="B45" s="342" t="s">
        <v>1048</v>
      </c>
      <c r="C45" s="343"/>
      <c r="D45" s="344"/>
      <c r="E45" s="345"/>
      <c r="F45" s="335"/>
      <c r="G45" s="359"/>
      <c r="H45" s="356"/>
    </row>
    <row r="46" spans="1:9" s="322" customFormat="1" ht="21.95" customHeight="1" x14ac:dyDescent="0.25">
      <c r="A46" s="341" t="s">
        <v>1049</v>
      </c>
      <c r="B46" s="342" t="s">
        <v>1050</v>
      </c>
      <c r="C46" s="343"/>
      <c r="D46" s="344"/>
      <c r="E46" s="345"/>
      <c r="F46" s="335"/>
      <c r="G46" s="359"/>
      <c r="H46" s="356"/>
    </row>
    <row r="47" spans="1:9" s="322" customFormat="1" ht="21.95" customHeight="1" x14ac:dyDescent="0.25">
      <c r="A47" s="341" t="s">
        <v>1051</v>
      </c>
      <c r="B47" s="342" t="s">
        <v>1052</v>
      </c>
      <c r="C47" s="343"/>
      <c r="D47" s="344"/>
      <c r="E47" s="345"/>
      <c r="F47" s="335"/>
      <c r="G47" s="359"/>
      <c r="H47" s="356"/>
    </row>
    <row r="48" spans="1:9" s="322" customFormat="1" ht="21.95" customHeight="1" x14ac:dyDescent="0.25">
      <c r="A48" s="341" t="s">
        <v>1053</v>
      </c>
      <c r="B48" s="342" t="s">
        <v>1054</v>
      </c>
      <c r="C48" s="343"/>
      <c r="D48" s="344"/>
      <c r="E48" s="345"/>
      <c r="F48" s="335"/>
      <c r="G48" s="336"/>
      <c r="H48" s="356"/>
      <c r="I48" s="357"/>
    </row>
    <row r="49" spans="1:8" s="322" customFormat="1" ht="21.95" customHeight="1" x14ac:dyDescent="0.25">
      <c r="A49" s="341" t="s">
        <v>1055</v>
      </c>
      <c r="B49" s="342" t="s">
        <v>1056</v>
      </c>
      <c r="C49" s="343"/>
      <c r="D49" s="344"/>
      <c r="E49" s="345"/>
      <c r="F49" s="335"/>
      <c r="G49" s="336"/>
      <c r="H49" s="356"/>
    </row>
    <row r="50" spans="1:8" s="322" customFormat="1" ht="21.95" customHeight="1" x14ac:dyDescent="0.25">
      <c r="A50" s="341" t="s">
        <v>1057</v>
      </c>
      <c r="B50" s="342" t="s">
        <v>1058</v>
      </c>
      <c r="C50" s="343"/>
      <c r="D50" s="344"/>
      <c r="E50" s="345"/>
      <c r="F50" s="335"/>
      <c r="G50" s="336"/>
      <c r="H50" s="356"/>
    </row>
    <row r="51" spans="1:8" s="322" customFormat="1" ht="21.95" customHeight="1" x14ac:dyDescent="0.25">
      <c r="A51" s="341" t="s">
        <v>1059</v>
      </c>
      <c r="B51" s="342" t="s">
        <v>1060</v>
      </c>
      <c r="C51" s="343"/>
      <c r="D51" s="344"/>
      <c r="E51" s="345"/>
      <c r="F51" s="335"/>
      <c r="G51" s="336"/>
      <c r="H51" s="356"/>
    </row>
    <row r="52" spans="1:8" s="322" customFormat="1" ht="21.95" customHeight="1" x14ac:dyDescent="0.25">
      <c r="A52" s="341" t="s">
        <v>1061</v>
      </c>
      <c r="B52" s="342" t="s">
        <v>1062</v>
      </c>
      <c r="C52" s="343"/>
      <c r="D52" s="344"/>
      <c r="E52" s="345"/>
      <c r="F52" s="335"/>
      <c r="G52" s="336"/>
      <c r="H52" s="356"/>
    </row>
    <row r="53" spans="1:8" s="322" customFormat="1" ht="21.95" customHeight="1" x14ac:dyDescent="0.25">
      <c r="A53" s="341" t="s">
        <v>1063</v>
      </c>
      <c r="B53" s="342" t="s">
        <v>1064</v>
      </c>
      <c r="C53" s="343"/>
      <c r="D53" s="344"/>
      <c r="E53" s="345"/>
      <c r="F53" s="335"/>
      <c r="G53" s="336"/>
      <c r="H53" s="356"/>
    </row>
    <row r="54" spans="1:8" s="322" customFormat="1" ht="21.95" customHeight="1" x14ac:dyDescent="0.25">
      <c r="A54" s="341" t="s">
        <v>1065</v>
      </c>
      <c r="B54" s="342" t="s">
        <v>1066</v>
      </c>
      <c r="C54" s="343"/>
      <c r="D54" s="344"/>
      <c r="E54" s="345"/>
      <c r="F54" s="335"/>
      <c r="G54" s="336"/>
      <c r="H54" s="356"/>
    </row>
    <row r="55" spans="1:8" s="322" customFormat="1" ht="21.95" customHeight="1" x14ac:dyDescent="0.25">
      <c r="A55" s="341" t="s">
        <v>1067</v>
      </c>
      <c r="B55" s="342" t="s">
        <v>1068</v>
      </c>
      <c r="C55" s="343"/>
      <c r="D55" s="344"/>
      <c r="E55" s="345"/>
      <c r="F55" s="335"/>
      <c r="G55" s="336"/>
      <c r="H55" s="356"/>
    </row>
    <row r="56" spans="1:8" s="322" customFormat="1" ht="21.95" customHeight="1" x14ac:dyDescent="0.25">
      <c r="A56" s="341" t="s">
        <v>1069</v>
      </c>
      <c r="B56" s="342" t="s">
        <v>1070</v>
      </c>
      <c r="C56" s="343"/>
      <c r="D56" s="344"/>
      <c r="E56" s="345"/>
      <c r="F56" s="335"/>
      <c r="G56" s="336"/>
      <c r="H56" s="356"/>
    </row>
    <row r="57" spans="1:8" s="322" customFormat="1" ht="21.95" customHeight="1" x14ac:dyDescent="0.25">
      <c r="A57" s="341" t="s">
        <v>1071</v>
      </c>
      <c r="B57" s="342" t="s">
        <v>1072</v>
      </c>
      <c r="C57" s="343"/>
      <c r="D57" s="344"/>
      <c r="E57" s="345"/>
      <c r="F57" s="335"/>
      <c r="G57" s="336"/>
      <c r="H57" s="356"/>
    </row>
    <row r="58" spans="1:8" s="322" customFormat="1" ht="21.95" customHeight="1" x14ac:dyDescent="0.25">
      <c r="A58" s="341" t="s">
        <v>1073</v>
      </c>
      <c r="B58" s="342" t="s">
        <v>1074</v>
      </c>
      <c r="C58" s="343"/>
      <c r="D58" s="344"/>
      <c r="E58" s="345"/>
      <c r="F58" s="335"/>
      <c r="G58" s="336"/>
      <c r="H58" s="356"/>
    </row>
    <row r="59" spans="1:8" s="322" customFormat="1" ht="21.95" customHeight="1" x14ac:dyDescent="0.25">
      <c r="A59" s="341" t="s">
        <v>1075</v>
      </c>
      <c r="B59" s="342" t="s">
        <v>1076</v>
      </c>
      <c r="C59" s="343"/>
      <c r="D59" s="344"/>
      <c r="E59" s="345"/>
      <c r="F59" s="335"/>
      <c r="G59" s="336"/>
      <c r="H59" s="356"/>
    </row>
    <row r="60" spans="1:8" s="322" customFormat="1" ht="21.95" customHeight="1" x14ac:dyDescent="0.25">
      <c r="A60" s="341" t="s">
        <v>1077</v>
      </c>
      <c r="B60" s="342" t="s">
        <v>1078</v>
      </c>
      <c r="C60" s="343"/>
      <c r="D60" s="344"/>
      <c r="E60" s="345"/>
      <c r="F60" s="335"/>
      <c r="G60" s="336"/>
      <c r="H60" s="356"/>
    </row>
    <row r="61" spans="1:8" s="361" customFormat="1" ht="27.95" customHeight="1" x14ac:dyDescent="0.25">
      <c r="A61" s="337" t="s">
        <v>594</v>
      </c>
      <c r="B61" s="338" t="s">
        <v>1079</v>
      </c>
      <c r="C61" s="339"/>
      <c r="D61" s="780">
        <v>0</v>
      </c>
      <c r="E61" s="781">
        <f>SUM(E42:E60)</f>
        <v>0</v>
      </c>
      <c r="F61" s="358"/>
      <c r="G61" s="359"/>
      <c r="H61" s="360"/>
    </row>
    <row r="62" spans="1:8" s="361" customFormat="1" ht="22.5" customHeight="1" x14ac:dyDescent="0.25">
      <c r="A62" s="341" t="s">
        <v>666</v>
      </c>
      <c r="B62" s="342" t="s">
        <v>1080</v>
      </c>
      <c r="C62" s="343"/>
      <c r="D62" s="349">
        <f>SUM(D63:D70)</f>
        <v>0</v>
      </c>
      <c r="E62" s="350"/>
      <c r="F62" s="358"/>
      <c r="G62" s="359"/>
      <c r="H62" s="360"/>
    </row>
    <row r="63" spans="1:8" s="361" customFormat="1" ht="22.5" customHeight="1" x14ac:dyDescent="0.25">
      <c r="A63" s="341" t="s">
        <v>1081</v>
      </c>
      <c r="B63" s="342" t="s">
        <v>1082</v>
      </c>
      <c r="C63" s="343"/>
      <c r="D63" s="362"/>
      <c r="E63" s="363"/>
      <c r="F63" s="358"/>
      <c r="G63" s="359"/>
      <c r="H63" s="360"/>
    </row>
    <row r="64" spans="1:8" s="361" customFormat="1" ht="22.5" customHeight="1" x14ac:dyDescent="0.25">
      <c r="A64" s="341" t="s">
        <v>1083</v>
      </c>
      <c r="B64" s="342" t="s">
        <v>1084</v>
      </c>
      <c r="C64" s="343"/>
      <c r="D64" s="362"/>
      <c r="E64" s="363"/>
      <c r="F64" s="358"/>
      <c r="G64" s="359"/>
      <c r="H64" s="360"/>
    </row>
    <row r="65" spans="1:8" s="361" customFormat="1" ht="22.5" customHeight="1" x14ac:dyDescent="0.25">
      <c r="A65" s="341" t="s">
        <v>1085</v>
      </c>
      <c r="B65" s="342" t="s">
        <v>1086</v>
      </c>
      <c r="C65" s="343"/>
      <c r="D65" s="362"/>
      <c r="E65" s="363"/>
      <c r="F65" s="358"/>
      <c r="G65" s="359"/>
      <c r="H65" s="360"/>
    </row>
    <row r="66" spans="1:8" s="361" customFormat="1" ht="22.5" customHeight="1" x14ac:dyDescent="0.25">
      <c r="A66" s="341" t="s">
        <v>1087</v>
      </c>
      <c r="B66" s="342" t="s">
        <v>1088</v>
      </c>
      <c r="C66" s="343"/>
      <c r="D66" s="362"/>
      <c r="E66" s="363"/>
      <c r="F66" s="358"/>
      <c r="G66" s="359"/>
      <c r="H66" s="360"/>
    </row>
    <row r="67" spans="1:8" s="361" customFormat="1" ht="22.5" customHeight="1" x14ac:dyDescent="0.25">
      <c r="A67" s="341" t="s">
        <v>1089</v>
      </c>
      <c r="B67" s="342" t="s">
        <v>1090</v>
      </c>
      <c r="C67" s="343"/>
      <c r="D67" s="362"/>
      <c r="E67" s="363"/>
      <c r="F67" s="358"/>
      <c r="G67" s="359"/>
      <c r="H67" s="360"/>
    </row>
    <row r="68" spans="1:8" s="361" customFormat="1" ht="22.5" customHeight="1" x14ac:dyDescent="0.25">
      <c r="A68" s="341" t="s">
        <v>1091</v>
      </c>
      <c r="B68" s="342" t="s">
        <v>1092</v>
      </c>
      <c r="C68" s="343"/>
      <c r="D68" s="362"/>
      <c r="E68" s="363"/>
      <c r="F68" s="358"/>
      <c r="G68" s="359"/>
      <c r="H68" s="360"/>
    </row>
    <row r="69" spans="1:8" s="361" customFormat="1" ht="22.5" customHeight="1" x14ac:dyDescent="0.25">
      <c r="A69" s="341" t="s">
        <v>1093</v>
      </c>
      <c r="B69" s="342" t="s">
        <v>1094</v>
      </c>
      <c r="C69" s="343"/>
      <c r="D69" s="362"/>
      <c r="E69" s="363"/>
      <c r="F69" s="358"/>
      <c r="G69" s="359"/>
      <c r="H69" s="360"/>
    </row>
    <row r="70" spans="1:8" s="361" customFormat="1" ht="22.5" customHeight="1" x14ac:dyDescent="0.25">
      <c r="A70" s="341" t="s">
        <v>1095</v>
      </c>
      <c r="B70" s="342" t="s">
        <v>1096</v>
      </c>
      <c r="C70" s="343"/>
      <c r="D70" s="362"/>
      <c r="E70" s="363"/>
      <c r="F70" s="358"/>
      <c r="G70" s="359"/>
      <c r="H70" s="360"/>
    </row>
    <row r="71" spans="1:8" s="361" customFormat="1" ht="22.5" customHeight="1" x14ac:dyDescent="0.25">
      <c r="A71" s="341" t="s">
        <v>1097</v>
      </c>
      <c r="B71" s="342" t="s">
        <v>1098</v>
      </c>
      <c r="C71" s="343"/>
      <c r="D71" s="778">
        <f>SUM(D72:D80)</f>
        <v>-6141.05</v>
      </c>
      <c r="E71" s="778">
        <v>-5721</v>
      </c>
      <c r="F71" s="358"/>
      <c r="G71" s="359"/>
      <c r="H71" s="360"/>
    </row>
    <row r="72" spans="1:8" s="361" customFormat="1" ht="22.5" customHeight="1" x14ac:dyDescent="0.25">
      <c r="A72" s="341" t="s">
        <v>1099</v>
      </c>
      <c r="B72" s="342" t="s">
        <v>1100</v>
      </c>
      <c r="C72" s="343"/>
      <c r="D72" s="362"/>
      <c r="E72" s="363">
        <v>0</v>
      </c>
      <c r="F72" s="358"/>
      <c r="G72" s="359"/>
      <c r="H72" s="360"/>
    </row>
    <row r="73" spans="1:8" s="361" customFormat="1" ht="22.5" customHeight="1" x14ac:dyDescent="0.25">
      <c r="A73" s="341" t="s">
        <v>1101</v>
      </c>
      <c r="B73" s="342" t="s">
        <v>1102</v>
      </c>
      <c r="C73" s="343"/>
      <c r="D73" s="362"/>
      <c r="E73" s="363">
        <v>0</v>
      </c>
      <c r="F73" s="358"/>
      <c r="G73" s="359"/>
      <c r="H73" s="360"/>
    </row>
    <row r="74" spans="1:8" s="361" customFormat="1" ht="22.5" customHeight="1" x14ac:dyDescent="0.25">
      <c r="A74" s="341" t="s">
        <v>1103</v>
      </c>
      <c r="B74" s="342" t="s">
        <v>1104</v>
      </c>
      <c r="C74" s="343"/>
      <c r="D74" s="362"/>
      <c r="E74" s="363">
        <v>0</v>
      </c>
      <c r="F74" s="358"/>
      <c r="G74" s="359"/>
      <c r="H74" s="360"/>
    </row>
    <row r="75" spans="1:8" s="361" customFormat="1" ht="22.5" customHeight="1" x14ac:dyDescent="0.25">
      <c r="A75" s="341" t="s">
        <v>1105</v>
      </c>
      <c r="B75" s="342" t="s">
        <v>1106</v>
      </c>
      <c r="C75" s="343"/>
      <c r="D75" s="362"/>
      <c r="E75" s="363">
        <v>0</v>
      </c>
      <c r="F75" s="358"/>
      <c r="G75" s="359"/>
      <c r="H75" s="360"/>
    </row>
    <row r="76" spans="1:8" s="361" customFormat="1" ht="22.5" customHeight="1" x14ac:dyDescent="0.25">
      <c r="A76" s="341" t="s">
        <v>1107</v>
      </c>
      <c r="B76" s="342" t="s">
        <v>1108</v>
      </c>
      <c r="C76" s="343"/>
      <c r="D76" s="362"/>
      <c r="E76" s="363"/>
      <c r="F76" s="358"/>
      <c r="G76" s="359"/>
      <c r="H76" s="360"/>
    </row>
    <row r="77" spans="1:8" s="361" customFormat="1" ht="22.5" customHeight="1" x14ac:dyDescent="0.25">
      <c r="A77" s="341" t="s">
        <v>1109</v>
      </c>
      <c r="B77" s="342" t="s">
        <v>1110</v>
      </c>
      <c r="C77" s="343"/>
      <c r="D77" s="362"/>
      <c r="E77" s="363">
        <v>0</v>
      </c>
      <c r="F77" s="358"/>
      <c r="G77" s="359"/>
      <c r="H77" s="360"/>
    </row>
    <row r="78" spans="1:8" s="361" customFormat="1" ht="22.5" customHeight="1" x14ac:dyDescent="0.25">
      <c r="A78" s="341" t="s">
        <v>1111</v>
      </c>
      <c r="B78" s="342" t="s">
        <v>1112</v>
      </c>
      <c r="C78" s="343"/>
      <c r="D78" s="362">
        <v>-6141.05</v>
      </c>
      <c r="E78" s="363">
        <v>-5271</v>
      </c>
      <c r="F78" s="358"/>
      <c r="G78" s="359"/>
      <c r="H78" s="360"/>
    </row>
    <row r="79" spans="1:8" s="361" customFormat="1" ht="22.5" customHeight="1" x14ac:dyDescent="0.25">
      <c r="A79" s="341" t="s">
        <v>1113</v>
      </c>
      <c r="B79" s="342" t="s">
        <v>1114</v>
      </c>
      <c r="C79" s="343"/>
      <c r="D79" s="362"/>
      <c r="E79" s="363"/>
      <c r="F79" s="358"/>
      <c r="G79" s="359"/>
      <c r="H79" s="360"/>
    </row>
    <row r="80" spans="1:8" s="361" customFormat="1" ht="22.5" customHeight="1" x14ac:dyDescent="0.25">
      <c r="A80" s="341" t="s">
        <v>1115</v>
      </c>
      <c r="B80" s="342" t="s">
        <v>1116</v>
      </c>
      <c r="C80" s="343"/>
      <c r="D80" s="362"/>
      <c r="E80" s="363"/>
      <c r="F80" s="358"/>
      <c r="G80" s="359"/>
      <c r="H80" s="360"/>
    </row>
    <row r="81" spans="1:8" s="361" customFormat="1" ht="22.5" customHeight="1" x14ac:dyDescent="0.25">
      <c r="A81" s="341" t="s">
        <v>1117</v>
      </c>
      <c r="B81" s="342" t="s">
        <v>1118</v>
      </c>
      <c r="C81" s="343"/>
      <c r="D81" s="362"/>
      <c r="E81" s="363"/>
      <c r="F81" s="358"/>
      <c r="G81" s="359"/>
      <c r="H81" s="360"/>
    </row>
    <row r="82" spans="1:8" s="361" customFormat="1" ht="22.5" customHeight="1" x14ac:dyDescent="0.25">
      <c r="A82" s="341" t="s">
        <v>1119</v>
      </c>
      <c r="B82" s="342" t="s">
        <v>1120</v>
      </c>
      <c r="C82" s="343"/>
      <c r="D82" s="362">
        <v>-48151</v>
      </c>
      <c r="E82" s="363">
        <v>-156436</v>
      </c>
      <c r="F82" s="358"/>
      <c r="G82" s="359"/>
    </row>
    <row r="83" spans="1:8" s="361" customFormat="1" ht="22.5" customHeight="1" x14ac:dyDescent="0.25">
      <c r="A83" s="341" t="s">
        <v>1121</v>
      </c>
      <c r="B83" s="342" t="s">
        <v>1122</v>
      </c>
      <c r="C83" s="343"/>
      <c r="D83" s="362"/>
      <c r="E83" s="363"/>
      <c r="F83" s="358"/>
      <c r="G83" s="359"/>
      <c r="H83" s="360"/>
    </row>
    <row r="84" spans="1:8" s="361" customFormat="1" ht="22.5" customHeight="1" x14ac:dyDescent="0.25">
      <c r="A84" s="341" t="s">
        <v>1123</v>
      </c>
      <c r="B84" s="342" t="s">
        <v>1124</v>
      </c>
      <c r="C84" s="343"/>
      <c r="D84" s="362"/>
      <c r="E84" s="363"/>
      <c r="F84" s="358"/>
      <c r="G84" s="359"/>
      <c r="H84" s="360"/>
    </row>
    <row r="85" spans="1:8" s="361" customFormat="1" ht="22.5" customHeight="1" x14ac:dyDescent="0.25">
      <c r="A85" s="341" t="s">
        <v>1125</v>
      </c>
      <c r="B85" s="342" t="s">
        <v>1126</v>
      </c>
      <c r="C85" s="343"/>
      <c r="D85" s="362"/>
      <c r="E85" s="363"/>
      <c r="F85" s="358"/>
      <c r="G85" s="359"/>
      <c r="H85" s="360"/>
    </row>
    <row r="86" spans="1:8" s="361" customFormat="1" ht="22.5" customHeight="1" x14ac:dyDescent="0.25">
      <c r="A86" s="341" t="s">
        <v>1127</v>
      </c>
      <c r="B86" s="342" t="s">
        <v>1128</v>
      </c>
      <c r="C86" s="343"/>
      <c r="D86" s="362"/>
      <c r="E86" s="363"/>
      <c r="F86" s="358"/>
      <c r="G86" s="359"/>
      <c r="H86" s="360"/>
    </row>
    <row r="87" spans="1:8" s="361" customFormat="1" ht="22.5" customHeight="1" x14ac:dyDescent="0.25">
      <c r="A87" s="341" t="s">
        <v>1129</v>
      </c>
      <c r="B87" s="342" t="s">
        <v>1130</v>
      </c>
      <c r="C87" s="343"/>
      <c r="D87" s="362"/>
      <c r="E87" s="363"/>
      <c r="F87" s="358"/>
      <c r="G87" s="359"/>
      <c r="H87" s="360"/>
    </row>
    <row r="88" spans="1:8" s="361" customFormat="1" ht="27.95" customHeight="1" x14ac:dyDescent="0.25">
      <c r="A88" s="337" t="s">
        <v>663</v>
      </c>
      <c r="B88" s="338" t="s">
        <v>1131</v>
      </c>
      <c r="C88" s="339"/>
      <c r="D88" s="780">
        <f>D62+D71+SUM(D81:D87)</f>
        <v>-54292.05</v>
      </c>
      <c r="E88" s="781">
        <f>E62+E71+SUM(E81:E87)</f>
        <v>-162157</v>
      </c>
      <c r="F88" s="358"/>
      <c r="G88" s="359"/>
      <c r="H88" s="360"/>
    </row>
    <row r="89" spans="1:8" s="322" customFormat="1" ht="27.95" customHeight="1" x14ac:dyDescent="0.25">
      <c r="A89" s="337" t="s">
        <v>853</v>
      </c>
      <c r="B89" s="338" t="s">
        <v>1132</v>
      </c>
      <c r="C89" s="339"/>
      <c r="D89" s="780">
        <f>D41+D61+D88</f>
        <v>-402.61999999997352</v>
      </c>
      <c r="E89" s="781">
        <f>E41+E61+E88</f>
        <v>-238959</v>
      </c>
      <c r="F89" s="335"/>
      <c r="G89" s="336"/>
      <c r="H89" s="356"/>
    </row>
    <row r="90" spans="1:8" s="361" customFormat="1" ht="27.95" customHeight="1" x14ac:dyDescent="0.25">
      <c r="A90" s="337" t="s">
        <v>856</v>
      </c>
      <c r="B90" s="338" t="s">
        <v>1133</v>
      </c>
      <c r="C90" s="339"/>
      <c r="D90" s="780">
        <f>BS!G64</f>
        <v>689</v>
      </c>
      <c r="E90" s="781">
        <v>239648</v>
      </c>
      <c r="F90" s="358"/>
      <c r="G90" s="359"/>
      <c r="H90" s="360"/>
    </row>
    <row r="91" spans="1:8" s="361" customFormat="1" ht="27.95" customHeight="1" x14ac:dyDescent="0.25">
      <c r="A91" s="337" t="s">
        <v>862</v>
      </c>
      <c r="B91" s="338" t="s">
        <v>1134</v>
      </c>
      <c r="C91" s="339"/>
      <c r="D91" s="780">
        <f>BS!F64</f>
        <v>286</v>
      </c>
      <c r="E91" s="780">
        <f>BS!G64</f>
        <v>689</v>
      </c>
      <c r="F91" s="358"/>
      <c r="G91" s="364"/>
      <c r="H91" s="360"/>
    </row>
    <row r="92" spans="1:8" s="322" customFormat="1" ht="27.95" customHeight="1" x14ac:dyDescent="0.25">
      <c r="A92" s="337" t="s">
        <v>865</v>
      </c>
      <c r="B92" s="365" t="s">
        <v>1135</v>
      </c>
      <c r="C92" s="339"/>
      <c r="D92" s="366"/>
      <c r="E92" s="367"/>
      <c r="F92" s="335"/>
      <c r="G92" s="336"/>
      <c r="H92" s="356"/>
    </row>
    <row r="93" spans="1:8" s="361" customFormat="1" ht="27.95" customHeight="1" thickBot="1" x14ac:dyDescent="0.3">
      <c r="A93" s="368" t="s">
        <v>871</v>
      </c>
      <c r="B93" s="369" t="s">
        <v>1136</v>
      </c>
      <c r="C93" s="370"/>
      <c r="D93" s="782">
        <f>D89+D90+D92</f>
        <v>286.38000000002648</v>
      </c>
      <c r="E93" s="783">
        <f>E89+E90+E92</f>
        <v>689</v>
      </c>
      <c r="F93" s="358"/>
      <c r="G93" s="371"/>
      <c r="H93" s="360"/>
    </row>
    <row r="94" spans="1:8" s="322" customFormat="1" ht="14.1" customHeight="1" x14ac:dyDescent="0.25">
      <c r="A94" s="335"/>
      <c r="B94" s="372"/>
      <c r="C94" s="373"/>
      <c r="D94" s="374"/>
      <c r="E94" s="375"/>
      <c r="F94" s="335"/>
      <c r="G94" s="376"/>
      <c r="H94" s="356"/>
    </row>
    <row r="95" spans="1:8" s="322" customFormat="1" ht="14.1" customHeight="1" x14ac:dyDescent="0.25">
      <c r="A95" s="335"/>
      <c r="B95" s="335"/>
      <c r="C95" s="373"/>
      <c r="D95" s="374"/>
      <c r="E95" s="375"/>
      <c r="F95" s="335"/>
      <c r="G95" s="376"/>
      <c r="H95" s="356"/>
    </row>
    <row r="96" spans="1:8" s="322" customFormat="1" ht="14.1" customHeight="1" x14ac:dyDescent="0.25">
      <c r="A96" s="376"/>
      <c r="B96" s="377"/>
      <c r="C96" s="377"/>
      <c r="D96" s="378"/>
      <c r="E96" s="379"/>
      <c r="F96" s="335"/>
      <c r="G96" s="376"/>
      <c r="H96" s="356"/>
    </row>
    <row r="97" spans="1:8" s="322" customFormat="1" ht="14.1" customHeight="1" x14ac:dyDescent="0.25">
      <c r="A97" s="376"/>
      <c r="B97" s="377"/>
      <c r="C97" s="377"/>
      <c r="D97" s="378"/>
      <c r="E97" s="379"/>
      <c r="F97" s="335"/>
      <c r="G97" s="376"/>
      <c r="H97" s="356"/>
    </row>
    <row r="98" spans="1:8" s="322" customFormat="1" ht="14.1" customHeight="1" x14ac:dyDescent="0.25">
      <c r="A98" s="376"/>
      <c r="B98" s="377"/>
      <c r="C98" s="377"/>
      <c r="D98" s="378"/>
      <c r="E98" s="379"/>
      <c r="F98" s="335"/>
      <c r="G98" s="376"/>
      <c r="H98" s="356"/>
    </row>
    <row r="99" spans="1:8" s="322" customFormat="1" ht="20.25" customHeight="1" x14ac:dyDescent="0.25">
      <c r="A99" s="376"/>
      <c r="B99" s="380" t="s">
        <v>1137</v>
      </c>
      <c r="C99" s="380"/>
      <c r="D99" s="381">
        <f>D91-D93</f>
        <v>-0.38000000002648449</v>
      </c>
      <c r="E99" s="381">
        <f>E91-E93</f>
        <v>0</v>
      </c>
      <c r="F99" s="335"/>
      <c r="G99" s="376"/>
      <c r="H99" s="356"/>
    </row>
    <row r="100" spans="1:8" s="322" customFormat="1" ht="14.1" customHeight="1" x14ac:dyDescent="0.25">
      <c r="A100" s="376"/>
      <c r="B100" s="377"/>
      <c r="C100" s="377"/>
      <c r="D100" s="378"/>
      <c r="E100" s="379"/>
      <c r="F100" s="335"/>
      <c r="G100" s="376"/>
      <c r="H100" s="356"/>
    </row>
    <row r="101" spans="1:8" s="322" customFormat="1" ht="14.1" customHeight="1" x14ac:dyDescent="0.25">
      <c r="A101" s="376"/>
      <c r="B101" s="377"/>
      <c r="C101" s="377"/>
      <c r="D101" s="378"/>
      <c r="E101" s="379"/>
      <c r="F101" s="335"/>
      <c r="G101" s="376"/>
      <c r="H101" s="356"/>
    </row>
    <row r="102" spans="1:8" s="322" customFormat="1" ht="14.1" customHeight="1" x14ac:dyDescent="0.25">
      <c r="A102" s="376"/>
      <c r="B102" s="377"/>
      <c r="C102" s="377"/>
      <c r="D102" s="378"/>
      <c r="E102" s="379"/>
      <c r="F102" s="335"/>
      <c r="G102" s="376"/>
      <c r="H102" s="356"/>
    </row>
    <row r="103" spans="1:8" s="322" customFormat="1" ht="14.1" customHeight="1" x14ac:dyDescent="0.25">
      <c r="A103" s="376"/>
      <c r="B103" s="377"/>
      <c r="C103" s="377"/>
      <c r="D103" s="378"/>
      <c r="E103" s="379"/>
      <c r="F103" s="335"/>
      <c r="G103" s="376"/>
      <c r="H103" s="356"/>
    </row>
    <row r="104" spans="1:8" s="322" customFormat="1" ht="14.1" customHeight="1" x14ac:dyDescent="0.25">
      <c r="A104" s="376"/>
      <c r="B104" s="377"/>
      <c r="C104" s="377"/>
      <c r="D104" s="378"/>
      <c r="E104" s="379"/>
      <c r="F104" s="335"/>
      <c r="G104" s="376"/>
      <c r="H104" s="356"/>
    </row>
    <row r="105" spans="1:8" s="322" customFormat="1" ht="14.1" customHeight="1" x14ac:dyDescent="0.25">
      <c r="A105" s="376"/>
      <c r="B105" s="377"/>
      <c r="C105" s="377"/>
      <c r="D105" s="378"/>
      <c r="E105" s="379"/>
      <c r="F105" s="335"/>
      <c r="G105" s="376"/>
      <c r="H105" s="356"/>
    </row>
    <row r="106" spans="1:8" s="322" customFormat="1" ht="14.1" customHeight="1" x14ac:dyDescent="0.25">
      <c r="A106" s="376"/>
      <c r="B106" s="377"/>
      <c r="C106" s="377"/>
      <c r="D106" s="378"/>
      <c r="E106" s="379"/>
      <c r="F106" s="335"/>
      <c r="G106" s="376"/>
      <c r="H106" s="356"/>
    </row>
    <row r="107" spans="1:8" s="322" customFormat="1" ht="14.1" customHeight="1" x14ac:dyDescent="0.25">
      <c r="A107" s="376"/>
      <c r="B107" s="377"/>
      <c r="C107" s="377"/>
      <c r="D107" s="378"/>
      <c r="E107" s="379"/>
      <c r="F107" s="335"/>
      <c r="G107" s="376"/>
      <c r="H107" s="356"/>
    </row>
    <row r="108" spans="1:8" s="322" customFormat="1" ht="14.1" customHeight="1" x14ac:dyDescent="0.25">
      <c r="A108" s="376"/>
      <c r="B108" s="377"/>
      <c r="C108" s="377"/>
      <c r="D108" s="378"/>
      <c r="E108" s="379"/>
      <c r="F108" s="335"/>
      <c r="G108" s="376"/>
      <c r="H108" s="356"/>
    </row>
    <row r="109" spans="1:8" s="322" customFormat="1" ht="14.1" customHeight="1" x14ac:dyDescent="0.25">
      <c r="A109" s="376"/>
      <c r="B109" s="377"/>
      <c r="C109" s="377"/>
      <c r="D109" s="378"/>
      <c r="E109" s="379"/>
      <c r="F109" s="335"/>
      <c r="G109" s="376"/>
      <c r="H109" s="356"/>
    </row>
    <row r="110" spans="1:8" s="322" customFormat="1" ht="14.1" customHeight="1" x14ac:dyDescent="0.25">
      <c r="A110" s="376"/>
      <c r="B110" s="377"/>
      <c r="C110" s="377"/>
      <c r="D110" s="378"/>
      <c r="E110" s="379"/>
      <c r="F110" s="335"/>
      <c r="G110" s="376"/>
      <c r="H110" s="356"/>
    </row>
    <row r="111" spans="1:8" s="322" customFormat="1" ht="14.1" customHeight="1" x14ac:dyDescent="0.25">
      <c r="A111" s="376"/>
      <c r="B111" s="377"/>
      <c r="C111" s="377"/>
      <c r="D111" s="378"/>
      <c r="E111" s="379"/>
      <c r="F111" s="335"/>
      <c r="G111" s="376"/>
      <c r="H111" s="356"/>
    </row>
    <row r="112" spans="1:8" s="322" customFormat="1" ht="14.1" customHeight="1" x14ac:dyDescent="0.25">
      <c r="A112" s="376"/>
      <c r="B112" s="377"/>
      <c r="C112" s="377"/>
      <c r="D112" s="378"/>
      <c r="E112" s="379"/>
      <c r="F112" s="335"/>
      <c r="G112" s="376"/>
      <c r="H112" s="356"/>
    </row>
    <row r="113" spans="1:8" s="322" customFormat="1" ht="14.1" customHeight="1" x14ac:dyDescent="0.25">
      <c r="A113" s="376"/>
      <c r="B113" s="377"/>
      <c r="C113" s="377"/>
      <c r="D113" s="378"/>
      <c r="E113" s="379"/>
      <c r="F113" s="335"/>
      <c r="G113" s="376"/>
      <c r="H113" s="356"/>
    </row>
    <row r="114" spans="1:8" s="322" customFormat="1" ht="14.1" customHeight="1" x14ac:dyDescent="0.25">
      <c r="A114" s="376"/>
      <c r="B114" s="377"/>
      <c r="C114" s="377"/>
      <c r="D114" s="378"/>
      <c r="E114" s="379"/>
      <c r="F114" s="335"/>
      <c r="G114" s="376"/>
      <c r="H114" s="356"/>
    </row>
    <row r="115" spans="1:8" s="322" customFormat="1" ht="14.1" customHeight="1" x14ac:dyDescent="0.25">
      <c r="A115" s="376"/>
      <c r="B115" s="377"/>
      <c r="C115" s="377"/>
      <c r="D115" s="378"/>
      <c r="E115" s="379"/>
      <c r="F115" s="335"/>
      <c r="G115" s="376"/>
      <c r="H115" s="356"/>
    </row>
    <row r="116" spans="1:8" s="322" customFormat="1" ht="14.1" customHeight="1" x14ac:dyDescent="0.25">
      <c r="A116" s="1425"/>
      <c r="B116" s="1425"/>
      <c r="C116" s="1425"/>
      <c r="D116" s="1425"/>
      <c r="E116" s="1425"/>
      <c r="F116" s="335"/>
      <c r="G116" s="376"/>
      <c r="H116" s="356"/>
    </row>
    <row r="117" spans="1:8" x14ac:dyDescent="0.25">
      <c r="A117" s="382"/>
      <c r="B117" s="383"/>
      <c r="C117" s="383"/>
      <c r="D117" s="379"/>
      <c r="E117" s="379"/>
      <c r="F117" s="384"/>
      <c r="G117" s="382"/>
      <c r="H117" s="356"/>
    </row>
    <row r="118" spans="1:8" x14ac:dyDescent="0.25">
      <c r="A118" s="382"/>
      <c r="B118" s="383"/>
      <c r="C118" s="383"/>
      <c r="D118" s="379"/>
      <c r="E118" s="379"/>
      <c r="F118" s="384"/>
      <c r="G118" s="382"/>
      <c r="H118" s="356"/>
    </row>
    <row r="119" spans="1:8" x14ac:dyDescent="0.25">
      <c r="A119" s="382"/>
      <c r="B119" s="383"/>
      <c r="C119" s="383"/>
      <c r="D119" s="379"/>
      <c r="E119" s="379"/>
      <c r="F119" s="384"/>
      <c r="G119" s="382"/>
      <c r="H119" s="356"/>
    </row>
    <row r="120" spans="1:8" x14ac:dyDescent="0.25">
      <c r="A120" s="382"/>
      <c r="B120" s="383"/>
      <c r="C120" s="383"/>
      <c r="D120" s="379"/>
      <c r="E120" s="379"/>
      <c r="F120" s="384"/>
      <c r="G120" s="382"/>
      <c r="H120" s="356"/>
    </row>
    <row r="121" spans="1:8" x14ac:dyDescent="0.25">
      <c r="A121" s="382"/>
      <c r="B121" s="383"/>
      <c r="C121" s="383"/>
      <c r="D121" s="379"/>
      <c r="E121" s="379"/>
      <c r="F121" s="384"/>
      <c r="G121" s="382"/>
      <c r="H121" s="356"/>
    </row>
    <row r="122" spans="1:8" x14ac:dyDescent="0.25">
      <c r="A122" s="382"/>
      <c r="B122" s="383"/>
      <c r="C122" s="383"/>
      <c r="D122" s="379"/>
      <c r="E122" s="379"/>
      <c r="F122" s="384"/>
      <c r="G122" s="382"/>
      <c r="H122" s="356"/>
    </row>
    <row r="123" spans="1:8" x14ac:dyDescent="0.25">
      <c r="A123" s="382"/>
      <c r="B123" s="383"/>
      <c r="C123" s="383"/>
      <c r="D123" s="379"/>
      <c r="E123" s="379"/>
      <c r="F123" s="384"/>
      <c r="G123" s="382"/>
      <c r="H123" s="356"/>
    </row>
    <row r="124" spans="1:8" x14ac:dyDescent="0.25">
      <c r="A124" s="382"/>
      <c r="B124" s="383"/>
      <c r="C124" s="383"/>
      <c r="D124" s="379"/>
      <c r="E124" s="379"/>
      <c r="F124" s="384"/>
      <c r="G124" s="382"/>
      <c r="H124" s="356"/>
    </row>
    <row r="125" spans="1:8" x14ac:dyDescent="0.25">
      <c r="A125" s="382"/>
      <c r="B125" s="383"/>
      <c r="C125" s="383"/>
      <c r="D125" s="379"/>
      <c r="E125" s="379"/>
      <c r="F125" s="384"/>
      <c r="G125" s="382"/>
      <c r="H125" s="356"/>
    </row>
    <row r="126" spans="1:8" x14ac:dyDescent="0.25">
      <c r="A126" s="382"/>
      <c r="B126" s="383"/>
      <c r="C126" s="383"/>
      <c r="D126" s="379"/>
      <c r="E126" s="379"/>
      <c r="F126" s="382"/>
      <c r="G126" s="382"/>
      <c r="H126" s="356"/>
    </row>
    <row r="127" spans="1:8" x14ac:dyDescent="0.25">
      <c r="A127" s="382"/>
      <c r="B127" s="383"/>
      <c r="C127" s="383"/>
      <c r="D127" s="379"/>
      <c r="E127" s="379"/>
      <c r="F127" s="382"/>
      <c r="G127" s="382"/>
      <c r="H127" s="356"/>
    </row>
    <row r="128" spans="1:8" x14ac:dyDescent="0.25">
      <c r="A128" s="382"/>
      <c r="B128" s="383"/>
      <c r="C128" s="383"/>
      <c r="D128" s="379"/>
      <c r="E128" s="379"/>
      <c r="F128" s="382"/>
      <c r="G128" s="382"/>
      <c r="H128" s="356"/>
    </row>
    <row r="129" spans="1:8" x14ac:dyDescent="0.25">
      <c r="A129" s="382"/>
      <c r="B129" s="383"/>
      <c r="C129" s="383"/>
      <c r="D129" s="379"/>
      <c r="E129" s="379"/>
      <c r="F129" s="382"/>
      <c r="G129" s="382"/>
      <c r="H129" s="356"/>
    </row>
    <row r="130" spans="1:8" x14ac:dyDescent="0.25">
      <c r="A130" s="382"/>
      <c r="B130" s="383"/>
      <c r="C130" s="383"/>
      <c r="D130" s="379"/>
      <c r="E130" s="379"/>
      <c r="F130" s="382"/>
      <c r="G130" s="382"/>
      <c r="H130" s="356"/>
    </row>
    <row r="131" spans="1:8" x14ac:dyDescent="0.25">
      <c r="A131" s="382"/>
      <c r="B131" s="383"/>
      <c r="C131" s="383"/>
      <c r="D131" s="379"/>
      <c r="E131" s="379"/>
      <c r="F131" s="382"/>
      <c r="G131" s="382"/>
      <c r="H131" s="356"/>
    </row>
    <row r="132" spans="1:8" x14ac:dyDescent="0.25">
      <c r="A132" s="382"/>
      <c r="B132" s="383"/>
      <c r="C132" s="383"/>
      <c r="D132" s="379"/>
      <c r="E132" s="379"/>
      <c r="F132" s="382"/>
      <c r="G132" s="382"/>
      <c r="H132" s="356"/>
    </row>
    <row r="133" spans="1:8" x14ac:dyDescent="0.25">
      <c r="A133" s="382"/>
      <c r="B133" s="383"/>
      <c r="C133" s="383"/>
      <c r="D133" s="379"/>
      <c r="E133" s="379"/>
      <c r="F133" s="382"/>
      <c r="G133" s="382"/>
      <c r="H133" s="356"/>
    </row>
    <row r="134" spans="1:8" x14ac:dyDescent="0.25">
      <c r="A134" s="382"/>
      <c r="B134" s="383"/>
      <c r="C134" s="383"/>
      <c r="D134" s="379"/>
      <c r="E134" s="379"/>
      <c r="F134" s="382"/>
      <c r="G134" s="382"/>
      <c r="H134" s="356"/>
    </row>
    <row r="135" spans="1:8" x14ac:dyDescent="0.25">
      <c r="A135" s="382"/>
      <c r="B135" s="383"/>
      <c r="C135" s="383"/>
      <c r="D135" s="379"/>
      <c r="E135" s="379"/>
      <c r="F135" s="382"/>
      <c r="G135" s="382"/>
      <c r="H135" s="356"/>
    </row>
    <row r="136" spans="1:8" x14ac:dyDescent="0.25">
      <c r="A136" s="382"/>
      <c r="B136" s="383"/>
      <c r="C136" s="383"/>
      <c r="D136" s="379"/>
      <c r="E136" s="379"/>
      <c r="F136" s="382"/>
      <c r="G136" s="382"/>
      <c r="H136" s="356"/>
    </row>
    <row r="137" spans="1:8" x14ac:dyDescent="0.25">
      <c r="A137" s="382"/>
      <c r="B137" s="383"/>
      <c r="C137" s="383"/>
      <c r="D137" s="379"/>
      <c r="E137" s="379"/>
      <c r="F137" s="382"/>
      <c r="G137" s="382"/>
      <c r="H137" s="356"/>
    </row>
    <row r="138" spans="1:8" x14ac:dyDescent="0.25">
      <c r="A138" s="382"/>
      <c r="B138" s="383"/>
      <c r="C138" s="383"/>
      <c r="D138" s="379"/>
      <c r="E138" s="379"/>
      <c r="F138" s="382"/>
      <c r="G138" s="382"/>
      <c r="H138" s="356"/>
    </row>
    <row r="139" spans="1:8" x14ac:dyDescent="0.25">
      <c r="A139" s="382"/>
      <c r="B139" s="383"/>
      <c r="C139" s="383"/>
      <c r="D139" s="379"/>
      <c r="E139" s="379"/>
      <c r="F139" s="382"/>
      <c r="G139" s="382"/>
      <c r="H139" s="356"/>
    </row>
    <row r="140" spans="1:8" x14ac:dyDescent="0.25">
      <c r="A140" s="382"/>
      <c r="B140" s="383"/>
      <c r="C140" s="383"/>
      <c r="D140" s="379"/>
      <c r="E140" s="379"/>
      <c r="F140" s="382"/>
      <c r="G140" s="382"/>
      <c r="H140" s="356"/>
    </row>
    <row r="141" spans="1:8" x14ac:dyDescent="0.25">
      <c r="A141" s="382"/>
      <c r="B141" s="383"/>
      <c r="C141" s="383"/>
      <c r="D141" s="379"/>
      <c r="E141" s="379"/>
      <c r="F141" s="382"/>
      <c r="G141" s="382"/>
      <c r="H141" s="356"/>
    </row>
    <row r="142" spans="1:8" x14ac:dyDescent="0.25">
      <c r="A142" s="382"/>
      <c r="B142" s="383"/>
      <c r="C142" s="383"/>
      <c r="D142" s="379"/>
      <c r="E142" s="379"/>
      <c r="F142" s="382"/>
      <c r="G142" s="382"/>
      <c r="H142" s="356"/>
    </row>
    <row r="143" spans="1:8" x14ac:dyDescent="0.25">
      <c r="A143" s="382"/>
      <c r="B143" s="383"/>
      <c r="C143" s="383"/>
      <c r="D143" s="379"/>
      <c r="E143" s="379"/>
      <c r="F143" s="382"/>
      <c r="G143" s="382"/>
      <c r="H143" s="356"/>
    </row>
    <row r="144" spans="1:8" x14ac:dyDescent="0.25">
      <c r="A144" s="382"/>
      <c r="B144" s="383"/>
      <c r="C144" s="383"/>
      <c r="D144" s="379"/>
      <c r="E144" s="379"/>
      <c r="F144" s="382"/>
      <c r="G144" s="382"/>
      <c r="H144" s="356"/>
    </row>
    <row r="145" spans="1:8" x14ac:dyDescent="0.25">
      <c r="A145" s="382"/>
      <c r="B145" s="383"/>
      <c r="C145" s="383"/>
      <c r="D145" s="379"/>
      <c r="E145" s="379"/>
      <c r="F145" s="382"/>
      <c r="G145" s="382"/>
      <c r="H145" s="356"/>
    </row>
    <row r="146" spans="1:8" x14ac:dyDescent="0.25">
      <c r="A146" s="382"/>
      <c r="B146" s="383"/>
      <c r="C146" s="383"/>
      <c r="D146" s="379"/>
      <c r="E146" s="379"/>
      <c r="F146" s="382"/>
      <c r="G146" s="382"/>
      <c r="H146" s="356"/>
    </row>
    <row r="147" spans="1:8" x14ac:dyDescent="0.25">
      <c r="A147" s="382"/>
      <c r="B147" s="383"/>
      <c r="C147" s="383"/>
      <c r="D147" s="379"/>
      <c r="E147" s="379"/>
      <c r="F147" s="382"/>
      <c r="G147" s="382"/>
      <c r="H147" s="356"/>
    </row>
    <row r="148" spans="1:8" x14ac:dyDescent="0.25">
      <c r="A148" s="382"/>
      <c r="B148" s="383"/>
      <c r="C148" s="383"/>
      <c r="D148" s="379"/>
      <c r="E148" s="379"/>
      <c r="F148" s="382"/>
      <c r="G148" s="382"/>
      <c r="H148" s="356"/>
    </row>
    <row r="149" spans="1:8" x14ac:dyDescent="0.25">
      <c r="A149" s="382"/>
      <c r="B149" s="383"/>
      <c r="C149" s="383"/>
      <c r="D149" s="379"/>
      <c r="E149" s="379"/>
      <c r="F149" s="382"/>
      <c r="G149" s="382"/>
      <c r="H149" s="356"/>
    </row>
    <row r="150" spans="1:8" x14ac:dyDescent="0.25">
      <c r="A150" s="382"/>
      <c r="B150" s="383"/>
      <c r="C150" s="383"/>
      <c r="D150" s="379"/>
      <c r="E150" s="379"/>
      <c r="F150" s="382"/>
      <c r="G150" s="382"/>
      <c r="H150" s="356"/>
    </row>
    <row r="151" spans="1:8" x14ac:dyDescent="0.25">
      <c r="A151" s="382"/>
      <c r="B151" s="383"/>
      <c r="C151" s="383"/>
      <c r="D151" s="379"/>
      <c r="E151" s="379"/>
      <c r="F151" s="382"/>
      <c r="G151" s="382"/>
      <c r="H151" s="356"/>
    </row>
    <row r="152" spans="1:8" x14ac:dyDescent="0.25">
      <c r="A152" s="382"/>
      <c r="B152" s="383"/>
      <c r="C152" s="383"/>
      <c r="D152" s="379"/>
      <c r="E152" s="379"/>
      <c r="F152" s="382"/>
      <c r="G152" s="382"/>
      <c r="H152" s="356"/>
    </row>
    <row r="153" spans="1:8" x14ac:dyDescent="0.25">
      <c r="A153" s="382"/>
      <c r="B153" s="383"/>
      <c r="C153" s="383"/>
      <c r="D153" s="379"/>
      <c r="E153" s="379"/>
      <c r="F153" s="382"/>
      <c r="G153" s="382"/>
      <c r="H153" s="356"/>
    </row>
    <row r="154" spans="1:8" x14ac:dyDescent="0.25">
      <c r="A154" s="382"/>
      <c r="B154" s="383"/>
      <c r="C154" s="383"/>
      <c r="D154" s="379"/>
      <c r="E154" s="379"/>
      <c r="F154" s="382"/>
      <c r="G154" s="382"/>
      <c r="H154" s="356"/>
    </row>
    <row r="155" spans="1:8" x14ac:dyDescent="0.25">
      <c r="A155" s="382"/>
      <c r="B155" s="383"/>
      <c r="C155" s="383"/>
      <c r="D155" s="379"/>
      <c r="E155" s="379"/>
      <c r="F155" s="382"/>
      <c r="G155" s="382"/>
      <c r="H155" s="356"/>
    </row>
    <row r="156" spans="1:8" x14ac:dyDescent="0.25">
      <c r="A156" s="382"/>
      <c r="B156" s="383"/>
      <c r="C156" s="383"/>
      <c r="D156" s="379"/>
      <c r="E156" s="379"/>
      <c r="F156" s="382"/>
      <c r="G156" s="382"/>
      <c r="H156" s="356"/>
    </row>
    <row r="157" spans="1:8" x14ac:dyDescent="0.25">
      <c r="A157" s="382"/>
      <c r="B157" s="383"/>
      <c r="C157" s="383"/>
      <c r="D157" s="379"/>
      <c r="E157" s="379"/>
      <c r="F157" s="382"/>
      <c r="G157" s="382"/>
      <c r="H157" s="356"/>
    </row>
    <row r="158" spans="1:8" x14ac:dyDescent="0.25">
      <c r="A158" s="382"/>
      <c r="B158" s="383"/>
      <c r="C158" s="383"/>
      <c r="D158" s="379"/>
      <c r="E158" s="379"/>
      <c r="F158" s="382"/>
      <c r="G158" s="382"/>
      <c r="H158" s="356"/>
    </row>
    <row r="159" spans="1:8" x14ac:dyDescent="0.25">
      <c r="A159" s="382"/>
      <c r="B159" s="383"/>
      <c r="C159" s="383"/>
      <c r="D159" s="379"/>
      <c r="E159" s="379"/>
      <c r="F159" s="382"/>
      <c r="G159" s="382"/>
      <c r="H159" s="356"/>
    </row>
    <row r="160" spans="1:8" x14ac:dyDescent="0.25">
      <c r="A160" s="382"/>
      <c r="B160" s="383"/>
      <c r="C160" s="383"/>
      <c r="D160" s="379"/>
      <c r="E160" s="379"/>
      <c r="F160" s="382"/>
      <c r="G160" s="382"/>
      <c r="H160" s="356"/>
    </row>
    <row r="161" spans="1:8" x14ac:dyDescent="0.25">
      <c r="A161" s="382"/>
      <c r="B161" s="383"/>
      <c r="C161" s="383"/>
      <c r="D161" s="379"/>
      <c r="E161" s="379"/>
      <c r="F161" s="382"/>
      <c r="G161" s="382"/>
      <c r="H161" s="356"/>
    </row>
    <row r="162" spans="1:8" x14ac:dyDescent="0.25">
      <c r="A162" s="382"/>
      <c r="B162" s="383"/>
      <c r="C162" s="383"/>
      <c r="D162" s="379"/>
      <c r="E162" s="379"/>
      <c r="F162" s="382"/>
      <c r="G162" s="382"/>
      <c r="H162" s="356"/>
    </row>
    <row r="163" spans="1:8" x14ac:dyDescent="0.25">
      <c r="A163" s="382"/>
      <c r="B163" s="383"/>
      <c r="C163" s="383"/>
      <c r="D163" s="379"/>
      <c r="E163" s="379"/>
      <c r="F163" s="382"/>
      <c r="G163" s="382"/>
      <c r="H163" s="356"/>
    </row>
    <row r="164" spans="1:8" x14ac:dyDescent="0.25">
      <c r="A164" s="382"/>
      <c r="B164" s="383"/>
      <c r="C164" s="383"/>
      <c r="D164" s="379"/>
      <c r="E164" s="379"/>
      <c r="F164" s="382"/>
      <c r="G164" s="382"/>
      <c r="H164" s="356"/>
    </row>
    <row r="165" spans="1:8" x14ac:dyDescent="0.25">
      <c r="A165" s="382"/>
      <c r="B165" s="383"/>
      <c r="C165" s="383"/>
      <c r="D165" s="379"/>
      <c r="E165" s="379"/>
      <c r="F165" s="382"/>
      <c r="G165" s="382"/>
      <c r="H165" s="356"/>
    </row>
    <row r="166" spans="1:8" x14ac:dyDescent="0.25">
      <c r="A166" s="382"/>
      <c r="B166" s="383"/>
      <c r="C166" s="383"/>
      <c r="D166" s="379"/>
      <c r="E166" s="379"/>
      <c r="F166" s="382"/>
      <c r="G166" s="382"/>
      <c r="H166" s="356"/>
    </row>
    <row r="167" spans="1:8" x14ac:dyDescent="0.25">
      <c r="A167" s="382"/>
      <c r="B167" s="383"/>
      <c r="C167" s="383"/>
      <c r="D167" s="379"/>
      <c r="E167" s="379"/>
      <c r="F167" s="382"/>
      <c r="G167" s="382"/>
      <c r="H167" s="356"/>
    </row>
    <row r="168" spans="1:8" x14ac:dyDescent="0.25">
      <c r="A168" s="382"/>
      <c r="B168" s="383"/>
      <c r="C168" s="383"/>
      <c r="D168" s="379"/>
      <c r="E168" s="379"/>
      <c r="F168" s="382"/>
      <c r="G168" s="382"/>
      <c r="H168" s="356"/>
    </row>
    <row r="169" spans="1:8" x14ac:dyDescent="0.25">
      <c r="A169" s="382"/>
      <c r="B169" s="383"/>
      <c r="C169" s="383"/>
      <c r="D169" s="379"/>
      <c r="E169" s="379"/>
      <c r="F169" s="382"/>
      <c r="G169" s="382"/>
      <c r="H169" s="356"/>
    </row>
    <row r="170" spans="1:8" x14ac:dyDescent="0.25">
      <c r="A170" s="382"/>
      <c r="B170" s="383"/>
      <c r="C170" s="383"/>
      <c r="D170" s="379"/>
      <c r="E170" s="379"/>
      <c r="F170" s="382"/>
      <c r="G170" s="382"/>
      <c r="H170" s="356"/>
    </row>
    <row r="171" spans="1:8" x14ac:dyDescent="0.25">
      <c r="A171" s="382"/>
      <c r="B171" s="383"/>
      <c r="C171" s="383"/>
      <c r="D171" s="379"/>
      <c r="E171" s="379"/>
      <c r="F171" s="382"/>
      <c r="G171" s="382"/>
      <c r="H171" s="356"/>
    </row>
    <row r="172" spans="1:8" x14ac:dyDescent="0.25">
      <c r="A172" s="382"/>
      <c r="B172" s="383"/>
      <c r="C172" s="383"/>
      <c r="D172" s="379"/>
      <c r="E172" s="379"/>
      <c r="F172" s="382"/>
      <c r="G172" s="382"/>
      <c r="H172" s="356"/>
    </row>
    <row r="173" spans="1:8" x14ac:dyDescent="0.25">
      <c r="A173" s="382"/>
      <c r="B173" s="383"/>
      <c r="C173" s="383"/>
      <c r="D173" s="379"/>
      <c r="E173" s="379"/>
      <c r="F173" s="382"/>
      <c r="G173" s="382"/>
      <c r="H173" s="356"/>
    </row>
    <row r="174" spans="1:8" x14ac:dyDescent="0.25">
      <c r="A174" s="382"/>
      <c r="B174" s="383"/>
      <c r="C174" s="383"/>
      <c r="D174" s="379"/>
      <c r="E174" s="379"/>
      <c r="F174" s="382"/>
      <c r="G174" s="382"/>
      <c r="H174" s="356"/>
    </row>
    <row r="175" spans="1:8" x14ac:dyDescent="0.25">
      <c r="A175" s="382"/>
      <c r="B175" s="383"/>
      <c r="C175" s="383"/>
      <c r="D175" s="379"/>
      <c r="E175" s="379"/>
      <c r="F175" s="382"/>
      <c r="G175" s="382"/>
      <c r="H175" s="356"/>
    </row>
    <row r="176" spans="1:8" x14ac:dyDescent="0.25">
      <c r="A176" s="382"/>
      <c r="B176" s="383"/>
      <c r="C176" s="383"/>
      <c r="D176" s="379"/>
      <c r="E176" s="379"/>
      <c r="F176" s="382"/>
      <c r="G176" s="382"/>
      <c r="H176" s="356"/>
    </row>
    <row r="177" spans="1:8" x14ac:dyDescent="0.25">
      <c r="A177" s="382"/>
      <c r="B177" s="383"/>
      <c r="C177" s="383"/>
      <c r="D177" s="379"/>
      <c r="E177" s="379"/>
      <c r="F177" s="382"/>
      <c r="G177" s="382"/>
      <c r="H177" s="356"/>
    </row>
    <row r="178" spans="1:8" x14ac:dyDescent="0.25">
      <c r="A178" s="382"/>
      <c r="B178" s="383"/>
      <c r="C178" s="383"/>
      <c r="D178" s="379"/>
      <c r="E178" s="379"/>
      <c r="F178" s="382"/>
      <c r="G178" s="382"/>
      <c r="H178" s="356"/>
    </row>
    <row r="179" spans="1:8" x14ac:dyDescent="0.25">
      <c r="A179" s="382"/>
      <c r="B179" s="383"/>
      <c r="C179" s="383"/>
      <c r="D179" s="379"/>
      <c r="E179" s="379"/>
      <c r="F179" s="382"/>
      <c r="G179" s="382"/>
      <c r="H179" s="356"/>
    </row>
    <row r="180" spans="1:8" x14ac:dyDescent="0.25">
      <c r="A180" s="382"/>
      <c r="B180" s="383"/>
      <c r="C180" s="383"/>
      <c r="D180" s="379"/>
      <c r="E180" s="379"/>
      <c r="F180" s="382"/>
      <c r="G180" s="382"/>
      <c r="H180" s="356"/>
    </row>
    <row r="181" spans="1:8" x14ac:dyDescent="0.25">
      <c r="A181" s="382"/>
      <c r="B181" s="383"/>
      <c r="C181" s="383"/>
      <c r="D181" s="379"/>
      <c r="E181" s="379"/>
      <c r="F181" s="382"/>
      <c r="G181" s="382"/>
      <c r="H181" s="356"/>
    </row>
    <row r="182" spans="1:8" x14ac:dyDescent="0.25">
      <c r="A182" s="382"/>
      <c r="B182" s="383"/>
      <c r="C182" s="383"/>
      <c r="D182" s="379"/>
      <c r="E182" s="379"/>
      <c r="F182" s="382"/>
      <c r="G182" s="382"/>
      <c r="H182" s="356"/>
    </row>
    <row r="183" spans="1:8" x14ac:dyDescent="0.25">
      <c r="A183" s="382"/>
      <c r="B183" s="383"/>
      <c r="C183" s="383"/>
      <c r="D183" s="379"/>
      <c r="E183" s="379"/>
      <c r="F183" s="382"/>
      <c r="G183" s="382"/>
      <c r="H183" s="356"/>
    </row>
    <row r="184" spans="1:8" x14ac:dyDescent="0.25">
      <c r="A184" s="382"/>
      <c r="B184" s="383"/>
      <c r="C184" s="383"/>
      <c r="D184" s="379"/>
      <c r="E184" s="379"/>
      <c r="F184" s="382"/>
      <c r="G184" s="382"/>
      <c r="H184" s="356"/>
    </row>
    <row r="185" spans="1:8" x14ac:dyDescent="0.25">
      <c r="A185" s="382"/>
      <c r="B185" s="383"/>
      <c r="C185" s="383"/>
      <c r="D185" s="379"/>
      <c r="E185" s="379"/>
      <c r="F185" s="382"/>
      <c r="G185" s="382"/>
      <c r="H185" s="356"/>
    </row>
    <row r="186" spans="1:8" x14ac:dyDescent="0.25">
      <c r="A186" s="382"/>
      <c r="B186" s="383"/>
      <c r="C186" s="383"/>
      <c r="D186" s="379"/>
      <c r="E186" s="379"/>
      <c r="F186" s="382"/>
      <c r="G186" s="382"/>
      <c r="H186" s="356"/>
    </row>
    <row r="187" spans="1:8" x14ac:dyDescent="0.25">
      <c r="A187" s="382"/>
      <c r="B187" s="383"/>
      <c r="C187" s="383"/>
      <c r="D187" s="379"/>
      <c r="E187" s="379"/>
      <c r="F187" s="382"/>
      <c r="G187" s="382"/>
      <c r="H187" s="356"/>
    </row>
    <row r="188" spans="1:8" x14ac:dyDescent="0.25">
      <c r="A188" s="382"/>
      <c r="B188" s="383"/>
      <c r="C188" s="383"/>
      <c r="D188" s="379"/>
      <c r="E188" s="379"/>
      <c r="F188" s="382"/>
      <c r="G188" s="382"/>
      <c r="H188" s="356"/>
    </row>
    <row r="189" spans="1:8" x14ac:dyDescent="0.25">
      <c r="A189" s="382"/>
      <c r="B189" s="383"/>
      <c r="C189" s="383"/>
      <c r="D189" s="379"/>
      <c r="E189" s="379"/>
      <c r="F189" s="382"/>
      <c r="G189" s="382"/>
      <c r="H189" s="356"/>
    </row>
    <row r="190" spans="1:8" x14ac:dyDescent="0.25">
      <c r="A190" s="382"/>
      <c r="B190" s="383"/>
      <c r="C190" s="383"/>
      <c r="D190" s="379"/>
      <c r="E190" s="379"/>
      <c r="F190" s="382"/>
      <c r="G190" s="382"/>
      <c r="H190" s="356"/>
    </row>
    <row r="191" spans="1:8" x14ac:dyDescent="0.25">
      <c r="A191" s="382"/>
      <c r="B191" s="383"/>
      <c r="C191" s="383"/>
      <c r="D191" s="379"/>
      <c r="E191" s="379"/>
      <c r="F191" s="382"/>
      <c r="G191" s="382"/>
      <c r="H191" s="356"/>
    </row>
    <row r="192" spans="1:8" x14ac:dyDescent="0.25">
      <c r="A192" s="382"/>
      <c r="B192" s="383"/>
      <c r="C192" s="383"/>
      <c r="D192" s="379"/>
      <c r="E192" s="379"/>
      <c r="F192" s="382"/>
      <c r="G192" s="382"/>
      <c r="H192" s="356"/>
    </row>
    <row r="193" spans="1:8" x14ac:dyDescent="0.25">
      <c r="A193" s="382"/>
      <c r="B193" s="383"/>
      <c r="C193" s="383"/>
      <c r="D193" s="379"/>
      <c r="E193" s="379"/>
      <c r="F193" s="382"/>
      <c r="G193" s="382"/>
      <c r="H193" s="356"/>
    </row>
    <row r="194" spans="1:8" x14ac:dyDescent="0.25">
      <c r="A194" s="382"/>
      <c r="B194" s="383"/>
      <c r="C194" s="383"/>
      <c r="D194" s="379"/>
      <c r="E194" s="379"/>
      <c r="F194" s="382"/>
      <c r="G194" s="382"/>
      <c r="H194" s="356"/>
    </row>
    <row r="195" spans="1:8" x14ac:dyDescent="0.25">
      <c r="A195" s="382"/>
      <c r="B195" s="383"/>
      <c r="C195" s="383"/>
      <c r="D195" s="379"/>
      <c r="E195" s="379"/>
      <c r="F195" s="382"/>
      <c r="G195" s="382"/>
      <c r="H195" s="356"/>
    </row>
    <row r="196" spans="1:8" x14ac:dyDescent="0.25">
      <c r="A196" s="382"/>
      <c r="B196" s="383"/>
      <c r="C196" s="383"/>
      <c r="D196" s="379"/>
      <c r="E196" s="379"/>
      <c r="F196" s="382"/>
      <c r="G196" s="382"/>
      <c r="H196" s="356"/>
    </row>
    <row r="197" spans="1:8" x14ac:dyDescent="0.25">
      <c r="A197" s="382"/>
      <c r="B197" s="383"/>
      <c r="C197" s="383"/>
      <c r="D197" s="379"/>
      <c r="E197" s="379"/>
      <c r="F197" s="382"/>
      <c r="G197" s="382"/>
      <c r="H197" s="356"/>
    </row>
    <row r="198" spans="1:8" x14ac:dyDescent="0.25">
      <c r="A198" s="382"/>
      <c r="B198" s="383"/>
      <c r="C198" s="383"/>
      <c r="D198" s="379"/>
      <c r="E198" s="379"/>
      <c r="F198" s="382"/>
      <c r="G198" s="382"/>
      <c r="H198" s="356"/>
    </row>
    <row r="199" spans="1:8" x14ac:dyDescent="0.25">
      <c r="A199" s="382"/>
      <c r="B199" s="383"/>
      <c r="C199" s="383"/>
      <c r="D199" s="379"/>
      <c r="E199" s="379"/>
      <c r="F199" s="382"/>
      <c r="G199" s="382"/>
      <c r="H199" s="356"/>
    </row>
    <row r="200" spans="1:8" x14ac:dyDescent="0.25">
      <c r="A200" s="382"/>
      <c r="B200" s="383"/>
      <c r="C200" s="383"/>
      <c r="D200" s="379"/>
      <c r="E200" s="379"/>
      <c r="F200" s="382"/>
      <c r="G200" s="382"/>
      <c r="H200" s="356"/>
    </row>
    <row r="201" spans="1:8" x14ac:dyDescent="0.25">
      <c r="A201" s="382"/>
      <c r="B201" s="383"/>
      <c r="C201" s="383"/>
      <c r="D201" s="379"/>
      <c r="E201" s="379"/>
      <c r="F201" s="382"/>
      <c r="G201" s="382"/>
      <c r="H201" s="356"/>
    </row>
  </sheetData>
  <mergeCells count="4">
    <mergeCell ref="D8:E8"/>
    <mergeCell ref="D9:D10"/>
    <mergeCell ref="E9:E10"/>
    <mergeCell ref="A116:E116"/>
  </mergeCells>
  <pageMargins left="0.4" right="0.27559055118110237" top="0.74803149606299213" bottom="0.47244094488188981" header="0.11811023622047245" footer="0.51181102362204722"/>
  <pageSetup paperSize="9" scale="51" fitToHeight="2" orientation="portrait" r:id="rId1"/>
  <headerFooter alignWithMargins="0"/>
  <rowBreaks count="1" manualBreakCount="1">
    <brk id="96" max="7" man="1"/>
  </row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13"/>
  <sheetViews>
    <sheetView zoomScaleNormal="100" zoomScaleSheetLayoutView="100" workbookViewId="0"/>
  </sheetViews>
  <sheetFormatPr defaultRowHeight="11.25" x14ac:dyDescent="0.25"/>
  <cols>
    <col min="1" max="1" width="5.5703125" style="553" customWidth="1"/>
    <col min="2" max="2" width="18.7109375" style="553" customWidth="1"/>
    <col min="3" max="3" width="3.7109375" style="553" customWidth="1"/>
    <col min="4" max="4" width="3.5703125" style="553" customWidth="1"/>
    <col min="5" max="5" width="12.42578125" style="553" customWidth="1"/>
    <col min="6" max="6" width="12.140625" style="553" customWidth="1"/>
    <col min="7" max="7" width="14.7109375" style="553" customWidth="1"/>
    <col min="8" max="8" width="3.5703125" style="553" customWidth="1"/>
    <col min="9" max="9" width="10.5703125" style="553" customWidth="1"/>
    <col min="10" max="10" width="14.42578125" style="553" customWidth="1"/>
    <col min="11" max="16384" width="9.140625" style="553"/>
  </cols>
  <sheetData>
    <row r="1" spans="1:13" ht="7.5" customHeight="1" x14ac:dyDescent="0.25">
      <c r="A1" s="552"/>
      <c r="F1" s="496"/>
      <c r="G1" s="496"/>
      <c r="H1" s="496"/>
      <c r="I1" s="496"/>
    </row>
    <row r="2" spans="1:13" ht="17.25" customHeight="1" x14ac:dyDescent="0.25">
      <c r="A2" s="552"/>
      <c r="B2" s="1558" t="s">
        <v>1634</v>
      </c>
      <c r="C2" s="1559"/>
      <c r="E2" s="496"/>
      <c r="F2" s="886" t="s">
        <v>1673</v>
      </c>
      <c r="G2" s="837" t="str">
        <f>"  "&amp;'BS-SK Cover sheet'!A11&amp;"  "&amp;'BS-SK Cover sheet'!B11&amp;"  "&amp;'BS-SK Cover sheet'!C11&amp;"  "&amp;'BS-SK Cover sheet'!D11&amp;"  "&amp;'BS-SK Cover sheet'!E11&amp;"  "&amp;'BS-SK Cover sheet'!F11&amp;"  "&amp;'BS-SK Cover sheet'!G11&amp;"  "&amp;'BS-SK Cover sheet'!H11&amp;"  "&amp;'BS-SK Cover sheet'!I11&amp;"  "&amp;'BS-SK Cover sheet'!J11</f>
        <v xml:space="preserve">  2  0  2  0  3  3  6  4  0  6</v>
      </c>
      <c r="H2" s="575"/>
      <c r="I2" s="574"/>
    </row>
    <row r="3" spans="1:13" ht="7.5" customHeight="1" thickBot="1" x14ac:dyDescent="0.3">
      <c r="A3" s="552"/>
    </row>
    <row r="4" spans="1:13" s="571" customFormat="1" ht="11.25" customHeight="1" x14ac:dyDescent="0.25">
      <c r="A4" s="1563" t="s">
        <v>1674</v>
      </c>
      <c r="B4" s="1565" t="s">
        <v>1675</v>
      </c>
      <c r="C4" s="1567" t="s">
        <v>1676</v>
      </c>
      <c r="D4" s="1492" t="s">
        <v>1677</v>
      </c>
      <c r="E4" s="1493"/>
      <c r="F4" s="1493"/>
      <c r="G4" s="1493"/>
      <c r="H4" s="1494"/>
      <c r="I4" s="1490" t="s">
        <v>1655</v>
      </c>
      <c r="J4" s="1491"/>
    </row>
    <row r="5" spans="1:13" s="571" customFormat="1" ht="11.25" customHeight="1" x14ac:dyDescent="0.25">
      <c r="A5" s="1564"/>
      <c r="B5" s="1566"/>
      <c r="C5" s="1568"/>
      <c r="D5" s="1511">
        <v>1</v>
      </c>
      <c r="E5" s="1478" t="s">
        <v>1678</v>
      </c>
      <c r="F5" s="1570"/>
      <c r="G5" s="1626" t="s">
        <v>1262</v>
      </c>
      <c r="H5" s="1627"/>
      <c r="I5" s="1480"/>
      <c r="J5" s="1489"/>
    </row>
    <row r="6" spans="1:13" s="571" customFormat="1" ht="12" customHeight="1" x14ac:dyDescent="0.25">
      <c r="A6" s="1532"/>
      <c r="B6" s="1531"/>
      <c r="C6" s="1538"/>
      <c r="D6" s="1569"/>
      <c r="E6" s="1478" t="s">
        <v>1679</v>
      </c>
      <c r="F6" s="1570"/>
      <c r="G6" s="1628"/>
      <c r="H6" s="1629"/>
      <c r="I6" s="1478" t="s">
        <v>1260</v>
      </c>
      <c r="J6" s="1479"/>
    </row>
    <row r="7" spans="1:13" s="573" customFormat="1" ht="27.95" customHeight="1" x14ac:dyDescent="0.25">
      <c r="A7" s="1523"/>
      <c r="B7" s="1625" t="s">
        <v>1680</v>
      </c>
      <c r="C7" s="1519" t="s">
        <v>522</v>
      </c>
      <c r="D7" s="1477">
        <f>BS!D10</f>
        <v>2889948</v>
      </c>
      <c r="E7" s="1477"/>
      <c r="F7" s="1477"/>
      <c r="G7" s="1473">
        <f>BS!F10</f>
        <v>2867628</v>
      </c>
      <c r="H7" s="1474"/>
      <c r="I7" s="1476"/>
      <c r="J7" s="572"/>
    </row>
    <row r="8" spans="1:13" s="573" customFormat="1" ht="27.95" customHeight="1" x14ac:dyDescent="0.25">
      <c r="A8" s="1523"/>
      <c r="B8" s="1573"/>
      <c r="C8" s="1519"/>
      <c r="D8" s="1477">
        <f>BS!E10</f>
        <v>223320</v>
      </c>
      <c r="E8" s="1477"/>
      <c r="F8" s="1477"/>
      <c r="G8" s="803"/>
      <c r="H8" s="1473">
        <f>BS!G10</f>
        <v>2216815</v>
      </c>
      <c r="I8" s="1474"/>
      <c r="J8" s="1475"/>
      <c r="M8" s="573" t="s">
        <v>1177</v>
      </c>
    </row>
    <row r="9" spans="1:13" s="573" customFormat="1" ht="27.95" customHeight="1" x14ac:dyDescent="0.25">
      <c r="A9" s="1517" t="s">
        <v>523</v>
      </c>
      <c r="B9" s="1630" t="s">
        <v>1681</v>
      </c>
      <c r="C9" s="1519" t="s">
        <v>525</v>
      </c>
      <c r="D9" s="1477">
        <f>BS!D11</f>
        <v>38844</v>
      </c>
      <c r="E9" s="1477"/>
      <c r="F9" s="1477"/>
      <c r="G9" s="1473">
        <f>BS!F11</f>
        <v>18240</v>
      </c>
      <c r="H9" s="1474"/>
      <c r="I9" s="1476"/>
      <c r="J9" s="572"/>
    </row>
    <row r="10" spans="1:13" s="573" customFormat="1" ht="27.95" customHeight="1" x14ac:dyDescent="0.25">
      <c r="A10" s="1517"/>
      <c r="B10" s="1539"/>
      <c r="C10" s="1519"/>
      <c r="D10" s="1477">
        <f>BS!E11</f>
        <v>20604</v>
      </c>
      <c r="E10" s="1477"/>
      <c r="F10" s="1477"/>
      <c r="G10" s="803"/>
      <c r="H10" s="1473">
        <f>BS!G11</f>
        <v>26010</v>
      </c>
      <c r="I10" s="1474"/>
      <c r="J10" s="1475"/>
    </row>
    <row r="11" spans="1:13" s="573" customFormat="1" ht="27.95" customHeight="1" x14ac:dyDescent="0.25">
      <c r="A11" s="1517" t="s">
        <v>526</v>
      </c>
      <c r="B11" s="1630" t="s">
        <v>1682</v>
      </c>
      <c r="C11" s="1519" t="s">
        <v>528</v>
      </c>
      <c r="D11" s="1477">
        <f>BS!D12</f>
        <v>0</v>
      </c>
      <c r="E11" s="1477"/>
      <c r="F11" s="1477"/>
      <c r="G11" s="1473">
        <f>BS!F12</f>
        <v>0</v>
      </c>
      <c r="H11" s="1474"/>
      <c r="I11" s="1476"/>
      <c r="J11" s="840"/>
    </row>
    <row r="12" spans="1:13" s="573" customFormat="1" ht="27.95" customHeight="1" x14ac:dyDescent="0.25">
      <c r="A12" s="1517"/>
      <c r="B12" s="1539"/>
      <c r="C12" s="1519"/>
      <c r="D12" s="1477">
        <f>BS!E12</f>
        <v>0</v>
      </c>
      <c r="E12" s="1477"/>
      <c r="F12" s="1477"/>
      <c r="G12" s="803"/>
      <c r="H12" s="1473">
        <f>BS!G12</f>
        <v>0</v>
      </c>
      <c r="I12" s="1474"/>
      <c r="J12" s="1475"/>
    </row>
    <row r="13" spans="1:13" s="571" customFormat="1" ht="27.95" customHeight="1" x14ac:dyDescent="0.25">
      <c r="A13" s="1513" t="s">
        <v>529</v>
      </c>
      <c r="B13" s="1590" t="s">
        <v>1683</v>
      </c>
      <c r="C13" s="1515" t="s">
        <v>531</v>
      </c>
      <c r="D13" s="1477">
        <f>BS!D13</f>
        <v>0</v>
      </c>
      <c r="E13" s="1477"/>
      <c r="F13" s="1477"/>
      <c r="G13" s="1473">
        <f>BS!F13</f>
        <v>0</v>
      </c>
      <c r="H13" s="1474"/>
      <c r="I13" s="1476"/>
      <c r="J13" s="572"/>
    </row>
    <row r="14" spans="1:13" s="571" customFormat="1" ht="27.95" customHeight="1" x14ac:dyDescent="0.25">
      <c r="A14" s="1514"/>
      <c r="B14" s="1542"/>
      <c r="C14" s="1516"/>
      <c r="D14" s="1477">
        <f>BS!E13</f>
        <v>0</v>
      </c>
      <c r="E14" s="1477"/>
      <c r="F14" s="1477"/>
      <c r="G14" s="803"/>
      <c r="H14" s="1473">
        <f>BS!G13</f>
        <v>0</v>
      </c>
      <c r="I14" s="1474"/>
      <c r="J14" s="1475"/>
    </row>
    <row r="15" spans="1:13" s="571" customFormat="1" ht="27.95" customHeight="1" x14ac:dyDescent="0.25">
      <c r="A15" s="1512" t="s">
        <v>532</v>
      </c>
      <c r="B15" s="1590" t="s">
        <v>1684</v>
      </c>
      <c r="C15" s="1515" t="s">
        <v>534</v>
      </c>
      <c r="D15" s="1477">
        <f>BS!D14</f>
        <v>0</v>
      </c>
      <c r="E15" s="1477"/>
      <c r="F15" s="1477"/>
      <c r="G15" s="1473">
        <f>BS!F14</f>
        <v>0</v>
      </c>
      <c r="H15" s="1474"/>
      <c r="I15" s="1476"/>
      <c r="J15" s="572"/>
    </row>
    <row r="16" spans="1:13" s="571" customFormat="1" ht="27.95" customHeight="1" x14ac:dyDescent="0.25">
      <c r="A16" s="1512"/>
      <c r="B16" s="1542"/>
      <c r="C16" s="1516"/>
      <c r="D16" s="1477">
        <f>BS!E14</f>
        <v>0</v>
      </c>
      <c r="E16" s="1477"/>
      <c r="F16" s="1477"/>
      <c r="G16" s="803"/>
      <c r="H16" s="1473">
        <f>BS!G14</f>
        <v>0</v>
      </c>
      <c r="I16" s="1474"/>
      <c r="J16" s="1475"/>
    </row>
    <row r="17" spans="1:10" s="571" customFormat="1" ht="27.95" customHeight="1" x14ac:dyDescent="0.25">
      <c r="A17" s="1512" t="s">
        <v>535</v>
      </c>
      <c r="B17" s="1590" t="s">
        <v>1685</v>
      </c>
      <c r="C17" s="1515" t="s">
        <v>537</v>
      </c>
      <c r="D17" s="1477">
        <f>BS!D15</f>
        <v>0</v>
      </c>
      <c r="E17" s="1477"/>
      <c r="F17" s="1477"/>
      <c r="G17" s="1473">
        <f>BS!F15</f>
        <v>0</v>
      </c>
      <c r="H17" s="1474"/>
      <c r="I17" s="1476"/>
      <c r="J17" s="572"/>
    </row>
    <row r="18" spans="1:10" s="571" customFormat="1" ht="27.95" customHeight="1" x14ac:dyDescent="0.25">
      <c r="A18" s="1512"/>
      <c r="B18" s="1542"/>
      <c r="C18" s="1516"/>
      <c r="D18" s="1477">
        <f>BS!E15</f>
        <v>0</v>
      </c>
      <c r="E18" s="1477"/>
      <c r="F18" s="1477"/>
      <c r="G18" s="803"/>
      <c r="H18" s="1473">
        <f>BS!G15</f>
        <v>0</v>
      </c>
      <c r="I18" s="1474"/>
      <c r="J18" s="1475"/>
    </row>
    <row r="19" spans="1:10" s="571" customFormat="1" ht="27.95" customHeight="1" x14ac:dyDescent="0.25">
      <c r="A19" s="1512" t="s">
        <v>538</v>
      </c>
      <c r="B19" s="1590" t="s">
        <v>1686</v>
      </c>
      <c r="C19" s="1515" t="s">
        <v>540</v>
      </c>
      <c r="D19" s="1477">
        <f>BS!D16</f>
        <v>0</v>
      </c>
      <c r="E19" s="1477"/>
      <c r="F19" s="1477"/>
      <c r="G19" s="1473">
        <f>BS!F16</f>
        <v>0</v>
      </c>
      <c r="H19" s="1474"/>
      <c r="I19" s="1476"/>
      <c r="J19" s="572"/>
    </row>
    <row r="20" spans="1:10" s="571" customFormat="1" ht="27.95" customHeight="1" x14ac:dyDescent="0.25">
      <c r="A20" s="1512"/>
      <c r="B20" s="1542"/>
      <c r="C20" s="1516"/>
      <c r="D20" s="1477">
        <f>BS!E16</f>
        <v>0</v>
      </c>
      <c r="E20" s="1477"/>
      <c r="F20" s="1477"/>
      <c r="G20" s="803"/>
      <c r="H20" s="1473">
        <f>BS!G16</f>
        <v>0</v>
      </c>
      <c r="I20" s="1474"/>
      <c r="J20" s="1475"/>
    </row>
    <row r="21" spans="1:10" s="571" customFormat="1" ht="27.95" customHeight="1" x14ac:dyDescent="0.25">
      <c r="A21" s="1512" t="s">
        <v>541</v>
      </c>
      <c r="B21" s="1590" t="s">
        <v>1687</v>
      </c>
      <c r="C21" s="1515" t="s">
        <v>543</v>
      </c>
      <c r="D21" s="1477">
        <f>BS!D17</f>
        <v>0</v>
      </c>
      <c r="E21" s="1477"/>
      <c r="F21" s="1477"/>
      <c r="G21" s="1473">
        <f>BS!F17</f>
        <v>0</v>
      </c>
      <c r="H21" s="1474"/>
      <c r="I21" s="1476"/>
      <c r="J21" s="572"/>
    </row>
    <row r="22" spans="1:10" s="571" customFormat="1" ht="27.95" customHeight="1" x14ac:dyDescent="0.25">
      <c r="A22" s="1512"/>
      <c r="B22" s="1542"/>
      <c r="C22" s="1516"/>
      <c r="D22" s="1477">
        <f>BS!E17</f>
        <v>0</v>
      </c>
      <c r="E22" s="1477"/>
      <c r="F22" s="1477"/>
      <c r="G22" s="803"/>
      <c r="H22" s="1473">
        <f>BS!G17</f>
        <v>0</v>
      </c>
      <c r="I22" s="1474"/>
      <c r="J22" s="1475"/>
    </row>
    <row r="23" spans="1:10" s="571" customFormat="1" ht="27.95" customHeight="1" x14ac:dyDescent="0.25">
      <c r="A23" s="1512" t="s">
        <v>544</v>
      </c>
      <c r="B23" s="1590" t="s">
        <v>1688</v>
      </c>
      <c r="C23" s="1515" t="s">
        <v>546</v>
      </c>
      <c r="D23" s="1477">
        <f>BS!D18</f>
        <v>0</v>
      </c>
      <c r="E23" s="1477"/>
      <c r="F23" s="1477"/>
      <c r="G23" s="1473">
        <f>BS!F18</f>
        <v>0</v>
      </c>
      <c r="H23" s="1474"/>
      <c r="I23" s="1476"/>
      <c r="J23" s="572"/>
    </row>
    <row r="24" spans="1:10" s="571" customFormat="1" ht="27.95" customHeight="1" x14ac:dyDescent="0.25">
      <c r="A24" s="1512"/>
      <c r="B24" s="1542"/>
      <c r="C24" s="1516"/>
      <c r="D24" s="1477">
        <f>BS!E18</f>
        <v>0</v>
      </c>
      <c r="E24" s="1477"/>
      <c r="F24" s="1477"/>
      <c r="G24" s="803"/>
      <c r="H24" s="1473">
        <f>BS!G18</f>
        <v>0</v>
      </c>
      <c r="I24" s="1474"/>
      <c r="J24" s="1475"/>
    </row>
    <row r="25" spans="1:10" s="571" customFormat="1" ht="27.95" customHeight="1" x14ac:dyDescent="0.25">
      <c r="A25" s="1512" t="s">
        <v>547</v>
      </c>
      <c r="B25" s="1590" t="s">
        <v>1689</v>
      </c>
      <c r="C25" s="1515" t="s">
        <v>549</v>
      </c>
      <c r="D25" s="1477">
        <f>BS!D19</f>
        <v>0</v>
      </c>
      <c r="E25" s="1477"/>
      <c r="F25" s="1477"/>
      <c r="G25" s="1473">
        <f>BS!F19</f>
        <v>0</v>
      </c>
      <c r="H25" s="1474"/>
      <c r="I25" s="1476"/>
      <c r="J25" s="572"/>
    </row>
    <row r="26" spans="1:10" s="571" customFormat="1" ht="27.95" customHeight="1" x14ac:dyDescent="0.25">
      <c r="A26" s="1512"/>
      <c r="B26" s="1542"/>
      <c r="C26" s="1516"/>
      <c r="D26" s="1477">
        <f>BS!E19</f>
        <v>0</v>
      </c>
      <c r="E26" s="1477"/>
      <c r="F26" s="1477"/>
      <c r="G26" s="803"/>
      <c r="H26" s="1473">
        <f>BS!G19</f>
        <v>0</v>
      </c>
      <c r="I26" s="1474"/>
      <c r="J26" s="1475"/>
    </row>
    <row r="27" spans="1:10" s="573" customFormat="1" ht="27.95" customHeight="1" x14ac:dyDescent="0.25">
      <c r="A27" s="1526" t="s">
        <v>550</v>
      </c>
      <c r="B27" s="1625" t="s">
        <v>1690</v>
      </c>
      <c r="C27" s="1527" t="s">
        <v>552</v>
      </c>
      <c r="D27" s="1477">
        <f>BS!D20</f>
        <v>38844</v>
      </c>
      <c r="E27" s="1477"/>
      <c r="F27" s="1477"/>
      <c r="G27" s="1473">
        <f>BS!F20</f>
        <v>18240</v>
      </c>
      <c r="H27" s="1474"/>
      <c r="I27" s="1476"/>
      <c r="J27" s="572"/>
    </row>
    <row r="28" spans="1:10" s="573" customFormat="1" ht="27.95" customHeight="1" x14ac:dyDescent="0.25">
      <c r="A28" s="1517"/>
      <c r="B28" s="1573"/>
      <c r="C28" s="1528"/>
      <c r="D28" s="1477">
        <f>BS!E20</f>
        <v>20604</v>
      </c>
      <c r="E28" s="1477"/>
      <c r="F28" s="1477"/>
      <c r="G28" s="803"/>
      <c r="H28" s="1473">
        <f>BS!G20</f>
        <v>26010</v>
      </c>
      <c r="I28" s="1474"/>
      <c r="J28" s="1475"/>
    </row>
    <row r="29" spans="1:10" s="571" customFormat="1" ht="27.95" customHeight="1" x14ac:dyDescent="0.25">
      <c r="A29" s="1513" t="s">
        <v>553</v>
      </c>
      <c r="B29" s="1590" t="s">
        <v>1691</v>
      </c>
      <c r="C29" s="1515" t="s">
        <v>555</v>
      </c>
      <c r="D29" s="1477">
        <f>BS!D21</f>
        <v>0</v>
      </c>
      <c r="E29" s="1477"/>
      <c r="F29" s="1477"/>
      <c r="G29" s="1473">
        <f>BS!F21</f>
        <v>0</v>
      </c>
      <c r="H29" s="1474"/>
      <c r="I29" s="1476"/>
      <c r="J29" s="572"/>
    </row>
    <row r="30" spans="1:10" s="571" customFormat="1" ht="27.95" customHeight="1" x14ac:dyDescent="0.25">
      <c r="A30" s="1529"/>
      <c r="B30" s="1542"/>
      <c r="C30" s="1516"/>
      <c r="D30" s="1477">
        <f>BS!E21</f>
        <v>0</v>
      </c>
      <c r="E30" s="1477"/>
      <c r="F30" s="1477"/>
      <c r="G30" s="803"/>
      <c r="H30" s="1473">
        <f>BS!G21</f>
        <v>0</v>
      </c>
      <c r="I30" s="1474"/>
      <c r="J30" s="1475"/>
    </row>
    <row r="31" spans="1:10" s="571" customFormat="1" ht="27.95" customHeight="1" x14ac:dyDescent="0.25">
      <c r="A31" s="1512" t="s">
        <v>532</v>
      </c>
      <c r="B31" s="1590" t="s">
        <v>1692</v>
      </c>
      <c r="C31" s="1515" t="s">
        <v>557</v>
      </c>
      <c r="D31" s="1477">
        <f>BS!D22</f>
        <v>0</v>
      </c>
      <c r="E31" s="1477"/>
      <c r="F31" s="1477"/>
      <c r="G31" s="1581">
        <f>BS!F22</f>
        <v>0</v>
      </c>
      <c r="H31" s="1582"/>
      <c r="I31" s="1583"/>
      <c r="J31" s="572"/>
    </row>
    <row r="32" spans="1:10" s="571" customFormat="1" ht="27.95" customHeight="1" thickBot="1" x14ac:dyDescent="0.3">
      <c r="A32" s="1512"/>
      <c r="B32" s="1542"/>
      <c r="C32" s="1516"/>
      <c r="D32" s="1477">
        <f>BS!E22</f>
        <v>0</v>
      </c>
      <c r="E32" s="1477"/>
      <c r="F32" s="1477"/>
      <c r="G32" s="803"/>
      <c r="H32" s="1473">
        <f>BS!G22</f>
        <v>0</v>
      </c>
      <c r="I32" s="1474"/>
      <c r="J32" s="1475"/>
    </row>
    <row r="33" spans="1:10" s="571" customFormat="1" ht="11.25" customHeight="1" x14ac:dyDescent="0.25">
      <c r="A33" s="1563" t="s">
        <v>1674</v>
      </c>
      <c r="B33" s="1565" t="s">
        <v>1675</v>
      </c>
      <c r="C33" s="1567" t="s">
        <v>1676</v>
      </c>
      <c r="D33" s="1492" t="s">
        <v>1677</v>
      </c>
      <c r="E33" s="1493"/>
      <c r="F33" s="1493"/>
      <c r="G33" s="1493"/>
      <c r="H33" s="1494"/>
      <c r="I33" s="1490" t="s">
        <v>1655</v>
      </c>
      <c r="J33" s="1491"/>
    </row>
    <row r="34" spans="1:10" s="571" customFormat="1" ht="11.25" customHeight="1" x14ac:dyDescent="0.25">
      <c r="A34" s="1564"/>
      <c r="B34" s="1566"/>
      <c r="C34" s="1568"/>
      <c r="D34" s="1511">
        <v>1</v>
      </c>
      <c r="E34" s="1478" t="s">
        <v>1678</v>
      </c>
      <c r="F34" s="1570"/>
      <c r="G34" s="1626" t="s">
        <v>1262</v>
      </c>
      <c r="H34" s="1627"/>
      <c r="I34" s="1480"/>
      <c r="J34" s="1489"/>
    </row>
    <row r="35" spans="1:10" s="571" customFormat="1" ht="12" customHeight="1" x14ac:dyDescent="0.25">
      <c r="A35" s="1532"/>
      <c r="B35" s="1531"/>
      <c r="C35" s="1538"/>
      <c r="D35" s="1569"/>
      <c r="E35" s="1478" t="s">
        <v>1679</v>
      </c>
      <c r="F35" s="1570"/>
      <c r="G35" s="1628"/>
      <c r="H35" s="1629"/>
      <c r="I35" s="1478" t="s">
        <v>1260</v>
      </c>
      <c r="J35" s="1479"/>
    </row>
    <row r="36" spans="1:10" ht="27.95" customHeight="1" x14ac:dyDescent="0.25">
      <c r="A36" s="1541" t="s">
        <v>535</v>
      </c>
      <c r="B36" s="1590" t="s">
        <v>1693</v>
      </c>
      <c r="C36" s="1516" t="s">
        <v>559</v>
      </c>
      <c r="D36" s="1584">
        <f>BS!D23</f>
        <v>38844</v>
      </c>
      <c r="E36" s="1584"/>
      <c r="F36" s="1584"/>
      <c r="G36" s="1585">
        <f>BS!F23</f>
        <v>18240</v>
      </c>
      <c r="H36" s="1586"/>
      <c r="I36" s="1587"/>
      <c r="J36" s="841"/>
    </row>
    <row r="37" spans="1:10" ht="27.95" customHeight="1" x14ac:dyDescent="0.25">
      <c r="A37" s="1512"/>
      <c r="B37" s="1542"/>
      <c r="C37" s="1507"/>
      <c r="D37" s="1477">
        <f>BS!E23</f>
        <v>20604</v>
      </c>
      <c r="E37" s="1477"/>
      <c r="F37" s="1477"/>
      <c r="G37" s="842"/>
      <c r="H37" s="1473">
        <f>BS!G23</f>
        <v>26010</v>
      </c>
      <c r="I37" s="1474"/>
      <c r="J37" s="1475"/>
    </row>
    <row r="38" spans="1:10" ht="27.95" customHeight="1" x14ac:dyDescent="0.25">
      <c r="A38" s="1512" t="s">
        <v>538</v>
      </c>
      <c r="B38" s="1590" t="s">
        <v>1694</v>
      </c>
      <c r="C38" s="1507" t="s">
        <v>561</v>
      </c>
      <c r="D38" s="1477">
        <f>BS!D24</f>
        <v>0</v>
      </c>
      <c r="E38" s="1477"/>
      <c r="F38" s="1477"/>
      <c r="G38" s="1473">
        <f>BS!F24</f>
        <v>0</v>
      </c>
      <c r="H38" s="1474"/>
      <c r="I38" s="1476"/>
      <c r="J38" s="841"/>
    </row>
    <row r="39" spans="1:10" ht="27.95" customHeight="1" x14ac:dyDescent="0.25">
      <c r="A39" s="1512"/>
      <c r="B39" s="1542"/>
      <c r="C39" s="1507"/>
      <c r="D39" s="1477">
        <f>BS!E24</f>
        <v>0</v>
      </c>
      <c r="E39" s="1477"/>
      <c r="F39" s="1477"/>
      <c r="G39" s="842"/>
      <c r="H39" s="1473">
        <f>BS!G24</f>
        <v>0</v>
      </c>
      <c r="I39" s="1474"/>
      <c r="J39" s="1475"/>
    </row>
    <row r="40" spans="1:10" ht="27.95" customHeight="1" x14ac:dyDescent="0.25">
      <c r="A40" s="1512" t="s">
        <v>541</v>
      </c>
      <c r="B40" s="1590" t="s">
        <v>1695</v>
      </c>
      <c r="C40" s="1516" t="s">
        <v>563</v>
      </c>
      <c r="D40" s="1477">
        <f>BS!D25</f>
        <v>0</v>
      </c>
      <c r="E40" s="1477"/>
      <c r="F40" s="1477"/>
      <c r="G40" s="1473">
        <f>BS!F25</f>
        <v>0</v>
      </c>
      <c r="H40" s="1474"/>
      <c r="I40" s="1476"/>
      <c r="J40" s="841"/>
    </row>
    <row r="41" spans="1:10" ht="27.95" customHeight="1" x14ac:dyDescent="0.25">
      <c r="A41" s="1512"/>
      <c r="B41" s="1542"/>
      <c r="C41" s="1507"/>
      <c r="D41" s="1477">
        <f>BS!E25</f>
        <v>0</v>
      </c>
      <c r="E41" s="1477"/>
      <c r="F41" s="1477"/>
      <c r="G41" s="842"/>
      <c r="H41" s="1473">
        <f>BS!G25</f>
        <v>0</v>
      </c>
      <c r="I41" s="1474"/>
      <c r="J41" s="1475"/>
    </row>
    <row r="42" spans="1:10" ht="27.95" customHeight="1" x14ac:dyDescent="0.25">
      <c r="A42" s="1512" t="s">
        <v>544</v>
      </c>
      <c r="B42" s="1590" t="s">
        <v>1696</v>
      </c>
      <c r="C42" s="1507" t="s">
        <v>565</v>
      </c>
      <c r="D42" s="1477">
        <f>BS!D26</f>
        <v>0</v>
      </c>
      <c r="E42" s="1477"/>
      <c r="F42" s="1477"/>
      <c r="G42" s="1473">
        <f>BS!F26</f>
        <v>0</v>
      </c>
      <c r="H42" s="1474"/>
      <c r="I42" s="1476"/>
      <c r="J42" s="841"/>
    </row>
    <row r="43" spans="1:10" ht="27.95" customHeight="1" x14ac:dyDescent="0.25">
      <c r="A43" s="1512"/>
      <c r="B43" s="1542"/>
      <c r="C43" s="1507"/>
      <c r="D43" s="1477">
        <f>BS!E26</f>
        <v>0</v>
      </c>
      <c r="E43" s="1477"/>
      <c r="F43" s="1477"/>
      <c r="G43" s="842"/>
      <c r="H43" s="1473">
        <f>BS!G26</f>
        <v>0</v>
      </c>
      <c r="I43" s="1474"/>
      <c r="J43" s="1475"/>
    </row>
    <row r="44" spans="1:10" ht="27.95" customHeight="1" x14ac:dyDescent="0.25">
      <c r="A44" s="1512" t="s">
        <v>547</v>
      </c>
      <c r="B44" s="1590" t="s">
        <v>1697</v>
      </c>
      <c r="C44" s="1516" t="s">
        <v>567</v>
      </c>
      <c r="D44" s="1477">
        <f>BS!D27</f>
        <v>0</v>
      </c>
      <c r="E44" s="1477"/>
      <c r="F44" s="1477"/>
      <c r="G44" s="1473">
        <f>BS!F27</f>
        <v>0</v>
      </c>
      <c r="H44" s="1474"/>
      <c r="I44" s="1476"/>
      <c r="J44" s="841"/>
    </row>
    <row r="45" spans="1:10" ht="27.95" customHeight="1" x14ac:dyDescent="0.25">
      <c r="A45" s="1512"/>
      <c r="B45" s="1542"/>
      <c r="C45" s="1507"/>
      <c r="D45" s="1477">
        <f>BS!E27</f>
        <v>0</v>
      </c>
      <c r="E45" s="1477"/>
      <c r="F45" s="1477"/>
      <c r="G45" s="842"/>
      <c r="H45" s="1473">
        <f>BS!G27</f>
        <v>0</v>
      </c>
      <c r="I45" s="1474"/>
      <c r="J45" s="1475"/>
    </row>
    <row r="46" spans="1:10" ht="27.95" customHeight="1" x14ac:dyDescent="0.25">
      <c r="A46" s="1512" t="s">
        <v>568</v>
      </c>
      <c r="B46" s="1590" t="s">
        <v>1698</v>
      </c>
      <c r="C46" s="1507" t="s">
        <v>570</v>
      </c>
      <c r="D46" s="1477">
        <f>BS!D28</f>
        <v>0</v>
      </c>
      <c r="E46" s="1477"/>
      <c r="F46" s="1477"/>
      <c r="G46" s="1473">
        <f>BS!F28</f>
        <v>0</v>
      </c>
      <c r="H46" s="1474"/>
      <c r="I46" s="1476"/>
      <c r="J46" s="841"/>
    </row>
    <row r="47" spans="1:10" ht="27.95" customHeight="1" x14ac:dyDescent="0.25">
      <c r="A47" s="1512"/>
      <c r="B47" s="1542"/>
      <c r="C47" s="1507"/>
      <c r="D47" s="1477">
        <f>BS!E28</f>
        <v>0</v>
      </c>
      <c r="E47" s="1477"/>
      <c r="F47" s="1477"/>
      <c r="G47" s="842"/>
      <c r="H47" s="1473">
        <f>BS!G28</f>
        <v>0</v>
      </c>
      <c r="I47" s="1474"/>
      <c r="J47" s="1475"/>
    </row>
    <row r="48" spans="1:10" ht="27.95" customHeight="1" x14ac:dyDescent="0.25">
      <c r="A48" s="1512" t="s">
        <v>571</v>
      </c>
      <c r="B48" s="1590" t="s">
        <v>1699</v>
      </c>
      <c r="C48" s="1516" t="s">
        <v>573</v>
      </c>
      <c r="D48" s="1477">
        <f>BS!D29</f>
        <v>0</v>
      </c>
      <c r="E48" s="1477"/>
      <c r="F48" s="1477"/>
      <c r="G48" s="1473">
        <f>BS!F29</f>
        <v>0</v>
      </c>
      <c r="H48" s="1474"/>
      <c r="I48" s="1476"/>
      <c r="J48" s="841"/>
    </row>
    <row r="49" spans="1:10" ht="27.95" customHeight="1" x14ac:dyDescent="0.25">
      <c r="A49" s="1512"/>
      <c r="B49" s="1542"/>
      <c r="C49" s="1507"/>
      <c r="D49" s="1477">
        <f>BS!E29</f>
        <v>0</v>
      </c>
      <c r="E49" s="1477"/>
      <c r="F49" s="1477"/>
      <c r="G49" s="843"/>
      <c r="H49" s="1473">
        <f>BS!G29</f>
        <v>0</v>
      </c>
      <c r="I49" s="1474"/>
      <c r="J49" s="1475"/>
    </row>
    <row r="50" spans="1:10" ht="27.95" customHeight="1" x14ac:dyDescent="0.25">
      <c r="A50" s="1526" t="s">
        <v>574</v>
      </c>
      <c r="B50" s="1630" t="s">
        <v>1700</v>
      </c>
      <c r="C50" s="1507" t="s">
        <v>576</v>
      </c>
      <c r="D50" s="1477">
        <f>BS!D30</f>
        <v>0</v>
      </c>
      <c r="E50" s="1477"/>
      <c r="F50" s="1477"/>
      <c r="G50" s="1473">
        <f>BS!F30</f>
        <v>0</v>
      </c>
      <c r="H50" s="1474"/>
      <c r="I50" s="1476"/>
      <c r="J50" s="841"/>
    </row>
    <row r="51" spans="1:10" ht="27.95" customHeight="1" x14ac:dyDescent="0.25">
      <c r="A51" s="1526"/>
      <c r="B51" s="1539"/>
      <c r="C51" s="1507"/>
      <c r="D51" s="1477">
        <f>BS!E30</f>
        <v>0</v>
      </c>
      <c r="E51" s="1477"/>
      <c r="F51" s="1477"/>
      <c r="G51" s="843"/>
      <c r="H51" s="1473">
        <f>BS!G30</f>
        <v>0</v>
      </c>
      <c r="I51" s="1474"/>
      <c r="J51" s="1475"/>
    </row>
    <row r="52" spans="1:10" s="501" customFormat="1" ht="27.95" customHeight="1" x14ac:dyDescent="0.25">
      <c r="A52" s="1530" t="s">
        <v>577</v>
      </c>
      <c r="B52" s="1590" t="s">
        <v>1701</v>
      </c>
      <c r="C52" s="1516" t="s">
        <v>579</v>
      </c>
      <c r="D52" s="1477">
        <f>BS!D31</f>
        <v>0</v>
      </c>
      <c r="E52" s="1477"/>
      <c r="F52" s="1477"/>
      <c r="G52" s="1473">
        <f>BS!F31</f>
        <v>0</v>
      </c>
      <c r="H52" s="1474"/>
      <c r="I52" s="1476"/>
      <c r="J52" s="841"/>
    </row>
    <row r="53" spans="1:10" s="501" customFormat="1" ht="27.95" customHeight="1" x14ac:dyDescent="0.25">
      <c r="A53" s="1530"/>
      <c r="B53" s="1542"/>
      <c r="C53" s="1507"/>
      <c r="D53" s="1477">
        <f>BS!E31</f>
        <v>0</v>
      </c>
      <c r="E53" s="1477"/>
      <c r="F53" s="1477"/>
      <c r="G53" s="843"/>
      <c r="H53" s="1473">
        <f>BS!G31</f>
        <v>0</v>
      </c>
      <c r="I53" s="1474"/>
      <c r="J53" s="1475"/>
    </row>
    <row r="54" spans="1:10" ht="27.95" customHeight="1" x14ac:dyDescent="0.25">
      <c r="A54" s="1512" t="s">
        <v>532</v>
      </c>
      <c r="B54" s="1590" t="s">
        <v>1702</v>
      </c>
      <c r="C54" s="1507" t="s">
        <v>581</v>
      </c>
      <c r="D54" s="1477">
        <f>BS!D32</f>
        <v>0</v>
      </c>
      <c r="E54" s="1477"/>
      <c r="F54" s="1477"/>
      <c r="G54" s="1473">
        <f>BS!F32</f>
        <v>0</v>
      </c>
      <c r="H54" s="1474"/>
      <c r="I54" s="1476"/>
      <c r="J54" s="841"/>
    </row>
    <row r="55" spans="1:10" ht="27.95" customHeight="1" x14ac:dyDescent="0.25">
      <c r="A55" s="1512"/>
      <c r="B55" s="1542"/>
      <c r="C55" s="1507"/>
      <c r="D55" s="1477">
        <f>BS!E32</f>
        <v>0</v>
      </c>
      <c r="E55" s="1477"/>
      <c r="F55" s="1477"/>
      <c r="G55" s="843"/>
      <c r="H55" s="1473">
        <f>BS!G32</f>
        <v>0</v>
      </c>
      <c r="I55" s="1474"/>
      <c r="J55" s="1475"/>
    </row>
    <row r="56" spans="1:10" ht="27.95" customHeight="1" x14ac:dyDescent="0.25">
      <c r="A56" s="1512" t="s">
        <v>535</v>
      </c>
      <c r="B56" s="1590" t="s">
        <v>1703</v>
      </c>
      <c r="C56" s="1516" t="s">
        <v>583</v>
      </c>
      <c r="D56" s="1477">
        <f>BS!D33</f>
        <v>0</v>
      </c>
      <c r="E56" s="1477"/>
      <c r="F56" s="1477"/>
      <c r="G56" s="1473">
        <f>BS!F33</f>
        <v>0</v>
      </c>
      <c r="H56" s="1474"/>
      <c r="I56" s="1476"/>
      <c r="J56" s="841"/>
    </row>
    <row r="57" spans="1:10" ht="27.95" customHeight="1" x14ac:dyDescent="0.25">
      <c r="A57" s="1512"/>
      <c r="B57" s="1542"/>
      <c r="C57" s="1507"/>
      <c r="D57" s="1477">
        <f>BS!E33</f>
        <v>0</v>
      </c>
      <c r="E57" s="1477"/>
      <c r="F57" s="1477"/>
      <c r="G57" s="843"/>
      <c r="H57" s="1473">
        <f>BS!G33</f>
        <v>0</v>
      </c>
      <c r="I57" s="1474"/>
      <c r="J57" s="1475"/>
    </row>
    <row r="58" spans="1:10" ht="27.95" customHeight="1" x14ac:dyDescent="0.25">
      <c r="A58" s="1512" t="s">
        <v>538</v>
      </c>
      <c r="B58" s="1590" t="s">
        <v>1704</v>
      </c>
      <c r="C58" s="1507" t="s">
        <v>585</v>
      </c>
      <c r="D58" s="1477">
        <f>BS!D34</f>
        <v>0</v>
      </c>
      <c r="E58" s="1477"/>
      <c r="F58" s="1477"/>
      <c r="G58" s="1473">
        <f>BS!F34</f>
        <v>0</v>
      </c>
      <c r="H58" s="1474"/>
      <c r="I58" s="1476"/>
      <c r="J58" s="841"/>
    </row>
    <row r="59" spans="1:10" ht="27.95" customHeight="1" x14ac:dyDescent="0.25">
      <c r="A59" s="1512"/>
      <c r="B59" s="1542"/>
      <c r="C59" s="1507"/>
      <c r="D59" s="1477">
        <f>BS!E34</f>
        <v>0</v>
      </c>
      <c r="E59" s="1477"/>
      <c r="F59" s="1477"/>
      <c r="G59" s="843"/>
      <c r="H59" s="1473">
        <f>BS!G34</f>
        <v>0</v>
      </c>
      <c r="I59" s="1474"/>
      <c r="J59" s="1475"/>
    </row>
    <row r="60" spans="1:10" ht="27.95" customHeight="1" x14ac:dyDescent="0.25">
      <c r="A60" s="1512" t="s">
        <v>541</v>
      </c>
      <c r="B60" s="1590" t="s">
        <v>1705</v>
      </c>
      <c r="C60" s="1516" t="s">
        <v>587</v>
      </c>
      <c r="D60" s="1477">
        <f>BS!D35</f>
        <v>0</v>
      </c>
      <c r="E60" s="1477"/>
      <c r="F60" s="1477"/>
      <c r="G60" s="1473">
        <f>BS!F35</f>
        <v>0</v>
      </c>
      <c r="H60" s="1474"/>
      <c r="I60" s="1476"/>
      <c r="J60" s="841"/>
    </row>
    <row r="61" spans="1:10" ht="27.95" customHeight="1" x14ac:dyDescent="0.25">
      <c r="A61" s="1512"/>
      <c r="B61" s="1542"/>
      <c r="C61" s="1507"/>
      <c r="D61" s="1477">
        <f>BS!E35</f>
        <v>0</v>
      </c>
      <c r="E61" s="1477"/>
      <c r="F61" s="1477"/>
      <c r="G61" s="843"/>
      <c r="H61" s="1473">
        <f>BS!G35</f>
        <v>0</v>
      </c>
      <c r="I61" s="1474"/>
      <c r="J61" s="1475"/>
    </row>
    <row r="62" spans="1:10" ht="27.95" customHeight="1" x14ac:dyDescent="0.25">
      <c r="A62" s="1512" t="s">
        <v>544</v>
      </c>
      <c r="B62" s="1590" t="s">
        <v>1706</v>
      </c>
      <c r="C62" s="1507" t="s">
        <v>589</v>
      </c>
      <c r="D62" s="1477">
        <f>BS!D36</f>
        <v>0</v>
      </c>
      <c r="E62" s="1477"/>
      <c r="F62" s="1477"/>
      <c r="G62" s="1473">
        <f>BS!F36</f>
        <v>0</v>
      </c>
      <c r="H62" s="1474"/>
      <c r="I62" s="1476"/>
      <c r="J62" s="841"/>
    </row>
    <row r="63" spans="1:10" ht="27.95" customHeight="1" thickBot="1" x14ac:dyDescent="0.3">
      <c r="A63" s="1512"/>
      <c r="B63" s="1542"/>
      <c r="C63" s="1507"/>
      <c r="D63" s="1477">
        <f>BS!E36</f>
        <v>0</v>
      </c>
      <c r="E63" s="1477"/>
      <c r="F63" s="1477"/>
      <c r="G63" s="803"/>
      <c r="H63" s="1473">
        <f>BS!G36</f>
        <v>0</v>
      </c>
      <c r="I63" s="1474"/>
      <c r="J63" s="1475"/>
    </row>
    <row r="64" spans="1:10" ht="11.25" customHeight="1" x14ac:dyDescent="0.25">
      <c r="A64" s="1563" t="s">
        <v>1674</v>
      </c>
      <c r="B64" s="1565" t="s">
        <v>1675</v>
      </c>
      <c r="C64" s="1567" t="s">
        <v>1676</v>
      </c>
      <c r="D64" s="1492" t="s">
        <v>1677</v>
      </c>
      <c r="E64" s="1493"/>
      <c r="F64" s="1493"/>
      <c r="G64" s="1493"/>
      <c r="H64" s="1494"/>
      <c r="I64" s="1490" t="s">
        <v>1655</v>
      </c>
      <c r="J64" s="1491"/>
    </row>
    <row r="65" spans="1:10" ht="11.25" customHeight="1" x14ac:dyDescent="0.25">
      <c r="A65" s="1564"/>
      <c r="B65" s="1566"/>
      <c r="C65" s="1568"/>
      <c r="D65" s="1511">
        <v>1</v>
      </c>
      <c r="E65" s="1478" t="s">
        <v>1678</v>
      </c>
      <c r="F65" s="1570"/>
      <c r="G65" s="1626" t="s">
        <v>1262</v>
      </c>
      <c r="H65" s="1627"/>
      <c r="I65" s="1480"/>
      <c r="J65" s="1489"/>
    </row>
    <row r="66" spans="1:10" ht="11.25" customHeight="1" x14ac:dyDescent="0.25">
      <c r="A66" s="1532"/>
      <c r="B66" s="1531"/>
      <c r="C66" s="1538"/>
      <c r="D66" s="1569"/>
      <c r="E66" s="1478" t="s">
        <v>1679</v>
      </c>
      <c r="F66" s="1570"/>
      <c r="G66" s="1628"/>
      <c r="H66" s="1629"/>
      <c r="I66" s="1478" t="s">
        <v>1260</v>
      </c>
      <c r="J66" s="1479"/>
    </row>
    <row r="67" spans="1:10" ht="27.95" customHeight="1" x14ac:dyDescent="0.25">
      <c r="A67" s="1512" t="s">
        <v>547</v>
      </c>
      <c r="B67" s="1590" t="s">
        <v>1707</v>
      </c>
      <c r="C67" s="1507" t="s">
        <v>888</v>
      </c>
      <c r="D67" s="1477">
        <f>BS!D37</f>
        <v>0</v>
      </c>
      <c r="E67" s="1477"/>
      <c r="F67" s="1473"/>
      <c r="G67" s="1473">
        <f>BS!F37</f>
        <v>0</v>
      </c>
      <c r="H67" s="1474"/>
      <c r="I67" s="1476"/>
      <c r="J67" s="841"/>
    </row>
    <row r="68" spans="1:10" ht="27.95" customHeight="1" x14ac:dyDescent="0.25">
      <c r="A68" s="1512"/>
      <c r="B68" s="1542"/>
      <c r="C68" s="1507"/>
      <c r="D68" s="1477">
        <f>BS!E37</f>
        <v>0</v>
      </c>
      <c r="E68" s="1477"/>
      <c r="F68" s="1477"/>
      <c r="G68" s="844"/>
      <c r="H68" s="1473">
        <f>BS!G37</f>
        <v>0</v>
      </c>
      <c r="I68" s="1474"/>
      <c r="J68" s="1475"/>
    </row>
    <row r="69" spans="1:10" ht="27.95" customHeight="1" x14ac:dyDescent="0.25">
      <c r="A69" s="1512" t="s">
        <v>568</v>
      </c>
      <c r="B69" s="1590" t="s">
        <v>1708</v>
      </c>
      <c r="C69" s="1507" t="s">
        <v>891</v>
      </c>
      <c r="D69" s="1477">
        <f>BS!D38</f>
        <v>0</v>
      </c>
      <c r="E69" s="1477"/>
      <c r="F69" s="1473"/>
      <c r="G69" s="1473">
        <f>BS!F38</f>
        <v>0</v>
      </c>
      <c r="H69" s="1474"/>
      <c r="I69" s="1476"/>
      <c r="J69" s="841"/>
    </row>
    <row r="70" spans="1:10" ht="27.95" customHeight="1" x14ac:dyDescent="0.25">
      <c r="A70" s="1512"/>
      <c r="B70" s="1542"/>
      <c r="C70" s="1507"/>
      <c r="D70" s="1477">
        <f>BS!E38</f>
        <v>0</v>
      </c>
      <c r="E70" s="1477"/>
      <c r="F70" s="1477"/>
      <c r="G70" s="844"/>
      <c r="H70" s="1473">
        <f>BS!G38</f>
        <v>0</v>
      </c>
      <c r="I70" s="1474"/>
      <c r="J70" s="1475"/>
    </row>
    <row r="71" spans="1:10" ht="27.95" customHeight="1" x14ac:dyDescent="0.25">
      <c r="A71" s="1517" t="s">
        <v>594</v>
      </c>
      <c r="B71" s="1630" t="s">
        <v>1709</v>
      </c>
      <c r="C71" s="1507" t="s">
        <v>894</v>
      </c>
      <c r="D71" s="1477">
        <f>BS!D39</f>
        <v>2847082</v>
      </c>
      <c r="E71" s="1477"/>
      <c r="F71" s="1473"/>
      <c r="G71" s="1473">
        <f>BS!F39</f>
        <v>2845366</v>
      </c>
      <c r="H71" s="1474"/>
      <c r="I71" s="1476"/>
      <c r="J71" s="841"/>
    </row>
    <row r="72" spans="1:10" ht="27.95" customHeight="1" x14ac:dyDescent="0.25">
      <c r="A72" s="1517"/>
      <c r="B72" s="1539"/>
      <c r="C72" s="1507"/>
      <c r="D72" s="1477">
        <f>BS!E39</f>
        <v>1716</v>
      </c>
      <c r="E72" s="1477"/>
      <c r="F72" s="1477"/>
      <c r="G72" s="844"/>
      <c r="H72" s="1473">
        <f>BS!G39</f>
        <v>2170868</v>
      </c>
      <c r="I72" s="1474"/>
      <c r="J72" s="1475"/>
    </row>
    <row r="73" spans="1:10" s="501" customFormat="1" ht="27.95" customHeight="1" x14ac:dyDescent="0.25">
      <c r="A73" s="1526" t="s">
        <v>597</v>
      </c>
      <c r="B73" s="1630" t="s">
        <v>1710</v>
      </c>
      <c r="C73" s="1507" t="s">
        <v>897</v>
      </c>
      <c r="D73" s="1477">
        <f>BS!D40</f>
        <v>0</v>
      </c>
      <c r="E73" s="1477"/>
      <c r="F73" s="1473"/>
      <c r="G73" s="1473">
        <f>BS!F40</f>
        <v>0</v>
      </c>
      <c r="H73" s="1474"/>
      <c r="I73" s="1476"/>
      <c r="J73" s="841"/>
    </row>
    <row r="74" spans="1:10" s="501" customFormat="1" ht="27.95" customHeight="1" x14ac:dyDescent="0.25">
      <c r="A74" s="1517"/>
      <c r="B74" s="1539"/>
      <c r="C74" s="1507"/>
      <c r="D74" s="1477">
        <f>BS!E40</f>
        <v>0</v>
      </c>
      <c r="E74" s="1477"/>
      <c r="F74" s="1477"/>
      <c r="G74" s="844"/>
      <c r="H74" s="1473">
        <f>BS!G40</f>
        <v>0</v>
      </c>
      <c r="I74" s="1474"/>
      <c r="J74" s="1475"/>
    </row>
    <row r="75" spans="1:10" s="501" customFormat="1" ht="27.95" customHeight="1" x14ac:dyDescent="0.25">
      <c r="A75" s="1513" t="s">
        <v>600</v>
      </c>
      <c r="B75" s="1590" t="s">
        <v>1711</v>
      </c>
      <c r="C75" s="1507" t="s">
        <v>900</v>
      </c>
      <c r="D75" s="1477">
        <f>BS!D41</f>
        <v>0</v>
      </c>
      <c r="E75" s="1477"/>
      <c r="F75" s="1473"/>
      <c r="G75" s="1473">
        <f>BS!F41</f>
        <v>0</v>
      </c>
      <c r="H75" s="1474"/>
      <c r="I75" s="1476"/>
      <c r="J75" s="841"/>
    </row>
    <row r="76" spans="1:10" s="501" customFormat="1" ht="27.95" customHeight="1" x14ac:dyDescent="0.25">
      <c r="A76" s="1529"/>
      <c r="B76" s="1542"/>
      <c r="C76" s="1507"/>
      <c r="D76" s="1477">
        <f>BS!E41</f>
        <v>0</v>
      </c>
      <c r="E76" s="1477"/>
      <c r="F76" s="1477"/>
      <c r="G76" s="844"/>
      <c r="H76" s="1473">
        <f>BS!G41</f>
        <v>0</v>
      </c>
      <c r="I76" s="1474"/>
      <c r="J76" s="1475"/>
    </row>
    <row r="77" spans="1:10" ht="27.95" customHeight="1" x14ac:dyDescent="0.25">
      <c r="A77" s="1512" t="s">
        <v>532</v>
      </c>
      <c r="B77" s="1590" t="s">
        <v>1712</v>
      </c>
      <c r="C77" s="1507" t="s">
        <v>903</v>
      </c>
      <c r="D77" s="1477">
        <f>BS!D42</f>
        <v>0</v>
      </c>
      <c r="E77" s="1477"/>
      <c r="F77" s="1473"/>
      <c r="G77" s="1473">
        <f>BS!F42</f>
        <v>0</v>
      </c>
      <c r="H77" s="1474"/>
      <c r="I77" s="1476"/>
      <c r="J77" s="841"/>
    </row>
    <row r="78" spans="1:10" ht="27.95" customHeight="1" x14ac:dyDescent="0.25">
      <c r="A78" s="1512"/>
      <c r="B78" s="1542"/>
      <c r="C78" s="1507"/>
      <c r="D78" s="1477">
        <f>BS!E42</f>
        <v>0</v>
      </c>
      <c r="E78" s="1477"/>
      <c r="F78" s="1477"/>
      <c r="G78" s="844"/>
      <c r="H78" s="1473">
        <f>BS!G42</f>
        <v>0</v>
      </c>
      <c r="I78" s="1474"/>
      <c r="J78" s="1475"/>
    </row>
    <row r="79" spans="1:10" ht="27.95" customHeight="1" x14ac:dyDescent="0.25">
      <c r="A79" s="1512" t="s">
        <v>535</v>
      </c>
      <c r="B79" s="1590" t="s">
        <v>1713</v>
      </c>
      <c r="C79" s="1507" t="s">
        <v>906</v>
      </c>
      <c r="D79" s="1477">
        <f>BS!D43</f>
        <v>0</v>
      </c>
      <c r="E79" s="1477"/>
      <c r="F79" s="1473"/>
      <c r="G79" s="1473">
        <f>BS!F43</f>
        <v>0</v>
      </c>
      <c r="H79" s="1474"/>
      <c r="I79" s="1476"/>
      <c r="J79" s="841"/>
    </row>
    <row r="80" spans="1:10" ht="27.95" customHeight="1" x14ac:dyDescent="0.25">
      <c r="A80" s="1512"/>
      <c r="B80" s="1542"/>
      <c r="C80" s="1507"/>
      <c r="D80" s="1477">
        <f>BS!E43</f>
        <v>0</v>
      </c>
      <c r="E80" s="1477"/>
      <c r="F80" s="1477"/>
      <c r="G80" s="844"/>
      <c r="H80" s="1473">
        <f>BS!G43</f>
        <v>0</v>
      </c>
      <c r="I80" s="1474"/>
      <c r="J80" s="1475"/>
    </row>
    <row r="81" spans="1:10" ht="27.95" customHeight="1" x14ac:dyDescent="0.25">
      <c r="A81" s="1512" t="s">
        <v>538</v>
      </c>
      <c r="B81" s="1590" t="s">
        <v>1714</v>
      </c>
      <c r="C81" s="1507" t="s">
        <v>909</v>
      </c>
      <c r="D81" s="1477">
        <f>BS!D44</f>
        <v>0</v>
      </c>
      <c r="E81" s="1477"/>
      <c r="F81" s="1473"/>
      <c r="G81" s="1473">
        <f>BS!F44</f>
        <v>0</v>
      </c>
      <c r="H81" s="1474"/>
      <c r="I81" s="1476"/>
      <c r="J81" s="841"/>
    </row>
    <row r="82" spans="1:10" ht="27.95" customHeight="1" x14ac:dyDescent="0.25">
      <c r="A82" s="1512"/>
      <c r="B82" s="1542"/>
      <c r="C82" s="1507"/>
      <c r="D82" s="1477">
        <f>BS!E44</f>
        <v>0</v>
      </c>
      <c r="E82" s="1477"/>
      <c r="F82" s="1477"/>
      <c r="G82" s="844"/>
      <c r="H82" s="1473">
        <f>BS!G44</f>
        <v>0</v>
      </c>
      <c r="I82" s="1474"/>
      <c r="J82" s="1475"/>
    </row>
    <row r="83" spans="1:10" ht="27.95" customHeight="1" x14ac:dyDescent="0.25">
      <c r="A83" s="1512" t="s">
        <v>541</v>
      </c>
      <c r="B83" s="1590" t="s">
        <v>1715</v>
      </c>
      <c r="C83" s="1507" t="s">
        <v>912</v>
      </c>
      <c r="D83" s="1477">
        <f>BS!D45</f>
        <v>0</v>
      </c>
      <c r="E83" s="1477"/>
      <c r="F83" s="1473"/>
      <c r="G83" s="1473">
        <f>BS!F45</f>
        <v>0</v>
      </c>
      <c r="H83" s="1474"/>
      <c r="I83" s="1476"/>
      <c r="J83" s="841"/>
    </row>
    <row r="84" spans="1:10" ht="27.95" customHeight="1" x14ac:dyDescent="0.25">
      <c r="A84" s="1512"/>
      <c r="B84" s="1542"/>
      <c r="C84" s="1507"/>
      <c r="D84" s="1477">
        <f>BS!E45</f>
        <v>0</v>
      </c>
      <c r="E84" s="1477"/>
      <c r="F84" s="1477"/>
      <c r="G84" s="844"/>
      <c r="H84" s="1473">
        <f>BS!G45</f>
        <v>0</v>
      </c>
      <c r="I84" s="1474"/>
      <c r="J84" s="1475"/>
    </row>
    <row r="85" spans="1:10" ht="27.95" customHeight="1" x14ac:dyDescent="0.25">
      <c r="A85" s="1512" t="s">
        <v>544</v>
      </c>
      <c r="B85" s="1590" t="s">
        <v>1716</v>
      </c>
      <c r="C85" s="1507" t="s">
        <v>915</v>
      </c>
      <c r="D85" s="1477">
        <f>BS!D46</f>
        <v>0</v>
      </c>
      <c r="E85" s="1477"/>
      <c r="F85" s="1473"/>
      <c r="G85" s="1473">
        <f>BS!F46</f>
        <v>0</v>
      </c>
      <c r="H85" s="1474"/>
      <c r="I85" s="1476"/>
      <c r="J85" s="841"/>
    </row>
    <row r="86" spans="1:10" ht="27.95" customHeight="1" x14ac:dyDescent="0.25">
      <c r="A86" s="1512"/>
      <c r="B86" s="1542"/>
      <c r="C86" s="1507"/>
      <c r="D86" s="1477">
        <f>BS!E46</f>
        <v>0</v>
      </c>
      <c r="E86" s="1477"/>
      <c r="F86" s="1477"/>
      <c r="G86" s="844"/>
      <c r="H86" s="1473">
        <f>BS!G46</f>
        <v>0</v>
      </c>
      <c r="I86" s="1474"/>
      <c r="J86" s="1475"/>
    </row>
    <row r="87" spans="1:10" ht="27.95" customHeight="1" x14ac:dyDescent="0.25">
      <c r="A87" s="1526" t="s">
        <v>613</v>
      </c>
      <c r="B87" s="1625" t="s">
        <v>1717</v>
      </c>
      <c r="C87" s="1507" t="s">
        <v>918</v>
      </c>
      <c r="D87" s="1477">
        <f>BS!D47</f>
        <v>25577</v>
      </c>
      <c r="E87" s="1477"/>
      <c r="F87" s="1473"/>
      <c r="G87" s="1473">
        <f>BS!F47</f>
        <v>25577</v>
      </c>
      <c r="H87" s="1474"/>
      <c r="I87" s="1476"/>
      <c r="J87" s="841"/>
    </row>
    <row r="88" spans="1:10" ht="27.95" customHeight="1" x14ac:dyDescent="0.25">
      <c r="A88" s="1517"/>
      <c r="B88" s="1573"/>
      <c r="C88" s="1507"/>
      <c r="D88" s="1477">
        <f>BS!E47</f>
        <v>0</v>
      </c>
      <c r="E88" s="1477"/>
      <c r="F88" s="1477"/>
      <c r="G88" s="844"/>
      <c r="H88" s="1473">
        <f>BS!G47</f>
        <v>19858</v>
      </c>
      <c r="I88" s="1474"/>
      <c r="J88" s="1475"/>
    </row>
    <row r="89" spans="1:10" s="501" customFormat="1" ht="27.95" customHeight="1" x14ac:dyDescent="0.25">
      <c r="A89" s="1513" t="s">
        <v>616</v>
      </c>
      <c r="B89" s="1590" t="s">
        <v>1718</v>
      </c>
      <c r="C89" s="1507" t="s">
        <v>921</v>
      </c>
      <c r="D89" s="1477">
        <f>BS!D48</f>
        <v>0</v>
      </c>
      <c r="E89" s="1477"/>
      <c r="F89" s="1473"/>
      <c r="G89" s="1473">
        <f>BS!F48</f>
        <v>0</v>
      </c>
      <c r="H89" s="1474"/>
      <c r="I89" s="1476"/>
      <c r="J89" s="841"/>
    </row>
    <row r="90" spans="1:10" s="501" customFormat="1" ht="27.95" customHeight="1" x14ac:dyDescent="0.25">
      <c r="A90" s="1529"/>
      <c r="B90" s="1542"/>
      <c r="C90" s="1507"/>
      <c r="D90" s="1477">
        <f>BS!E48</f>
        <v>0</v>
      </c>
      <c r="E90" s="1477"/>
      <c r="F90" s="1477"/>
      <c r="G90" s="844"/>
      <c r="H90" s="1473">
        <f>BS!G48</f>
        <v>0</v>
      </c>
      <c r="I90" s="1474"/>
      <c r="J90" s="1475"/>
    </row>
    <row r="91" spans="1:10" s="501" customFormat="1" ht="27.95" customHeight="1" x14ac:dyDescent="0.25">
      <c r="A91" s="1512" t="s">
        <v>532</v>
      </c>
      <c r="B91" s="1497" t="s">
        <v>1719</v>
      </c>
      <c r="C91" s="1507" t="s">
        <v>924</v>
      </c>
      <c r="D91" s="1477">
        <f>BS!D49</f>
        <v>0</v>
      </c>
      <c r="E91" s="1477"/>
      <c r="F91" s="1473"/>
      <c r="G91" s="1473">
        <f>BS!F49</f>
        <v>0</v>
      </c>
      <c r="H91" s="1474"/>
      <c r="I91" s="1476"/>
      <c r="J91" s="841"/>
    </row>
    <row r="92" spans="1:10" s="501" customFormat="1" ht="27.95" customHeight="1" x14ac:dyDescent="0.25">
      <c r="A92" s="1512"/>
      <c r="B92" s="1497"/>
      <c r="C92" s="1507"/>
      <c r="D92" s="1477">
        <f>BS!E49</f>
        <v>0</v>
      </c>
      <c r="E92" s="1477"/>
      <c r="F92" s="1477"/>
      <c r="G92" s="844"/>
      <c r="H92" s="1473">
        <f>BS!G49</f>
        <v>0</v>
      </c>
      <c r="I92" s="1474"/>
      <c r="J92" s="1475"/>
    </row>
    <row r="93" spans="1:10" ht="27.95" customHeight="1" x14ac:dyDescent="0.25">
      <c r="A93" s="1512" t="s">
        <v>535</v>
      </c>
      <c r="B93" s="1590" t="s">
        <v>1720</v>
      </c>
      <c r="C93" s="1507" t="s">
        <v>927</v>
      </c>
      <c r="D93" s="1477">
        <f>BS!D50</f>
        <v>0</v>
      </c>
      <c r="E93" s="1477"/>
      <c r="F93" s="1473"/>
      <c r="G93" s="1473">
        <f>BS!F50</f>
        <v>0</v>
      </c>
      <c r="H93" s="1474"/>
      <c r="I93" s="1476"/>
      <c r="J93" s="841"/>
    </row>
    <row r="94" spans="1:10" ht="27.95" customHeight="1" thickBot="1" x14ac:dyDescent="0.3">
      <c r="A94" s="1512"/>
      <c r="B94" s="1542"/>
      <c r="C94" s="1507"/>
      <c r="D94" s="1477">
        <f>BS!E50</f>
        <v>0</v>
      </c>
      <c r="E94" s="1477"/>
      <c r="F94" s="1477"/>
      <c r="G94" s="802"/>
      <c r="H94" s="1473">
        <f>BS!G50</f>
        <v>0</v>
      </c>
      <c r="I94" s="1474"/>
      <c r="J94" s="1475"/>
    </row>
    <row r="95" spans="1:10" ht="11.25" customHeight="1" x14ac:dyDescent="0.25">
      <c r="A95" s="1563" t="s">
        <v>1674</v>
      </c>
      <c r="B95" s="1565" t="s">
        <v>1675</v>
      </c>
      <c r="C95" s="1567" t="s">
        <v>1676</v>
      </c>
      <c r="D95" s="1492" t="s">
        <v>1677</v>
      </c>
      <c r="E95" s="1493"/>
      <c r="F95" s="1493"/>
      <c r="G95" s="1493"/>
      <c r="H95" s="1494"/>
      <c r="I95" s="1490" t="s">
        <v>1655</v>
      </c>
      <c r="J95" s="1491"/>
    </row>
    <row r="96" spans="1:10" ht="11.25" customHeight="1" x14ac:dyDescent="0.25">
      <c r="A96" s="1564"/>
      <c r="B96" s="1566"/>
      <c r="C96" s="1568"/>
      <c r="D96" s="1511">
        <v>1</v>
      </c>
      <c r="E96" s="1478" t="s">
        <v>1678</v>
      </c>
      <c r="F96" s="1570"/>
      <c r="G96" s="1626" t="s">
        <v>1262</v>
      </c>
      <c r="H96" s="1627"/>
      <c r="I96" s="1480"/>
      <c r="J96" s="1489"/>
    </row>
    <row r="97" spans="1:12" ht="12" customHeight="1" x14ac:dyDescent="0.25">
      <c r="A97" s="1532"/>
      <c r="B97" s="1531"/>
      <c r="C97" s="1538"/>
      <c r="D97" s="1569"/>
      <c r="E97" s="1478" t="s">
        <v>1679</v>
      </c>
      <c r="F97" s="1570"/>
      <c r="G97" s="1628"/>
      <c r="H97" s="1629"/>
      <c r="I97" s="1478" t="s">
        <v>1260</v>
      </c>
      <c r="J97" s="1479"/>
    </row>
    <row r="98" spans="1:12" ht="27.95" customHeight="1" x14ac:dyDescent="0.25">
      <c r="A98" s="1512" t="s">
        <v>538</v>
      </c>
      <c r="B98" s="1590" t="s">
        <v>1721</v>
      </c>
      <c r="C98" s="1516" t="s">
        <v>930</v>
      </c>
      <c r="D98" s="1477">
        <f>BS!D51</f>
        <v>0</v>
      </c>
      <c r="E98" s="1477"/>
      <c r="F98" s="1477"/>
      <c r="G98" s="1473">
        <f>BS!F51</f>
        <v>0</v>
      </c>
      <c r="H98" s="1474"/>
      <c r="I98" s="1476"/>
      <c r="J98" s="841"/>
      <c r="L98" s="553" t="s">
        <v>1177</v>
      </c>
    </row>
    <row r="99" spans="1:12" ht="27.95" customHeight="1" x14ac:dyDescent="0.25">
      <c r="A99" s="1512"/>
      <c r="B99" s="1542"/>
      <c r="C99" s="1507"/>
      <c r="D99" s="1477">
        <f>BS!E51</f>
        <v>0</v>
      </c>
      <c r="E99" s="1477"/>
      <c r="F99" s="1477"/>
      <c r="G99" s="842"/>
      <c r="H99" s="1473">
        <f>BS!G51</f>
        <v>0</v>
      </c>
      <c r="I99" s="1474"/>
      <c r="J99" s="1475"/>
    </row>
    <row r="100" spans="1:12" ht="27.95" customHeight="1" x14ac:dyDescent="0.25">
      <c r="A100" s="1512" t="s">
        <v>541</v>
      </c>
      <c r="B100" s="1590" t="s">
        <v>1722</v>
      </c>
      <c r="C100" s="1507" t="s">
        <v>933</v>
      </c>
      <c r="D100" s="1477">
        <f>BS!D52</f>
        <v>0</v>
      </c>
      <c r="E100" s="1477"/>
      <c r="F100" s="1477"/>
      <c r="G100" s="1473">
        <f>BS!F52</f>
        <v>0</v>
      </c>
      <c r="H100" s="1474"/>
      <c r="I100" s="1476"/>
      <c r="J100" s="841"/>
    </row>
    <row r="101" spans="1:12" ht="27.95" customHeight="1" x14ac:dyDescent="0.25">
      <c r="A101" s="1512"/>
      <c r="B101" s="1542"/>
      <c r="C101" s="1507"/>
      <c r="D101" s="1477">
        <f>BS!E52</f>
        <v>0</v>
      </c>
      <c r="E101" s="1477"/>
      <c r="F101" s="1477"/>
      <c r="G101" s="842"/>
      <c r="H101" s="1473">
        <f>BS!G52</f>
        <v>0</v>
      </c>
      <c r="I101" s="1474"/>
      <c r="J101" s="1475"/>
    </row>
    <row r="102" spans="1:12" ht="27.95" customHeight="1" x14ac:dyDescent="0.25">
      <c r="A102" s="1512" t="s">
        <v>544</v>
      </c>
      <c r="B102" s="1590" t="s">
        <v>1723</v>
      </c>
      <c r="C102" s="1516" t="s">
        <v>936</v>
      </c>
      <c r="D102" s="1477">
        <f>BS!D53</f>
        <v>0</v>
      </c>
      <c r="E102" s="1477"/>
      <c r="F102" s="1477"/>
      <c r="G102" s="1473">
        <f>BS!F53</f>
        <v>0</v>
      </c>
      <c r="H102" s="1474"/>
      <c r="I102" s="1476"/>
      <c r="J102" s="841"/>
    </row>
    <row r="103" spans="1:12" ht="27.95" customHeight="1" x14ac:dyDescent="0.25">
      <c r="A103" s="1512"/>
      <c r="B103" s="1542"/>
      <c r="C103" s="1507"/>
      <c r="D103" s="1477">
        <f>BS!E53</f>
        <v>0</v>
      </c>
      <c r="E103" s="1477"/>
      <c r="F103" s="1477"/>
      <c r="G103" s="842"/>
      <c r="H103" s="1473">
        <f>BS!G53</f>
        <v>0</v>
      </c>
      <c r="I103" s="1474"/>
      <c r="J103" s="1475"/>
    </row>
    <row r="104" spans="1:12" ht="27.95" customHeight="1" x14ac:dyDescent="0.25">
      <c r="A104" s="1512" t="s">
        <v>547</v>
      </c>
      <c r="B104" s="1590" t="s">
        <v>1724</v>
      </c>
      <c r="C104" s="1507" t="s">
        <v>939</v>
      </c>
      <c r="D104" s="1477">
        <f>BS!D54</f>
        <v>25577</v>
      </c>
      <c r="E104" s="1477"/>
      <c r="F104" s="1477"/>
      <c r="G104" s="1473">
        <f>BS!F54</f>
        <v>25577</v>
      </c>
      <c r="H104" s="1474"/>
      <c r="I104" s="1476"/>
      <c r="J104" s="841"/>
    </row>
    <row r="105" spans="1:12" ht="27.95" customHeight="1" x14ac:dyDescent="0.25">
      <c r="A105" s="1512"/>
      <c r="B105" s="1542"/>
      <c r="C105" s="1507"/>
      <c r="D105" s="1477">
        <f>BS!E54</f>
        <v>0</v>
      </c>
      <c r="E105" s="1477"/>
      <c r="F105" s="1477"/>
      <c r="G105" s="842"/>
      <c r="H105" s="1473">
        <f>BS!G54</f>
        <v>19858</v>
      </c>
      <c r="I105" s="1474"/>
      <c r="J105" s="1475"/>
    </row>
    <row r="106" spans="1:12" ht="27.95" customHeight="1" x14ac:dyDescent="0.25">
      <c r="A106" s="1536" t="s">
        <v>631</v>
      </c>
      <c r="B106" s="1630" t="s">
        <v>1725</v>
      </c>
      <c r="C106" s="1516" t="s">
        <v>941</v>
      </c>
      <c r="D106" s="1477">
        <f>BS!D55</f>
        <v>2821219</v>
      </c>
      <c r="E106" s="1477"/>
      <c r="F106" s="1477"/>
      <c r="G106" s="1473">
        <f>BS!F55</f>
        <v>2819503</v>
      </c>
      <c r="H106" s="1474"/>
      <c r="I106" s="1476"/>
      <c r="J106" s="841"/>
    </row>
    <row r="107" spans="1:12" ht="27.95" customHeight="1" x14ac:dyDescent="0.25">
      <c r="A107" s="1537"/>
      <c r="B107" s="1539"/>
      <c r="C107" s="1507"/>
      <c r="D107" s="1477">
        <f>BS!E55</f>
        <v>1716</v>
      </c>
      <c r="E107" s="1477"/>
      <c r="F107" s="1477"/>
      <c r="G107" s="842"/>
      <c r="H107" s="1473">
        <f>BS!G55</f>
        <v>2150321</v>
      </c>
      <c r="I107" s="1474"/>
      <c r="J107" s="1475"/>
    </row>
    <row r="108" spans="1:12" s="501" customFormat="1" ht="27.95" customHeight="1" x14ac:dyDescent="0.25">
      <c r="A108" s="1535" t="s">
        <v>634</v>
      </c>
      <c r="B108" s="1590" t="s">
        <v>1726</v>
      </c>
      <c r="C108" s="1507" t="s">
        <v>944</v>
      </c>
      <c r="D108" s="1477">
        <f>BS!D56</f>
        <v>2820567</v>
      </c>
      <c r="E108" s="1477"/>
      <c r="F108" s="1477"/>
      <c r="G108" s="1473">
        <f>BS!F56</f>
        <v>2818851</v>
      </c>
      <c r="H108" s="1474"/>
      <c r="I108" s="1476"/>
      <c r="J108" s="841"/>
    </row>
    <row r="109" spans="1:12" s="501" customFormat="1" ht="27.95" customHeight="1" x14ac:dyDescent="0.25">
      <c r="A109" s="1535"/>
      <c r="B109" s="1542"/>
      <c r="C109" s="1507"/>
      <c r="D109" s="1477">
        <f>BS!E56</f>
        <v>1716</v>
      </c>
      <c r="E109" s="1477"/>
      <c r="F109" s="1477"/>
      <c r="G109" s="842"/>
      <c r="H109" s="1473">
        <f>BS!G56</f>
        <v>2123075</v>
      </c>
      <c r="I109" s="1474"/>
      <c r="J109" s="1475"/>
    </row>
    <row r="110" spans="1:12" s="501" customFormat="1" ht="27.95" customHeight="1" x14ac:dyDescent="0.25">
      <c r="A110" s="1512" t="s">
        <v>532</v>
      </c>
      <c r="B110" s="1497" t="s">
        <v>1719</v>
      </c>
      <c r="C110" s="1516" t="s">
        <v>947</v>
      </c>
      <c r="D110" s="1477">
        <f>BS!D57</f>
        <v>0</v>
      </c>
      <c r="E110" s="1477"/>
      <c r="F110" s="1477"/>
      <c r="G110" s="1473">
        <f>BS!F57</f>
        <v>0</v>
      </c>
      <c r="H110" s="1474"/>
      <c r="I110" s="1476"/>
      <c r="J110" s="841"/>
    </row>
    <row r="111" spans="1:12" s="501" customFormat="1" ht="27.95" customHeight="1" x14ac:dyDescent="0.25">
      <c r="A111" s="1512"/>
      <c r="B111" s="1497"/>
      <c r="C111" s="1507"/>
      <c r="D111" s="1477">
        <f>BS!E57</f>
        <v>0</v>
      </c>
      <c r="E111" s="1477"/>
      <c r="F111" s="1477"/>
      <c r="G111" s="842"/>
      <c r="H111" s="1473">
        <f>BS!G57</f>
        <v>0</v>
      </c>
      <c r="I111" s="1474"/>
      <c r="J111" s="1475"/>
    </row>
    <row r="112" spans="1:12" ht="27.95" customHeight="1" x14ac:dyDescent="0.25">
      <c r="A112" s="1512" t="s">
        <v>535</v>
      </c>
      <c r="B112" s="1590" t="s">
        <v>1720</v>
      </c>
      <c r="C112" s="1507" t="s">
        <v>950</v>
      </c>
      <c r="D112" s="1477">
        <f>BS!D58</f>
        <v>0</v>
      </c>
      <c r="E112" s="1477"/>
      <c r="F112" s="1477"/>
      <c r="G112" s="1473">
        <f>BS!F58</f>
        <v>0</v>
      </c>
      <c r="H112" s="1474"/>
      <c r="I112" s="1476"/>
      <c r="J112" s="841"/>
    </row>
    <row r="113" spans="1:10" ht="27.95" customHeight="1" x14ac:dyDescent="0.25">
      <c r="A113" s="1512"/>
      <c r="B113" s="1542"/>
      <c r="C113" s="1507"/>
      <c r="D113" s="1477">
        <f>BS!E58</f>
        <v>0</v>
      </c>
      <c r="E113" s="1477"/>
      <c r="F113" s="1477"/>
      <c r="G113" s="842"/>
      <c r="H113" s="1473">
        <f>BS!G58</f>
        <v>0</v>
      </c>
      <c r="I113" s="1474"/>
      <c r="J113" s="1475"/>
    </row>
    <row r="114" spans="1:10" ht="27.95" customHeight="1" x14ac:dyDescent="0.25">
      <c r="A114" s="1512" t="s">
        <v>538</v>
      </c>
      <c r="B114" s="1590" t="s">
        <v>1721</v>
      </c>
      <c r="C114" s="1516" t="s">
        <v>952</v>
      </c>
      <c r="D114" s="1477">
        <f>BS!D59</f>
        <v>0</v>
      </c>
      <c r="E114" s="1477"/>
      <c r="F114" s="1477"/>
      <c r="G114" s="1473">
        <f>BS!F59</f>
        <v>0</v>
      </c>
      <c r="H114" s="1474"/>
      <c r="I114" s="1476"/>
      <c r="J114" s="841"/>
    </row>
    <row r="115" spans="1:10" ht="27.95" customHeight="1" x14ac:dyDescent="0.25">
      <c r="A115" s="1512"/>
      <c r="B115" s="1542"/>
      <c r="C115" s="1507"/>
      <c r="D115" s="1477">
        <f>BS!E59</f>
        <v>0</v>
      </c>
      <c r="E115" s="1477"/>
      <c r="F115" s="1477"/>
      <c r="G115" s="842"/>
      <c r="H115" s="1473">
        <f>BS!G59</f>
        <v>0</v>
      </c>
      <c r="I115" s="1474"/>
      <c r="J115" s="1475"/>
    </row>
    <row r="116" spans="1:10" ht="27.95" customHeight="1" x14ac:dyDescent="0.25">
      <c r="A116" s="1512" t="s">
        <v>541</v>
      </c>
      <c r="B116" s="1590" t="s">
        <v>1727</v>
      </c>
      <c r="C116" s="1507" t="s">
        <v>954</v>
      </c>
      <c r="D116" s="1477">
        <f>BS!D60</f>
        <v>0</v>
      </c>
      <c r="E116" s="1477"/>
      <c r="F116" s="1477"/>
      <c r="G116" s="1473">
        <f>BS!F60</f>
        <v>0</v>
      </c>
      <c r="H116" s="1474"/>
      <c r="I116" s="1476"/>
      <c r="J116" s="841"/>
    </row>
    <row r="117" spans="1:10" ht="27.95" customHeight="1" x14ac:dyDescent="0.25">
      <c r="A117" s="1512"/>
      <c r="B117" s="1542"/>
      <c r="C117" s="1507"/>
      <c r="D117" s="1477">
        <f>BS!E60</f>
        <v>0</v>
      </c>
      <c r="E117" s="1477"/>
      <c r="F117" s="1477"/>
      <c r="G117" s="842"/>
      <c r="H117" s="1473">
        <f>BS!G60</f>
        <v>0</v>
      </c>
      <c r="I117" s="1474"/>
      <c r="J117" s="1475"/>
    </row>
    <row r="118" spans="1:10" ht="27.95" customHeight="1" x14ac:dyDescent="0.25">
      <c r="A118" s="1512" t="s">
        <v>544</v>
      </c>
      <c r="B118" s="1590" t="s">
        <v>1728</v>
      </c>
      <c r="C118" s="1516" t="s">
        <v>957</v>
      </c>
      <c r="D118" s="1477">
        <f>BS!D61</f>
        <v>0</v>
      </c>
      <c r="E118" s="1477"/>
      <c r="F118" s="1477"/>
      <c r="G118" s="1473">
        <f>BS!F61</f>
        <v>0</v>
      </c>
      <c r="H118" s="1474"/>
      <c r="I118" s="1476"/>
      <c r="J118" s="841"/>
    </row>
    <row r="119" spans="1:10" ht="27.95" customHeight="1" x14ac:dyDescent="0.25">
      <c r="A119" s="1512"/>
      <c r="B119" s="1542"/>
      <c r="C119" s="1507"/>
      <c r="D119" s="1477">
        <f>BS!E61</f>
        <v>0</v>
      </c>
      <c r="E119" s="1477"/>
      <c r="F119" s="1477"/>
      <c r="G119" s="842"/>
      <c r="H119" s="1473">
        <f>BS!G61</f>
        <v>0</v>
      </c>
      <c r="I119" s="1474"/>
      <c r="J119" s="1475"/>
    </row>
    <row r="120" spans="1:10" ht="27.95" customHeight="1" x14ac:dyDescent="0.25">
      <c r="A120" s="1512" t="s">
        <v>547</v>
      </c>
      <c r="B120" s="1590" t="s">
        <v>1729</v>
      </c>
      <c r="C120" s="1507" t="s">
        <v>960</v>
      </c>
      <c r="D120" s="1477">
        <f>BS!D62</f>
        <v>0</v>
      </c>
      <c r="E120" s="1477"/>
      <c r="F120" s="1477"/>
      <c r="G120" s="1473">
        <f>BS!F62</f>
        <v>0</v>
      </c>
      <c r="H120" s="1474"/>
      <c r="I120" s="1476"/>
      <c r="J120" s="841"/>
    </row>
    <row r="121" spans="1:10" ht="27.95" customHeight="1" x14ac:dyDescent="0.25">
      <c r="A121" s="1512"/>
      <c r="B121" s="1542"/>
      <c r="C121" s="1507"/>
      <c r="D121" s="1477">
        <f>BS!E62</f>
        <v>0</v>
      </c>
      <c r="E121" s="1477"/>
      <c r="F121" s="1477"/>
      <c r="G121" s="842"/>
      <c r="H121" s="1473">
        <f>BS!G62</f>
        <v>0</v>
      </c>
      <c r="I121" s="1474"/>
      <c r="J121" s="1475"/>
    </row>
    <row r="122" spans="1:10" ht="27.95" customHeight="1" x14ac:dyDescent="0.25">
      <c r="A122" s="1512" t="s">
        <v>568</v>
      </c>
      <c r="B122" s="1590" t="s">
        <v>1723</v>
      </c>
      <c r="C122" s="1516" t="s">
        <v>962</v>
      </c>
      <c r="D122" s="1477">
        <f>BS!D63</f>
        <v>652</v>
      </c>
      <c r="E122" s="1477"/>
      <c r="F122" s="1477"/>
      <c r="G122" s="1473">
        <f>BS!F63</f>
        <v>652</v>
      </c>
      <c r="H122" s="1474"/>
      <c r="I122" s="1476"/>
      <c r="J122" s="841"/>
    </row>
    <row r="123" spans="1:10" ht="27.95" customHeight="1" x14ac:dyDescent="0.25">
      <c r="A123" s="1512"/>
      <c r="B123" s="1542"/>
      <c r="C123" s="1507"/>
      <c r="D123" s="1477">
        <f>BS!E63</f>
        <v>0</v>
      </c>
      <c r="E123" s="1477"/>
      <c r="F123" s="1477"/>
      <c r="G123" s="842"/>
      <c r="H123" s="1473">
        <f>BS!G63</f>
        <v>652</v>
      </c>
      <c r="I123" s="1474"/>
      <c r="J123" s="1475"/>
    </row>
    <row r="124" spans="1:10" ht="27.95" customHeight="1" x14ac:dyDescent="0.25">
      <c r="A124" s="1540" t="s">
        <v>649</v>
      </c>
      <c r="B124" s="1630" t="s">
        <v>1730</v>
      </c>
      <c r="C124" s="1507" t="s">
        <v>965</v>
      </c>
      <c r="D124" s="1584">
        <f>BS!D64</f>
        <v>286</v>
      </c>
      <c r="E124" s="1584"/>
      <c r="F124" s="1584"/>
      <c r="G124" s="1473">
        <f>BS!F64</f>
        <v>286</v>
      </c>
      <c r="H124" s="1474"/>
      <c r="I124" s="1476"/>
      <c r="J124" s="841"/>
    </row>
    <row r="125" spans="1:10" ht="27.95" customHeight="1" x14ac:dyDescent="0.25">
      <c r="A125" s="1537"/>
      <c r="B125" s="1539"/>
      <c r="C125" s="1507"/>
      <c r="D125" s="1477">
        <f>BS!E64</f>
        <v>0</v>
      </c>
      <c r="E125" s="1477"/>
      <c r="F125" s="1477"/>
      <c r="G125" s="842"/>
      <c r="H125" s="1473">
        <f>BS!G64</f>
        <v>689</v>
      </c>
      <c r="I125" s="1474"/>
      <c r="J125" s="1475"/>
    </row>
    <row r="126" spans="1:10" s="501" customFormat="1" ht="27.95" customHeight="1" x14ac:dyDescent="0.25">
      <c r="A126" s="1529" t="s">
        <v>652</v>
      </c>
      <c r="B126" s="1590" t="s">
        <v>1731</v>
      </c>
      <c r="C126" s="1516" t="s">
        <v>968</v>
      </c>
      <c r="D126" s="1477">
        <f>BS!D65</f>
        <v>286</v>
      </c>
      <c r="E126" s="1477"/>
      <c r="F126" s="1477"/>
      <c r="G126" s="1473">
        <f>BS!F65</f>
        <v>286</v>
      </c>
      <c r="H126" s="1474"/>
      <c r="I126" s="1476"/>
      <c r="J126" s="841"/>
    </row>
    <row r="127" spans="1:10" s="501" customFormat="1" ht="27.95" customHeight="1" thickBot="1" x14ac:dyDescent="0.3">
      <c r="A127" s="1529"/>
      <c r="B127" s="1542"/>
      <c r="C127" s="1507"/>
      <c r="D127" s="1477">
        <f>BS!E65</f>
        <v>0</v>
      </c>
      <c r="E127" s="1477"/>
      <c r="F127" s="1477"/>
      <c r="G127" s="803"/>
      <c r="H127" s="1473">
        <f>BS!G65</f>
        <v>689</v>
      </c>
      <c r="I127" s="1474"/>
      <c r="J127" s="1475"/>
    </row>
    <row r="128" spans="1:10" ht="11.25" customHeight="1" x14ac:dyDescent="0.25">
      <c r="A128" s="1563" t="s">
        <v>1674</v>
      </c>
      <c r="B128" s="1565" t="s">
        <v>1675</v>
      </c>
      <c r="C128" s="1567" t="s">
        <v>1676</v>
      </c>
      <c r="D128" s="1492" t="s">
        <v>1677</v>
      </c>
      <c r="E128" s="1493"/>
      <c r="F128" s="1493"/>
      <c r="G128" s="1493"/>
      <c r="H128" s="1494"/>
      <c r="I128" s="1490" t="s">
        <v>1655</v>
      </c>
      <c r="J128" s="1491"/>
    </row>
    <row r="129" spans="1:10" ht="11.25" customHeight="1" x14ac:dyDescent="0.25">
      <c r="A129" s="1564"/>
      <c r="B129" s="1566"/>
      <c r="C129" s="1568"/>
      <c r="D129" s="1511">
        <v>1</v>
      </c>
      <c r="E129" s="1478" t="s">
        <v>1678</v>
      </c>
      <c r="F129" s="1570"/>
      <c r="G129" s="1626" t="s">
        <v>1262</v>
      </c>
      <c r="H129" s="1627"/>
      <c r="I129" s="1480"/>
      <c r="J129" s="1489"/>
    </row>
    <row r="130" spans="1:10" ht="11.25" customHeight="1" x14ac:dyDescent="0.25">
      <c r="A130" s="1532"/>
      <c r="B130" s="1531"/>
      <c r="C130" s="1538"/>
      <c r="D130" s="1569"/>
      <c r="E130" s="1478" t="s">
        <v>1679</v>
      </c>
      <c r="F130" s="1570"/>
      <c r="G130" s="1628"/>
      <c r="H130" s="1629"/>
      <c r="I130" s="1478" t="s">
        <v>1260</v>
      </c>
      <c r="J130" s="1479"/>
    </row>
    <row r="131" spans="1:10" s="571" customFormat="1" ht="27.95" customHeight="1" x14ac:dyDescent="0.25">
      <c r="A131" s="1512" t="s">
        <v>532</v>
      </c>
      <c r="B131" s="1590" t="s">
        <v>1732</v>
      </c>
      <c r="C131" s="1507" t="s">
        <v>656</v>
      </c>
      <c r="D131" s="1477">
        <f>BS!D66</f>
        <v>0</v>
      </c>
      <c r="E131" s="1477"/>
      <c r="F131" s="1477"/>
      <c r="G131" s="1473">
        <f>BS!F66</f>
        <v>0</v>
      </c>
      <c r="H131" s="1474"/>
      <c r="I131" s="1476"/>
      <c r="J131" s="572"/>
    </row>
    <row r="132" spans="1:10" s="571" customFormat="1" ht="27.95" customHeight="1" x14ac:dyDescent="0.25">
      <c r="A132" s="1512"/>
      <c r="B132" s="1542"/>
      <c r="C132" s="1507"/>
      <c r="D132" s="1477">
        <f>BS!E66</f>
        <v>0</v>
      </c>
      <c r="E132" s="1477"/>
      <c r="F132" s="1477"/>
      <c r="G132" s="843"/>
      <c r="H132" s="1473">
        <f>BS!G66</f>
        <v>0</v>
      </c>
      <c r="I132" s="1474"/>
      <c r="J132" s="1475"/>
    </row>
    <row r="133" spans="1:10" s="571" customFormat="1" ht="27.95" customHeight="1" x14ac:dyDescent="0.25">
      <c r="A133" s="1512" t="s">
        <v>535</v>
      </c>
      <c r="B133" s="1590" t="s">
        <v>1733</v>
      </c>
      <c r="C133" s="1507" t="s">
        <v>658</v>
      </c>
      <c r="D133" s="1477">
        <f>BS!D67</f>
        <v>0</v>
      </c>
      <c r="E133" s="1477"/>
      <c r="F133" s="1477"/>
      <c r="G133" s="1473">
        <f>BS!F67</f>
        <v>0</v>
      </c>
      <c r="H133" s="1474"/>
      <c r="I133" s="1476"/>
      <c r="J133" s="572"/>
    </row>
    <row r="134" spans="1:10" ht="27.95" customHeight="1" x14ac:dyDescent="0.25">
      <c r="A134" s="1512"/>
      <c r="B134" s="1542"/>
      <c r="C134" s="1507"/>
      <c r="D134" s="1477">
        <f>BS!E67</f>
        <v>0</v>
      </c>
      <c r="E134" s="1477"/>
      <c r="F134" s="1477"/>
      <c r="G134" s="843"/>
      <c r="H134" s="1473">
        <f>BS!G67</f>
        <v>0</v>
      </c>
      <c r="I134" s="1474"/>
      <c r="J134" s="1475"/>
    </row>
    <row r="135" spans="1:10" ht="27.95" customHeight="1" x14ac:dyDescent="0.25">
      <c r="A135" s="1512" t="s">
        <v>538</v>
      </c>
      <c r="B135" s="1590" t="s">
        <v>1734</v>
      </c>
      <c r="C135" s="1507" t="s">
        <v>660</v>
      </c>
      <c r="D135" s="1477">
        <f>BS!D68</f>
        <v>0</v>
      </c>
      <c r="E135" s="1477"/>
      <c r="F135" s="1477"/>
      <c r="G135" s="1473">
        <f>BS!F68</f>
        <v>0</v>
      </c>
      <c r="H135" s="1474"/>
      <c r="I135" s="1476"/>
      <c r="J135" s="841"/>
    </row>
    <row r="136" spans="1:10" ht="27.95" customHeight="1" x14ac:dyDescent="0.25">
      <c r="A136" s="1512"/>
      <c r="B136" s="1542"/>
      <c r="C136" s="1507"/>
      <c r="D136" s="1477">
        <f>BS!E68</f>
        <v>0</v>
      </c>
      <c r="E136" s="1477"/>
      <c r="F136" s="1477"/>
      <c r="G136" s="843"/>
      <c r="H136" s="1473">
        <f>BS!G68</f>
        <v>0</v>
      </c>
      <c r="I136" s="1474"/>
      <c r="J136" s="1475"/>
    </row>
    <row r="137" spans="1:10" ht="27.95" customHeight="1" x14ac:dyDescent="0.25">
      <c r="A137" s="1512" t="s">
        <v>541</v>
      </c>
      <c r="B137" s="1590" t="s">
        <v>1735</v>
      </c>
      <c r="C137" s="1507" t="s">
        <v>662</v>
      </c>
      <c r="D137" s="1477">
        <f>BS!D69</f>
        <v>0</v>
      </c>
      <c r="E137" s="1477"/>
      <c r="F137" s="1477"/>
      <c r="G137" s="1473">
        <f>BS!F69</f>
        <v>0</v>
      </c>
      <c r="H137" s="1474"/>
      <c r="I137" s="1476"/>
      <c r="J137" s="841"/>
    </row>
    <row r="138" spans="1:10" ht="27.95" customHeight="1" x14ac:dyDescent="0.25">
      <c r="A138" s="1512"/>
      <c r="B138" s="1542"/>
      <c r="C138" s="1507"/>
      <c r="D138" s="1477">
        <f>BS!E69</f>
        <v>0</v>
      </c>
      <c r="E138" s="1477"/>
      <c r="F138" s="1477"/>
      <c r="G138" s="843"/>
      <c r="H138" s="1473">
        <f>BS!G69</f>
        <v>0</v>
      </c>
      <c r="I138" s="1474"/>
      <c r="J138" s="1475"/>
    </row>
    <row r="139" spans="1:10" ht="27.95" customHeight="1" x14ac:dyDescent="0.25">
      <c r="A139" s="1517" t="s">
        <v>663</v>
      </c>
      <c r="B139" s="1625" t="s">
        <v>1736</v>
      </c>
      <c r="C139" s="1519" t="s">
        <v>665</v>
      </c>
      <c r="D139" s="1477">
        <f>BS!D70</f>
        <v>4022</v>
      </c>
      <c r="E139" s="1477"/>
      <c r="F139" s="1477"/>
      <c r="G139" s="1473">
        <f>BS!F70</f>
        <v>4022</v>
      </c>
      <c r="H139" s="1474"/>
      <c r="I139" s="1476"/>
      <c r="J139" s="841"/>
    </row>
    <row r="140" spans="1:10" ht="27.95" customHeight="1" x14ac:dyDescent="0.25">
      <c r="A140" s="1517"/>
      <c r="B140" s="1573"/>
      <c r="C140" s="1519"/>
      <c r="D140" s="1477">
        <f>BS!E70</f>
        <v>0</v>
      </c>
      <c r="E140" s="1477"/>
      <c r="F140" s="1477"/>
      <c r="G140" s="843"/>
      <c r="H140" s="1473">
        <f>BS!G70</f>
        <v>19937</v>
      </c>
      <c r="I140" s="1474"/>
      <c r="J140" s="1475"/>
    </row>
    <row r="141" spans="1:10" ht="27.95" customHeight="1" x14ac:dyDescent="0.25">
      <c r="A141" s="1529" t="s">
        <v>666</v>
      </c>
      <c r="B141" s="1590" t="s">
        <v>1737</v>
      </c>
      <c r="C141" s="1507" t="s">
        <v>668</v>
      </c>
      <c r="D141" s="1477">
        <f>BS!D71</f>
        <v>0</v>
      </c>
      <c r="E141" s="1477"/>
      <c r="F141" s="1477"/>
      <c r="G141" s="1473">
        <f>BS!F71</f>
        <v>0</v>
      </c>
      <c r="H141" s="1474"/>
      <c r="I141" s="1476"/>
      <c r="J141" s="841"/>
    </row>
    <row r="142" spans="1:10" ht="27.95" customHeight="1" x14ac:dyDescent="0.25">
      <c r="A142" s="1529"/>
      <c r="B142" s="1542"/>
      <c r="C142" s="1507"/>
      <c r="D142" s="1477">
        <f>BS!E71</f>
        <v>0</v>
      </c>
      <c r="E142" s="1477"/>
      <c r="F142" s="1477"/>
      <c r="G142" s="843"/>
      <c r="H142" s="1473">
        <f>BS!G71</f>
        <v>0</v>
      </c>
      <c r="I142" s="1474"/>
      <c r="J142" s="1475"/>
    </row>
    <row r="143" spans="1:10" ht="27.95" customHeight="1" x14ac:dyDescent="0.25">
      <c r="A143" s="1512" t="s">
        <v>532</v>
      </c>
      <c r="B143" s="1590" t="s">
        <v>1738</v>
      </c>
      <c r="C143" s="1507" t="s">
        <v>670</v>
      </c>
      <c r="D143" s="1477">
        <f>BS!D72</f>
        <v>2033</v>
      </c>
      <c r="E143" s="1477"/>
      <c r="F143" s="1477"/>
      <c r="G143" s="1473">
        <f>BS!F72</f>
        <v>2033</v>
      </c>
      <c r="H143" s="1474"/>
      <c r="I143" s="1476"/>
      <c r="J143" s="841"/>
    </row>
    <row r="144" spans="1:10" s="501" customFormat="1" ht="27.95" customHeight="1" x14ac:dyDescent="0.25">
      <c r="A144" s="1512"/>
      <c r="B144" s="1542"/>
      <c r="C144" s="1507"/>
      <c r="D144" s="1477">
        <f>BS!E72</f>
        <v>0</v>
      </c>
      <c r="E144" s="1477"/>
      <c r="F144" s="1477"/>
      <c r="G144" s="843"/>
      <c r="H144" s="1473">
        <f>BS!G72</f>
        <v>766</v>
      </c>
      <c r="I144" s="1474"/>
      <c r="J144" s="1475"/>
    </row>
    <row r="145" spans="1:10" s="501" customFormat="1" ht="27.95" customHeight="1" x14ac:dyDescent="0.25">
      <c r="A145" s="1512" t="s">
        <v>535</v>
      </c>
      <c r="B145" s="1590" t="s">
        <v>1739</v>
      </c>
      <c r="C145" s="1507" t="s">
        <v>672</v>
      </c>
      <c r="D145" s="1477">
        <f>BS!D73</f>
        <v>0</v>
      </c>
      <c r="E145" s="1477"/>
      <c r="F145" s="1477"/>
      <c r="G145" s="1473">
        <f>BS!F73</f>
        <v>0</v>
      </c>
      <c r="H145" s="1474"/>
      <c r="I145" s="1476"/>
      <c r="J145" s="841"/>
    </row>
    <row r="146" spans="1:10" ht="27.95" customHeight="1" x14ac:dyDescent="0.25">
      <c r="A146" s="1512"/>
      <c r="B146" s="1542"/>
      <c r="C146" s="1507"/>
      <c r="D146" s="1477">
        <f>BS!E73</f>
        <v>0</v>
      </c>
      <c r="E146" s="1477"/>
      <c r="F146" s="1477"/>
      <c r="G146" s="843"/>
      <c r="H146" s="1473">
        <f>BS!G73</f>
        <v>0</v>
      </c>
      <c r="I146" s="1474"/>
      <c r="J146" s="1475"/>
    </row>
    <row r="147" spans="1:10" ht="27.95" customHeight="1" x14ac:dyDescent="0.25">
      <c r="A147" s="1512" t="s">
        <v>538</v>
      </c>
      <c r="B147" s="1590" t="s">
        <v>1740</v>
      </c>
      <c r="C147" s="1507" t="s">
        <v>674</v>
      </c>
      <c r="D147" s="1477">
        <f>BS!D74</f>
        <v>1989</v>
      </c>
      <c r="E147" s="1477"/>
      <c r="F147" s="1477"/>
      <c r="G147" s="1473">
        <f>BS!F74</f>
        <v>1989</v>
      </c>
      <c r="H147" s="1474"/>
      <c r="I147" s="1476"/>
      <c r="J147" s="841"/>
    </row>
    <row r="148" spans="1:10" s="566" customFormat="1" ht="27.95" customHeight="1" x14ac:dyDescent="0.2">
      <c r="A148" s="1512"/>
      <c r="B148" s="1542"/>
      <c r="C148" s="1507"/>
      <c r="D148" s="1477">
        <f>BS!E74</f>
        <v>0</v>
      </c>
      <c r="E148" s="1477"/>
      <c r="F148" s="1477"/>
      <c r="G148" s="803"/>
      <c r="H148" s="1473">
        <f>BS!G74</f>
        <v>19171</v>
      </c>
      <c r="I148" s="1474"/>
      <c r="J148" s="1475"/>
    </row>
    <row r="149" spans="1:10" s="566" customFormat="1" ht="30" customHeight="1" x14ac:dyDescent="0.2">
      <c r="A149" s="569" t="s">
        <v>1674</v>
      </c>
      <c r="B149" s="1478" t="s">
        <v>1741</v>
      </c>
      <c r="C149" s="1621"/>
      <c r="D149" s="1621"/>
      <c r="E149" s="1570"/>
      <c r="F149" s="568" t="s">
        <v>1676</v>
      </c>
      <c r="G149" s="1478" t="s">
        <v>1742</v>
      </c>
      <c r="H149" s="1570"/>
      <c r="I149" s="1480" t="s">
        <v>1743</v>
      </c>
      <c r="J149" s="1489"/>
    </row>
    <row r="150" spans="1:10" s="566" customFormat="1" ht="27.75" customHeight="1" x14ac:dyDescent="0.2">
      <c r="A150" s="567"/>
      <c r="B150" s="1601" t="s">
        <v>1744</v>
      </c>
      <c r="C150" s="1602"/>
      <c r="D150" s="1602"/>
      <c r="E150" s="1603"/>
      <c r="F150" s="811" t="s">
        <v>681</v>
      </c>
      <c r="G150" s="1473">
        <f>BS!D81</f>
        <v>2867628</v>
      </c>
      <c r="H150" s="1476"/>
      <c r="I150" s="1473">
        <f>BS!E81</f>
        <v>2216815</v>
      </c>
      <c r="J150" s="1475"/>
    </row>
    <row r="151" spans="1:10" s="566" customFormat="1" ht="27.75" customHeight="1" x14ac:dyDescent="0.2">
      <c r="A151" s="810" t="s">
        <v>523</v>
      </c>
      <c r="B151" s="1601" t="s">
        <v>1745</v>
      </c>
      <c r="C151" s="1602"/>
      <c r="D151" s="1602"/>
      <c r="E151" s="1603"/>
      <c r="F151" s="811" t="s">
        <v>683</v>
      </c>
      <c r="G151" s="1473">
        <f>BS!D82</f>
        <v>331785</v>
      </c>
      <c r="H151" s="1476"/>
      <c r="I151" s="1473">
        <f>BS!E82</f>
        <v>196262</v>
      </c>
      <c r="J151" s="1475"/>
    </row>
    <row r="152" spans="1:10" ht="27.75" customHeight="1" x14ac:dyDescent="0.25">
      <c r="A152" s="810" t="s">
        <v>526</v>
      </c>
      <c r="B152" s="1601" t="s">
        <v>1746</v>
      </c>
      <c r="C152" s="1602"/>
      <c r="D152" s="1602"/>
      <c r="E152" s="1603"/>
      <c r="F152" s="811" t="s">
        <v>685</v>
      </c>
      <c r="G152" s="1473">
        <f>BS!D83</f>
        <v>132776</v>
      </c>
      <c r="H152" s="1476"/>
      <c r="I152" s="1473">
        <f>BS!E83</f>
        <v>132776</v>
      </c>
      <c r="J152" s="1475"/>
    </row>
    <row r="153" spans="1:10" s="501" customFormat="1" ht="27.75" customHeight="1" x14ac:dyDescent="0.25">
      <c r="A153" s="816" t="s">
        <v>529</v>
      </c>
      <c r="B153" s="1604" t="s">
        <v>1747</v>
      </c>
      <c r="C153" s="1605"/>
      <c r="D153" s="1605"/>
      <c r="E153" s="1606"/>
      <c r="F153" s="806" t="s">
        <v>687</v>
      </c>
      <c r="G153" s="1473">
        <f>BS!D84</f>
        <v>132776</v>
      </c>
      <c r="H153" s="1476"/>
      <c r="I153" s="1473">
        <f>BS!E84</f>
        <v>132776</v>
      </c>
      <c r="J153" s="1475"/>
    </row>
    <row r="154" spans="1:10" s="501" customFormat="1" ht="27.75" customHeight="1" x14ac:dyDescent="0.25">
      <c r="A154" s="807" t="s">
        <v>532</v>
      </c>
      <c r="B154" s="1604" t="s">
        <v>1748</v>
      </c>
      <c r="C154" s="1605"/>
      <c r="D154" s="1605"/>
      <c r="E154" s="1606"/>
      <c r="F154" s="806" t="s">
        <v>689</v>
      </c>
      <c r="G154" s="1473">
        <f>BS!D85</f>
        <v>0</v>
      </c>
      <c r="H154" s="1476"/>
      <c r="I154" s="1473">
        <f>BS!E85</f>
        <v>0</v>
      </c>
      <c r="J154" s="1475"/>
    </row>
    <row r="155" spans="1:10" s="501" customFormat="1" ht="27.75" customHeight="1" x14ac:dyDescent="0.25">
      <c r="A155" s="807" t="s">
        <v>535</v>
      </c>
      <c r="B155" s="1604" t="s">
        <v>1749</v>
      </c>
      <c r="C155" s="1605"/>
      <c r="D155" s="1605"/>
      <c r="E155" s="1606"/>
      <c r="F155" s="806" t="s">
        <v>691</v>
      </c>
      <c r="G155" s="1473">
        <f>BS!D86</f>
        <v>0</v>
      </c>
      <c r="H155" s="1476"/>
      <c r="I155" s="1473">
        <f>BS!E86</f>
        <v>0</v>
      </c>
      <c r="J155" s="1475"/>
    </row>
    <row r="156" spans="1:10" ht="27.75" customHeight="1" x14ac:dyDescent="0.25">
      <c r="A156" s="807" t="s">
        <v>538</v>
      </c>
      <c r="B156" s="1604" t="s">
        <v>692</v>
      </c>
      <c r="C156" s="1605"/>
      <c r="D156" s="1605"/>
      <c r="E156" s="1606"/>
      <c r="F156" s="806" t="s">
        <v>693</v>
      </c>
      <c r="G156" s="1473">
        <f>BS!D87</f>
        <v>0</v>
      </c>
      <c r="H156" s="1476"/>
      <c r="I156" s="1473">
        <f>BS!E87</f>
        <v>0</v>
      </c>
      <c r="J156" s="1475"/>
    </row>
    <row r="157" spans="1:10" ht="27.75" customHeight="1" x14ac:dyDescent="0.25">
      <c r="A157" s="810" t="s">
        <v>550</v>
      </c>
      <c r="B157" s="1601" t="s">
        <v>1750</v>
      </c>
      <c r="C157" s="1602"/>
      <c r="D157" s="1602"/>
      <c r="E157" s="1603"/>
      <c r="F157" s="811" t="s">
        <v>695</v>
      </c>
      <c r="G157" s="1473">
        <f>BS!D88</f>
        <v>1427</v>
      </c>
      <c r="H157" s="1476"/>
      <c r="I157" s="1473">
        <f>BS!E88</f>
        <v>1427</v>
      </c>
      <c r="J157" s="1475"/>
    </row>
    <row r="158" spans="1:10" ht="27.75" customHeight="1" x14ac:dyDescent="0.25">
      <c r="A158" s="816" t="s">
        <v>553</v>
      </c>
      <c r="B158" s="1604" t="s">
        <v>1751</v>
      </c>
      <c r="C158" s="1605"/>
      <c r="D158" s="1605"/>
      <c r="E158" s="1606"/>
      <c r="F158" s="806" t="s">
        <v>697</v>
      </c>
      <c r="G158" s="1473">
        <f>BS!D89</f>
        <v>0</v>
      </c>
      <c r="H158" s="1476"/>
      <c r="I158" s="1473">
        <f>BS!E89</f>
        <v>0</v>
      </c>
      <c r="J158" s="1475"/>
    </row>
    <row r="159" spans="1:10" ht="27.75" customHeight="1" x14ac:dyDescent="0.25">
      <c r="A159" s="807" t="s">
        <v>532</v>
      </c>
      <c r="B159" s="1604" t="s">
        <v>1752</v>
      </c>
      <c r="C159" s="1605"/>
      <c r="D159" s="1605"/>
      <c r="E159" s="1606"/>
      <c r="F159" s="806" t="s">
        <v>699</v>
      </c>
      <c r="G159" s="1473">
        <f>BS!D90</f>
        <v>1427</v>
      </c>
      <c r="H159" s="1476"/>
      <c r="I159" s="1473">
        <f>BS!E90</f>
        <v>1427</v>
      </c>
      <c r="J159" s="1475"/>
    </row>
    <row r="160" spans="1:10" s="501" customFormat="1" ht="27.75" customHeight="1" x14ac:dyDescent="0.25">
      <c r="A160" s="807" t="s">
        <v>535</v>
      </c>
      <c r="B160" s="1604" t="s">
        <v>1753</v>
      </c>
      <c r="C160" s="1605"/>
      <c r="D160" s="1605"/>
      <c r="E160" s="1606"/>
      <c r="F160" s="806" t="s">
        <v>701</v>
      </c>
      <c r="G160" s="1473">
        <f>BS!D91</f>
        <v>0</v>
      </c>
      <c r="H160" s="1476"/>
      <c r="I160" s="1473">
        <f>BS!E91</f>
        <v>0</v>
      </c>
      <c r="J160" s="1475"/>
    </row>
    <row r="161" spans="1:10" ht="27.75" customHeight="1" x14ac:dyDescent="0.25">
      <c r="A161" s="807" t="s">
        <v>538</v>
      </c>
      <c r="B161" s="1604" t="s">
        <v>1754</v>
      </c>
      <c r="C161" s="1605"/>
      <c r="D161" s="1605"/>
      <c r="E161" s="1606"/>
      <c r="F161" s="806" t="s">
        <v>703</v>
      </c>
      <c r="G161" s="1473">
        <f>BS!D92</f>
        <v>0</v>
      </c>
      <c r="H161" s="1476"/>
      <c r="I161" s="1473">
        <f>BS!E92</f>
        <v>0</v>
      </c>
      <c r="J161" s="1475"/>
    </row>
    <row r="162" spans="1:10" ht="27.75" customHeight="1" x14ac:dyDescent="0.25">
      <c r="A162" s="807" t="s">
        <v>541</v>
      </c>
      <c r="B162" s="1604" t="s">
        <v>1755</v>
      </c>
      <c r="C162" s="1605"/>
      <c r="D162" s="1605"/>
      <c r="E162" s="1606"/>
      <c r="F162" s="806" t="s">
        <v>705</v>
      </c>
      <c r="G162" s="1473">
        <f>BS!D93</f>
        <v>0</v>
      </c>
      <c r="H162" s="1476"/>
      <c r="I162" s="1473">
        <f>BS!E93</f>
        <v>0</v>
      </c>
      <c r="J162" s="1475"/>
    </row>
    <row r="163" spans="1:10" ht="27.75" customHeight="1" x14ac:dyDescent="0.25">
      <c r="A163" s="807" t="s">
        <v>544</v>
      </c>
      <c r="B163" s="1604" t="s">
        <v>1756</v>
      </c>
      <c r="C163" s="1605"/>
      <c r="D163" s="1605"/>
      <c r="E163" s="1606"/>
      <c r="F163" s="806" t="s">
        <v>707</v>
      </c>
      <c r="G163" s="1473">
        <f>BS!D94</f>
        <v>0</v>
      </c>
      <c r="H163" s="1476"/>
      <c r="I163" s="1473">
        <f>BS!E94</f>
        <v>0</v>
      </c>
      <c r="J163" s="1475"/>
    </row>
    <row r="164" spans="1:10" ht="27.75" customHeight="1" x14ac:dyDescent="0.25">
      <c r="A164" s="810" t="s">
        <v>574</v>
      </c>
      <c r="B164" s="1601" t="s">
        <v>1757</v>
      </c>
      <c r="C164" s="1602"/>
      <c r="D164" s="1602"/>
      <c r="E164" s="1603"/>
      <c r="F164" s="811" t="s">
        <v>709</v>
      </c>
      <c r="G164" s="1473">
        <f>BS!D95</f>
        <v>13278</v>
      </c>
      <c r="H164" s="1476"/>
      <c r="I164" s="1473">
        <f>BS!E95</f>
        <v>13278</v>
      </c>
      <c r="J164" s="1475"/>
    </row>
    <row r="165" spans="1:10" ht="27.75" customHeight="1" x14ac:dyDescent="0.25">
      <c r="A165" s="807" t="s">
        <v>577</v>
      </c>
      <c r="B165" s="1604" t="s">
        <v>1758</v>
      </c>
      <c r="C165" s="1605"/>
      <c r="D165" s="1605"/>
      <c r="E165" s="1606"/>
      <c r="F165" s="806" t="s">
        <v>711</v>
      </c>
      <c r="G165" s="1473">
        <f>BS!D96</f>
        <v>13278</v>
      </c>
      <c r="H165" s="1476"/>
      <c r="I165" s="1473">
        <f>BS!E96</f>
        <v>13278</v>
      </c>
      <c r="J165" s="1475"/>
    </row>
    <row r="166" spans="1:10" ht="27.75" customHeight="1" x14ac:dyDescent="0.25">
      <c r="A166" s="807" t="s">
        <v>532</v>
      </c>
      <c r="B166" s="1604" t="s">
        <v>1759</v>
      </c>
      <c r="C166" s="1605"/>
      <c r="D166" s="1605"/>
      <c r="E166" s="1606"/>
      <c r="F166" s="806" t="s">
        <v>713</v>
      </c>
      <c r="G166" s="1473">
        <f>BS!D97</f>
        <v>0</v>
      </c>
      <c r="H166" s="1476"/>
      <c r="I166" s="1473">
        <f>BS!E97</f>
        <v>0</v>
      </c>
      <c r="J166" s="1475"/>
    </row>
    <row r="167" spans="1:10" s="501" customFormat="1" ht="27.75" customHeight="1" x14ac:dyDescent="0.25">
      <c r="A167" s="807" t="s">
        <v>535</v>
      </c>
      <c r="B167" s="1604" t="s">
        <v>1760</v>
      </c>
      <c r="C167" s="1605"/>
      <c r="D167" s="1605"/>
      <c r="E167" s="1606"/>
      <c r="F167" s="806" t="s">
        <v>715</v>
      </c>
      <c r="G167" s="1473">
        <f>BS!D98</f>
        <v>0</v>
      </c>
      <c r="H167" s="1476"/>
      <c r="I167" s="1473">
        <f>BS!E98</f>
        <v>0</v>
      </c>
      <c r="J167" s="1475"/>
    </row>
    <row r="168" spans="1:10" ht="27.75" customHeight="1" x14ac:dyDescent="0.25">
      <c r="A168" s="810" t="s">
        <v>716</v>
      </c>
      <c r="B168" s="1601" t="s">
        <v>1761</v>
      </c>
      <c r="C168" s="1602"/>
      <c r="D168" s="1602"/>
      <c r="E168" s="1603"/>
      <c r="F168" s="811" t="s">
        <v>718</v>
      </c>
      <c r="G168" s="1473">
        <f>BS!D99</f>
        <v>0</v>
      </c>
      <c r="H168" s="1476"/>
      <c r="I168" s="1473">
        <f>BS!E99</f>
        <v>45857</v>
      </c>
      <c r="J168" s="1475"/>
    </row>
    <row r="169" spans="1:10" ht="27.75" customHeight="1" x14ac:dyDescent="0.25">
      <c r="A169" s="565" t="s">
        <v>719</v>
      </c>
      <c r="B169" s="1604" t="s">
        <v>1762</v>
      </c>
      <c r="C169" s="1605"/>
      <c r="D169" s="1605"/>
      <c r="E169" s="1606"/>
      <c r="F169" s="806" t="s">
        <v>721</v>
      </c>
      <c r="G169" s="1473">
        <f>BS!D100</f>
        <v>0</v>
      </c>
      <c r="H169" s="1476"/>
      <c r="I169" s="1473">
        <f>BS!E100</f>
        <v>45857</v>
      </c>
      <c r="J169" s="1475"/>
    </row>
    <row r="170" spans="1:10" ht="27.75" customHeight="1" x14ac:dyDescent="0.25">
      <c r="A170" s="807" t="s">
        <v>532</v>
      </c>
      <c r="B170" s="1604" t="s">
        <v>1763</v>
      </c>
      <c r="C170" s="1605"/>
      <c r="D170" s="1605"/>
      <c r="E170" s="1606"/>
      <c r="F170" s="806" t="s">
        <v>723</v>
      </c>
      <c r="G170" s="1473">
        <f>BS!D101</f>
        <v>0</v>
      </c>
      <c r="H170" s="1476"/>
      <c r="I170" s="1473">
        <f>BS!E101</f>
        <v>0</v>
      </c>
      <c r="J170" s="1475"/>
    </row>
    <row r="171" spans="1:10" s="501" customFormat="1" ht="31.5" customHeight="1" x14ac:dyDescent="0.25">
      <c r="A171" s="810" t="s">
        <v>724</v>
      </c>
      <c r="B171" s="1601" t="s">
        <v>1764</v>
      </c>
      <c r="C171" s="1602"/>
      <c r="D171" s="1602"/>
      <c r="E171" s="1603"/>
      <c r="F171" s="811" t="s">
        <v>726</v>
      </c>
      <c r="G171" s="1473">
        <f>BS!D102</f>
        <v>184304</v>
      </c>
      <c r="H171" s="1476"/>
      <c r="I171" s="1473">
        <f>BS!E102</f>
        <v>2924</v>
      </c>
      <c r="J171" s="1475"/>
    </row>
    <row r="172" spans="1:10" ht="27.75" customHeight="1" x14ac:dyDescent="0.25">
      <c r="A172" s="810" t="s">
        <v>594</v>
      </c>
      <c r="B172" s="1601" t="s">
        <v>1765</v>
      </c>
      <c r="C172" s="1602"/>
      <c r="D172" s="1602"/>
      <c r="E172" s="1603"/>
      <c r="F172" s="811" t="s">
        <v>728</v>
      </c>
      <c r="G172" s="1473">
        <f>BS!D103</f>
        <v>2534343</v>
      </c>
      <c r="H172" s="1476"/>
      <c r="I172" s="1473">
        <f>BS!E103</f>
        <v>2020553</v>
      </c>
      <c r="J172" s="1475"/>
    </row>
    <row r="173" spans="1:10" ht="27.75" customHeight="1" x14ac:dyDescent="0.25">
      <c r="A173" s="810" t="s">
        <v>597</v>
      </c>
      <c r="B173" s="1601" t="s">
        <v>1766</v>
      </c>
      <c r="C173" s="1602"/>
      <c r="D173" s="1602"/>
      <c r="E173" s="1603"/>
      <c r="F173" s="811" t="s">
        <v>730</v>
      </c>
      <c r="G173" s="1473">
        <f>BS!D104</f>
        <v>125226</v>
      </c>
      <c r="H173" s="1476"/>
      <c r="I173" s="1473">
        <f>BS!E104</f>
        <v>93989</v>
      </c>
      <c r="J173" s="1475"/>
    </row>
    <row r="174" spans="1:10" s="501" customFormat="1" ht="27.75" customHeight="1" x14ac:dyDescent="0.25">
      <c r="A174" s="816" t="s">
        <v>600</v>
      </c>
      <c r="B174" s="1604" t="s">
        <v>1767</v>
      </c>
      <c r="C174" s="1605"/>
      <c r="D174" s="1605"/>
      <c r="E174" s="1606"/>
      <c r="F174" s="806" t="s">
        <v>732</v>
      </c>
      <c r="G174" s="1473">
        <f>BS!D105</f>
        <v>0</v>
      </c>
      <c r="H174" s="1476"/>
      <c r="I174" s="1473">
        <f>BS!E105</f>
        <v>0</v>
      </c>
      <c r="J174" s="1475"/>
    </row>
    <row r="175" spans="1:10" s="501" customFormat="1" ht="27.75" customHeight="1" x14ac:dyDescent="0.25">
      <c r="A175" s="807" t="s">
        <v>532</v>
      </c>
      <c r="B175" s="1604" t="s">
        <v>1768</v>
      </c>
      <c r="C175" s="1605"/>
      <c r="D175" s="1605"/>
      <c r="E175" s="1606"/>
      <c r="F175" s="806" t="s">
        <v>734</v>
      </c>
      <c r="G175" s="1473">
        <f>BS!D106</f>
        <v>62283</v>
      </c>
      <c r="H175" s="1476"/>
      <c r="I175" s="1473">
        <f>BS!E106</f>
        <v>27949</v>
      </c>
      <c r="J175" s="1475"/>
    </row>
    <row r="176" spans="1:10" s="501" customFormat="1" ht="27.75" customHeight="1" x14ac:dyDescent="0.25">
      <c r="A176" s="807" t="s">
        <v>535</v>
      </c>
      <c r="B176" s="1604" t="s">
        <v>1769</v>
      </c>
      <c r="C176" s="1605"/>
      <c r="D176" s="1605"/>
      <c r="E176" s="1606"/>
      <c r="F176" s="806" t="s">
        <v>736</v>
      </c>
      <c r="G176" s="1473">
        <f>BS!D107</f>
        <v>0</v>
      </c>
      <c r="H176" s="1476"/>
      <c r="I176" s="1473">
        <f>BS!E107</f>
        <v>0</v>
      </c>
      <c r="J176" s="1475"/>
    </row>
    <row r="177" spans="1:10" ht="27.75" customHeight="1" x14ac:dyDescent="0.25">
      <c r="A177" s="807" t="s">
        <v>538</v>
      </c>
      <c r="B177" s="1604" t="s">
        <v>1770</v>
      </c>
      <c r="C177" s="1605"/>
      <c r="D177" s="1605"/>
      <c r="E177" s="1606"/>
      <c r="F177" s="806" t="s">
        <v>738</v>
      </c>
      <c r="G177" s="1473">
        <f>BS!D108</f>
        <v>62943</v>
      </c>
      <c r="H177" s="1476"/>
      <c r="I177" s="1473">
        <f>BS!E108</f>
        <v>66040</v>
      </c>
      <c r="J177" s="1475"/>
    </row>
    <row r="178" spans="1:10" ht="25.5" customHeight="1" thickBot="1" x14ac:dyDescent="0.3">
      <c r="A178" s="563" t="s">
        <v>613</v>
      </c>
      <c r="B178" s="1622" t="s">
        <v>1771</v>
      </c>
      <c r="C178" s="1623"/>
      <c r="D178" s="1623"/>
      <c r="E178" s="1624"/>
      <c r="F178" s="562" t="s">
        <v>740</v>
      </c>
      <c r="G178" s="1607">
        <f>BS!D109</f>
        <v>3501</v>
      </c>
      <c r="H178" s="1608"/>
      <c r="I178" s="1607">
        <f>BS!E109</f>
        <v>9736</v>
      </c>
      <c r="J178" s="1609"/>
    </row>
    <row r="179" spans="1:10" ht="30" customHeight="1" x14ac:dyDescent="0.15">
      <c r="A179" s="569" t="s">
        <v>1674</v>
      </c>
      <c r="B179" s="1478" t="s">
        <v>1741</v>
      </c>
      <c r="C179" s="1621"/>
      <c r="D179" s="1621"/>
      <c r="E179" s="1570"/>
      <c r="F179" s="568" t="s">
        <v>1676</v>
      </c>
      <c r="G179" s="1478" t="s">
        <v>1742</v>
      </c>
      <c r="H179" s="1570"/>
      <c r="I179" s="1480" t="s">
        <v>1743</v>
      </c>
      <c r="J179" s="1489"/>
    </row>
    <row r="180" spans="1:10" ht="27.75" customHeight="1" x14ac:dyDescent="0.25">
      <c r="A180" s="816" t="s">
        <v>616</v>
      </c>
      <c r="B180" s="1604" t="s">
        <v>1772</v>
      </c>
      <c r="C180" s="1605"/>
      <c r="D180" s="1605"/>
      <c r="E180" s="1606"/>
      <c r="F180" s="806" t="s">
        <v>742</v>
      </c>
      <c r="G180" s="1473">
        <f>BS!D110</f>
        <v>0</v>
      </c>
      <c r="H180" s="1476"/>
      <c r="I180" s="1473">
        <f>BS!E110</f>
        <v>0</v>
      </c>
      <c r="J180" s="1475"/>
    </row>
    <row r="181" spans="1:10" ht="27.75" customHeight="1" x14ac:dyDescent="0.25">
      <c r="A181" s="807" t="s">
        <v>532</v>
      </c>
      <c r="B181" s="1497" t="s">
        <v>1719</v>
      </c>
      <c r="C181" s="1498"/>
      <c r="D181" s="1498"/>
      <c r="E181" s="1498"/>
      <c r="F181" s="806" t="s">
        <v>743</v>
      </c>
      <c r="G181" s="1473">
        <f>BS!D111</f>
        <v>0</v>
      </c>
      <c r="H181" s="1476"/>
      <c r="I181" s="1473">
        <f>BS!E111</f>
        <v>0</v>
      </c>
      <c r="J181" s="1475"/>
    </row>
    <row r="182" spans="1:10" s="501" customFormat="1" ht="27.75" customHeight="1" x14ac:dyDescent="0.25">
      <c r="A182" s="807" t="s">
        <v>535</v>
      </c>
      <c r="B182" s="1604" t="s">
        <v>1773</v>
      </c>
      <c r="C182" s="1605"/>
      <c r="D182" s="1605"/>
      <c r="E182" s="1606"/>
      <c r="F182" s="806" t="s">
        <v>745</v>
      </c>
      <c r="G182" s="1473">
        <f>BS!D112</f>
        <v>0</v>
      </c>
      <c r="H182" s="1476"/>
      <c r="I182" s="1473">
        <f>BS!E112</f>
        <v>0</v>
      </c>
      <c r="J182" s="1475"/>
    </row>
    <row r="183" spans="1:10" ht="27.75" customHeight="1" x14ac:dyDescent="0.25">
      <c r="A183" s="807" t="s">
        <v>538</v>
      </c>
      <c r="B183" s="1604" t="s">
        <v>1774</v>
      </c>
      <c r="C183" s="1605"/>
      <c r="D183" s="1605"/>
      <c r="E183" s="1606"/>
      <c r="F183" s="806" t="s">
        <v>747</v>
      </c>
      <c r="G183" s="1473">
        <f>BS!D113</f>
        <v>0</v>
      </c>
      <c r="H183" s="1476"/>
      <c r="I183" s="1473">
        <f>BS!E113</f>
        <v>0</v>
      </c>
      <c r="J183" s="1475"/>
    </row>
    <row r="184" spans="1:10" ht="27.75" customHeight="1" x14ac:dyDescent="0.25">
      <c r="A184" s="807" t="s">
        <v>541</v>
      </c>
      <c r="B184" s="1604" t="s">
        <v>1775</v>
      </c>
      <c r="C184" s="1605"/>
      <c r="D184" s="1605"/>
      <c r="E184" s="1606"/>
      <c r="F184" s="806" t="s">
        <v>749</v>
      </c>
      <c r="G184" s="1473">
        <f>BS!D114</f>
        <v>0</v>
      </c>
      <c r="H184" s="1476"/>
      <c r="I184" s="1473">
        <f>BS!E114</f>
        <v>0</v>
      </c>
      <c r="J184" s="1475"/>
    </row>
    <row r="185" spans="1:10" ht="27.75" customHeight="1" x14ac:dyDescent="0.25">
      <c r="A185" s="807" t="s">
        <v>544</v>
      </c>
      <c r="B185" s="1604" t="s">
        <v>1776</v>
      </c>
      <c r="C185" s="1605"/>
      <c r="D185" s="1605"/>
      <c r="E185" s="1606"/>
      <c r="F185" s="806" t="s">
        <v>751</v>
      </c>
      <c r="G185" s="1473">
        <f>BS!D115</f>
        <v>0</v>
      </c>
      <c r="H185" s="1476"/>
      <c r="I185" s="1473">
        <f>BS!E115</f>
        <v>0</v>
      </c>
      <c r="J185" s="1475"/>
    </row>
    <row r="186" spans="1:10" ht="27.75" customHeight="1" x14ac:dyDescent="0.25">
      <c r="A186" s="807" t="s">
        <v>547</v>
      </c>
      <c r="B186" s="1604" t="s">
        <v>1777</v>
      </c>
      <c r="C186" s="1605"/>
      <c r="D186" s="1605"/>
      <c r="E186" s="1606"/>
      <c r="F186" s="806" t="s">
        <v>753</v>
      </c>
      <c r="G186" s="1473">
        <f>BS!D116</f>
        <v>0</v>
      </c>
      <c r="H186" s="1476"/>
      <c r="I186" s="1473">
        <f>BS!E116</f>
        <v>0</v>
      </c>
      <c r="J186" s="1475"/>
    </row>
    <row r="187" spans="1:10" ht="27.75" customHeight="1" x14ac:dyDescent="0.25">
      <c r="A187" s="807" t="s">
        <v>568</v>
      </c>
      <c r="B187" s="1604" t="s">
        <v>1778</v>
      </c>
      <c r="C187" s="1605"/>
      <c r="D187" s="1605"/>
      <c r="E187" s="1606"/>
      <c r="F187" s="806" t="s">
        <v>755</v>
      </c>
      <c r="G187" s="1473">
        <f>BS!D117</f>
        <v>0</v>
      </c>
      <c r="H187" s="1476"/>
      <c r="I187" s="1473">
        <f>BS!E117</f>
        <v>0</v>
      </c>
      <c r="J187" s="1475"/>
    </row>
    <row r="188" spans="1:10" ht="27.75" customHeight="1" x14ac:dyDescent="0.25">
      <c r="A188" s="807" t="s">
        <v>571</v>
      </c>
      <c r="B188" s="1604" t="s">
        <v>1779</v>
      </c>
      <c r="C188" s="1605"/>
      <c r="D188" s="1605"/>
      <c r="E188" s="1606"/>
      <c r="F188" s="806" t="s">
        <v>757</v>
      </c>
      <c r="G188" s="1473">
        <f>BS!D118</f>
        <v>1201</v>
      </c>
      <c r="H188" s="1476"/>
      <c r="I188" s="1473">
        <f>BS!E118</f>
        <v>849</v>
      </c>
      <c r="J188" s="1475"/>
    </row>
    <row r="189" spans="1:10" ht="27.75" customHeight="1" x14ac:dyDescent="0.25">
      <c r="A189" s="807" t="s">
        <v>758</v>
      </c>
      <c r="B189" s="1604" t="s">
        <v>1780</v>
      </c>
      <c r="C189" s="1605"/>
      <c r="D189" s="1605"/>
      <c r="E189" s="1606"/>
      <c r="F189" s="806" t="s">
        <v>760</v>
      </c>
      <c r="G189" s="1473">
        <f>BS!D119</f>
        <v>2300</v>
      </c>
      <c r="H189" s="1476"/>
      <c r="I189" s="1473">
        <f>BS!E119</f>
        <v>8887</v>
      </c>
      <c r="J189" s="1475"/>
    </row>
    <row r="190" spans="1:10" ht="27.75" customHeight="1" x14ac:dyDescent="0.25">
      <c r="A190" s="807" t="s">
        <v>761</v>
      </c>
      <c r="B190" s="1604" t="s">
        <v>1781</v>
      </c>
      <c r="C190" s="1605"/>
      <c r="D190" s="1605"/>
      <c r="E190" s="1606"/>
      <c r="F190" s="806" t="s">
        <v>763</v>
      </c>
      <c r="G190" s="1473">
        <f>BS!D120</f>
        <v>0</v>
      </c>
      <c r="H190" s="1476"/>
      <c r="I190" s="1473">
        <f>BS!E120</f>
        <v>0</v>
      </c>
      <c r="J190" s="1475"/>
    </row>
    <row r="191" spans="1:10" ht="27.75" customHeight="1" x14ac:dyDescent="0.25">
      <c r="A191" s="810" t="s">
        <v>631</v>
      </c>
      <c r="B191" s="1601" t="s">
        <v>1782</v>
      </c>
      <c r="C191" s="1602"/>
      <c r="D191" s="1602"/>
      <c r="E191" s="1603"/>
      <c r="F191" s="806" t="s">
        <v>765</v>
      </c>
      <c r="G191" s="1473">
        <f>BS!D121</f>
        <v>2405616</v>
      </c>
      <c r="H191" s="1476"/>
      <c r="I191" s="1473">
        <f>BS!E121</f>
        <v>1916828</v>
      </c>
      <c r="J191" s="1475"/>
    </row>
    <row r="192" spans="1:10" ht="27.75" customHeight="1" x14ac:dyDescent="0.25">
      <c r="A192" s="807" t="s">
        <v>634</v>
      </c>
      <c r="B192" s="1604" t="s">
        <v>1783</v>
      </c>
      <c r="C192" s="1605"/>
      <c r="D192" s="1605"/>
      <c r="E192" s="1606"/>
      <c r="F192" s="806" t="s">
        <v>767</v>
      </c>
      <c r="G192" s="1473">
        <f>BS!D122</f>
        <v>2343772</v>
      </c>
      <c r="H192" s="1476"/>
      <c r="I192" s="1473">
        <f>BS!E122</f>
        <v>1893144</v>
      </c>
      <c r="J192" s="1475"/>
    </row>
    <row r="193" spans="1:10" ht="27.75" customHeight="1" x14ac:dyDescent="0.25">
      <c r="A193" s="807" t="s">
        <v>532</v>
      </c>
      <c r="B193" s="1497" t="s">
        <v>1719</v>
      </c>
      <c r="C193" s="1498"/>
      <c r="D193" s="1498"/>
      <c r="E193" s="1498"/>
      <c r="F193" s="806" t="s">
        <v>768</v>
      </c>
      <c r="G193" s="1473">
        <f>BS!D123</f>
        <v>0</v>
      </c>
      <c r="H193" s="1476"/>
      <c r="I193" s="1473">
        <f>BS!E123</f>
        <v>0</v>
      </c>
      <c r="J193" s="1475"/>
    </row>
    <row r="194" spans="1:10" ht="27.75" customHeight="1" x14ac:dyDescent="0.25">
      <c r="A194" s="807" t="s">
        <v>535</v>
      </c>
      <c r="B194" s="1604" t="s">
        <v>1784</v>
      </c>
      <c r="C194" s="1605"/>
      <c r="D194" s="1605"/>
      <c r="E194" s="1606"/>
      <c r="F194" s="806" t="s">
        <v>770</v>
      </c>
      <c r="G194" s="1473">
        <f>BS!D124</f>
        <v>299</v>
      </c>
      <c r="H194" s="1476"/>
      <c r="I194" s="1473">
        <f>BS!E124</f>
        <v>336</v>
      </c>
      <c r="J194" s="1475"/>
    </row>
    <row r="195" spans="1:10" s="501" customFormat="1" ht="27.75" customHeight="1" x14ac:dyDescent="0.25">
      <c r="A195" s="807" t="s">
        <v>538</v>
      </c>
      <c r="B195" s="1604" t="s">
        <v>1785</v>
      </c>
      <c r="C195" s="1605"/>
      <c r="D195" s="1605"/>
      <c r="E195" s="1606"/>
      <c r="F195" s="806" t="s">
        <v>772</v>
      </c>
      <c r="G195" s="1473">
        <f>BS!D125</f>
        <v>0</v>
      </c>
      <c r="H195" s="1476"/>
      <c r="I195" s="1473">
        <f>BS!E125</f>
        <v>0</v>
      </c>
      <c r="J195" s="1475"/>
    </row>
    <row r="196" spans="1:10" ht="27.75" customHeight="1" x14ac:dyDescent="0.25">
      <c r="A196" s="807" t="s">
        <v>541</v>
      </c>
      <c r="B196" s="1604" t="s">
        <v>1786</v>
      </c>
      <c r="C196" s="1605"/>
      <c r="D196" s="1605"/>
      <c r="E196" s="1606"/>
      <c r="F196" s="806" t="s">
        <v>774</v>
      </c>
      <c r="G196" s="1473">
        <f>BS!D126</f>
        <v>0</v>
      </c>
      <c r="H196" s="1476"/>
      <c r="I196" s="1473">
        <f>BS!E126</f>
        <v>0</v>
      </c>
      <c r="J196" s="1475"/>
    </row>
    <row r="197" spans="1:10" ht="28.5" customHeight="1" x14ac:dyDescent="0.25">
      <c r="A197" s="807" t="s">
        <v>544</v>
      </c>
      <c r="B197" s="1604" t="s">
        <v>1787</v>
      </c>
      <c r="C197" s="1605"/>
      <c r="D197" s="1605"/>
      <c r="E197" s="1606"/>
      <c r="F197" s="806" t="s">
        <v>776</v>
      </c>
      <c r="G197" s="1473">
        <f>BS!D127</f>
        <v>0</v>
      </c>
      <c r="H197" s="1476"/>
      <c r="I197" s="1473">
        <f>BS!E127</f>
        <v>0</v>
      </c>
      <c r="J197" s="1475"/>
    </row>
    <row r="198" spans="1:10" ht="27.75" customHeight="1" x14ac:dyDescent="0.25">
      <c r="A198" s="807" t="s">
        <v>547</v>
      </c>
      <c r="B198" s="1604" t="s">
        <v>1788</v>
      </c>
      <c r="C198" s="1605"/>
      <c r="D198" s="1605"/>
      <c r="E198" s="1606"/>
      <c r="F198" s="806" t="s">
        <v>778</v>
      </c>
      <c r="G198" s="1473">
        <f>BS!D128</f>
        <v>11269</v>
      </c>
      <c r="H198" s="1476"/>
      <c r="I198" s="1473">
        <f>BS!E128</f>
        <v>8281</v>
      </c>
      <c r="J198" s="1475"/>
    </row>
    <row r="199" spans="1:10" ht="27.75" customHeight="1" x14ac:dyDescent="0.25">
      <c r="A199" s="807" t="s">
        <v>568</v>
      </c>
      <c r="B199" s="1604" t="s">
        <v>1789</v>
      </c>
      <c r="C199" s="1605"/>
      <c r="D199" s="1605"/>
      <c r="E199" s="1606"/>
      <c r="F199" s="806" t="s">
        <v>780</v>
      </c>
      <c r="G199" s="1473">
        <f>BS!D129</f>
        <v>6603</v>
      </c>
      <c r="H199" s="1476"/>
      <c r="I199" s="1473">
        <f>BS!E129</f>
        <v>4455</v>
      </c>
      <c r="J199" s="1475"/>
    </row>
    <row r="200" spans="1:10" ht="27.75" customHeight="1" x14ac:dyDescent="0.25">
      <c r="A200" s="807" t="s">
        <v>571</v>
      </c>
      <c r="B200" s="1604" t="s">
        <v>1790</v>
      </c>
      <c r="C200" s="1605"/>
      <c r="D200" s="1605"/>
      <c r="E200" s="1606"/>
      <c r="F200" s="806" t="s">
        <v>782</v>
      </c>
      <c r="G200" s="1473">
        <f>BS!D130</f>
        <v>36816</v>
      </c>
      <c r="H200" s="1476"/>
      <c r="I200" s="1473">
        <f>BS!E130</f>
        <v>2007</v>
      </c>
      <c r="J200" s="1475"/>
    </row>
    <row r="201" spans="1:10" ht="27.75" customHeight="1" x14ac:dyDescent="0.25">
      <c r="A201" s="807" t="s">
        <v>758</v>
      </c>
      <c r="B201" s="1604" t="s">
        <v>1791</v>
      </c>
      <c r="C201" s="1605"/>
      <c r="D201" s="1605"/>
      <c r="E201" s="1606"/>
      <c r="F201" s="806" t="s">
        <v>784</v>
      </c>
      <c r="G201" s="1473">
        <f>BS!D131</f>
        <v>6857</v>
      </c>
      <c r="H201" s="1476"/>
      <c r="I201" s="1473">
        <f>BS!E131</f>
        <v>8605</v>
      </c>
      <c r="J201" s="1475"/>
    </row>
    <row r="202" spans="1:10" ht="27.75" customHeight="1" x14ac:dyDescent="0.25">
      <c r="A202" s="810" t="s">
        <v>649</v>
      </c>
      <c r="B202" s="1601" t="s">
        <v>1792</v>
      </c>
      <c r="C202" s="1602"/>
      <c r="D202" s="1602"/>
      <c r="E202" s="1603"/>
      <c r="F202" s="806" t="s">
        <v>786</v>
      </c>
      <c r="G202" s="1473">
        <f>BS!D132</f>
        <v>0</v>
      </c>
      <c r="H202" s="1476"/>
      <c r="I202" s="1473">
        <f>BS!E132</f>
        <v>0</v>
      </c>
      <c r="J202" s="1475"/>
    </row>
    <row r="203" spans="1:10" ht="27.75" customHeight="1" x14ac:dyDescent="0.25">
      <c r="A203" s="814" t="s">
        <v>787</v>
      </c>
      <c r="B203" s="1601" t="s">
        <v>1793</v>
      </c>
      <c r="C203" s="1602"/>
      <c r="D203" s="1602"/>
      <c r="E203" s="1603"/>
      <c r="F203" s="806" t="s">
        <v>789</v>
      </c>
      <c r="G203" s="1473">
        <f>BS!D133</f>
        <v>0</v>
      </c>
      <c r="H203" s="1476"/>
      <c r="I203" s="1473">
        <f>BS!E133</f>
        <v>0</v>
      </c>
      <c r="J203" s="1475"/>
    </row>
    <row r="204" spans="1:10" ht="27.75" customHeight="1" x14ac:dyDescent="0.25">
      <c r="A204" s="807" t="s">
        <v>790</v>
      </c>
      <c r="B204" s="1604" t="s">
        <v>1794</v>
      </c>
      <c r="C204" s="1605"/>
      <c r="D204" s="1605"/>
      <c r="E204" s="1606"/>
      <c r="F204" s="806" t="s">
        <v>792</v>
      </c>
      <c r="G204" s="1473">
        <f>BS!D134</f>
        <v>0</v>
      </c>
      <c r="H204" s="1476"/>
      <c r="I204" s="1473">
        <f>BS!E134</f>
        <v>0</v>
      </c>
      <c r="J204" s="1475"/>
    </row>
    <row r="205" spans="1:10" s="501" customFormat="1" ht="27.75" customHeight="1" x14ac:dyDescent="0.25">
      <c r="A205" s="807" t="s">
        <v>532</v>
      </c>
      <c r="B205" s="1604" t="s">
        <v>1795</v>
      </c>
      <c r="C205" s="1605"/>
      <c r="D205" s="1605"/>
      <c r="E205" s="1606"/>
      <c r="F205" s="806" t="s">
        <v>794</v>
      </c>
      <c r="G205" s="1473">
        <f>BS!D135</f>
        <v>0</v>
      </c>
      <c r="H205" s="1476"/>
      <c r="I205" s="1473">
        <f>BS!E135</f>
        <v>0</v>
      </c>
      <c r="J205" s="1475"/>
    </row>
    <row r="206" spans="1:10" ht="27.75" customHeight="1" x14ac:dyDescent="0.25">
      <c r="A206" s="810" t="s">
        <v>663</v>
      </c>
      <c r="B206" s="1601" t="s">
        <v>1796</v>
      </c>
      <c r="C206" s="1602"/>
      <c r="D206" s="1602"/>
      <c r="E206" s="1603"/>
      <c r="F206" s="806" t="s">
        <v>796</v>
      </c>
      <c r="G206" s="1473">
        <f>BS!D136</f>
        <v>1500</v>
      </c>
      <c r="H206" s="1476"/>
      <c r="I206" s="1473">
        <f>BS!E136</f>
        <v>0</v>
      </c>
      <c r="J206" s="1475"/>
    </row>
    <row r="207" spans="1:10" ht="27.75" customHeight="1" x14ac:dyDescent="0.25">
      <c r="A207" s="816" t="s">
        <v>666</v>
      </c>
      <c r="B207" s="1604" t="s">
        <v>1797</v>
      </c>
      <c r="C207" s="1605"/>
      <c r="D207" s="1605"/>
      <c r="E207" s="1606"/>
      <c r="F207" s="806" t="s">
        <v>798</v>
      </c>
      <c r="G207" s="1473">
        <f>BS!D137</f>
        <v>0</v>
      </c>
      <c r="H207" s="1476"/>
      <c r="I207" s="1473">
        <f>BS!E137</f>
        <v>0</v>
      </c>
      <c r="J207" s="1475"/>
    </row>
    <row r="208" spans="1:10" ht="27.75" customHeight="1" x14ac:dyDescent="0.25">
      <c r="A208" s="807" t="s">
        <v>532</v>
      </c>
      <c r="B208" s="1604" t="s">
        <v>1798</v>
      </c>
      <c r="C208" s="1605"/>
      <c r="D208" s="1605"/>
      <c r="E208" s="1606"/>
      <c r="F208" s="806" t="s">
        <v>800</v>
      </c>
      <c r="G208" s="1473">
        <f>BS!D138</f>
        <v>0</v>
      </c>
      <c r="H208" s="1476"/>
      <c r="I208" s="1473">
        <f>BS!E138</f>
        <v>0</v>
      </c>
      <c r="J208" s="1475"/>
    </row>
    <row r="209" spans="1:10" s="501" customFormat="1" ht="27.75" customHeight="1" x14ac:dyDescent="0.25">
      <c r="A209" s="807" t="s">
        <v>535</v>
      </c>
      <c r="B209" s="1604" t="s">
        <v>1799</v>
      </c>
      <c r="C209" s="1605"/>
      <c r="D209" s="1605"/>
      <c r="E209" s="1606"/>
      <c r="F209" s="806" t="s">
        <v>802</v>
      </c>
      <c r="G209" s="1473">
        <f>BS!D139</f>
        <v>0</v>
      </c>
      <c r="H209" s="1476"/>
      <c r="I209" s="1473">
        <f>BS!E139</f>
        <v>0</v>
      </c>
      <c r="J209" s="1475"/>
    </row>
    <row r="210" spans="1:10" ht="27.75" customHeight="1" thickBot="1" x14ac:dyDescent="0.3">
      <c r="A210" s="555" t="s">
        <v>538</v>
      </c>
      <c r="B210" s="1610" t="s">
        <v>1800</v>
      </c>
      <c r="C210" s="1611"/>
      <c r="D210" s="1611"/>
      <c r="E210" s="1612"/>
      <c r="F210" s="806" t="s">
        <v>804</v>
      </c>
      <c r="G210" s="1607">
        <f>BS!D140</f>
        <v>1500</v>
      </c>
      <c r="H210" s="1608"/>
      <c r="I210" s="1607">
        <f>BS!E140</f>
        <v>0</v>
      </c>
      <c r="J210" s="1609"/>
    </row>
    <row r="211" spans="1:10" ht="24.75" customHeight="1" x14ac:dyDescent="0.25"/>
    <row r="212" spans="1:10" ht="24.75" customHeight="1" x14ac:dyDescent="0.25"/>
    <row r="213" spans="1:10" ht="24.75" customHeight="1" x14ac:dyDescent="0.25"/>
  </sheetData>
  <mergeCells count="692">
    <mergeCell ref="I6:J6"/>
    <mergeCell ref="A7:A8"/>
    <mergeCell ref="B7:B8"/>
    <mergeCell ref="C7:C8"/>
    <mergeCell ref="D7:F7"/>
    <mergeCell ref="G7:I7"/>
    <mergeCell ref="D8:F8"/>
    <mergeCell ref="H8:J8"/>
    <mergeCell ref="B2:C2"/>
    <mergeCell ref="A4:A6"/>
    <mergeCell ref="B4:B6"/>
    <mergeCell ref="C4:C6"/>
    <mergeCell ref="D4:H4"/>
    <mergeCell ref="I4:J5"/>
    <mergeCell ref="D5:D6"/>
    <mergeCell ref="E5:F5"/>
    <mergeCell ref="G5:H6"/>
    <mergeCell ref="E6:F6"/>
    <mergeCell ref="A11:A12"/>
    <mergeCell ref="B11:B12"/>
    <mergeCell ref="C11:C12"/>
    <mergeCell ref="D11:F11"/>
    <mergeCell ref="G11:I11"/>
    <mergeCell ref="D12:F12"/>
    <mergeCell ref="H12:J12"/>
    <mergeCell ref="A9:A10"/>
    <mergeCell ref="B9:B10"/>
    <mergeCell ref="C9:C10"/>
    <mergeCell ref="D9:F9"/>
    <mergeCell ref="G9:I9"/>
    <mergeCell ref="D10:F10"/>
    <mergeCell ref="H10:J10"/>
    <mergeCell ref="A15:A16"/>
    <mergeCell ref="B15:B16"/>
    <mergeCell ref="C15:C16"/>
    <mergeCell ref="D15:F15"/>
    <mergeCell ref="G15:I15"/>
    <mergeCell ref="D16:F16"/>
    <mergeCell ref="H16:J16"/>
    <mergeCell ref="A13:A14"/>
    <mergeCell ref="B13:B14"/>
    <mergeCell ref="C13:C14"/>
    <mergeCell ref="D13:F13"/>
    <mergeCell ref="G13:I13"/>
    <mergeCell ref="D14:F14"/>
    <mergeCell ref="H14:J14"/>
    <mergeCell ref="A19:A20"/>
    <mergeCell ref="B19:B20"/>
    <mergeCell ref="C19:C20"/>
    <mergeCell ref="D19:F19"/>
    <mergeCell ref="G19:I19"/>
    <mergeCell ref="D20:F20"/>
    <mergeCell ref="H20:J20"/>
    <mergeCell ref="A17:A18"/>
    <mergeCell ref="B17:B18"/>
    <mergeCell ref="C17:C18"/>
    <mergeCell ref="D17:F17"/>
    <mergeCell ref="G17:I17"/>
    <mergeCell ref="D18:F18"/>
    <mergeCell ref="H18:J18"/>
    <mergeCell ref="A23:A24"/>
    <mergeCell ref="B23:B24"/>
    <mergeCell ref="C23:C24"/>
    <mergeCell ref="D23:F23"/>
    <mergeCell ref="G23:I23"/>
    <mergeCell ref="D24:F24"/>
    <mergeCell ref="H24:J24"/>
    <mergeCell ref="A21:A22"/>
    <mergeCell ref="B21:B22"/>
    <mergeCell ref="C21:C22"/>
    <mergeCell ref="D21:F21"/>
    <mergeCell ref="G21:I21"/>
    <mergeCell ref="D22:F22"/>
    <mergeCell ref="H22:J22"/>
    <mergeCell ref="A27:A28"/>
    <mergeCell ref="B27:B28"/>
    <mergeCell ref="C27:C28"/>
    <mergeCell ref="D27:F27"/>
    <mergeCell ref="G27:I27"/>
    <mergeCell ref="D28:F28"/>
    <mergeCell ref="H28:J28"/>
    <mergeCell ref="A25:A26"/>
    <mergeCell ref="B25:B26"/>
    <mergeCell ref="C25:C26"/>
    <mergeCell ref="D25:F25"/>
    <mergeCell ref="G25:I25"/>
    <mergeCell ref="D26:F26"/>
    <mergeCell ref="H26:J26"/>
    <mergeCell ref="A31:A32"/>
    <mergeCell ref="B31:B32"/>
    <mergeCell ref="C31:C32"/>
    <mergeCell ref="D31:F31"/>
    <mergeCell ref="G31:I31"/>
    <mergeCell ref="D32:F32"/>
    <mergeCell ref="H32:J32"/>
    <mergeCell ref="A29:A30"/>
    <mergeCell ref="B29:B30"/>
    <mergeCell ref="C29:C30"/>
    <mergeCell ref="D29:F29"/>
    <mergeCell ref="G29:I29"/>
    <mergeCell ref="D30:F30"/>
    <mergeCell ref="H30:J30"/>
    <mergeCell ref="A33:A35"/>
    <mergeCell ref="B33:B35"/>
    <mergeCell ref="C33:C35"/>
    <mergeCell ref="D33:H33"/>
    <mergeCell ref="I33:J34"/>
    <mergeCell ref="D34:D35"/>
    <mergeCell ref="E34:F34"/>
    <mergeCell ref="G34:H35"/>
    <mergeCell ref="E35:F35"/>
    <mergeCell ref="I35:J35"/>
    <mergeCell ref="A38:A39"/>
    <mergeCell ref="B38:B39"/>
    <mergeCell ref="C38:C39"/>
    <mergeCell ref="D38:F38"/>
    <mergeCell ref="G38:I38"/>
    <mergeCell ref="D39:F39"/>
    <mergeCell ref="H39:J39"/>
    <mergeCell ref="A36:A37"/>
    <mergeCell ref="B36:B37"/>
    <mergeCell ref="C36:C37"/>
    <mergeCell ref="D36:F36"/>
    <mergeCell ref="G36:I36"/>
    <mergeCell ref="D37:F37"/>
    <mergeCell ref="H37:J37"/>
    <mergeCell ref="A42:A43"/>
    <mergeCell ref="B42:B43"/>
    <mergeCell ref="C42:C43"/>
    <mergeCell ref="D42:F42"/>
    <mergeCell ref="G42:I42"/>
    <mergeCell ref="D43:F43"/>
    <mergeCell ref="H43:J43"/>
    <mergeCell ref="A40:A41"/>
    <mergeCell ref="B40:B41"/>
    <mergeCell ref="C40:C41"/>
    <mergeCell ref="D40:F40"/>
    <mergeCell ref="G40:I40"/>
    <mergeCell ref="D41:F41"/>
    <mergeCell ref="H41:J41"/>
    <mergeCell ref="A46:A47"/>
    <mergeCell ref="B46:B47"/>
    <mergeCell ref="C46:C47"/>
    <mergeCell ref="D46:F46"/>
    <mergeCell ref="G46:I46"/>
    <mergeCell ref="D47:F47"/>
    <mergeCell ref="H47:J47"/>
    <mergeCell ref="A44:A45"/>
    <mergeCell ref="B44:B45"/>
    <mergeCell ref="C44:C45"/>
    <mergeCell ref="D44:F44"/>
    <mergeCell ref="G44:I44"/>
    <mergeCell ref="D45:F45"/>
    <mergeCell ref="H45:J45"/>
    <mergeCell ref="A50:A51"/>
    <mergeCell ref="B50:B51"/>
    <mergeCell ref="C50:C51"/>
    <mergeCell ref="D50:F50"/>
    <mergeCell ref="G50:I50"/>
    <mergeCell ref="D51:F51"/>
    <mergeCell ref="H51:J51"/>
    <mergeCell ref="A48:A49"/>
    <mergeCell ref="B48:B49"/>
    <mergeCell ref="C48:C49"/>
    <mergeCell ref="D48:F48"/>
    <mergeCell ref="G48:I48"/>
    <mergeCell ref="D49:F49"/>
    <mergeCell ref="H49:J49"/>
    <mergeCell ref="A54:A55"/>
    <mergeCell ref="B54:B55"/>
    <mergeCell ref="C54:C55"/>
    <mergeCell ref="D54:F54"/>
    <mergeCell ref="G54:I54"/>
    <mergeCell ref="D55:F55"/>
    <mergeCell ref="H55:J55"/>
    <mergeCell ref="A52:A53"/>
    <mergeCell ref="B52:B53"/>
    <mergeCell ref="C52:C53"/>
    <mergeCell ref="D52:F52"/>
    <mergeCell ref="G52:I52"/>
    <mergeCell ref="D53:F53"/>
    <mergeCell ref="H53:J53"/>
    <mergeCell ref="A58:A59"/>
    <mergeCell ref="B58:B59"/>
    <mergeCell ref="C58:C59"/>
    <mergeCell ref="D58:F58"/>
    <mergeCell ref="G58:I58"/>
    <mergeCell ref="D59:F59"/>
    <mergeCell ref="H59:J59"/>
    <mergeCell ref="A56:A57"/>
    <mergeCell ref="B56:B57"/>
    <mergeCell ref="C56:C57"/>
    <mergeCell ref="D56:F56"/>
    <mergeCell ref="G56:I56"/>
    <mergeCell ref="D57:F57"/>
    <mergeCell ref="H57:J57"/>
    <mergeCell ref="A62:A63"/>
    <mergeCell ref="B62:B63"/>
    <mergeCell ref="C62:C63"/>
    <mergeCell ref="D62:F62"/>
    <mergeCell ref="G62:I62"/>
    <mergeCell ref="D63:F63"/>
    <mergeCell ref="H63:J63"/>
    <mergeCell ref="A60:A61"/>
    <mergeCell ref="B60:B61"/>
    <mergeCell ref="C60:C61"/>
    <mergeCell ref="D60:F60"/>
    <mergeCell ref="G60:I60"/>
    <mergeCell ref="D61:F61"/>
    <mergeCell ref="H61:J61"/>
    <mergeCell ref="A64:A66"/>
    <mergeCell ref="B64:B66"/>
    <mergeCell ref="C64:C66"/>
    <mergeCell ref="D64:H64"/>
    <mergeCell ref="I64:J65"/>
    <mergeCell ref="D65:D66"/>
    <mergeCell ref="E65:F65"/>
    <mergeCell ref="G65:H66"/>
    <mergeCell ref="E66:F66"/>
    <mergeCell ref="I66:J66"/>
    <mergeCell ref="A69:A70"/>
    <mergeCell ref="B69:B70"/>
    <mergeCell ref="C69:C70"/>
    <mergeCell ref="D69:F69"/>
    <mergeCell ref="G69:I69"/>
    <mergeCell ref="D70:F70"/>
    <mergeCell ref="H70:J70"/>
    <mergeCell ref="A67:A68"/>
    <mergeCell ref="B67:B68"/>
    <mergeCell ref="C67:C68"/>
    <mergeCell ref="D67:F67"/>
    <mergeCell ref="G67:I67"/>
    <mergeCell ref="D68:F68"/>
    <mergeCell ref="H68:J68"/>
    <mergeCell ref="A73:A74"/>
    <mergeCell ref="B73:B74"/>
    <mergeCell ref="C73:C74"/>
    <mergeCell ref="D73:F73"/>
    <mergeCell ref="G73:I73"/>
    <mergeCell ref="D74:F74"/>
    <mergeCell ref="H74:J74"/>
    <mergeCell ref="A71:A72"/>
    <mergeCell ref="B71:B72"/>
    <mergeCell ref="C71:C72"/>
    <mergeCell ref="D71:F71"/>
    <mergeCell ref="G71:I71"/>
    <mergeCell ref="D72:F72"/>
    <mergeCell ref="H72:J72"/>
    <mergeCell ref="A77:A78"/>
    <mergeCell ref="B77:B78"/>
    <mergeCell ref="C77:C78"/>
    <mergeCell ref="D77:F77"/>
    <mergeCell ref="G77:I77"/>
    <mergeCell ref="D78:F78"/>
    <mergeCell ref="H78:J78"/>
    <mergeCell ref="A75:A76"/>
    <mergeCell ref="B75:B76"/>
    <mergeCell ref="C75:C76"/>
    <mergeCell ref="D75:F75"/>
    <mergeCell ref="G75:I75"/>
    <mergeCell ref="D76:F76"/>
    <mergeCell ref="H76:J76"/>
    <mergeCell ref="A81:A82"/>
    <mergeCell ref="B81:B82"/>
    <mergeCell ref="C81:C82"/>
    <mergeCell ref="D81:F81"/>
    <mergeCell ref="G81:I81"/>
    <mergeCell ref="D82:F82"/>
    <mergeCell ref="H82:J82"/>
    <mergeCell ref="A79:A80"/>
    <mergeCell ref="B79:B80"/>
    <mergeCell ref="C79:C80"/>
    <mergeCell ref="D79:F79"/>
    <mergeCell ref="G79:I79"/>
    <mergeCell ref="D80:F80"/>
    <mergeCell ref="H80:J80"/>
    <mergeCell ref="A85:A86"/>
    <mergeCell ref="B85:B86"/>
    <mergeCell ref="C85:C86"/>
    <mergeCell ref="D85:F85"/>
    <mergeCell ref="G85:I85"/>
    <mergeCell ref="D86:F86"/>
    <mergeCell ref="H86:J86"/>
    <mergeCell ref="A83:A84"/>
    <mergeCell ref="B83:B84"/>
    <mergeCell ref="C83:C84"/>
    <mergeCell ref="D83:F83"/>
    <mergeCell ref="G83:I83"/>
    <mergeCell ref="D84:F84"/>
    <mergeCell ref="H84:J84"/>
    <mergeCell ref="A89:A90"/>
    <mergeCell ref="B89:B90"/>
    <mergeCell ref="C89:C90"/>
    <mergeCell ref="D89:F89"/>
    <mergeCell ref="G89:I89"/>
    <mergeCell ref="D90:F90"/>
    <mergeCell ref="H90:J90"/>
    <mergeCell ref="A87:A88"/>
    <mergeCell ref="B87:B88"/>
    <mergeCell ref="C87:C88"/>
    <mergeCell ref="D87:F87"/>
    <mergeCell ref="G87:I87"/>
    <mergeCell ref="D88:F88"/>
    <mergeCell ref="H88:J88"/>
    <mergeCell ref="A93:A94"/>
    <mergeCell ref="B93:B94"/>
    <mergeCell ref="C93:C94"/>
    <mergeCell ref="D93:F93"/>
    <mergeCell ref="G93:I93"/>
    <mergeCell ref="D94:F94"/>
    <mergeCell ref="H94:J94"/>
    <mergeCell ref="A91:A92"/>
    <mergeCell ref="B91:B92"/>
    <mergeCell ref="C91:C92"/>
    <mergeCell ref="D91:F91"/>
    <mergeCell ref="G91:I91"/>
    <mergeCell ref="D92:F92"/>
    <mergeCell ref="H92:J92"/>
    <mergeCell ref="A98:A99"/>
    <mergeCell ref="B98:B99"/>
    <mergeCell ref="C98:C99"/>
    <mergeCell ref="D98:F98"/>
    <mergeCell ref="G98:I98"/>
    <mergeCell ref="D99:F99"/>
    <mergeCell ref="H99:J99"/>
    <mergeCell ref="A95:A97"/>
    <mergeCell ref="B95:B97"/>
    <mergeCell ref="C95:C97"/>
    <mergeCell ref="D95:H95"/>
    <mergeCell ref="I95:J96"/>
    <mergeCell ref="D96:D97"/>
    <mergeCell ref="E96:F96"/>
    <mergeCell ref="G96:H97"/>
    <mergeCell ref="E97:F97"/>
    <mergeCell ref="I97:J97"/>
    <mergeCell ref="A102:A103"/>
    <mergeCell ref="B102:B103"/>
    <mergeCell ref="C102:C103"/>
    <mergeCell ref="D102:F102"/>
    <mergeCell ref="G102:I102"/>
    <mergeCell ref="D103:F103"/>
    <mergeCell ref="H103:J103"/>
    <mergeCell ref="A100:A101"/>
    <mergeCell ref="B100:B101"/>
    <mergeCell ref="C100:C101"/>
    <mergeCell ref="D100:F100"/>
    <mergeCell ref="G100:I100"/>
    <mergeCell ref="D101:F101"/>
    <mergeCell ref="H101:J101"/>
    <mergeCell ref="A106:A107"/>
    <mergeCell ref="B106:B107"/>
    <mergeCell ref="C106:C107"/>
    <mergeCell ref="D106:F106"/>
    <mergeCell ref="G106:I106"/>
    <mergeCell ref="D107:F107"/>
    <mergeCell ref="H107:J107"/>
    <mergeCell ref="A104:A105"/>
    <mergeCell ref="B104:B105"/>
    <mergeCell ref="C104:C105"/>
    <mergeCell ref="D104:F104"/>
    <mergeCell ref="G104:I104"/>
    <mergeCell ref="D105:F105"/>
    <mergeCell ref="H105:J105"/>
    <mergeCell ref="A110:A111"/>
    <mergeCell ref="B110:B111"/>
    <mergeCell ref="C110:C111"/>
    <mergeCell ref="D110:F110"/>
    <mergeCell ref="G110:I110"/>
    <mergeCell ref="D111:F111"/>
    <mergeCell ref="H111:J111"/>
    <mergeCell ref="A108:A109"/>
    <mergeCell ref="B108:B109"/>
    <mergeCell ref="C108:C109"/>
    <mergeCell ref="D108:F108"/>
    <mergeCell ref="G108:I108"/>
    <mergeCell ref="D109:F109"/>
    <mergeCell ref="H109:J109"/>
    <mergeCell ref="A114:A115"/>
    <mergeCell ref="B114:B115"/>
    <mergeCell ref="C114:C115"/>
    <mergeCell ref="D114:F114"/>
    <mergeCell ref="G114:I114"/>
    <mergeCell ref="D115:F115"/>
    <mergeCell ref="H115:J115"/>
    <mergeCell ref="A112:A113"/>
    <mergeCell ref="B112:B113"/>
    <mergeCell ref="C112:C113"/>
    <mergeCell ref="D112:F112"/>
    <mergeCell ref="G112:I112"/>
    <mergeCell ref="D113:F113"/>
    <mergeCell ref="H113:J113"/>
    <mergeCell ref="A118:A119"/>
    <mergeCell ref="B118:B119"/>
    <mergeCell ref="C118:C119"/>
    <mergeCell ref="D118:F118"/>
    <mergeCell ref="G118:I118"/>
    <mergeCell ref="D119:F119"/>
    <mergeCell ref="H119:J119"/>
    <mergeCell ref="A116:A117"/>
    <mergeCell ref="B116:B117"/>
    <mergeCell ref="C116:C117"/>
    <mergeCell ref="D116:F116"/>
    <mergeCell ref="G116:I116"/>
    <mergeCell ref="D117:F117"/>
    <mergeCell ref="H117:J117"/>
    <mergeCell ref="A122:A123"/>
    <mergeCell ref="B122:B123"/>
    <mergeCell ref="C122:C123"/>
    <mergeCell ref="D122:F122"/>
    <mergeCell ref="G122:I122"/>
    <mergeCell ref="D123:F123"/>
    <mergeCell ref="H123:J123"/>
    <mergeCell ref="A120:A121"/>
    <mergeCell ref="B120:B121"/>
    <mergeCell ref="C120:C121"/>
    <mergeCell ref="D120:F120"/>
    <mergeCell ref="G120:I120"/>
    <mergeCell ref="D121:F121"/>
    <mergeCell ref="H121:J121"/>
    <mergeCell ref="A126:A127"/>
    <mergeCell ref="B126:B127"/>
    <mergeCell ref="C126:C127"/>
    <mergeCell ref="D126:F126"/>
    <mergeCell ref="G126:I126"/>
    <mergeCell ref="D127:F127"/>
    <mergeCell ref="H127:J127"/>
    <mergeCell ref="A124:A125"/>
    <mergeCell ref="B124:B125"/>
    <mergeCell ref="C124:C125"/>
    <mergeCell ref="D124:F124"/>
    <mergeCell ref="G124:I124"/>
    <mergeCell ref="D125:F125"/>
    <mergeCell ref="H125:J125"/>
    <mergeCell ref="A128:A130"/>
    <mergeCell ref="B128:B130"/>
    <mergeCell ref="C128:C130"/>
    <mergeCell ref="D128:H128"/>
    <mergeCell ref="I128:J129"/>
    <mergeCell ref="D129:D130"/>
    <mergeCell ref="E129:F129"/>
    <mergeCell ref="G129:H130"/>
    <mergeCell ref="E130:F130"/>
    <mergeCell ref="I130:J130"/>
    <mergeCell ref="A133:A134"/>
    <mergeCell ref="B133:B134"/>
    <mergeCell ref="C133:C134"/>
    <mergeCell ref="D133:F133"/>
    <mergeCell ref="G133:I133"/>
    <mergeCell ref="D134:F134"/>
    <mergeCell ref="H134:J134"/>
    <mergeCell ref="A131:A132"/>
    <mergeCell ref="B131:B132"/>
    <mergeCell ref="C131:C132"/>
    <mergeCell ref="D131:F131"/>
    <mergeCell ref="G131:I131"/>
    <mergeCell ref="D132:F132"/>
    <mergeCell ref="H132:J132"/>
    <mergeCell ref="A137:A138"/>
    <mergeCell ref="B137:B138"/>
    <mergeCell ref="C137:C138"/>
    <mergeCell ref="D137:F137"/>
    <mergeCell ref="G137:I137"/>
    <mergeCell ref="D138:F138"/>
    <mergeCell ref="H138:J138"/>
    <mergeCell ref="A135:A136"/>
    <mergeCell ref="B135:B136"/>
    <mergeCell ref="C135:C136"/>
    <mergeCell ref="D135:F135"/>
    <mergeCell ref="G135:I135"/>
    <mergeCell ref="D136:F136"/>
    <mergeCell ref="H136:J136"/>
    <mergeCell ref="A141:A142"/>
    <mergeCell ref="B141:B142"/>
    <mergeCell ref="C141:C142"/>
    <mergeCell ref="D141:F141"/>
    <mergeCell ref="G141:I141"/>
    <mergeCell ref="D142:F142"/>
    <mergeCell ref="H142:J142"/>
    <mergeCell ref="A139:A140"/>
    <mergeCell ref="B139:B140"/>
    <mergeCell ref="C139:C140"/>
    <mergeCell ref="D139:F139"/>
    <mergeCell ref="G139:I139"/>
    <mergeCell ref="D140:F140"/>
    <mergeCell ref="H140:J140"/>
    <mergeCell ref="A145:A146"/>
    <mergeCell ref="B145:B146"/>
    <mergeCell ref="C145:C146"/>
    <mergeCell ref="D145:F145"/>
    <mergeCell ref="G145:I145"/>
    <mergeCell ref="D146:F146"/>
    <mergeCell ref="H146:J146"/>
    <mergeCell ref="A143:A144"/>
    <mergeCell ref="B143:B144"/>
    <mergeCell ref="C143:C144"/>
    <mergeCell ref="D143:F143"/>
    <mergeCell ref="G143:I143"/>
    <mergeCell ref="D144:F144"/>
    <mergeCell ref="H144:J144"/>
    <mergeCell ref="B149:E149"/>
    <mergeCell ref="G149:H149"/>
    <mergeCell ref="I149:J149"/>
    <mergeCell ref="B150:E150"/>
    <mergeCell ref="G150:H150"/>
    <mergeCell ref="I150:J150"/>
    <mergeCell ref="A147:A148"/>
    <mergeCell ref="B147:B148"/>
    <mergeCell ref="C147:C148"/>
    <mergeCell ref="D147:F147"/>
    <mergeCell ref="G147:I147"/>
    <mergeCell ref="D148:F148"/>
    <mergeCell ref="H148:J148"/>
    <mergeCell ref="B153:E153"/>
    <mergeCell ref="G153:H153"/>
    <mergeCell ref="I153:J153"/>
    <mergeCell ref="B154:E154"/>
    <mergeCell ref="G154:H154"/>
    <mergeCell ref="I154:J154"/>
    <mergeCell ref="B151:E151"/>
    <mergeCell ref="G151:H151"/>
    <mergeCell ref="I151:J151"/>
    <mergeCell ref="B152:E152"/>
    <mergeCell ref="G152:H152"/>
    <mergeCell ref="I152:J152"/>
    <mergeCell ref="B157:E157"/>
    <mergeCell ref="G157:H157"/>
    <mergeCell ref="I157:J157"/>
    <mergeCell ref="B158:E158"/>
    <mergeCell ref="G158:H158"/>
    <mergeCell ref="I158:J158"/>
    <mergeCell ref="B155:E155"/>
    <mergeCell ref="G155:H155"/>
    <mergeCell ref="I155:J155"/>
    <mergeCell ref="B156:E156"/>
    <mergeCell ref="G156:H156"/>
    <mergeCell ref="I156:J156"/>
    <mergeCell ref="B161:E161"/>
    <mergeCell ref="G161:H161"/>
    <mergeCell ref="I161:J161"/>
    <mergeCell ref="B162:E162"/>
    <mergeCell ref="G162:H162"/>
    <mergeCell ref="I162:J162"/>
    <mergeCell ref="B159:E159"/>
    <mergeCell ref="G159:H159"/>
    <mergeCell ref="I159:J159"/>
    <mergeCell ref="B160:E160"/>
    <mergeCell ref="G160:H160"/>
    <mergeCell ref="I160:J160"/>
    <mergeCell ref="B165:E165"/>
    <mergeCell ref="G165:H165"/>
    <mergeCell ref="I165:J165"/>
    <mergeCell ref="B166:E166"/>
    <mergeCell ref="G166:H166"/>
    <mergeCell ref="I166:J166"/>
    <mergeCell ref="B163:E163"/>
    <mergeCell ref="G163:H163"/>
    <mergeCell ref="I163:J163"/>
    <mergeCell ref="B164:E164"/>
    <mergeCell ref="G164:H164"/>
    <mergeCell ref="I164:J164"/>
    <mergeCell ref="B169:E169"/>
    <mergeCell ref="G169:H169"/>
    <mergeCell ref="I169:J169"/>
    <mergeCell ref="B170:E170"/>
    <mergeCell ref="G170:H170"/>
    <mergeCell ref="I170:J170"/>
    <mergeCell ref="B167:E167"/>
    <mergeCell ref="G167:H167"/>
    <mergeCell ref="I167:J167"/>
    <mergeCell ref="B168:E168"/>
    <mergeCell ref="G168:H168"/>
    <mergeCell ref="I168:J168"/>
    <mergeCell ref="B173:E173"/>
    <mergeCell ref="G173:H173"/>
    <mergeCell ref="I173:J173"/>
    <mergeCell ref="B174:E174"/>
    <mergeCell ref="G174:H174"/>
    <mergeCell ref="I174:J174"/>
    <mergeCell ref="B171:E171"/>
    <mergeCell ref="G171:H171"/>
    <mergeCell ref="I171:J171"/>
    <mergeCell ref="B172:E172"/>
    <mergeCell ref="G172:H172"/>
    <mergeCell ref="I172:J172"/>
    <mergeCell ref="B177:E177"/>
    <mergeCell ref="G177:H177"/>
    <mergeCell ref="I177:J177"/>
    <mergeCell ref="B178:E178"/>
    <mergeCell ref="G178:H178"/>
    <mergeCell ref="I178:J178"/>
    <mergeCell ref="B175:E175"/>
    <mergeCell ref="G175:H175"/>
    <mergeCell ref="I175:J175"/>
    <mergeCell ref="B176:E176"/>
    <mergeCell ref="G176:H176"/>
    <mergeCell ref="I176:J176"/>
    <mergeCell ref="B181:E181"/>
    <mergeCell ref="G181:H181"/>
    <mergeCell ref="I181:J181"/>
    <mergeCell ref="B182:E182"/>
    <mergeCell ref="G182:H182"/>
    <mergeCell ref="I182:J182"/>
    <mergeCell ref="B179:E179"/>
    <mergeCell ref="G179:H179"/>
    <mergeCell ref="I179:J179"/>
    <mergeCell ref="B180:E180"/>
    <mergeCell ref="G180:H180"/>
    <mergeCell ref="I180:J180"/>
    <mergeCell ref="B185:E185"/>
    <mergeCell ref="G185:H185"/>
    <mergeCell ref="I185:J185"/>
    <mergeCell ref="B186:E186"/>
    <mergeCell ref="G186:H186"/>
    <mergeCell ref="I186:J186"/>
    <mergeCell ref="B183:E183"/>
    <mergeCell ref="G183:H183"/>
    <mergeCell ref="I183:J183"/>
    <mergeCell ref="B184:E184"/>
    <mergeCell ref="G184:H184"/>
    <mergeCell ref="I184:J184"/>
    <mergeCell ref="B189:E189"/>
    <mergeCell ref="G189:H189"/>
    <mergeCell ref="I189:J189"/>
    <mergeCell ref="B190:E190"/>
    <mergeCell ref="G190:H190"/>
    <mergeCell ref="I190:J190"/>
    <mergeCell ref="B187:E187"/>
    <mergeCell ref="G187:H187"/>
    <mergeCell ref="I187:J187"/>
    <mergeCell ref="B188:E188"/>
    <mergeCell ref="G188:H188"/>
    <mergeCell ref="I188:J188"/>
    <mergeCell ref="B193:E193"/>
    <mergeCell ref="G193:H193"/>
    <mergeCell ref="I193:J193"/>
    <mergeCell ref="B194:E194"/>
    <mergeCell ref="G194:H194"/>
    <mergeCell ref="I194:J194"/>
    <mergeCell ref="B191:E191"/>
    <mergeCell ref="G191:H191"/>
    <mergeCell ref="I191:J191"/>
    <mergeCell ref="B192:E192"/>
    <mergeCell ref="G192:H192"/>
    <mergeCell ref="I192:J192"/>
    <mergeCell ref="B197:E197"/>
    <mergeCell ref="G197:H197"/>
    <mergeCell ref="I197:J197"/>
    <mergeCell ref="B198:E198"/>
    <mergeCell ref="G198:H198"/>
    <mergeCell ref="I198:J198"/>
    <mergeCell ref="B195:E195"/>
    <mergeCell ref="G195:H195"/>
    <mergeCell ref="I195:J195"/>
    <mergeCell ref="B196:E196"/>
    <mergeCell ref="G196:H196"/>
    <mergeCell ref="I196:J196"/>
    <mergeCell ref="B201:E201"/>
    <mergeCell ref="G201:H201"/>
    <mergeCell ref="I201:J201"/>
    <mergeCell ref="B202:E202"/>
    <mergeCell ref="G202:H202"/>
    <mergeCell ref="I202:J202"/>
    <mergeCell ref="B199:E199"/>
    <mergeCell ref="G199:H199"/>
    <mergeCell ref="I199:J199"/>
    <mergeCell ref="B200:E200"/>
    <mergeCell ref="G200:H200"/>
    <mergeCell ref="I200:J200"/>
    <mergeCell ref="B205:E205"/>
    <mergeCell ref="G205:H205"/>
    <mergeCell ref="I205:J205"/>
    <mergeCell ref="B206:E206"/>
    <mergeCell ref="G206:H206"/>
    <mergeCell ref="I206:J206"/>
    <mergeCell ref="B203:E203"/>
    <mergeCell ref="G203:H203"/>
    <mergeCell ref="I203:J203"/>
    <mergeCell ref="B204:E204"/>
    <mergeCell ref="G204:H204"/>
    <mergeCell ref="I204:J204"/>
    <mergeCell ref="B209:E209"/>
    <mergeCell ref="G209:H209"/>
    <mergeCell ref="I209:J209"/>
    <mergeCell ref="B210:E210"/>
    <mergeCell ref="G210:H210"/>
    <mergeCell ref="I210:J210"/>
    <mergeCell ref="B207:E207"/>
    <mergeCell ref="G207:H207"/>
    <mergeCell ref="I207:J207"/>
    <mergeCell ref="B208:E208"/>
    <mergeCell ref="G208:H208"/>
    <mergeCell ref="I208:J208"/>
  </mergeCells>
  <pageMargins left="0.74803149606299213" right="0.55118110236220474" top="0.31496062992125984" bottom="0.35433070866141736" header="0.31496062992125984" footer="0.15748031496062992"/>
  <pageSetup paperSize="9" scale="88" firstPageNumber="2" orientation="portrait" useFirstPageNumber="1" r:id="rId1"/>
  <headerFooter alignWithMargins="0">
    <oddFooter>&amp;LMF SR č. 25947/1/2010&amp;RSeite &amp;P</oddFooter>
  </headerFooter>
  <rowBreaks count="6" manualBreakCount="6">
    <brk id="32" max="16383" man="1"/>
    <brk id="63" max="16383" man="1"/>
    <brk id="94" max="16383" man="1"/>
    <brk id="127" max="16383" man="1"/>
    <brk id="148" max="16383" man="1"/>
    <brk id="178" max="16383" man="1"/>
  </row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</sheetPr>
  <dimension ref="A1:AM53"/>
  <sheetViews>
    <sheetView showGridLines="0" view="pageBreakPreview" zoomScaleNormal="100" zoomScaleSheetLayoutView="100" workbookViewId="0"/>
  </sheetViews>
  <sheetFormatPr defaultRowHeight="12.75" x14ac:dyDescent="0.25"/>
  <cols>
    <col min="1" max="10" width="2.5703125" style="818" customWidth="1"/>
    <col min="11" max="11" width="3.42578125" style="818" customWidth="1"/>
    <col min="12" max="36" width="2.5703125" style="818" customWidth="1"/>
    <col min="37" max="37" width="2.140625" style="818" customWidth="1"/>
    <col min="38" max="38" width="1.85546875" style="818" customWidth="1"/>
    <col min="39" max="39" width="2.140625" style="818" customWidth="1"/>
    <col min="40" max="45" width="2.5703125" style="818" customWidth="1"/>
    <col min="46" max="46" width="7.7109375" style="818" customWidth="1"/>
    <col min="47" max="61" width="2.5703125" style="818" customWidth="1"/>
    <col min="62" max="16384" width="9.140625" style="818"/>
  </cols>
  <sheetData>
    <row r="1" spans="1:38" x14ac:dyDescent="0.25">
      <c r="B1" s="817" t="s">
        <v>1321</v>
      </c>
    </row>
    <row r="2" spans="1:38" s="551" customFormat="1" ht="18.75" thickBot="1" x14ac:dyDescent="0.3">
      <c r="C2" s="817"/>
      <c r="N2" s="547" t="s">
        <v>1801</v>
      </c>
    </row>
    <row r="3" spans="1:38" s="448" customFormat="1" ht="21" customHeight="1" thickBot="1" x14ac:dyDescent="0.3">
      <c r="B3" s="887" t="s">
        <v>1802</v>
      </c>
      <c r="C3" s="819"/>
      <c r="D3" s="820"/>
      <c r="E3" s="820"/>
      <c r="F3" s="820"/>
      <c r="G3" s="820"/>
      <c r="H3" s="820"/>
      <c r="I3" s="820"/>
      <c r="J3" s="821"/>
      <c r="K3" s="820"/>
      <c r="L3" s="822"/>
      <c r="N3" s="547" t="s">
        <v>1803</v>
      </c>
      <c r="Q3" s="547"/>
    </row>
    <row r="4" spans="1:38" ht="13.5" thickBot="1" x14ac:dyDescent="0.3"/>
    <row r="5" spans="1:38" ht="28.5" customHeight="1" thickBot="1" x14ac:dyDescent="0.3">
      <c r="K5" s="867" t="s">
        <v>1636</v>
      </c>
      <c r="L5" s="545" t="str">
        <f>+MID('Input data'!$B$11,1,1)</f>
        <v>3</v>
      </c>
      <c r="M5" s="545" t="str">
        <f>+MID('Input data'!$B$11,2,1)</f>
        <v>1</v>
      </c>
      <c r="N5" s="545" t="s">
        <v>1147</v>
      </c>
      <c r="O5" s="545" t="str">
        <f>LEFT('Input data'!B13,1)</f>
        <v>1</v>
      </c>
      <c r="P5" s="545" t="str">
        <f>RIGHT('Input data'!B13,1)</f>
        <v>2</v>
      </c>
      <c r="Q5" s="545" t="s">
        <v>1147</v>
      </c>
      <c r="R5" s="545" t="str">
        <f>+LEFT('Input data'!$B$14,1)</f>
        <v>2</v>
      </c>
      <c r="S5" s="545" t="str">
        <f>+MID('Input data'!$B$14,2,1)</f>
        <v>0</v>
      </c>
      <c r="T5" s="545" t="str">
        <f>+MID('Input data'!$B$14,3,1)</f>
        <v>1</v>
      </c>
      <c r="U5" s="545" t="str">
        <f>+MID('Input data'!$B$14,4,1)</f>
        <v>3</v>
      </c>
      <c r="V5" s="1618" t="s">
        <v>1637</v>
      </c>
      <c r="W5" s="1619"/>
      <c r="X5" s="1619"/>
      <c r="Y5" s="1619"/>
      <c r="Z5" s="1619"/>
      <c r="AA5" s="1620"/>
    </row>
    <row r="6" spans="1:38" ht="7.5" customHeight="1" thickBot="1" x14ac:dyDescent="0.3"/>
    <row r="7" spans="1:38" s="538" customFormat="1" ht="14.25" customHeight="1" x14ac:dyDescent="0.25">
      <c r="A7" s="541" t="s">
        <v>1638</v>
      </c>
      <c r="B7" s="541"/>
      <c r="C7" s="540"/>
      <c r="D7" s="540"/>
      <c r="E7" s="540"/>
      <c r="F7" s="540"/>
      <c r="G7" s="540"/>
      <c r="H7" s="540"/>
      <c r="I7" s="540"/>
      <c r="J7" s="540"/>
      <c r="K7" s="540"/>
      <c r="L7" s="540"/>
      <c r="M7" s="540"/>
      <c r="N7" s="540"/>
      <c r="O7" s="540"/>
      <c r="P7" s="540"/>
      <c r="Q7" s="540"/>
      <c r="R7" s="540"/>
      <c r="S7" s="539"/>
      <c r="T7" s="540"/>
      <c r="U7" s="540"/>
      <c r="V7" s="540"/>
      <c r="W7" s="540"/>
      <c r="X7" s="540"/>
      <c r="Y7" s="540"/>
      <c r="Z7" s="540"/>
      <c r="AA7" s="540"/>
      <c r="AB7" s="540"/>
      <c r="AC7" s="540"/>
      <c r="AD7" s="540"/>
      <c r="AE7" s="540"/>
      <c r="AF7" s="540"/>
      <c r="AG7" s="540"/>
      <c r="AH7" s="540"/>
      <c r="AI7" s="540"/>
      <c r="AJ7" s="540"/>
      <c r="AK7" s="540"/>
      <c r="AL7" s="539"/>
    </row>
    <row r="8" spans="1:38" s="538" customFormat="1" ht="14.25" customHeight="1" x14ac:dyDescent="0.25">
      <c r="A8" s="868" t="s">
        <v>1639</v>
      </c>
      <c r="B8" s="868"/>
      <c r="C8" s="869"/>
      <c r="D8" s="869"/>
      <c r="E8" s="869"/>
      <c r="F8" s="869"/>
      <c r="G8" s="869"/>
      <c r="H8" s="869"/>
      <c r="I8" s="869"/>
      <c r="J8" s="869"/>
      <c r="K8" s="869"/>
      <c r="L8" s="869"/>
      <c r="M8" s="869"/>
      <c r="N8" s="869"/>
      <c r="O8" s="869"/>
      <c r="P8" s="869"/>
      <c r="Q8" s="869"/>
      <c r="R8" s="869"/>
      <c r="S8" s="869"/>
      <c r="T8" s="869"/>
      <c r="U8" s="869"/>
      <c r="V8" s="869"/>
      <c r="W8" s="869"/>
      <c r="X8" s="869"/>
      <c r="Y8" s="869"/>
      <c r="Z8" s="869"/>
      <c r="AA8" s="869"/>
      <c r="AB8" s="869"/>
      <c r="AC8" s="869"/>
      <c r="AD8" s="869"/>
      <c r="AE8" s="869"/>
      <c r="AF8" s="869"/>
      <c r="AG8" s="869"/>
      <c r="AH8" s="869"/>
      <c r="AI8" s="869"/>
      <c r="AJ8" s="869"/>
      <c r="AK8" s="869"/>
      <c r="AL8" s="870"/>
    </row>
    <row r="9" spans="1:38" s="874" customFormat="1" ht="15" customHeight="1" x14ac:dyDescent="0.25">
      <c r="A9" s="871" t="s">
        <v>1640</v>
      </c>
      <c r="B9" s="871"/>
      <c r="C9" s="872"/>
      <c r="D9" s="872"/>
      <c r="E9" s="872"/>
      <c r="F9" s="872"/>
      <c r="G9" s="872"/>
      <c r="H9" s="872"/>
      <c r="I9" s="872"/>
      <c r="J9" s="872"/>
      <c r="K9" s="872"/>
      <c r="L9" s="872"/>
      <c r="M9" s="872"/>
      <c r="N9" s="872"/>
      <c r="O9" s="872"/>
      <c r="P9" s="872"/>
      <c r="Q9" s="872"/>
      <c r="R9" s="872"/>
      <c r="S9" s="873"/>
      <c r="T9" s="872"/>
      <c r="U9" s="872"/>
      <c r="V9" s="872"/>
      <c r="W9" s="872"/>
      <c r="X9" s="872"/>
      <c r="Y9" s="872"/>
      <c r="Z9" s="872"/>
      <c r="AA9" s="872"/>
      <c r="AB9" s="872"/>
      <c r="AC9" s="872"/>
      <c r="AD9" s="872"/>
      <c r="AE9" s="872"/>
      <c r="AF9" s="872"/>
      <c r="AG9" s="872"/>
      <c r="AH9" s="872"/>
      <c r="AI9" s="872"/>
      <c r="AJ9" s="872"/>
      <c r="AK9" s="872"/>
      <c r="AL9" s="870"/>
    </row>
    <row r="10" spans="1:38" s="533" customFormat="1" ht="18" customHeight="1" thickBot="1" x14ac:dyDescent="0.3">
      <c r="A10" s="536" t="s">
        <v>1151</v>
      </c>
      <c r="B10" s="536"/>
      <c r="C10" s="535"/>
      <c r="D10" s="535"/>
      <c r="E10" s="536"/>
      <c r="F10" s="535"/>
      <c r="G10" s="535"/>
      <c r="H10" s="535"/>
      <c r="I10" s="535"/>
      <c r="J10" s="535"/>
      <c r="K10" s="535"/>
      <c r="L10" s="535"/>
      <c r="M10" s="535"/>
      <c r="N10" s="535"/>
      <c r="O10" s="535"/>
      <c r="P10" s="535"/>
      <c r="Q10" s="535"/>
      <c r="R10" s="535"/>
      <c r="S10" s="534"/>
      <c r="T10" s="535"/>
      <c r="U10" s="535"/>
      <c r="V10" s="535"/>
      <c r="W10" s="535"/>
      <c r="X10" s="535"/>
      <c r="Y10" s="535"/>
      <c r="Z10" s="535"/>
      <c r="AA10" s="535"/>
      <c r="AB10" s="535"/>
      <c r="AC10" s="535"/>
      <c r="AD10" s="535"/>
      <c r="AE10" s="535"/>
      <c r="AF10" s="535"/>
      <c r="AG10" s="535"/>
      <c r="AH10" s="535"/>
      <c r="AI10" s="535"/>
      <c r="AJ10" s="535"/>
      <c r="AK10" s="535"/>
      <c r="AL10" s="534"/>
    </row>
    <row r="11" spans="1:38" s="513" customFormat="1" ht="3.75" customHeight="1" thickBot="1" x14ac:dyDescent="0.3"/>
    <row r="12" spans="1:38" s="513" customFormat="1" ht="14.25" customHeight="1" x14ac:dyDescent="0.25">
      <c r="A12" s="515" t="s">
        <v>1642</v>
      </c>
      <c r="B12" s="514"/>
      <c r="C12" s="514"/>
      <c r="D12" s="514"/>
      <c r="E12" s="514"/>
      <c r="F12" s="514"/>
      <c r="G12" s="514"/>
      <c r="H12" s="514"/>
      <c r="I12" s="458"/>
      <c r="J12" s="852"/>
      <c r="K12" s="531" t="s">
        <v>1643</v>
      </c>
      <c r="L12" s="514"/>
      <c r="M12" s="532"/>
      <c r="N12" s="532"/>
      <c r="O12" s="532"/>
      <c r="P12" s="514"/>
      <c r="Q12" s="531" t="s">
        <v>1643</v>
      </c>
      <c r="R12" s="514"/>
      <c r="S12" s="458"/>
      <c r="T12" s="514"/>
      <c r="U12" s="514"/>
      <c r="V12" s="853"/>
      <c r="W12" s="514"/>
      <c r="X12" s="514"/>
      <c r="Y12" s="514"/>
      <c r="Z12" s="514"/>
      <c r="AA12" s="514"/>
      <c r="AB12" s="514"/>
      <c r="AC12" s="514"/>
      <c r="AD12" s="531" t="s">
        <v>1644</v>
      </c>
      <c r="AE12" s="531"/>
      <c r="AF12" s="531"/>
      <c r="AG12" s="531" t="s">
        <v>1645</v>
      </c>
      <c r="AH12" s="514"/>
      <c r="AI12" s="514"/>
      <c r="AJ12" s="514"/>
      <c r="AK12" s="514"/>
      <c r="AL12" s="530"/>
    </row>
    <row r="13" spans="1:38" s="513" customFormat="1" ht="19.5" customHeight="1" x14ac:dyDescent="0.2">
      <c r="A13" s="527" t="str">
        <f>LEFT('Input data'!C24,1)</f>
        <v>2</v>
      </c>
      <c r="B13" s="492" t="str">
        <f>MID('Input data'!$C$24,2,1)</f>
        <v>0</v>
      </c>
      <c r="C13" s="492" t="str">
        <f>MID('Input data'!$C$24,3,1)</f>
        <v>2</v>
      </c>
      <c r="D13" s="492" t="str">
        <f>MID('Input data'!$C$24,4,1)</f>
        <v>0</v>
      </c>
      <c r="E13" s="492" t="str">
        <f>MID('Input data'!$C$24,5,1)</f>
        <v>3</v>
      </c>
      <c r="F13" s="492" t="str">
        <f>MID('Input data'!$C$24,6,1)</f>
        <v>3</v>
      </c>
      <c r="G13" s="492" t="str">
        <f>MID('Input data'!$C$24,7,1)</f>
        <v>6</v>
      </c>
      <c r="H13" s="492" t="str">
        <f>MID('Input data'!$C$24,8,1)</f>
        <v>4</v>
      </c>
      <c r="I13" s="492" t="str">
        <f>MID('Input data'!$C$24,9,1)</f>
        <v>0</v>
      </c>
      <c r="J13" s="854" t="str">
        <f>MID('Input data'!$C$24,10,1)</f>
        <v>6</v>
      </c>
      <c r="K13" s="855"/>
      <c r="L13" s="516"/>
      <c r="M13" s="516"/>
      <c r="N13" s="516"/>
      <c r="O13" s="516"/>
      <c r="P13" s="516"/>
      <c r="Q13" s="516"/>
      <c r="R13" s="516"/>
      <c r="S13" s="516"/>
      <c r="T13" s="516"/>
      <c r="U13" s="516"/>
      <c r="V13" s="856"/>
      <c r="W13" s="521" t="s">
        <v>1646</v>
      </c>
      <c r="X13" s="516"/>
      <c r="Y13" s="516"/>
      <c r="Z13" s="516"/>
      <c r="AA13" s="516"/>
      <c r="AB13" s="521" t="s">
        <v>1647</v>
      </c>
      <c r="AC13" s="516"/>
      <c r="AD13" s="492" t="str">
        <f>MID('Input data'!$B$8,1,1)</f>
        <v>0</v>
      </c>
      <c r="AE13" s="492" t="str">
        <f>MID('Input data'!$B$8,2,1)</f>
        <v>1</v>
      </c>
      <c r="AF13" s="492"/>
      <c r="AG13" s="492" t="str">
        <f>MID('Input data'!$B$9,1,1)</f>
        <v>2</v>
      </c>
      <c r="AH13" s="492" t="str">
        <f>MID('Input data'!$B$9,2,1)</f>
        <v>0</v>
      </c>
      <c r="AI13" s="492" t="str">
        <f>MID('Input data'!$B$9,3,1)</f>
        <v>1</v>
      </c>
      <c r="AJ13" s="492" t="str">
        <f>MID('Input data'!$B$9,4,1)</f>
        <v>3</v>
      </c>
      <c r="AK13" s="516"/>
      <c r="AL13" s="522"/>
    </row>
    <row r="14" spans="1:38" s="513" customFormat="1" ht="19.5" customHeight="1" x14ac:dyDescent="0.25">
      <c r="A14" s="454" t="s">
        <v>1648</v>
      </c>
      <c r="B14" s="516"/>
      <c r="C14" s="516"/>
      <c r="D14" s="516"/>
      <c r="E14" s="516"/>
      <c r="F14" s="516"/>
      <c r="G14" s="516"/>
      <c r="H14" s="450"/>
      <c r="I14" s="450"/>
      <c r="J14" s="579"/>
      <c r="K14" s="529" t="str">
        <f>IF('Input data'!D7="x","x"," ")</f>
        <v>x</v>
      </c>
      <c r="L14" s="521" t="s">
        <v>1649</v>
      </c>
      <c r="N14" s="523"/>
      <c r="O14" s="523"/>
      <c r="P14" s="523"/>
      <c r="Q14" s="523"/>
      <c r="R14" s="529" t="str">
        <f>IF('Input data'!D16="x","x"," ")</f>
        <v>x</v>
      </c>
      <c r="S14" s="521" t="s">
        <v>1650</v>
      </c>
      <c r="T14" s="516"/>
      <c r="U14" s="516"/>
      <c r="V14" s="856"/>
      <c r="W14" s="825"/>
      <c r="X14" s="826"/>
      <c r="Y14" s="826"/>
      <c r="Z14" s="826"/>
      <c r="AA14" s="826"/>
      <c r="AB14" s="827" t="s">
        <v>1651</v>
      </c>
      <c r="AC14" s="826"/>
      <c r="AD14" s="828" t="str">
        <f>MID('Input data'!$B$13,1,1)</f>
        <v>1</v>
      </c>
      <c r="AE14" s="828" t="str">
        <f>MID('Input data'!$B$13,2,1)</f>
        <v>2</v>
      </c>
      <c r="AF14" s="828"/>
      <c r="AG14" s="828" t="str">
        <f>MID('Input data'!$B$14,1,1)</f>
        <v>2</v>
      </c>
      <c r="AH14" s="828" t="str">
        <f>MID('Input data'!$B$14,2,1)</f>
        <v>0</v>
      </c>
      <c r="AI14" s="828" t="str">
        <f>MID('Input data'!$B$14,3,1)</f>
        <v>1</v>
      </c>
      <c r="AJ14" s="828" t="str">
        <f>MID('Input data'!$B$14,4,1)</f>
        <v>3</v>
      </c>
      <c r="AK14" s="826"/>
      <c r="AL14" s="829"/>
    </row>
    <row r="15" spans="1:38" s="513" customFormat="1" ht="19.5" customHeight="1" x14ac:dyDescent="0.2">
      <c r="A15" s="875" t="str">
        <f>LEFT('Input data'!C26,1)</f>
        <v>3</v>
      </c>
      <c r="B15" s="525" t="str">
        <f>MID('Input data'!$C$26,2,1)</f>
        <v>1</v>
      </c>
      <c r="C15" s="525" t="str">
        <f>MID('Input data'!$C$26,3,1)</f>
        <v>3</v>
      </c>
      <c r="D15" s="525" t="str">
        <f>MID('Input data'!$C$26,4,1)</f>
        <v>5</v>
      </c>
      <c r="E15" s="525" t="str">
        <f>MID('Input data'!$C$26,5,1)</f>
        <v>8</v>
      </c>
      <c r="F15" s="525" t="str">
        <f>MID('Input data'!$C$26,6,1)</f>
        <v>7</v>
      </c>
      <c r="G15" s="525" t="str">
        <f>MID('Input data'!$C$26,7,1)</f>
        <v>3</v>
      </c>
      <c r="H15" s="525" t="str">
        <f>MID('Input data'!$C$26,8,1)</f>
        <v>0</v>
      </c>
      <c r="I15" s="450"/>
      <c r="J15" s="579"/>
      <c r="K15" s="450" t="str">
        <f>IF('Input data'!D8="x","x", "")</f>
        <v/>
      </c>
      <c r="L15" s="521" t="s">
        <v>1652</v>
      </c>
      <c r="M15" s="521"/>
      <c r="N15" s="523"/>
      <c r="O15" s="523"/>
      <c r="P15" s="523"/>
      <c r="Q15" s="523"/>
      <c r="R15" s="523" t="str">
        <f>IF('Input data'!D17="x","x"," ")</f>
        <v xml:space="preserve"> </v>
      </c>
      <c r="S15" s="521" t="s">
        <v>1653</v>
      </c>
      <c r="T15" s="516"/>
      <c r="U15" s="516"/>
      <c r="V15" s="856"/>
      <c r="W15" s="521"/>
      <c r="X15" s="516"/>
      <c r="Y15" s="453"/>
      <c r="Z15" s="450"/>
      <c r="AA15" s="450"/>
      <c r="AB15" s="523"/>
      <c r="AC15" s="450"/>
      <c r="AD15" s="525"/>
      <c r="AE15" s="525"/>
      <c r="AF15" s="525"/>
      <c r="AG15" s="525"/>
      <c r="AH15" s="525"/>
      <c r="AI15" s="525"/>
      <c r="AJ15" s="525"/>
      <c r="AK15" s="450"/>
      <c r="AL15" s="522"/>
    </row>
    <row r="16" spans="1:38" s="513" customFormat="1" ht="19.5" customHeight="1" x14ac:dyDescent="0.2">
      <c r="A16" s="454" t="s">
        <v>1165</v>
      </c>
      <c r="B16" s="516"/>
      <c r="C16" s="516"/>
      <c r="D16" s="516"/>
      <c r="E16" s="516"/>
      <c r="F16" s="469"/>
      <c r="G16" s="516"/>
      <c r="H16" s="516"/>
      <c r="I16" s="450"/>
      <c r="J16" s="579"/>
      <c r="K16" s="855"/>
      <c r="L16" s="450"/>
      <c r="M16" s="521"/>
      <c r="N16" s="523"/>
      <c r="O16" s="523"/>
      <c r="P16" s="523"/>
      <c r="Q16" s="523"/>
      <c r="R16" s="876" t="s">
        <v>1654</v>
      </c>
      <c r="S16" s="523"/>
      <c r="T16" s="516"/>
      <c r="U16" s="516"/>
      <c r="V16" s="856"/>
      <c r="W16" s="521" t="s">
        <v>1655</v>
      </c>
      <c r="X16" s="516"/>
      <c r="Y16" s="453"/>
      <c r="Z16" s="450"/>
      <c r="AA16" s="450"/>
      <c r="AB16" s="521" t="s">
        <v>1647</v>
      </c>
      <c r="AC16" s="450"/>
      <c r="AD16" s="492" t="str">
        <f>MID('Input data'!$B$18,1,1)</f>
        <v>0</v>
      </c>
      <c r="AE16" s="492" t="str">
        <f>MID('Input data'!$B$18,2,1)</f>
        <v>1</v>
      </c>
      <c r="AF16" s="492"/>
      <c r="AG16" s="492" t="str">
        <f>MID('Input data'!$B$19,1,1)</f>
        <v>2</v>
      </c>
      <c r="AH16" s="492" t="str">
        <f>MID('Input data'!$B$19,2,1)</f>
        <v>0</v>
      </c>
      <c r="AI16" s="492" t="str">
        <f>MID('Input data'!$B$19,3,1)</f>
        <v>1</v>
      </c>
      <c r="AJ16" s="492" t="str">
        <f>MID('Input data'!$B$19,4,1)</f>
        <v>2</v>
      </c>
      <c r="AK16" s="450"/>
      <c r="AL16" s="522"/>
    </row>
    <row r="17" spans="1:39" s="513" customFormat="1" ht="19.5" customHeight="1" thickBot="1" x14ac:dyDescent="0.25">
      <c r="A17" s="520" t="str">
        <f>'BS-SK Cover sheet'!A15</f>
        <v>7</v>
      </c>
      <c r="B17" s="445" t="str">
        <f>'BS-SK Cover sheet'!B15</f>
        <v>3</v>
      </c>
      <c r="C17" s="518" t="s">
        <v>1147</v>
      </c>
      <c r="D17" s="445" t="str">
        <f>'BS-SK Cover sheet'!D15</f>
        <v>1</v>
      </c>
      <c r="E17" s="445" t="str">
        <f>'BS-SK Cover sheet'!E15</f>
        <v>1</v>
      </c>
      <c r="F17" s="518" t="s">
        <v>1147</v>
      </c>
      <c r="G17" s="445" t="str">
        <f>'BS-SK Cover sheet'!G15</f>
        <v>0</v>
      </c>
      <c r="H17" s="445"/>
      <c r="I17" s="445"/>
      <c r="J17" s="858"/>
      <c r="K17" s="859"/>
      <c r="L17" s="445"/>
      <c r="M17" s="445"/>
      <c r="N17" s="445"/>
      <c r="O17" s="445"/>
      <c r="P17" s="445"/>
      <c r="Q17" s="445"/>
      <c r="R17" s="445"/>
      <c r="S17" s="445"/>
      <c r="T17" s="518"/>
      <c r="U17" s="518"/>
      <c r="V17" s="860"/>
      <c r="W17" s="517"/>
      <c r="X17" s="518"/>
      <c r="Y17" s="446"/>
      <c r="Z17" s="445"/>
      <c r="AA17" s="445"/>
      <c r="AB17" s="517" t="s">
        <v>1651</v>
      </c>
      <c r="AC17" s="445"/>
      <c r="AD17" s="490" t="str">
        <f>MID('Input data'!$B$21,1,1)</f>
        <v>1</v>
      </c>
      <c r="AE17" s="490" t="str">
        <f>MID('Input data'!$B$21,2,1)</f>
        <v>2</v>
      </c>
      <c r="AF17" s="490"/>
      <c r="AG17" s="490" t="str">
        <f>MID('Input data'!$B$22,1,1)</f>
        <v>2</v>
      </c>
      <c r="AH17" s="490" t="str">
        <f>MID('Input data'!$B$22,2,1)</f>
        <v>0</v>
      </c>
      <c r="AI17" s="490" t="str">
        <f>MID('Input data'!$B$22,3,1)</f>
        <v>1</v>
      </c>
      <c r="AJ17" s="490" t="str">
        <f>MID('Input data'!$B$22,4,1)</f>
        <v>2</v>
      </c>
      <c r="AK17" s="445"/>
      <c r="AL17" s="519"/>
    </row>
    <row r="18" spans="1:39" s="513" customFormat="1" ht="4.5" customHeight="1" x14ac:dyDescent="0.25">
      <c r="A18" s="516"/>
      <c r="B18" s="516"/>
      <c r="C18" s="516"/>
      <c r="D18" s="516"/>
      <c r="E18" s="516"/>
      <c r="F18" s="516"/>
      <c r="G18" s="516"/>
      <c r="H18" s="450"/>
      <c r="I18" s="450"/>
      <c r="J18" s="450"/>
      <c r="K18" s="450"/>
      <c r="L18" s="450"/>
      <c r="M18" s="450"/>
      <c r="N18" s="450"/>
      <c r="O18" s="450"/>
      <c r="P18" s="450"/>
      <c r="Q18" s="450"/>
      <c r="R18" s="450"/>
      <c r="S18" s="450"/>
      <c r="T18" s="516"/>
      <c r="U18" s="516"/>
      <c r="V18" s="450"/>
      <c r="W18" s="450"/>
      <c r="X18" s="450"/>
      <c r="Y18" s="450"/>
      <c r="Z18" s="450"/>
      <c r="AA18" s="450"/>
      <c r="AB18" s="450"/>
      <c r="AC18" s="450"/>
      <c r="AD18" s="450"/>
      <c r="AE18" s="450"/>
      <c r="AF18" s="450"/>
      <c r="AG18" s="450"/>
      <c r="AH18" s="450"/>
      <c r="AI18" s="450"/>
      <c r="AJ18" s="450"/>
      <c r="AK18" s="450"/>
      <c r="AL18" s="516"/>
      <c r="AM18" s="516"/>
    </row>
    <row r="19" spans="1:39" s="513" customFormat="1" ht="3" customHeight="1" thickBot="1" x14ac:dyDescent="0.3">
      <c r="A19" s="877"/>
      <c r="B19" s="516"/>
      <c r="C19" s="516"/>
      <c r="D19" s="516"/>
      <c r="E19" s="516"/>
      <c r="F19" s="516"/>
      <c r="G19" s="516"/>
      <c r="H19" s="450"/>
      <c r="I19" s="450"/>
      <c r="J19" s="450"/>
      <c r="K19" s="450"/>
      <c r="L19" s="450"/>
      <c r="M19" s="450"/>
      <c r="N19" s="450"/>
      <c r="O19" s="450"/>
      <c r="P19" s="450"/>
      <c r="Q19" s="450"/>
      <c r="R19" s="450"/>
      <c r="S19" s="450"/>
      <c r="T19" s="516"/>
      <c r="U19" s="516"/>
      <c r="V19" s="516"/>
      <c r="W19" s="450"/>
      <c r="X19" s="450"/>
      <c r="Y19" s="450"/>
      <c r="Z19" s="450"/>
      <c r="AA19" s="450"/>
      <c r="AB19" s="450"/>
      <c r="AC19" s="450"/>
      <c r="AD19" s="450"/>
      <c r="AE19" s="450"/>
      <c r="AF19" s="450"/>
      <c r="AG19" s="450"/>
      <c r="AH19" s="450"/>
      <c r="AI19" s="450"/>
      <c r="AJ19" s="450"/>
      <c r="AK19" s="450"/>
      <c r="AL19" s="516"/>
      <c r="AM19" s="516"/>
    </row>
    <row r="20" spans="1:39" s="513" customFormat="1" ht="16.5" x14ac:dyDescent="0.25">
      <c r="A20" s="515" t="s">
        <v>1656</v>
      </c>
      <c r="B20" s="514"/>
      <c r="C20" s="514"/>
      <c r="D20" s="514"/>
      <c r="E20" s="514"/>
      <c r="F20" s="514"/>
      <c r="G20" s="514"/>
      <c r="H20" s="458"/>
      <c r="I20" s="458"/>
      <c r="J20" s="458"/>
      <c r="K20" s="458"/>
      <c r="L20" s="458"/>
      <c r="M20" s="458"/>
      <c r="N20" s="458"/>
      <c r="O20" s="458"/>
      <c r="P20" s="458"/>
      <c r="Q20" s="458"/>
      <c r="R20" s="458"/>
      <c r="S20" s="458"/>
      <c r="T20" s="514"/>
      <c r="U20" s="514"/>
      <c r="V20" s="514"/>
      <c r="W20" s="458"/>
      <c r="X20" s="458"/>
      <c r="Y20" s="458"/>
      <c r="Z20" s="458"/>
      <c r="AA20" s="458"/>
      <c r="AB20" s="458"/>
      <c r="AC20" s="458"/>
      <c r="AD20" s="458"/>
      <c r="AE20" s="458"/>
      <c r="AF20" s="458"/>
      <c r="AG20" s="458"/>
      <c r="AH20" s="458"/>
      <c r="AI20" s="458"/>
      <c r="AJ20" s="458"/>
      <c r="AK20" s="458"/>
      <c r="AL20" s="530"/>
    </row>
    <row r="21" spans="1:39" s="513" customFormat="1" ht="19.5" customHeight="1" x14ac:dyDescent="0.25">
      <c r="A21" s="500" t="str">
        <f>+LEFT('Input data'!$F$3,1)</f>
        <v>C</v>
      </c>
      <c r="B21" s="492" t="str">
        <f>+MID('Input data'!$F$3,2,1)</f>
        <v>a</v>
      </c>
      <c r="C21" s="492" t="str">
        <f>+MID('Input data'!$F$3,3,1)</f>
        <v>r</v>
      </c>
      <c r="D21" s="492" t="str">
        <f>+MID('Input data'!$F$3,4,1)</f>
        <v>a</v>
      </c>
      <c r="E21" s="492" t="str">
        <f>+MID('Input data'!$F$3,5,1)</f>
        <v>t</v>
      </c>
      <c r="F21" s="492" t="str">
        <f>+MID('Input data'!$F$3,6,1)</f>
        <v xml:space="preserve"> </v>
      </c>
      <c r="G21" s="492" t="str">
        <f>+MID('Input data'!$F$3,7,1)</f>
        <v>-</v>
      </c>
      <c r="H21" s="492" t="str">
        <f>+MID('Input data'!$F$3,8,1)</f>
        <v xml:space="preserve"> </v>
      </c>
      <c r="I21" s="492" t="str">
        <f>+MID('Input data'!$F$3,9,1)</f>
        <v>S</v>
      </c>
      <c r="J21" s="492" t="str">
        <f>+MID('Input data'!$F$3,10,1)</f>
        <v>l</v>
      </c>
      <c r="K21" s="492" t="str">
        <f>+MID('Input data'!$F$3,11,1)</f>
        <v>o</v>
      </c>
      <c r="L21" s="492" t="str">
        <f>+MID('Input data'!$F$3,12,1)</f>
        <v>v</v>
      </c>
      <c r="M21" s="492" t="str">
        <f>+MID('Input data'!$F$3,13,1)</f>
        <v>a</v>
      </c>
      <c r="N21" s="492" t="str">
        <f>+MID('Input data'!$F$3,14,1)</f>
        <v>k</v>
      </c>
      <c r="O21" s="492" t="str">
        <f>+MID('Input data'!$F$3,15,1)</f>
        <v>i</v>
      </c>
      <c r="P21" s="492" t="str">
        <f>+MID('Input data'!$F$3,16,1)</f>
        <v>a</v>
      </c>
      <c r="Q21" s="492" t="str">
        <f>+MID('Input data'!$F$3,17,1)</f>
        <v>,</v>
      </c>
      <c r="R21" s="492" t="str">
        <f>+MID('Input data'!$F$3,18,1)</f>
        <v xml:space="preserve"> </v>
      </c>
      <c r="S21" s="492" t="str">
        <f>+MID('Input data'!$F$3,19,1)</f>
        <v>s</v>
      </c>
      <c r="T21" s="492" t="str">
        <f>+MID('Input data'!$F$3,20,1)</f>
        <v>.</v>
      </c>
      <c r="U21" s="492" t="str">
        <f>+MID('Input data'!$F$3,21,1)</f>
        <v>r</v>
      </c>
      <c r="V21" s="492" t="str">
        <f>+MID('Input data'!$F$3,22,1)</f>
        <v>.</v>
      </c>
      <c r="W21" s="492" t="str">
        <f>+MID('Input data'!$F$3,23,1)</f>
        <v>o</v>
      </c>
      <c r="X21" s="492" t="str">
        <f>+MID('Input data'!$F$3,24,1)</f>
        <v>.</v>
      </c>
      <c r="Y21" s="492" t="str">
        <f>+MID('Input data'!$F$3,25,1)</f>
        <v/>
      </c>
      <c r="Z21" s="492" t="str">
        <f>+MID('Input data'!$F$3,26,1)</f>
        <v/>
      </c>
      <c r="AA21" s="492" t="str">
        <f>+MID('Input data'!$F$3,27,1)</f>
        <v/>
      </c>
      <c r="AB21" s="492" t="str">
        <f>+MID('Input data'!$F$3,28,1)</f>
        <v/>
      </c>
      <c r="AC21" s="492" t="str">
        <f>+MID('Input data'!$F$3,29,1)</f>
        <v/>
      </c>
      <c r="AD21" s="492" t="str">
        <f>+MID('Input data'!$F$3,30,1)</f>
        <v/>
      </c>
      <c r="AE21" s="492" t="str">
        <f>+MID('Input data'!$F$3,31,1)</f>
        <v/>
      </c>
      <c r="AF21" s="492" t="str">
        <f>+MID('Input data'!$F$3,32,1)</f>
        <v/>
      </c>
      <c r="AG21" s="492" t="str">
        <f>+MID('Input data'!$F$3,33,1)</f>
        <v/>
      </c>
      <c r="AH21" s="492" t="str">
        <f>+MID('Input data'!$E$3,34,1)</f>
        <v/>
      </c>
      <c r="AI21" s="492" t="str">
        <f>+MID('Input data'!$E$3,35,1)</f>
        <v/>
      </c>
      <c r="AJ21" s="492" t="str">
        <f>+MID('Input data'!$E$3,36,1)</f>
        <v/>
      </c>
      <c r="AK21" s="492" t="str">
        <f>+MID('Input data'!$E$3,37,1)</f>
        <v/>
      </c>
      <c r="AL21" s="522"/>
    </row>
    <row r="22" spans="1:39" ht="19.5" customHeight="1" x14ac:dyDescent="0.25">
      <c r="A22" s="500" t="str">
        <f>+MID('Input data'!$E$3,38,1)</f>
        <v/>
      </c>
      <c r="B22" s="492" t="str">
        <f>+MID('Input data'!$E$3,39,1)</f>
        <v/>
      </c>
      <c r="C22" s="492" t="str">
        <f>+MID('Input data'!$E$3,40,1)</f>
        <v/>
      </c>
      <c r="D22" s="492" t="str">
        <f>+MID('Input data'!$E$3,41,1)</f>
        <v/>
      </c>
      <c r="E22" s="492" t="str">
        <f>+MID('Input data'!$E$3,42,1)</f>
        <v/>
      </c>
      <c r="F22" s="492" t="str">
        <f>+MID('Input data'!$E$3,43,1)</f>
        <v/>
      </c>
      <c r="G22" s="492" t="str">
        <f>+MID('Input data'!$E$3,44,1)</f>
        <v/>
      </c>
      <c r="H22" s="492" t="str">
        <f>+MID('Input data'!$E$3,45,1)</f>
        <v/>
      </c>
      <c r="I22" s="492" t="str">
        <f>+MID('Input data'!$E$3,46,1)</f>
        <v/>
      </c>
      <c r="J22" s="492" t="str">
        <f>+MID('Input data'!$E$3,47,1)</f>
        <v/>
      </c>
      <c r="K22" s="492" t="str">
        <f>+MID('Input data'!$E$3,48,1)</f>
        <v/>
      </c>
      <c r="L22" s="492" t="str">
        <f>+MID('Input data'!$E$3,49,1)</f>
        <v/>
      </c>
      <c r="M22" s="492" t="str">
        <f>+MID('Input data'!$E$3,50,1)</f>
        <v/>
      </c>
      <c r="N22" s="492" t="str">
        <f>+MID('Input data'!$E$3,51,1)</f>
        <v/>
      </c>
      <c r="O22" s="492" t="str">
        <f>+MID('Input data'!$E$3,52,1)</f>
        <v/>
      </c>
      <c r="P22" s="492" t="str">
        <f>+MID('Input data'!$E$3,53,1)</f>
        <v/>
      </c>
      <c r="Q22" s="492" t="str">
        <f>+MID('Input data'!$E$3,54,1)</f>
        <v/>
      </c>
      <c r="R22" s="492" t="str">
        <f>+MID('Input data'!$E$3,55,1)</f>
        <v/>
      </c>
      <c r="S22" s="492" t="str">
        <f>+MID('Input data'!$E$3,56,1)</f>
        <v/>
      </c>
      <c r="T22" s="492" t="str">
        <f>+MID('Input data'!$E$3,57,1)</f>
        <v/>
      </c>
      <c r="U22" s="492" t="str">
        <f>+MID('Input data'!$E$3,58,1)</f>
        <v/>
      </c>
      <c r="V22" s="492" t="str">
        <f>+MID('Input data'!$E$3,59,1)</f>
        <v/>
      </c>
      <c r="W22" s="492" t="str">
        <f>+MID('Input data'!$E$3,60,1)</f>
        <v/>
      </c>
      <c r="X22" s="492" t="str">
        <f>+MID('Input data'!$E$3,61,1)</f>
        <v/>
      </c>
      <c r="Y22" s="492" t="str">
        <f>+MID('Input data'!$E$3,62,1)</f>
        <v/>
      </c>
      <c r="Z22" s="492" t="str">
        <f>+MID('Input data'!$E$3,63,1)</f>
        <v/>
      </c>
      <c r="AA22" s="492" t="str">
        <f>+MID('Input data'!$E$3,64,1)</f>
        <v/>
      </c>
      <c r="AB22" s="492" t="str">
        <f>+MID('Input data'!$E$3,65,1)</f>
        <v/>
      </c>
      <c r="AC22" s="492" t="str">
        <f>+MID('Input data'!$E$3,66,1)</f>
        <v/>
      </c>
      <c r="AD22" s="492" t="str">
        <f>+MID('Input data'!$E$3,67,1)</f>
        <v/>
      </c>
      <c r="AE22" s="492" t="str">
        <f>+MID('Input data'!$E$3,68,1)</f>
        <v/>
      </c>
      <c r="AF22" s="492" t="str">
        <f>+MID('Input data'!$E$3,69,1)</f>
        <v/>
      </c>
      <c r="AG22" s="492" t="str">
        <f>+MID('Input data'!$E$3,70,1)</f>
        <v/>
      </c>
      <c r="AH22" s="492" t="str">
        <f>+MID('Input data'!$E$3,71,1)</f>
        <v/>
      </c>
      <c r="AI22" s="492" t="str">
        <f>+MID('Input data'!$E$3,72,1)</f>
        <v/>
      </c>
      <c r="AJ22" s="492" t="str">
        <f>+MID('Input data'!$E$3,73,1)</f>
        <v/>
      </c>
      <c r="AK22" s="492" t="str">
        <f>+MID('Input data'!$E$3,74,1)</f>
        <v/>
      </c>
      <c r="AL22" s="878"/>
    </row>
    <row r="23" spans="1:39" s="501" customFormat="1" ht="14.25" customHeight="1" x14ac:dyDescent="0.25">
      <c r="A23" s="879" t="s">
        <v>1657</v>
      </c>
      <c r="B23" s="880"/>
      <c r="C23" s="880"/>
      <c r="D23" s="880"/>
      <c r="E23" s="880"/>
      <c r="F23" s="880"/>
      <c r="G23" s="880"/>
      <c r="H23" s="880"/>
      <c r="I23" s="880"/>
      <c r="J23" s="880"/>
      <c r="K23" s="880"/>
      <c r="L23" s="880"/>
      <c r="M23" s="880"/>
      <c r="N23" s="880"/>
      <c r="O23" s="880"/>
      <c r="P23" s="880"/>
      <c r="Q23" s="880"/>
      <c r="R23" s="880"/>
      <c r="S23" s="880"/>
      <c r="T23" s="880"/>
      <c r="U23" s="880"/>
      <c r="V23" s="880"/>
      <c r="W23" s="510"/>
      <c r="X23" s="510"/>
      <c r="Y23" s="510"/>
      <c r="Z23" s="510"/>
      <c r="AA23" s="510"/>
      <c r="AB23" s="510"/>
      <c r="AC23" s="510"/>
      <c r="AD23" s="510"/>
      <c r="AE23" s="510"/>
      <c r="AF23" s="510"/>
      <c r="AG23" s="510"/>
      <c r="AH23" s="510"/>
      <c r="AI23" s="510"/>
      <c r="AJ23" s="510"/>
      <c r="AK23" s="510"/>
      <c r="AL23" s="881"/>
    </row>
    <row r="24" spans="1:39" x14ac:dyDescent="0.25">
      <c r="A24" s="497" t="s">
        <v>1658</v>
      </c>
      <c r="B24" s="823"/>
      <c r="C24" s="823"/>
      <c r="D24" s="823"/>
      <c r="E24" s="823"/>
      <c r="F24" s="823"/>
      <c r="G24" s="823"/>
      <c r="H24" s="823"/>
      <c r="I24" s="823"/>
      <c r="J24" s="823"/>
      <c r="K24" s="823"/>
      <c r="L24" s="823"/>
      <c r="M24" s="823"/>
      <c r="N24" s="823"/>
      <c r="O24" s="823"/>
      <c r="P24" s="823"/>
      <c r="Q24" s="823"/>
      <c r="R24" s="823"/>
      <c r="S24" s="823"/>
      <c r="T24" s="823"/>
      <c r="U24" s="823"/>
      <c r="V24" s="823"/>
      <c r="W24" s="450"/>
      <c r="X24" s="450"/>
      <c r="Y24" s="450"/>
      <c r="Z24" s="450"/>
      <c r="AA24" s="450"/>
      <c r="AB24" s="823"/>
      <c r="AC24" s="450"/>
      <c r="AD24" s="453" t="s">
        <v>1659</v>
      </c>
      <c r="AE24" s="450"/>
      <c r="AF24" s="450"/>
      <c r="AG24" s="450"/>
      <c r="AH24" s="450"/>
      <c r="AI24" s="450"/>
      <c r="AJ24" s="450"/>
      <c r="AK24" s="450"/>
      <c r="AL24" s="882"/>
    </row>
    <row r="25" spans="1:39" ht="19.5" customHeight="1" x14ac:dyDescent="0.25">
      <c r="A25" s="500" t="str">
        <f>+LEFT('Input data'!$C$28,1)</f>
        <v>T</v>
      </c>
      <c r="B25" s="492" t="str">
        <f>+MID('Input data'!$C$28,2,1)</f>
        <v>e</v>
      </c>
      <c r="C25" s="492" t="str">
        <f>+MID('Input data'!$C$28,3,1)</f>
        <v>s</v>
      </c>
      <c r="D25" s="492" t="str">
        <f>+MID('Input data'!$C$28,4,1)</f>
        <v>l</v>
      </c>
      <c r="E25" s="492" t="str">
        <f>+MID('Input data'!$C$28,5,1)</f>
        <v>o</v>
      </c>
      <c r="F25" s="492" t="str">
        <f>+MID('Input data'!$C$28,6,1)</f>
        <v>v</v>
      </c>
      <c r="G25" s="492" t="str">
        <f>+MID('Input data'!$C$28,7,1)</f>
        <v>a</v>
      </c>
      <c r="H25" s="492" t="str">
        <f>+MID('Input data'!$C$28,8,1)</f>
        <v/>
      </c>
      <c r="I25" s="492" t="str">
        <f>+MID('Input data'!$C$28,9,1)</f>
        <v/>
      </c>
      <c r="J25" s="492" t="str">
        <f>+MID('Input data'!$C$28,10,1)</f>
        <v/>
      </c>
      <c r="K25" s="492" t="str">
        <f>+MID('Input data'!$C$28,11,1)</f>
        <v/>
      </c>
      <c r="L25" s="492" t="str">
        <f>+MID('Input data'!$C$28,12,1)</f>
        <v/>
      </c>
      <c r="M25" s="492" t="str">
        <f>+MID('Input data'!$C$28,13,1)</f>
        <v/>
      </c>
      <c r="N25" s="492" t="str">
        <f>+MID('Input data'!$C$28,14,1)</f>
        <v/>
      </c>
      <c r="O25" s="492" t="str">
        <f>+MID('Input data'!$C$28,15,1)</f>
        <v/>
      </c>
      <c r="P25" s="492" t="str">
        <f>+MID('Input data'!$C$28,16,1)</f>
        <v/>
      </c>
      <c r="Q25" s="492" t="str">
        <f>+MID('Input data'!$C$28,17,1)</f>
        <v/>
      </c>
      <c r="R25" s="492" t="str">
        <f>+MID('Input data'!$C$28,18,1)</f>
        <v/>
      </c>
      <c r="S25" s="492" t="str">
        <f>+MID('Input data'!$C$28,19,1)</f>
        <v/>
      </c>
      <c r="T25" s="492" t="str">
        <f>+MID('Input data'!$C$28,20,1)</f>
        <v/>
      </c>
      <c r="U25" s="492" t="str">
        <f>+MID('Input data'!$C$28,21,1)</f>
        <v/>
      </c>
      <c r="V25" s="492" t="str">
        <f>+MID('Input data'!$C$28,22,1)</f>
        <v/>
      </c>
      <c r="W25" s="492" t="str">
        <f>+MID('Input data'!$C$28,23,1)</f>
        <v/>
      </c>
      <c r="X25" s="492" t="str">
        <f>+MID('Input data'!$C$28,24,1)</f>
        <v/>
      </c>
      <c r="Y25" s="492" t="str">
        <f>+MID('Input data'!$C$28,25,1)</f>
        <v/>
      </c>
      <c r="Z25" s="492" t="str">
        <f>+MID('Input data'!$C$28,26,1)</f>
        <v/>
      </c>
      <c r="AA25" s="492" t="str">
        <f>+MID('Input data'!$C$28,27,1)</f>
        <v/>
      </c>
      <c r="AB25" s="492" t="str">
        <f>+MID('Input data'!$C$28,28,1)</f>
        <v/>
      </c>
      <c r="AC25" s="494"/>
      <c r="AD25" s="492" t="str">
        <f>+LEFT('Input data'!$C$30,1)</f>
        <v>2</v>
      </c>
      <c r="AE25" s="492" t="str">
        <f>+MID('Input data'!$C$30,2,1)</f>
        <v>0</v>
      </c>
      <c r="AF25" s="492" t="str">
        <f>+MID('Input data'!$C$30,3,1)</f>
        <v/>
      </c>
      <c r="AG25" s="492" t="str">
        <f>+MID('Input data'!$C$30,4,1)</f>
        <v/>
      </c>
      <c r="AH25" s="492" t="str">
        <f>+MID('Input data'!$C$30,5,1)</f>
        <v/>
      </c>
      <c r="AI25" s="492" t="str">
        <f>+MID('Input data'!$C$30,6,1)</f>
        <v/>
      </c>
      <c r="AJ25" s="492" t="str">
        <f>+MID('Input data'!$C$30,7,1)</f>
        <v/>
      </c>
      <c r="AK25" s="492" t="str">
        <f>+MID('Input data'!$C$30,8,1)</f>
        <v/>
      </c>
      <c r="AL25" s="878"/>
    </row>
    <row r="26" spans="1:39" x14ac:dyDescent="0.25">
      <c r="A26" s="497" t="s">
        <v>1660</v>
      </c>
      <c r="B26" s="823"/>
      <c r="C26" s="823"/>
      <c r="D26" s="823"/>
      <c r="E26" s="823"/>
      <c r="F26" s="823"/>
      <c r="G26" s="496" t="s">
        <v>1661</v>
      </c>
      <c r="H26" s="496"/>
      <c r="I26" s="496"/>
      <c r="J26" s="496"/>
      <c r="K26" s="496"/>
      <c r="L26" s="496"/>
      <c r="M26" s="496"/>
      <c r="N26" s="496"/>
      <c r="O26" s="496"/>
      <c r="P26" s="496"/>
      <c r="Q26" s="496"/>
      <c r="R26" s="496"/>
      <c r="S26" s="496"/>
      <c r="T26" s="496"/>
      <c r="U26" s="496"/>
      <c r="V26" s="496"/>
      <c r="W26" s="496"/>
      <c r="X26" s="496"/>
      <c r="Y26" s="496"/>
      <c r="Z26" s="496"/>
      <c r="AA26" s="496"/>
      <c r="AB26" s="496"/>
      <c r="AC26" s="496"/>
      <c r="AD26" s="496"/>
      <c r="AE26" s="450"/>
      <c r="AF26" s="450"/>
      <c r="AG26" s="450"/>
      <c r="AH26" s="450"/>
      <c r="AI26" s="450"/>
      <c r="AJ26" s="450"/>
      <c r="AK26" s="450"/>
      <c r="AL26" s="882"/>
    </row>
    <row r="27" spans="1:39" s="498" customFormat="1" ht="19.5" customHeight="1" x14ac:dyDescent="0.25">
      <c r="A27" s="500" t="str">
        <f>+LEFT('Input data'!$C$32,1)</f>
        <v>8</v>
      </c>
      <c r="B27" s="492" t="str">
        <f>+MID('Input data'!$C$32,2,1)</f>
        <v>2</v>
      </c>
      <c r="C27" s="492" t="str">
        <f>+MID('Input data'!$C$32,3,1)</f>
        <v>1</v>
      </c>
      <c r="D27" s="492" t="str">
        <f>+MID('Input data'!$C$32,4,1)</f>
        <v>0</v>
      </c>
      <c r="E27" s="492" t="str">
        <f>+MID('Input data'!$C$32,5,1)</f>
        <v>2</v>
      </c>
      <c r="F27" s="492"/>
      <c r="G27" s="492" t="str">
        <f>+LEFT('Input data'!$C$34,1)</f>
        <v>B</v>
      </c>
      <c r="H27" s="492" t="str">
        <f>+MID('Input data'!$C$34,2,1)</f>
        <v>r</v>
      </c>
      <c r="I27" s="492" t="str">
        <f>+MID('Input data'!$C$34,3,1)</f>
        <v>a</v>
      </c>
      <c r="J27" s="492" t="str">
        <f>+MID('Input data'!$C$34,4,1)</f>
        <v>t</v>
      </c>
      <c r="K27" s="492" t="str">
        <f>+MID('Input data'!$C$34,5,1)</f>
        <v>i</v>
      </c>
      <c r="L27" s="492" t="str">
        <f>+MID('Input data'!$C$34,6,1)</f>
        <v>s</v>
      </c>
      <c r="M27" s="492" t="str">
        <f>+MID('Input data'!$C$34,7,1)</f>
        <v>l</v>
      </c>
      <c r="N27" s="492" t="str">
        <f>+MID('Input data'!$C$34,8,1)</f>
        <v>a</v>
      </c>
      <c r="O27" s="492" t="str">
        <f>+MID('Input data'!$C$34,9,1)</f>
        <v>v</v>
      </c>
      <c r="P27" s="492" t="str">
        <f>+MID('Input data'!$C$34,10,1)</f>
        <v>a</v>
      </c>
      <c r="Q27" s="492" t="str">
        <f>+MID('Input data'!$C$34,11,1)</f>
        <v/>
      </c>
      <c r="R27" s="492" t="str">
        <f>+MID('Input data'!$C$34,12,1)</f>
        <v/>
      </c>
      <c r="S27" s="492" t="str">
        <f>+MID('Input data'!$C$34,13,1)</f>
        <v/>
      </c>
      <c r="T27" s="492" t="str">
        <f>+MID('Input data'!$C$34,14,1)</f>
        <v/>
      </c>
      <c r="U27" s="492" t="str">
        <f>+MID('Input data'!$C$34,15,1)</f>
        <v/>
      </c>
      <c r="V27" s="492" t="str">
        <f>+MID('Input data'!$C$34,16,1)</f>
        <v/>
      </c>
      <c r="W27" s="492" t="str">
        <f>+MID('Input data'!$C$34,17,1)</f>
        <v/>
      </c>
      <c r="X27" s="492" t="str">
        <f>+MID('Input data'!$C$34,18,1)</f>
        <v/>
      </c>
      <c r="Y27" s="492" t="str">
        <f>+MID('Input data'!$C$34,19,1)</f>
        <v/>
      </c>
      <c r="Z27" s="492" t="str">
        <f>+MID('Input data'!$C$34,20,1)</f>
        <v/>
      </c>
      <c r="AA27" s="492" t="str">
        <f>+MID('Input data'!$C$34,21,1)</f>
        <v/>
      </c>
      <c r="AB27" s="492" t="str">
        <f>+MID('Input data'!$C$34,22,1)</f>
        <v/>
      </c>
      <c r="AC27" s="492" t="str">
        <f>+MID('Input data'!$C$34,23,1)</f>
        <v/>
      </c>
      <c r="AD27" s="492" t="str">
        <f>+MID('Input data'!$C$34,24,1)</f>
        <v/>
      </c>
      <c r="AE27" s="492" t="str">
        <f>+MID('Input data'!$C$34,25,1)</f>
        <v/>
      </c>
      <c r="AF27" s="492" t="str">
        <f>+MID('Input data'!$C$34,26,1)</f>
        <v/>
      </c>
      <c r="AG27" s="492" t="str">
        <f>+MID('Input data'!$C$34,27,1)</f>
        <v/>
      </c>
      <c r="AH27" s="492" t="str">
        <f>+MID('Input data'!$C$34,28,1)</f>
        <v/>
      </c>
      <c r="AI27" s="492" t="str">
        <f>+MID('Input data'!$C$34,29,1)</f>
        <v/>
      </c>
      <c r="AJ27" s="492" t="str">
        <f>+MID('Input data'!$C$34,30,1)</f>
        <v/>
      </c>
      <c r="AK27" s="492" t="str">
        <f>+MID('Input data'!$C$34,31,1)</f>
        <v/>
      </c>
      <c r="AL27" s="878"/>
    </row>
    <row r="28" spans="1:39" x14ac:dyDescent="0.25">
      <c r="A28" s="497" t="s">
        <v>1662</v>
      </c>
      <c r="B28" s="823"/>
      <c r="C28" s="823"/>
      <c r="D28" s="823"/>
      <c r="E28" s="823"/>
      <c r="F28" s="823"/>
      <c r="G28" s="496"/>
      <c r="H28" s="496"/>
      <c r="I28" s="496"/>
      <c r="J28" s="496"/>
      <c r="K28" s="496"/>
      <c r="L28" s="496"/>
      <c r="M28" s="496"/>
      <c r="N28" s="823"/>
      <c r="O28" s="496" t="s">
        <v>1663</v>
      </c>
      <c r="P28" s="496"/>
      <c r="Q28" s="496"/>
      <c r="R28" s="496"/>
      <c r="S28" s="496"/>
      <c r="T28" s="496"/>
      <c r="U28" s="496"/>
      <c r="V28" s="496"/>
      <c r="W28" s="496"/>
      <c r="X28" s="496"/>
      <c r="Y28" s="496"/>
      <c r="Z28" s="496"/>
      <c r="AA28" s="496"/>
      <c r="AB28" s="496"/>
      <c r="AC28" s="496"/>
      <c r="AD28" s="496"/>
      <c r="AE28" s="450"/>
      <c r="AF28" s="450"/>
      <c r="AG28" s="450"/>
      <c r="AH28" s="450"/>
      <c r="AI28" s="450"/>
      <c r="AJ28" s="450"/>
      <c r="AK28" s="450"/>
      <c r="AL28" s="882"/>
    </row>
    <row r="29" spans="1:39" ht="19.5" customHeight="1" x14ac:dyDescent="0.25">
      <c r="A29" s="495">
        <v>0</v>
      </c>
      <c r="B29" s="492" t="str">
        <f>+LEFT('Input data'!$C$36,1)</f>
        <v>2</v>
      </c>
      <c r="C29" s="492" t="str">
        <f>+MID('Input data'!$C$36,2,1)</f>
        <v/>
      </c>
      <c r="D29" s="492" t="str">
        <f>+MID('Input data'!$C$36,3,1)</f>
        <v/>
      </c>
      <c r="E29" s="492" t="s">
        <v>1176</v>
      </c>
      <c r="F29" s="492" t="str">
        <f>+LEFT('Input data'!$C$38,1)</f>
        <v>4</v>
      </c>
      <c r="G29" s="492" t="str">
        <f>+MID('Input data'!$C$38,2,1)</f>
        <v>9</v>
      </c>
      <c r="H29" s="492" t="str">
        <f>+MID('Input data'!$C$38,3,1)</f>
        <v>3</v>
      </c>
      <c r="I29" s="492" t="str">
        <f>+MID('Input data'!$C$38,4,1)</f>
        <v>0</v>
      </c>
      <c r="J29" s="492" t="str">
        <f>+MID('Input data'!$C$38,5,1)</f>
        <v>0</v>
      </c>
      <c r="K29" s="492" t="str">
        <f>+MID('Input data'!$C$38,6,1)</f>
        <v>5</v>
      </c>
      <c r="L29" s="492" t="str">
        <f>+MID('Input data'!$C$38,7,1)</f>
        <v>1</v>
      </c>
      <c r="M29" s="492" t="str">
        <f>+MID('Input data'!$C$38,8,1)</f>
        <v>3</v>
      </c>
      <c r="N29" s="494"/>
      <c r="O29" s="493">
        <v>0</v>
      </c>
      <c r="P29" s="492" t="str">
        <f>+LEFT('Input data'!$C$36,1)</f>
        <v>2</v>
      </c>
      <c r="Q29" s="492" t="str">
        <f>+MID('Input data'!$C$36,2,1)</f>
        <v/>
      </c>
      <c r="R29" s="492" t="str">
        <f>+MID('Input data'!$C$36,3,1)</f>
        <v/>
      </c>
      <c r="S29" s="492" t="s">
        <v>1176</v>
      </c>
      <c r="T29" s="492" t="str">
        <f>+LEFT('Input data'!$C$40,1)</f>
        <v>4</v>
      </c>
      <c r="U29" s="492" t="str">
        <f>+MID('Input data'!$C$40,2,1)</f>
        <v>9</v>
      </c>
      <c r="V29" s="492" t="str">
        <f>+MID('Input data'!$C$40,3,1)</f>
        <v>3</v>
      </c>
      <c r="W29" s="492" t="str">
        <f>+MID('Input data'!$C$40,4,1)</f>
        <v>0</v>
      </c>
      <c r="X29" s="492" t="str">
        <f>+MID('Input data'!$C$40,5,1)</f>
        <v>0</v>
      </c>
      <c r="Y29" s="492" t="str">
        <f>+MID('Input data'!$C$40,6,1)</f>
        <v>5</v>
      </c>
      <c r="Z29" s="492" t="str">
        <f>+MID('Input data'!$C$40,7,1)</f>
        <v>5</v>
      </c>
      <c r="AA29" s="492" t="str">
        <f>+MID('Input data'!$C$40,8,1)</f>
        <v>0</v>
      </c>
      <c r="AB29" s="492"/>
      <c r="AC29" s="492"/>
      <c r="AD29" s="492"/>
      <c r="AE29" s="450"/>
      <c r="AF29" s="450"/>
      <c r="AG29" s="450"/>
      <c r="AH29" s="450"/>
      <c r="AI29" s="450"/>
      <c r="AJ29" s="450"/>
      <c r="AK29" s="450"/>
      <c r="AL29" s="878"/>
    </row>
    <row r="30" spans="1:39" s="442" customFormat="1" x14ac:dyDescent="0.25">
      <c r="A30" s="454" t="s">
        <v>1664</v>
      </c>
      <c r="B30" s="453"/>
      <c r="C30" s="453"/>
      <c r="D30" s="453"/>
      <c r="E30" s="453"/>
      <c r="F30" s="453"/>
      <c r="G30" s="453"/>
      <c r="H30" s="453"/>
      <c r="I30" s="453"/>
      <c r="J30" s="453"/>
      <c r="K30" s="453"/>
      <c r="L30" s="453"/>
      <c r="M30" s="453"/>
      <c r="N30" s="453"/>
      <c r="O30" s="453"/>
      <c r="P30" s="453"/>
      <c r="Q30" s="453"/>
      <c r="R30" s="453"/>
      <c r="S30" s="453"/>
      <c r="T30" s="453"/>
      <c r="U30" s="453"/>
      <c r="V30" s="453"/>
      <c r="W30" s="450"/>
      <c r="X30" s="450"/>
      <c r="Y30" s="450"/>
      <c r="Z30" s="450"/>
      <c r="AA30" s="450"/>
      <c r="AB30" s="450"/>
      <c r="AC30" s="450"/>
      <c r="AD30" s="450"/>
      <c r="AE30" s="450"/>
      <c r="AF30" s="450"/>
      <c r="AG30" s="450"/>
      <c r="AH30" s="450"/>
      <c r="AI30" s="450"/>
      <c r="AJ30" s="450"/>
      <c r="AK30" s="450"/>
      <c r="AL30" s="537"/>
    </row>
    <row r="31" spans="1:39" ht="19.5" customHeight="1" thickBot="1" x14ac:dyDescent="0.3">
      <c r="A31" s="491" t="str">
        <f>+LEFT('Input data'!$B$42,1)</f>
        <v/>
      </c>
      <c r="B31" s="490" t="str">
        <f>+MID('Input data'!$B$42,2,1)</f>
        <v/>
      </c>
      <c r="C31" s="490" t="str">
        <f>+MID('Input data'!$B$42,3,1)</f>
        <v/>
      </c>
      <c r="D31" s="490" t="str">
        <f>+MID('Input data'!$B$42,4,1)</f>
        <v/>
      </c>
      <c r="E31" s="490" t="str">
        <f>+MID('Input data'!$B$42,5,1)</f>
        <v/>
      </c>
      <c r="F31" s="490" t="str">
        <f>+MID('Input data'!$B$42,6,1)</f>
        <v/>
      </c>
      <c r="G31" s="490" t="str">
        <f>+MID('Input data'!$B$42,7,1)</f>
        <v/>
      </c>
      <c r="H31" s="490" t="str">
        <f>+MID('Input data'!$B$42,8,1)</f>
        <v/>
      </c>
      <c r="I31" s="490" t="str">
        <f>+MID('Input data'!$B$42,9,1)</f>
        <v/>
      </c>
      <c r="J31" s="490" t="str">
        <f>+MID('Input data'!$B$42,10,1)</f>
        <v/>
      </c>
      <c r="K31" s="490" t="str">
        <f>+MID('Input data'!$B$42,11,1)</f>
        <v/>
      </c>
      <c r="L31" s="490" t="str">
        <f>+MID('Input data'!$B$42,12,1)</f>
        <v/>
      </c>
      <c r="M31" s="490" t="str">
        <f>+MID('Input data'!$B$42,13,1)</f>
        <v/>
      </c>
      <c r="N31" s="490" t="str">
        <f>+MID('Input data'!$B$42,14,1)</f>
        <v/>
      </c>
      <c r="O31" s="490" t="str">
        <f>+MID('Input data'!$B$42,15,1)</f>
        <v/>
      </c>
      <c r="P31" s="490" t="str">
        <f>+MID('Input data'!$B$42,16,1)</f>
        <v/>
      </c>
      <c r="Q31" s="490" t="str">
        <f>+MID('Input data'!$B$42,17,1)</f>
        <v/>
      </c>
      <c r="R31" s="490" t="str">
        <f>+MID('Input data'!$B$42,18,1)</f>
        <v/>
      </c>
      <c r="S31" s="490" t="str">
        <f>+MID('Input data'!$B$42,19,1)</f>
        <v/>
      </c>
      <c r="T31" s="490" t="str">
        <f>+MID('Input data'!$B$42,20,1)</f>
        <v/>
      </c>
      <c r="U31" s="490" t="str">
        <f>+MID('Input data'!$B$42,21,1)</f>
        <v/>
      </c>
      <c r="V31" s="490" t="str">
        <f>+MID('Input data'!$B$42,22,1)</f>
        <v/>
      </c>
      <c r="W31" s="490" t="str">
        <f>+MID('Input data'!$B$42,23,1)</f>
        <v/>
      </c>
      <c r="X31" s="490" t="str">
        <f>+MID('Input data'!$B$42,24,1)</f>
        <v/>
      </c>
      <c r="Y31" s="490" t="str">
        <f>+MID('Input data'!$B$42,25,1)</f>
        <v/>
      </c>
      <c r="Z31" s="490" t="str">
        <f>+MID('Input data'!$B$42,26,1)</f>
        <v/>
      </c>
      <c r="AA31" s="490" t="str">
        <f>+MID('Input data'!$B$42,27,1)</f>
        <v/>
      </c>
      <c r="AB31" s="490" t="str">
        <f>+MID('Input data'!$B$42,28,1)</f>
        <v/>
      </c>
      <c r="AC31" s="490" t="str">
        <f>+MID('Input data'!$B$42,29,1)</f>
        <v/>
      </c>
      <c r="AD31" s="490" t="str">
        <f>+MID('Input data'!$B$42,30,1)</f>
        <v/>
      </c>
      <c r="AE31" s="490" t="str">
        <f>+MID('Input data'!$B$42,31,1)</f>
        <v/>
      </c>
      <c r="AF31" s="490" t="str">
        <f>+MID('Input data'!$B$42,32,1)</f>
        <v/>
      </c>
      <c r="AG31" s="490" t="str">
        <f>+MID('Input data'!$B$42,33,1)</f>
        <v/>
      </c>
      <c r="AH31" s="490" t="str">
        <f>+MID('Input data'!$B$42,34,1)</f>
        <v/>
      </c>
      <c r="AI31" s="490" t="str">
        <f>+MID('Input data'!$B$42,35,1)</f>
        <v/>
      </c>
      <c r="AJ31" s="490" t="str">
        <f>+MID('Input data'!$B$42,36,1)</f>
        <v/>
      </c>
      <c r="AK31" s="490" t="str">
        <f>+MID('Input data'!$B$42,37,1)</f>
        <v/>
      </c>
      <c r="AL31" s="883"/>
    </row>
    <row r="32" spans="1:39" s="442" customFormat="1" ht="4.5" customHeight="1" thickBot="1" x14ac:dyDescent="0.3">
      <c r="A32" s="453"/>
      <c r="B32" s="453"/>
      <c r="C32" s="453"/>
      <c r="D32" s="453"/>
      <c r="E32" s="453"/>
      <c r="F32" s="453"/>
      <c r="G32" s="453"/>
      <c r="H32" s="453"/>
      <c r="I32" s="453"/>
      <c r="J32" s="453"/>
      <c r="K32" s="453"/>
      <c r="L32" s="453"/>
      <c r="M32" s="453"/>
      <c r="N32" s="453"/>
      <c r="O32" s="453"/>
      <c r="P32" s="453"/>
      <c r="Q32" s="453"/>
      <c r="R32" s="453"/>
      <c r="S32" s="453"/>
      <c r="T32" s="453"/>
      <c r="U32" s="453"/>
      <c r="V32" s="453"/>
      <c r="W32" s="450"/>
      <c r="X32" s="450"/>
      <c r="Y32" s="450"/>
      <c r="Z32" s="450"/>
      <c r="AA32" s="450"/>
      <c r="AB32" s="450"/>
      <c r="AC32" s="450"/>
      <c r="AD32" s="450"/>
      <c r="AE32" s="450"/>
      <c r="AF32" s="450"/>
      <c r="AG32" s="450"/>
      <c r="AH32" s="450"/>
      <c r="AI32" s="450"/>
      <c r="AJ32" s="450"/>
      <c r="AK32" s="450"/>
      <c r="AL32" s="453"/>
      <c r="AM32" s="453"/>
    </row>
    <row r="33" spans="1:38" s="485" customFormat="1" ht="12.75" customHeight="1" x14ac:dyDescent="0.25">
      <c r="A33" s="488" t="s">
        <v>1665</v>
      </c>
      <c r="B33" s="487"/>
      <c r="C33" s="487"/>
      <c r="D33" s="487"/>
      <c r="E33" s="487"/>
      <c r="F33" s="487"/>
      <c r="G33" s="487"/>
      <c r="H33" s="487"/>
      <c r="I33" s="487"/>
      <c r="J33" s="487"/>
      <c r="K33" s="832"/>
      <c r="L33" s="832"/>
      <c r="M33" s="1465" t="s">
        <v>1666</v>
      </c>
      <c r="N33" s="1466"/>
      <c r="O33" s="1466"/>
      <c r="P33" s="1466"/>
      <c r="Q33" s="1466"/>
      <c r="R33" s="1466"/>
      <c r="S33" s="1466"/>
      <c r="T33" s="1466"/>
      <c r="U33" s="1471"/>
      <c r="V33" s="1465" t="s">
        <v>1667</v>
      </c>
      <c r="W33" s="1466"/>
      <c r="X33" s="1466"/>
      <c r="Y33" s="1466"/>
      <c r="Z33" s="1466"/>
      <c r="AA33" s="1466"/>
      <c r="AB33" s="1466"/>
      <c r="AC33" s="1471"/>
      <c r="AD33" s="1465" t="s">
        <v>1668</v>
      </c>
      <c r="AE33" s="1466"/>
      <c r="AF33" s="1466"/>
      <c r="AG33" s="1466"/>
      <c r="AH33" s="1466"/>
      <c r="AI33" s="1466"/>
      <c r="AJ33" s="1466"/>
      <c r="AK33" s="1466"/>
      <c r="AL33" s="1467"/>
    </row>
    <row r="34" spans="1:38" s="442" customFormat="1" ht="19.5" customHeight="1" x14ac:dyDescent="0.25">
      <c r="A34" s="471" t="str">
        <f>LEFT(TEXT('Input data'!F25,"dd.m.yyyy"),1)</f>
        <v>1</v>
      </c>
      <c r="B34" s="470" t="str">
        <f>MID(TEXT('Input data'!$F$25,"dd.mm.yyyy"),2,1)</f>
        <v>3</v>
      </c>
      <c r="C34" s="469" t="s">
        <v>1147</v>
      </c>
      <c r="D34" s="470" t="str">
        <f>MID(TEXT('Input data'!$F$25,"dd.mm.yyyy"),4,1)</f>
        <v>0</v>
      </c>
      <c r="E34" s="470" t="str">
        <f>MID(TEXT('Input data'!$F$25,"dd.mm.yyyy"),5,1)</f>
        <v>6</v>
      </c>
      <c r="F34" s="469" t="s">
        <v>1147</v>
      </c>
      <c r="G34" s="470" t="str">
        <f>MID(TEXT('Input data'!$F$25,"dd.mm.yyyy"),7,1)</f>
        <v>2</v>
      </c>
      <c r="H34" s="470" t="str">
        <f>MID(TEXT('Input data'!$F$25,"dd.mm.yyyy"),8,1)</f>
        <v>0</v>
      </c>
      <c r="I34" s="470" t="str">
        <f>MID(TEXT('Input data'!$F$25,"dd.mm.yyyy"),9,1)</f>
        <v>1</v>
      </c>
      <c r="J34" s="470" t="str">
        <f>MID(TEXT('Input data'!$F$25,"dd.mm.yyyy"),10,1)</f>
        <v>4</v>
      </c>
      <c r="K34" s="884"/>
      <c r="L34" s="477"/>
      <c r="M34" s="1468"/>
      <c r="N34" s="1469"/>
      <c r="O34" s="1469"/>
      <c r="P34" s="1469"/>
      <c r="Q34" s="1469"/>
      <c r="R34" s="1469"/>
      <c r="S34" s="1469"/>
      <c r="T34" s="1469"/>
      <c r="U34" s="1472"/>
      <c r="V34" s="1468"/>
      <c r="W34" s="1469"/>
      <c r="X34" s="1469"/>
      <c r="Y34" s="1469"/>
      <c r="Z34" s="1469"/>
      <c r="AA34" s="1469"/>
      <c r="AB34" s="1469"/>
      <c r="AC34" s="1472"/>
      <c r="AD34" s="1468"/>
      <c r="AE34" s="1469"/>
      <c r="AF34" s="1469"/>
      <c r="AG34" s="1469"/>
      <c r="AH34" s="1469"/>
      <c r="AI34" s="1469"/>
      <c r="AJ34" s="1469"/>
      <c r="AK34" s="1469"/>
      <c r="AL34" s="1470"/>
    </row>
    <row r="35" spans="1:38" s="442" customFormat="1" ht="12.75" customHeight="1" x14ac:dyDescent="0.25">
      <c r="A35" s="483"/>
      <c r="B35" s="482"/>
      <c r="C35" s="482"/>
      <c r="D35" s="482"/>
      <c r="E35" s="482"/>
      <c r="F35" s="482"/>
      <c r="G35" s="482"/>
      <c r="H35" s="482"/>
      <c r="I35" s="482"/>
      <c r="J35" s="482"/>
      <c r="K35" s="834"/>
      <c r="L35" s="834"/>
      <c r="M35" s="1468"/>
      <c r="N35" s="1469"/>
      <c r="O35" s="1469"/>
      <c r="P35" s="1469"/>
      <c r="Q35" s="1469"/>
      <c r="R35" s="1469"/>
      <c r="S35" s="1469"/>
      <c r="T35" s="1469"/>
      <c r="U35" s="1472"/>
      <c r="V35" s="1468"/>
      <c r="W35" s="1469"/>
      <c r="X35" s="1469"/>
      <c r="Y35" s="1469"/>
      <c r="Z35" s="1469"/>
      <c r="AA35" s="1469"/>
      <c r="AB35" s="1469"/>
      <c r="AC35" s="1472"/>
      <c r="AD35" s="1468"/>
      <c r="AE35" s="1469"/>
      <c r="AF35" s="1469"/>
      <c r="AG35" s="1469"/>
      <c r="AH35" s="1469"/>
      <c r="AI35" s="1469"/>
      <c r="AJ35" s="1469"/>
      <c r="AK35" s="1469"/>
      <c r="AL35" s="1470"/>
    </row>
    <row r="36" spans="1:38" s="442" customFormat="1" x14ac:dyDescent="0.2">
      <c r="A36" s="454" t="s">
        <v>1669</v>
      </c>
      <c r="B36" s="453"/>
      <c r="C36" s="453"/>
      <c r="D36" s="453"/>
      <c r="E36" s="453"/>
      <c r="F36" s="453"/>
      <c r="G36" s="453"/>
      <c r="H36" s="453"/>
      <c r="I36" s="453"/>
      <c r="J36" s="453"/>
      <c r="K36" s="477"/>
      <c r="L36" s="835"/>
      <c r="M36" s="477"/>
      <c r="N36" s="477"/>
      <c r="O36" s="477"/>
      <c r="P36" s="477"/>
      <c r="Q36" s="477"/>
      <c r="R36" s="477"/>
      <c r="S36" s="477"/>
      <c r="T36" s="453"/>
      <c r="U36" s="475"/>
      <c r="V36" s="476"/>
      <c r="W36" s="476"/>
      <c r="X36" s="476"/>
      <c r="Y36" s="476"/>
      <c r="Z36" s="476"/>
      <c r="AA36" s="450"/>
      <c r="AB36" s="476"/>
      <c r="AC36" s="475"/>
      <c r="AD36" s="474"/>
      <c r="AE36" s="473"/>
      <c r="AF36" s="473"/>
      <c r="AG36" s="473"/>
      <c r="AH36" s="473"/>
      <c r="AI36" s="473"/>
      <c r="AJ36" s="473"/>
      <c r="AK36" s="473"/>
      <c r="AL36" s="472"/>
    </row>
    <row r="37" spans="1:38" s="442" customFormat="1" ht="19.5" customHeight="1" x14ac:dyDescent="0.25">
      <c r="A37" s="471" t="str">
        <f>IF('Input data'!$F$27="","",LEFT(TEXT('Input data'!$F$27,"dd.mm.yyyy"),1))</f>
        <v/>
      </c>
      <c r="B37" s="470" t="str">
        <f>IF('Input data'!$F$27="","",MID(TEXT('Input data'!$F$27,"dd.mm.yyyy"),2,1))</f>
        <v/>
      </c>
      <c r="C37" s="469" t="s">
        <v>1147</v>
      </c>
      <c r="D37" s="470" t="str">
        <f>IF('Input data'!$F$27="","",MID(TEXT('Input data'!$F$27,"dd.mm.yyyy"),4,1))</f>
        <v/>
      </c>
      <c r="E37" s="470" t="str">
        <f>IF('Input data'!$F$27="","",MID(TEXT('Input data'!$F$27,"dd.mm.yyyy"),5,1))</f>
        <v/>
      </c>
      <c r="F37" s="469" t="s">
        <v>1147</v>
      </c>
      <c r="G37" s="468" t="str">
        <f>IF('Input data'!$F$27="","",MID(TEXT('Input data'!$F$27,"dd.mm.yyyy"),7,1))</f>
        <v/>
      </c>
      <c r="H37" s="468" t="str">
        <f>IF('Input data'!$F$27="","",MID(TEXT('Input data'!$F$27,"dd.mm.yyyy"),8,1))</f>
        <v/>
      </c>
      <c r="I37" s="468" t="str">
        <f>IF('Input data'!$F$27="","",MID(TEXT('Input data'!$F$27,"dd.mm.yyyy"),9,1))</f>
        <v/>
      </c>
      <c r="J37" s="468" t="str">
        <f>IF('Input data'!$F$27="","",MID(TEXT('Input data'!$F$27,"dd.mm.yyyy"),10,1))</f>
        <v/>
      </c>
      <c r="K37" s="836"/>
      <c r="L37" s="580"/>
      <c r="M37" s="453"/>
      <c r="N37" s="453"/>
      <c r="O37" s="453"/>
      <c r="P37" s="453"/>
      <c r="Q37" s="453"/>
      <c r="R37" s="453"/>
      <c r="S37" s="453"/>
      <c r="T37" s="453"/>
      <c r="U37" s="580"/>
      <c r="V37" s="453"/>
      <c r="W37" s="450"/>
      <c r="X37" s="450"/>
      <c r="Y37" s="450"/>
      <c r="Z37" s="450"/>
      <c r="AA37" s="450"/>
      <c r="AB37" s="450"/>
      <c r="AC37" s="579"/>
      <c r="AD37" s="450"/>
      <c r="AE37" s="450"/>
      <c r="AF37" s="450"/>
      <c r="AG37" s="450"/>
      <c r="AH37" s="450"/>
      <c r="AI37" s="450"/>
      <c r="AJ37" s="450"/>
      <c r="AK37" s="450"/>
      <c r="AL37" s="449"/>
    </row>
    <row r="38" spans="1:38" s="448" customFormat="1" thickBot="1" x14ac:dyDescent="0.3">
      <c r="A38" s="463"/>
      <c r="B38" s="462"/>
      <c r="C38" s="462"/>
      <c r="D38" s="462"/>
      <c r="E38" s="462"/>
      <c r="F38" s="462"/>
      <c r="G38" s="462"/>
      <c r="H38" s="462"/>
      <c r="I38" s="462"/>
      <c r="J38" s="462"/>
      <c r="K38" s="462"/>
      <c r="L38" s="461"/>
      <c r="M38" s="1025">
        <f>'Input data'!F31</f>
        <v>0</v>
      </c>
      <c r="N38" s="1026"/>
      <c r="O38" s="1026"/>
      <c r="P38" s="1026"/>
      <c r="Q38" s="1026"/>
      <c r="R38" s="1026"/>
      <c r="S38" s="1026"/>
      <c r="T38" s="1026"/>
      <c r="U38" s="1027"/>
      <c r="V38" s="1025">
        <f>'Input data'!F35</f>
        <v>0</v>
      </c>
      <c r="W38" s="1026"/>
      <c r="X38" s="1026"/>
      <c r="Y38" s="1026"/>
      <c r="Z38" s="1026"/>
      <c r="AA38" s="1026"/>
      <c r="AB38" s="1026"/>
      <c r="AC38" s="1027"/>
      <c r="AD38" s="1028">
        <f>'Input data'!F39</f>
        <v>0</v>
      </c>
      <c r="AE38" s="1026"/>
      <c r="AF38" s="1026"/>
      <c r="AG38" s="1026"/>
      <c r="AH38" s="1026"/>
      <c r="AI38" s="1026"/>
      <c r="AJ38" s="1026"/>
      <c r="AK38" s="1026"/>
      <c r="AL38" s="1029"/>
    </row>
    <row r="39" spans="1:38" s="448" customFormat="1" x14ac:dyDescent="0.2">
      <c r="A39" s="451"/>
      <c r="B39" s="451"/>
      <c r="C39" s="451"/>
      <c r="D39" s="451"/>
      <c r="E39" s="451"/>
      <c r="F39" s="451"/>
      <c r="G39" s="451"/>
      <c r="H39" s="451"/>
      <c r="I39" s="451"/>
      <c r="J39" s="451"/>
      <c r="K39" s="451"/>
      <c r="L39" s="451"/>
      <c r="M39" s="885"/>
      <c r="N39" s="885"/>
      <c r="O39" s="885"/>
      <c r="P39" s="885"/>
      <c r="Q39" s="885"/>
      <c r="R39" s="885"/>
      <c r="S39" s="885"/>
      <c r="T39" s="885"/>
      <c r="U39" s="885"/>
      <c r="V39" s="451"/>
      <c r="W39" s="450"/>
      <c r="X39" s="450"/>
      <c r="Y39" s="450"/>
      <c r="Z39" s="450"/>
      <c r="AA39" s="450"/>
      <c r="AB39" s="450"/>
      <c r="AC39" s="450"/>
      <c r="AD39" s="451"/>
      <c r="AE39" s="451"/>
      <c r="AF39" s="451"/>
      <c r="AG39" s="451"/>
      <c r="AH39" s="451"/>
      <c r="AI39" s="451"/>
      <c r="AJ39" s="451"/>
      <c r="AK39" s="451"/>
      <c r="AL39" s="451"/>
    </row>
    <row r="40" spans="1:38" s="448" customFormat="1" x14ac:dyDescent="0.2">
      <c r="A40" s="451"/>
      <c r="B40" s="451"/>
      <c r="C40" s="451"/>
      <c r="D40" s="451"/>
      <c r="E40" s="451"/>
      <c r="F40" s="451"/>
      <c r="G40" s="451"/>
      <c r="H40" s="451"/>
      <c r="I40" s="451"/>
      <c r="J40" s="451"/>
      <c r="K40" s="451"/>
      <c r="L40" s="451"/>
      <c r="M40" s="885"/>
      <c r="N40" s="885"/>
      <c r="O40" s="885"/>
      <c r="P40" s="885"/>
      <c r="Q40" s="885"/>
      <c r="R40" s="885"/>
      <c r="S40" s="885"/>
      <c r="T40" s="885"/>
      <c r="U40" s="885"/>
      <c r="V40" s="451"/>
      <c r="W40" s="450"/>
      <c r="X40" s="450"/>
      <c r="Y40" s="450"/>
      <c r="Z40" s="450"/>
      <c r="AA40" s="450"/>
      <c r="AB40" s="450"/>
      <c r="AC40" s="450"/>
      <c r="AD40" s="451"/>
      <c r="AE40" s="451"/>
      <c r="AF40" s="451"/>
      <c r="AG40" s="451"/>
      <c r="AH40" s="451"/>
      <c r="AI40" s="451"/>
      <c r="AJ40" s="451"/>
      <c r="AK40" s="451"/>
      <c r="AL40" s="451"/>
    </row>
    <row r="41" spans="1:38" s="448" customFormat="1" x14ac:dyDescent="0.25">
      <c r="W41" s="443"/>
      <c r="X41" s="443"/>
      <c r="Y41" s="443"/>
      <c r="Z41" s="443"/>
      <c r="AA41" s="443"/>
      <c r="AB41" s="443"/>
      <c r="AC41" s="443"/>
      <c r="AD41" s="443"/>
      <c r="AE41" s="443"/>
      <c r="AF41" s="443"/>
      <c r="AG41" s="443"/>
      <c r="AH41" s="443"/>
      <c r="AI41" s="443"/>
      <c r="AJ41" s="443"/>
      <c r="AK41" s="443"/>
    </row>
    <row r="42" spans="1:38" ht="13.5" thickBot="1" x14ac:dyDescent="0.3">
      <c r="W42" s="443"/>
      <c r="X42" s="443"/>
      <c r="Y42" s="443"/>
      <c r="Z42" s="443"/>
      <c r="AA42" s="443"/>
      <c r="AB42" s="443"/>
      <c r="AC42" s="443"/>
      <c r="AD42" s="443"/>
      <c r="AE42" s="443"/>
      <c r="AF42" s="443"/>
      <c r="AG42" s="443"/>
      <c r="AH42" s="443"/>
      <c r="AI42" s="443"/>
      <c r="AJ42" s="443"/>
      <c r="AK42" s="443"/>
    </row>
    <row r="43" spans="1:38" s="448" customFormat="1" x14ac:dyDescent="0.25">
      <c r="B43" s="460" t="s">
        <v>1670</v>
      </c>
      <c r="C43" s="459"/>
      <c r="D43" s="459"/>
      <c r="E43" s="459"/>
      <c r="F43" s="459"/>
      <c r="G43" s="459"/>
      <c r="H43" s="459"/>
      <c r="I43" s="459"/>
      <c r="J43" s="459"/>
      <c r="K43" s="459"/>
      <c r="L43" s="459"/>
      <c r="M43" s="459"/>
      <c r="N43" s="459"/>
      <c r="O43" s="459"/>
      <c r="P43" s="459"/>
      <c r="Q43" s="459"/>
      <c r="R43" s="459"/>
      <c r="S43" s="459"/>
      <c r="T43" s="459"/>
      <c r="U43" s="459"/>
      <c r="V43" s="459"/>
      <c r="W43" s="458"/>
      <c r="X43" s="458"/>
      <c r="Y43" s="458"/>
      <c r="Z43" s="458"/>
      <c r="AA43" s="458"/>
      <c r="AB43" s="458"/>
      <c r="AC43" s="458"/>
      <c r="AD43" s="458"/>
      <c r="AE43" s="458"/>
      <c r="AF43" s="458"/>
      <c r="AG43" s="458"/>
      <c r="AH43" s="458"/>
      <c r="AI43" s="458"/>
      <c r="AJ43" s="457"/>
      <c r="AK43" s="443"/>
    </row>
    <row r="44" spans="1:38" s="448" customFormat="1" x14ac:dyDescent="0.25">
      <c r="B44" s="452"/>
      <c r="C44" s="451"/>
      <c r="D44" s="451"/>
      <c r="E44" s="451"/>
      <c r="F44" s="451"/>
      <c r="G44" s="451"/>
      <c r="H44" s="451"/>
      <c r="I44" s="451"/>
      <c r="J44" s="451"/>
      <c r="K44" s="451"/>
      <c r="L44" s="451"/>
      <c r="M44" s="451"/>
      <c r="N44" s="451"/>
      <c r="O44" s="451"/>
      <c r="P44" s="451"/>
      <c r="Q44" s="451"/>
      <c r="R44" s="451"/>
      <c r="S44" s="451"/>
      <c r="T44" s="451"/>
      <c r="U44" s="451"/>
      <c r="V44" s="451"/>
      <c r="W44" s="450"/>
      <c r="X44" s="450"/>
      <c r="Y44" s="450"/>
      <c r="Z44" s="450"/>
      <c r="AA44" s="450"/>
      <c r="AB44" s="450"/>
      <c r="AC44" s="450"/>
      <c r="AD44" s="450"/>
      <c r="AE44" s="450"/>
      <c r="AF44" s="450"/>
      <c r="AG44" s="450"/>
      <c r="AH44" s="450"/>
      <c r="AI44" s="450"/>
      <c r="AJ44" s="449"/>
      <c r="AK44" s="443"/>
    </row>
    <row r="45" spans="1:38" x14ac:dyDescent="0.25">
      <c r="B45" s="456"/>
      <c r="C45" s="823"/>
      <c r="D45" s="823"/>
      <c r="E45" s="823"/>
      <c r="F45" s="823"/>
      <c r="G45" s="823"/>
      <c r="H45" s="823"/>
      <c r="I45" s="823"/>
      <c r="J45" s="823"/>
      <c r="K45" s="823"/>
      <c r="L45" s="823"/>
      <c r="M45" s="823"/>
      <c r="N45" s="823"/>
      <c r="O45" s="823"/>
      <c r="P45" s="823"/>
      <c r="Q45" s="823"/>
      <c r="R45" s="823"/>
      <c r="S45" s="823"/>
      <c r="T45" s="823"/>
      <c r="U45" s="823"/>
      <c r="V45" s="823"/>
      <c r="W45" s="450"/>
      <c r="X45" s="450"/>
      <c r="Y45" s="450"/>
      <c r="Z45" s="450"/>
      <c r="AA45" s="450"/>
      <c r="AB45" s="450"/>
      <c r="AC45" s="450"/>
      <c r="AD45" s="450"/>
      <c r="AE45" s="450"/>
      <c r="AF45" s="450"/>
      <c r="AG45" s="450"/>
      <c r="AH45" s="450"/>
      <c r="AI45" s="450"/>
      <c r="AJ45" s="449"/>
      <c r="AK45" s="443"/>
    </row>
    <row r="46" spans="1:38" s="448" customFormat="1" x14ac:dyDescent="0.25">
      <c r="B46" s="452"/>
      <c r="C46" s="451"/>
      <c r="D46" s="451"/>
      <c r="E46" s="451"/>
      <c r="F46" s="451"/>
      <c r="G46" s="451"/>
      <c r="H46" s="451"/>
      <c r="I46" s="451"/>
      <c r="J46" s="451"/>
      <c r="K46" s="451"/>
      <c r="L46" s="451"/>
      <c r="M46" s="451"/>
      <c r="N46" s="451"/>
      <c r="O46" s="451"/>
      <c r="P46" s="451"/>
      <c r="Q46" s="451"/>
      <c r="R46" s="451"/>
      <c r="S46" s="451"/>
      <c r="T46" s="451"/>
      <c r="U46" s="451"/>
      <c r="V46" s="451"/>
      <c r="W46" s="450"/>
      <c r="X46" s="450"/>
      <c r="Y46" s="450"/>
      <c r="Z46" s="450"/>
      <c r="AA46" s="450"/>
      <c r="AB46" s="450"/>
      <c r="AC46" s="450"/>
      <c r="AD46" s="450"/>
      <c r="AE46" s="450"/>
      <c r="AF46" s="450"/>
      <c r="AG46" s="450"/>
      <c r="AH46" s="450"/>
      <c r="AI46" s="450"/>
      <c r="AJ46" s="449"/>
      <c r="AK46" s="443"/>
    </row>
    <row r="47" spans="1:38" s="442" customFormat="1" x14ac:dyDescent="0.25">
      <c r="B47" s="454"/>
      <c r="C47" s="453"/>
      <c r="D47" s="453"/>
      <c r="E47" s="453"/>
      <c r="F47" s="453"/>
      <c r="G47" s="453"/>
      <c r="H47" s="453"/>
      <c r="I47" s="453"/>
      <c r="J47" s="453"/>
      <c r="K47" s="453"/>
      <c r="L47" s="453"/>
      <c r="M47" s="453"/>
      <c r="N47" s="453"/>
      <c r="O47" s="453"/>
      <c r="P47" s="453"/>
      <c r="Q47" s="453"/>
      <c r="R47" s="453"/>
      <c r="S47" s="453"/>
      <c r="T47" s="453"/>
      <c r="U47" s="453"/>
      <c r="V47" s="453"/>
      <c r="W47" s="450"/>
      <c r="X47" s="450"/>
      <c r="Y47" s="450"/>
      <c r="Z47" s="450"/>
      <c r="AA47" s="450"/>
      <c r="AB47" s="450"/>
      <c r="AC47" s="450"/>
      <c r="AD47" s="450"/>
      <c r="AE47" s="450"/>
      <c r="AF47" s="450"/>
      <c r="AG47" s="450"/>
      <c r="AH47" s="450"/>
      <c r="AI47" s="450"/>
      <c r="AJ47" s="449"/>
      <c r="AK47" s="443"/>
    </row>
    <row r="48" spans="1:38" s="442" customFormat="1" x14ac:dyDescent="0.25">
      <c r="B48" s="454"/>
      <c r="C48" s="453"/>
      <c r="D48" s="453"/>
      <c r="E48" s="453"/>
      <c r="F48" s="453"/>
      <c r="G48" s="453"/>
      <c r="H48" s="453"/>
      <c r="I48" s="453"/>
      <c r="J48" s="453"/>
      <c r="K48" s="453"/>
      <c r="L48" s="453"/>
      <c r="M48" s="453"/>
      <c r="N48" s="453"/>
      <c r="O48" s="453"/>
      <c r="P48" s="453"/>
      <c r="Q48" s="453"/>
      <c r="R48" s="453"/>
      <c r="S48" s="453"/>
      <c r="T48" s="453"/>
      <c r="U48" s="453"/>
      <c r="V48" s="453"/>
      <c r="W48" s="450"/>
      <c r="X48" s="450"/>
      <c r="Y48" s="450"/>
      <c r="Z48" s="450"/>
      <c r="AA48" s="450"/>
      <c r="AB48" s="450"/>
      <c r="AC48" s="450"/>
      <c r="AD48" s="450"/>
      <c r="AE48" s="450"/>
      <c r="AF48" s="450"/>
      <c r="AG48" s="450"/>
      <c r="AH48" s="450"/>
      <c r="AI48" s="450"/>
      <c r="AJ48" s="449"/>
      <c r="AK48" s="443"/>
    </row>
    <row r="49" spans="2:37" s="448" customFormat="1" x14ac:dyDescent="0.25">
      <c r="B49" s="452"/>
      <c r="C49" s="451"/>
      <c r="D49" s="451"/>
      <c r="E49" s="451"/>
      <c r="F49" s="451"/>
      <c r="G49" s="451"/>
      <c r="H49" s="451"/>
      <c r="I49" s="451"/>
      <c r="J49" s="451"/>
      <c r="K49" s="451"/>
      <c r="L49" s="451"/>
      <c r="M49" s="451"/>
      <c r="N49" s="451"/>
      <c r="O49" s="451"/>
      <c r="P49" s="451"/>
      <c r="Q49" s="451"/>
      <c r="R49" s="451"/>
      <c r="S49" s="451"/>
      <c r="T49" s="451"/>
      <c r="U49" s="451"/>
      <c r="V49" s="451"/>
      <c r="W49" s="450"/>
      <c r="X49" s="450"/>
      <c r="Y49" s="450"/>
      <c r="Z49" s="450"/>
      <c r="AA49" s="450"/>
      <c r="AB49" s="450"/>
      <c r="AC49" s="450"/>
      <c r="AD49" s="450"/>
      <c r="AE49" s="450"/>
      <c r="AF49" s="450"/>
      <c r="AG49" s="450"/>
      <c r="AH49" s="450"/>
      <c r="AI49" s="450"/>
      <c r="AJ49" s="449"/>
      <c r="AK49" s="443"/>
    </row>
    <row r="50" spans="2:37" s="448" customFormat="1" x14ac:dyDescent="0.25">
      <c r="B50" s="452"/>
      <c r="C50" s="451"/>
      <c r="D50" s="451"/>
      <c r="E50" s="451"/>
      <c r="F50" s="451"/>
      <c r="G50" s="451"/>
      <c r="H50" s="451"/>
      <c r="I50" s="451"/>
      <c r="J50" s="451"/>
      <c r="K50" s="451"/>
      <c r="L50" s="451"/>
      <c r="M50" s="451"/>
      <c r="N50" s="451"/>
      <c r="O50" s="451"/>
      <c r="P50" s="451"/>
      <c r="Q50" s="451"/>
      <c r="R50" s="451"/>
      <c r="S50" s="451"/>
      <c r="T50" s="451"/>
      <c r="U50" s="451"/>
      <c r="V50" s="451"/>
      <c r="W50" s="450"/>
      <c r="X50" s="450"/>
      <c r="Y50" s="450"/>
      <c r="Z50" s="450"/>
      <c r="AA50" s="450"/>
      <c r="AB50" s="450"/>
      <c r="AC50" s="450"/>
      <c r="AD50" s="450"/>
      <c r="AE50" s="450"/>
      <c r="AF50" s="450"/>
      <c r="AG50" s="450"/>
      <c r="AH50" s="450"/>
      <c r="AI50" s="450"/>
      <c r="AJ50" s="449"/>
      <c r="AK50" s="443"/>
    </row>
    <row r="51" spans="2:37" s="448" customFormat="1" x14ac:dyDescent="0.25">
      <c r="B51" s="452"/>
      <c r="C51" s="451"/>
      <c r="D51" s="451"/>
      <c r="E51" s="451"/>
      <c r="F51" s="451"/>
      <c r="G51" s="451"/>
      <c r="H51" s="451"/>
      <c r="I51" s="451"/>
      <c r="J51" s="451"/>
      <c r="K51" s="451"/>
      <c r="L51" s="451"/>
      <c r="M51" s="451"/>
      <c r="N51" s="451"/>
      <c r="O51" s="451"/>
      <c r="P51" s="451"/>
      <c r="Q51" s="451"/>
      <c r="R51" s="451"/>
      <c r="S51" s="451"/>
      <c r="T51" s="451"/>
      <c r="U51" s="451"/>
      <c r="V51" s="451"/>
      <c r="W51" s="450"/>
      <c r="X51" s="450"/>
      <c r="Y51" s="450"/>
      <c r="Z51" s="450"/>
      <c r="AA51" s="450"/>
      <c r="AB51" s="450"/>
      <c r="AC51" s="450"/>
      <c r="AD51" s="450"/>
      <c r="AE51" s="450"/>
      <c r="AF51" s="450"/>
      <c r="AG51" s="450"/>
      <c r="AH51" s="450"/>
      <c r="AI51" s="450"/>
      <c r="AJ51" s="449"/>
      <c r="AK51" s="443"/>
    </row>
    <row r="52" spans="2:37" s="448" customFormat="1" x14ac:dyDescent="0.25">
      <c r="B52" s="452"/>
      <c r="C52" s="451"/>
      <c r="D52" s="451"/>
      <c r="E52" s="451"/>
      <c r="F52" s="451"/>
      <c r="G52" s="451"/>
      <c r="H52" s="451"/>
      <c r="I52" s="451"/>
      <c r="J52" s="451"/>
      <c r="K52" s="451"/>
      <c r="L52" s="451"/>
      <c r="M52" s="451"/>
      <c r="N52" s="451"/>
      <c r="O52" s="451"/>
      <c r="P52" s="451"/>
      <c r="Q52" s="451"/>
      <c r="R52" s="451"/>
      <c r="S52" s="451"/>
      <c r="T52" s="451"/>
      <c r="U52" s="451"/>
      <c r="V52" s="451"/>
      <c r="W52" s="450"/>
      <c r="X52" s="450"/>
      <c r="Y52" s="450"/>
      <c r="Z52" s="450"/>
      <c r="AA52" s="450"/>
      <c r="AB52" s="450"/>
      <c r="AC52" s="450"/>
      <c r="AD52" s="450"/>
      <c r="AE52" s="450"/>
      <c r="AF52" s="450"/>
      <c r="AG52" s="450"/>
      <c r="AH52" s="450"/>
      <c r="AI52" s="450"/>
      <c r="AJ52" s="449"/>
      <c r="AK52" s="443"/>
    </row>
    <row r="53" spans="2:37" s="442" customFormat="1" ht="13.5" thickBot="1" x14ac:dyDescent="0.3">
      <c r="B53" s="447"/>
      <c r="C53" s="446"/>
      <c r="D53" s="446"/>
      <c r="E53" s="446"/>
      <c r="F53" s="446"/>
      <c r="G53" s="446" t="s">
        <v>1671</v>
      </c>
      <c r="H53" s="446"/>
      <c r="I53" s="446"/>
      <c r="J53" s="446"/>
      <c r="K53" s="446"/>
      <c r="L53" s="446"/>
      <c r="M53" s="446"/>
      <c r="N53" s="446"/>
      <c r="O53" s="446"/>
      <c r="P53" s="446"/>
      <c r="Q53" s="446"/>
      <c r="R53" s="446"/>
      <c r="S53" s="446"/>
      <c r="T53" s="446"/>
      <c r="U53" s="446" t="s">
        <v>1672</v>
      </c>
      <c r="V53" s="446"/>
      <c r="W53" s="445"/>
      <c r="X53" s="445"/>
      <c r="Y53" s="445"/>
      <c r="Z53" s="445"/>
      <c r="AA53" s="445"/>
      <c r="AB53" s="445"/>
      <c r="AC53" s="445"/>
      <c r="AD53" s="445"/>
      <c r="AE53" s="445"/>
      <c r="AF53" s="445"/>
      <c r="AG53" s="445"/>
      <c r="AH53" s="445"/>
      <c r="AI53" s="445"/>
      <c r="AJ53" s="444"/>
      <c r="AK53" s="443"/>
    </row>
  </sheetData>
  <mergeCells count="7">
    <mergeCell ref="V5:AA5"/>
    <mergeCell ref="M33:U35"/>
    <mergeCell ref="V33:AC35"/>
    <mergeCell ref="AD33:AL35"/>
    <mergeCell ref="M38:U38"/>
    <mergeCell ref="V38:AC38"/>
    <mergeCell ref="AD38:AL38"/>
  </mergeCells>
  <pageMargins left="0.39370078740157483" right="0.39370078740157483" top="0.35433070866141736" bottom="0.35433070866141736" header="0.23622047244094491" footer="0.23622047244094491"/>
  <pageSetup scale="95" orientation="portrait" r:id="rId1"/>
  <headerFooter alignWithMargins="0">
    <oddFooter>&amp;LMF SR č. 24219/3/2008/1&amp;RSeite 1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</sheetPr>
  <dimension ref="A1:J66"/>
  <sheetViews>
    <sheetView view="pageLayout" zoomScaleNormal="100" zoomScaleSheetLayoutView="100" workbookViewId="0">
      <selection activeCell="E2" sqref="E2"/>
    </sheetView>
  </sheetViews>
  <sheetFormatPr defaultRowHeight="10.5" x14ac:dyDescent="0.25"/>
  <cols>
    <col min="1" max="1" width="4.85546875" style="587" customWidth="1"/>
    <col min="2" max="2" width="36.85546875" style="587" customWidth="1"/>
    <col min="3" max="3" width="1.7109375" style="587" customWidth="1"/>
    <col min="4" max="4" width="7.5703125" style="587" customWidth="1"/>
    <col min="5" max="6" width="29.5703125" style="587" customWidth="1"/>
    <col min="7" max="16384" width="9.140625" style="587"/>
  </cols>
  <sheetData>
    <row r="1" spans="1:10" s="553" customFormat="1" ht="7.5" customHeight="1" x14ac:dyDescent="0.25">
      <c r="A1" s="552"/>
      <c r="H1" s="496"/>
      <c r="I1" s="496"/>
    </row>
    <row r="2" spans="1:10" s="553" customFormat="1" ht="17.25" customHeight="1" x14ac:dyDescent="0.25">
      <c r="A2" s="552"/>
      <c r="B2" s="578" t="s">
        <v>1802</v>
      </c>
      <c r="C2" s="861"/>
      <c r="D2" s="888" t="s">
        <v>1673</v>
      </c>
      <c r="E2" s="863" t="str">
        <f>"  "&amp;'BS-SK Cover sheet'!A11&amp;"  "&amp;'BS-SK Cover sheet'!B11&amp;"  "&amp;'BS-SK Cover sheet'!C11&amp;"  "&amp;'BS-SK Cover sheet'!D11&amp;"  "&amp;'BS-SK Cover sheet'!E11&amp;"  "&amp;'BS-SK Cover sheet'!F11&amp;"  "&amp;'BS-SK Cover sheet'!G11&amp;"  "&amp;'BS-SK Cover sheet'!H11&amp;"  "&amp;'BS-SK Cover sheet'!I11&amp;"  "&amp;'BS-SK Cover sheet'!J11</f>
        <v xml:space="preserve">  2  0  2  0  3  3  6  4  0  6</v>
      </c>
    </row>
    <row r="3" spans="1:10" s="553" customFormat="1" ht="7.5" customHeight="1" thickBot="1" x14ac:dyDescent="0.3">
      <c r="A3" s="552"/>
      <c r="B3" s="632"/>
      <c r="C3" s="496"/>
      <c r="D3" s="496"/>
    </row>
    <row r="4" spans="1:10" s="612" customFormat="1" ht="11.25" customHeight="1" x14ac:dyDescent="0.25">
      <c r="A4" s="631"/>
      <c r="B4" s="630"/>
      <c r="C4" s="629"/>
      <c r="D4" s="628"/>
      <c r="E4" s="1522" t="s">
        <v>1804</v>
      </c>
      <c r="F4" s="1546"/>
    </row>
    <row r="5" spans="1:10" s="612" customFormat="1" ht="33.75" customHeight="1" x14ac:dyDescent="0.25">
      <c r="A5" s="812" t="s">
        <v>1674</v>
      </c>
      <c r="B5" s="804" t="s">
        <v>1385</v>
      </c>
      <c r="C5" s="838"/>
      <c r="D5" s="813" t="s">
        <v>1676</v>
      </c>
      <c r="E5" s="805" t="s">
        <v>1805</v>
      </c>
      <c r="F5" s="622" t="s">
        <v>1806</v>
      </c>
    </row>
    <row r="6" spans="1:10" s="612" customFormat="1" ht="29.65" customHeight="1" x14ac:dyDescent="0.25">
      <c r="A6" s="816" t="s">
        <v>813</v>
      </c>
      <c r="B6" s="848" t="s">
        <v>1807</v>
      </c>
      <c r="C6" s="849"/>
      <c r="D6" s="806" t="s">
        <v>814</v>
      </c>
      <c r="E6" s="591">
        <f>'P&amp;L'!D9</f>
        <v>0</v>
      </c>
      <c r="F6" s="591">
        <f>'P&amp;L'!E9</f>
        <v>0</v>
      </c>
    </row>
    <row r="7" spans="1:10" s="612" customFormat="1" ht="29.65" customHeight="1" x14ac:dyDescent="0.25">
      <c r="A7" s="816" t="s">
        <v>815</v>
      </c>
      <c r="B7" s="848" t="s">
        <v>1808</v>
      </c>
      <c r="C7" s="849"/>
      <c r="D7" s="806" t="s">
        <v>817</v>
      </c>
      <c r="E7" s="803">
        <f>'P&amp;L'!D10</f>
        <v>0</v>
      </c>
      <c r="F7" s="591">
        <f>'P&amp;L'!E10</f>
        <v>0</v>
      </c>
    </row>
    <row r="8" spans="1:10" s="617" customFormat="1" ht="29.65" customHeight="1" x14ac:dyDescent="0.25">
      <c r="A8" s="810" t="s">
        <v>818</v>
      </c>
      <c r="B8" s="846" t="s">
        <v>1809</v>
      </c>
      <c r="C8" s="847"/>
      <c r="D8" s="811" t="s">
        <v>820</v>
      </c>
      <c r="E8" s="803">
        <f>'P&amp;L'!D11</f>
        <v>0</v>
      </c>
      <c r="F8" s="591">
        <f>'P&amp;L'!E11</f>
        <v>0</v>
      </c>
    </row>
    <row r="9" spans="1:10" s="617" customFormat="1" ht="29.65" customHeight="1" x14ac:dyDescent="0.25">
      <c r="A9" s="810" t="s">
        <v>821</v>
      </c>
      <c r="B9" s="846" t="s">
        <v>1810</v>
      </c>
      <c r="C9" s="847"/>
      <c r="D9" s="811" t="s">
        <v>823</v>
      </c>
      <c r="E9" s="803">
        <f>'P&amp;L'!D12</f>
        <v>8560306</v>
      </c>
      <c r="F9" s="591">
        <f>'P&amp;L'!E12</f>
        <v>7374403</v>
      </c>
    </row>
    <row r="10" spans="1:10" s="612" customFormat="1" ht="29.65" customHeight="1" x14ac:dyDescent="0.25">
      <c r="A10" s="807" t="s">
        <v>824</v>
      </c>
      <c r="B10" s="848" t="s">
        <v>1811</v>
      </c>
      <c r="C10" s="849"/>
      <c r="D10" s="806" t="s">
        <v>826</v>
      </c>
      <c r="E10" s="803">
        <f>'P&amp;L'!D13</f>
        <v>8560306</v>
      </c>
      <c r="F10" s="591">
        <f>'P&amp;L'!E13</f>
        <v>7374403</v>
      </c>
    </row>
    <row r="11" spans="1:10" s="612" customFormat="1" ht="31.5" customHeight="1" x14ac:dyDescent="0.25">
      <c r="A11" s="807" t="s">
        <v>532</v>
      </c>
      <c r="B11" s="848" t="s">
        <v>1812</v>
      </c>
      <c r="C11" s="849"/>
      <c r="D11" s="806" t="s">
        <v>828</v>
      </c>
      <c r="E11" s="803">
        <f>'P&amp;L'!D14</f>
        <v>0</v>
      </c>
      <c r="F11" s="591">
        <f>'P&amp;L'!E14</f>
        <v>0</v>
      </c>
    </row>
    <row r="12" spans="1:10" s="612" customFormat="1" ht="29.65" customHeight="1" x14ac:dyDescent="0.25">
      <c r="A12" s="807" t="s">
        <v>535</v>
      </c>
      <c r="B12" s="848" t="s">
        <v>1813</v>
      </c>
      <c r="C12" s="849"/>
      <c r="D12" s="806" t="s">
        <v>830</v>
      </c>
      <c r="E12" s="803">
        <f>'P&amp;L'!D15</f>
        <v>0</v>
      </c>
      <c r="F12" s="591">
        <f>'P&amp;L'!E15</f>
        <v>0</v>
      </c>
    </row>
    <row r="13" spans="1:10" s="617" customFormat="1" ht="29.65" customHeight="1" x14ac:dyDescent="0.25">
      <c r="A13" s="810" t="s">
        <v>594</v>
      </c>
      <c r="B13" s="846" t="s">
        <v>1814</v>
      </c>
      <c r="C13" s="847"/>
      <c r="D13" s="811" t="s">
        <v>832</v>
      </c>
      <c r="E13" s="803">
        <f>'P&amp;L'!D16</f>
        <v>8246068</v>
      </c>
      <c r="F13" s="591">
        <f>'P&amp;L'!E16</f>
        <v>7117044</v>
      </c>
      <c r="J13" s="612"/>
    </row>
    <row r="14" spans="1:10" s="612" customFormat="1" ht="29.65" customHeight="1" x14ac:dyDescent="0.25">
      <c r="A14" s="816" t="s">
        <v>833</v>
      </c>
      <c r="B14" s="848" t="s">
        <v>1815</v>
      </c>
      <c r="C14" s="849"/>
      <c r="D14" s="806" t="s">
        <v>835</v>
      </c>
      <c r="E14" s="803">
        <f>'P&amp;L'!D17</f>
        <v>7367</v>
      </c>
      <c r="F14" s="591">
        <f>'P&amp;L'!E17</f>
        <v>8207</v>
      </c>
    </row>
    <row r="15" spans="1:10" s="612" customFormat="1" ht="29.65" customHeight="1" x14ac:dyDescent="0.25">
      <c r="A15" s="816" t="s">
        <v>836</v>
      </c>
      <c r="B15" s="848" t="s">
        <v>1816</v>
      </c>
      <c r="C15" s="849"/>
      <c r="D15" s="806" t="s">
        <v>838</v>
      </c>
      <c r="E15" s="803">
        <f>'P&amp;L'!D18</f>
        <v>8238701</v>
      </c>
      <c r="F15" s="591">
        <f>'P&amp;L'!E18</f>
        <v>7108837</v>
      </c>
    </row>
    <row r="16" spans="1:10" s="617" customFormat="1" ht="29.65" customHeight="1" x14ac:dyDescent="0.25">
      <c r="A16" s="810" t="s">
        <v>818</v>
      </c>
      <c r="B16" s="846" t="s">
        <v>1817</v>
      </c>
      <c r="C16" s="847"/>
      <c r="D16" s="811" t="s">
        <v>840</v>
      </c>
      <c r="E16" s="803">
        <f>'P&amp;L'!D19</f>
        <v>314238</v>
      </c>
      <c r="F16" s="591">
        <f>'P&amp;L'!E19</f>
        <v>257359</v>
      </c>
    </row>
    <row r="17" spans="1:6" s="612" customFormat="1" ht="29.65" customHeight="1" x14ac:dyDescent="0.25">
      <c r="A17" s="816" t="s">
        <v>663</v>
      </c>
      <c r="B17" s="848" t="s">
        <v>1818</v>
      </c>
      <c r="C17" s="849"/>
      <c r="D17" s="806" t="s">
        <v>842</v>
      </c>
      <c r="E17" s="803">
        <f>'P&amp;L'!D20</f>
        <v>201246</v>
      </c>
      <c r="F17" s="591">
        <f>'P&amp;L'!E20</f>
        <v>168325</v>
      </c>
    </row>
    <row r="18" spans="1:6" s="612" customFormat="1" ht="29.65" customHeight="1" x14ac:dyDescent="0.25">
      <c r="A18" s="816" t="s">
        <v>666</v>
      </c>
      <c r="B18" s="848" t="s">
        <v>1819</v>
      </c>
      <c r="C18" s="849"/>
      <c r="D18" s="806" t="s">
        <v>844</v>
      </c>
      <c r="E18" s="803">
        <f>'P&amp;L'!D21</f>
        <v>149026</v>
      </c>
      <c r="F18" s="591">
        <f>'P&amp;L'!E21</f>
        <v>131857</v>
      </c>
    </row>
    <row r="19" spans="1:6" s="612" customFormat="1" ht="29.65" customHeight="1" x14ac:dyDescent="0.25">
      <c r="A19" s="816" t="s">
        <v>836</v>
      </c>
      <c r="B19" s="848" t="s">
        <v>1820</v>
      </c>
      <c r="C19" s="849"/>
      <c r="D19" s="806" t="s">
        <v>846</v>
      </c>
      <c r="E19" s="803">
        <f>'P&amp;L'!D22</f>
        <v>0</v>
      </c>
      <c r="F19" s="591">
        <f>'P&amp;L'!E22</f>
        <v>0</v>
      </c>
    </row>
    <row r="20" spans="1:6" s="612" customFormat="1" ht="29.65" customHeight="1" x14ac:dyDescent="0.25">
      <c r="A20" s="816" t="s">
        <v>847</v>
      </c>
      <c r="B20" s="848" t="s">
        <v>1821</v>
      </c>
      <c r="C20" s="849"/>
      <c r="D20" s="806" t="s">
        <v>849</v>
      </c>
      <c r="E20" s="803">
        <f>'P&amp;L'!D23</f>
        <v>49605</v>
      </c>
      <c r="F20" s="591">
        <f>'P&amp;L'!E23</f>
        <v>34441</v>
      </c>
    </row>
    <row r="21" spans="1:6" s="612" customFormat="1" ht="29.65" customHeight="1" x14ac:dyDescent="0.25">
      <c r="A21" s="816" t="s">
        <v>850</v>
      </c>
      <c r="B21" s="848" t="s">
        <v>1822</v>
      </c>
      <c r="C21" s="849"/>
      <c r="D21" s="806" t="s">
        <v>852</v>
      </c>
      <c r="E21" s="803">
        <f>'P&amp;L'!D24</f>
        <v>2615</v>
      </c>
      <c r="F21" s="591">
        <f>'P&amp;L'!E24</f>
        <v>2027</v>
      </c>
    </row>
    <row r="22" spans="1:6" s="612" customFormat="1" ht="29.65" customHeight="1" x14ac:dyDescent="0.25">
      <c r="A22" s="816" t="s">
        <v>853</v>
      </c>
      <c r="B22" s="848" t="s">
        <v>1823</v>
      </c>
      <c r="C22" s="849"/>
      <c r="D22" s="806" t="s">
        <v>855</v>
      </c>
      <c r="E22" s="803">
        <f>'P&amp;L'!D25</f>
        <v>255</v>
      </c>
      <c r="F22" s="591">
        <f>'P&amp;L'!E25</f>
        <v>355</v>
      </c>
    </row>
    <row r="23" spans="1:6" s="612" customFormat="1" ht="29.65" customHeight="1" x14ac:dyDescent="0.25">
      <c r="A23" s="816" t="s">
        <v>856</v>
      </c>
      <c r="B23" s="848" t="s">
        <v>1824</v>
      </c>
      <c r="C23" s="849"/>
      <c r="D23" s="806" t="s">
        <v>858</v>
      </c>
      <c r="E23" s="803">
        <f>'P&amp;L'!D26</f>
        <v>7770</v>
      </c>
      <c r="F23" s="591">
        <f>'P&amp;L'!E26</f>
        <v>7770</v>
      </c>
    </row>
    <row r="24" spans="1:6" s="612" customFormat="1" ht="29.65" customHeight="1" x14ac:dyDescent="0.25">
      <c r="A24" s="816" t="s">
        <v>859</v>
      </c>
      <c r="B24" s="848" t="s">
        <v>1825</v>
      </c>
      <c r="C24" s="849"/>
      <c r="D24" s="806" t="s">
        <v>861</v>
      </c>
      <c r="E24" s="803">
        <f>'P&amp;L'!D27</f>
        <v>0</v>
      </c>
      <c r="F24" s="591">
        <f>'P&amp;L'!E27</f>
        <v>0</v>
      </c>
    </row>
    <row r="25" spans="1:6" s="612" customFormat="1" ht="29.65" customHeight="1" x14ac:dyDescent="0.25">
      <c r="A25" s="816" t="s">
        <v>862</v>
      </c>
      <c r="B25" s="848" t="s">
        <v>1826</v>
      </c>
      <c r="C25" s="849"/>
      <c r="D25" s="806" t="s">
        <v>864</v>
      </c>
      <c r="E25" s="803">
        <f>'P&amp;L'!D28</f>
        <v>0</v>
      </c>
      <c r="F25" s="591">
        <f>'P&amp;L'!E28</f>
        <v>0</v>
      </c>
    </row>
    <row r="26" spans="1:6" s="612" customFormat="1" ht="29.65" customHeight="1" x14ac:dyDescent="0.25">
      <c r="A26" s="816" t="s">
        <v>865</v>
      </c>
      <c r="B26" s="848" t="s">
        <v>1827</v>
      </c>
      <c r="C26" s="620"/>
      <c r="D26" s="806" t="s">
        <v>867</v>
      </c>
      <c r="E26" s="803">
        <f>'P&amp;L'!D29</f>
        <v>-47976</v>
      </c>
      <c r="F26" s="591">
        <f>'P&amp;L'!E29</f>
        <v>49692</v>
      </c>
    </row>
    <row r="27" spans="1:6" s="612" customFormat="1" ht="29.65" customHeight="1" x14ac:dyDescent="0.25">
      <c r="A27" s="816" t="s">
        <v>868</v>
      </c>
      <c r="B27" s="848" t="s">
        <v>1828</v>
      </c>
      <c r="C27" s="849"/>
      <c r="D27" s="806" t="s">
        <v>870</v>
      </c>
      <c r="E27" s="803">
        <f>'P&amp;L'!D30</f>
        <v>69681</v>
      </c>
      <c r="F27" s="591">
        <f>'P&amp;L'!E30</f>
        <v>100</v>
      </c>
    </row>
    <row r="28" spans="1:6" s="612" customFormat="1" ht="29.65" customHeight="1" x14ac:dyDescent="0.25">
      <c r="A28" s="816" t="s">
        <v>871</v>
      </c>
      <c r="B28" s="621" t="s">
        <v>1829</v>
      </c>
      <c r="C28" s="620"/>
      <c r="D28" s="806" t="s">
        <v>873</v>
      </c>
      <c r="E28" s="803">
        <f>'P&amp;L'!D31</f>
        <v>651</v>
      </c>
      <c r="F28" s="591">
        <f>'P&amp;L'!E31</f>
        <v>300</v>
      </c>
    </row>
    <row r="29" spans="1:6" s="612" customFormat="1" ht="29.65" customHeight="1" x14ac:dyDescent="0.25">
      <c r="A29" s="816" t="s">
        <v>874</v>
      </c>
      <c r="B29" s="848" t="s">
        <v>1830</v>
      </c>
      <c r="C29" s="849"/>
      <c r="D29" s="806" t="s">
        <v>876</v>
      </c>
      <c r="E29" s="803">
        <f>'P&amp;L'!D32</f>
        <v>0</v>
      </c>
      <c r="F29" s="591">
        <f>'P&amp;L'!E32</f>
        <v>0</v>
      </c>
    </row>
    <row r="30" spans="1:6" s="612" customFormat="1" ht="29.65" customHeight="1" x14ac:dyDescent="0.25">
      <c r="A30" s="816" t="s">
        <v>877</v>
      </c>
      <c r="B30" s="848" t="s">
        <v>1831</v>
      </c>
      <c r="C30" s="849"/>
      <c r="D30" s="806" t="s">
        <v>879</v>
      </c>
      <c r="E30" s="803">
        <f>'P&amp;L'!D33</f>
        <v>0</v>
      </c>
      <c r="F30" s="591">
        <f>'P&amp;L'!E33</f>
        <v>0</v>
      </c>
    </row>
    <row r="31" spans="1:6" s="617" customFormat="1" ht="33.75" customHeight="1" x14ac:dyDescent="0.25">
      <c r="A31" s="810" t="s">
        <v>880</v>
      </c>
      <c r="B31" s="619" t="s">
        <v>1832</v>
      </c>
      <c r="C31" s="618"/>
      <c r="D31" s="811" t="s">
        <v>882</v>
      </c>
      <c r="E31" s="803">
        <f>'P&amp;L'!D34</f>
        <v>221973</v>
      </c>
      <c r="F31" s="591">
        <f>'P&amp;L'!E34</f>
        <v>31017</v>
      </c>
    </row>
    <row r="32" spans="1:6" s="612" customFormat="1" ht="29.65" customHeight="1" thickBot="1" x14ac:dyDescent="0.3">
      <c r="A32" s="616" t="s">
        <v>883</v>
      </c>
      <c r="B32" s="850" t="s">
        <v>1833</v>
      </c>
      <c r="C32" s="851"/>
      <c r="D32" s="613" t="s">
        <v>885</v>
      </c>
      <c r="E32" s="864">
        <f>'P&amp;L'!D35</f>
        <v>0</v>
      </c>
      <c r="F32" s="865">
        <f>'P&amp;L'!E35</f>
        <v>0</v>
      </c>
    </row>
    <row r="33" spans="1:6" ht="24.75" customHeight="1" x14ac:dyDescent="0.25">
      <c r="A33" s="845" t="s">
        <v>886</v>
      </c>
      <c r="B33" s="603" t="s">
        <v>1834</v>
      </c>
      <c r="C33" s="602"/>
      <c r="D33" s="809" t="s">
        <v>888</v>
      </c>
      <c r="E33" s="843">
        <f>'P&amp;L'!D36</f>
        <v>0</v>
      </c>
      <c r="F33" s="866">
        <f>'P&amp;L'!E36</f>
        <v>0</v>
      </c>
    </row>
    <row r="34" spans="1:6" ht="30.75" customHeight="1" x14ac:dyDescent="0.25">
      <c r="A34" s="845" t="s">
        <v>889</v>
      </c>
      <c r="B34" s="611" t="s">
        <v>1835</v>
      </c>
      <c r="C34" s="610"/>
      <c r="D34" s="809" t="s">
        <v>891</v>
      </c>
      <c r="E34" s="843">
        <f>'P&amp;L'!D37</f>
        <v>0</v>
      </c>
      <c r="F34" s="866">
        <f>'P&amp;L'!E37</f>
        <v>0</v>
      </c>
    </row>
    <row r="35" spans="1:6" ht="36.75" customHeight="1" x14ac:dyDescent="0.25">
      <c r="A35" s="816" t="s">
        <v>892</v>
      </c>
      <c r="B35" s="848" t="s">
        <v>1836</v>
      </c>
      <c r="C35" s="849"/>
      <c r="D35" s="806" t="s">
        <v>894</v>
      </c>
      <c r="E35" s="803">
        <f>'P&amp;L'!D38</f>
        <v>0</v>
      </c>
      <c r="F35" s="591">
        <f>'P&amp;L'!E38</f>
        <v>0</v>
      </c>
    </row>
    <row r="36" spans="1:6" ht="30.75" customHeight="1" x14ac:dyDescent="0.25">
      <c r="A36" s="816" t="s">
        <v>895</v>
      </c>
      <c r="B36" s="848" t="s">
        <v>1837</v>
      </c>
      <c r="C36" s="849"/>
      <c r="D36" s="806" t="s">
        <v>897</v>
      </c>
      <c r="E36" s="803">
        <f>'P&amp;L'!D39</f>
        <v>0</v>
      </c>
      <c r="F36" s="591">
        <f>'P&amp;L'!E39</f>
        <v>0</v>
      </c>
    </row>
    <row r="37" spans="1:6" ht="30" customHeight="1" x14ac:dyDescent="0.25">
      <c r="A37" s="816" t="s">
        <v>898</v>
      </c>
      <c r="B37" s="848" t="s">
        <v>1838</v>
      </c>
      <c r="C37" s="849"/>
      <c r="D37" s="806" t="s">
        <v>900</v>
      </c>
      <c r="E37" s="803">
        <f>'P&amp;L'!D40</f>
        <v>0</v>
      </c>
      <c r="F37" s="591">
        <f>'P&amp;L'!E40</f>
        <v>0</v>
      </c>
    </row>
    <row r="38" spans="1:6" ht="26.25" customHeight="1" x14ac:dyDescent="0.25">
      <c r="A38" s="816" t="s">
        <v>901</v>
      </c>
      <c r="B38" s="848" t="s">
        <v>1839</v>
      </c>
      <c r="C38" s="849"/>
      <c r="D38" s="806" t="s">
        <v>903</v>
      </c>
      <c r="E38" s="803">
        <f>'P&amp;L'!D41</f>
        <v>0</v>
      </c>
      <c r="F38" s="591">
        <f>'P&amp;L'!E41</f>
        <v>0</v>
      </c>
    </row>
    <row r="39" spans="1:6" ht="22.5" customHeight="1" x14ac:dyDescent="0.25">
      <c r="A39" s="816" t="s">
        <v>904</v>
      </c>
      <c r="B39" s="848" t="s">
        <v>1840</v>
      </c>
      <c r="C39" s="849"/>
      <c r="D39" s="806" t="s">
        <v>906</v>
      </c>
      <c r="E39" s="803">
        <f>'P&amp;L'!D42</f>
        <v>0</v>
      </c>
      <c r="F39" s="591">
        <f>'P&amp;L'!E42</f>
        <v>0</v>
      </c>
    </row>
    <row r="40" spans="1:6" ht="30.75" customHeight="1" x14ac:dyDescent="0.25">
      <c r="A40" s="816" t="s">
        <v>907</v>
      </c>
      <c r="B40" s="848" t="s">
        <v>1841</v>
      </c>
      <c r="C40" s="849"/>
      <c r="D40" s="806" t="s">
        <v>909</v>
      </c>
      <c r="E40" s="803">
        <f>'P&amp;L'!D43</f>
        <v>0</v>
      </c>
      <c r="F40" s="591">
        <f>'P&amp;L'!E43</f>
        <v>0</v>
      </c>
    </row>
    <row r="41" spans="1:6" ht="33.75" customHeight="1" x14ac:dyDescent="0.25">
      <c r="A41" s="816" t="s">
        <v>910</v>
      </c>
      <c r="B41" s="848" t="s">
        <v>1842</v>
      </c>
      <c r="C41" s="849"/>
      <c r="D41" s="806" t="s">
        <v>912</v>
      </c>
      <c r="E41" s="803">
        <f>'P&amp;L'!D44</f>
        <v>0</v>
      </c>
      <c r="F41" s="591">
        <f>'P&amp;L'!E44</f>
        <v>0</v>
      </c>
    </row>
    <row r="42" spans="1:6" ht="32.25" customHeight="1" x14ac:dyDescent="0.25">
      <c r="A42" s="816" t="s">
        <v>913</v>
      </c>
      <c r="B42" s="848" t="s">
        <v>1843</v>
      </c>
      <c r="C42" s="849"/>
      <c r="D42" s="806" t="s">
        <v>915</v>
      </c>
      <c r="E42" s="803">
        <f>'P&amp;L'!D45</f>
        <v>0</v>
      </c>
      <c r="F42" s="591">
        <f>'P&amp;L'!E45</f>
        <v>0</v>
      </c>
    </row>
    <row r="43" spans="1:6" ht="24" customHeight="1" x14ac:dyDescent="0.25">
      <c r="A43" s="816" t="s">
        <v>916</v>
      </c>
      <c r="B43" s="848" t="s">
        <v>1844</v>
      </c>
      <c r="C43" s="849"/>
      <c r="D43" s="806" t="s">
        <v>918</v>
      </c>
      <c r="E43" s="803">
        <f>'P&amp;L'!D46</f>
        <v>4</v>
      </c>
      <c r="F43" s="591">
        <f>'P&amp;L'!E46</f>
        <v>149</v>
      </c>
    </row>
    <row r="44" spans="1:6" ht="26.25" customHeight="1" x14ac:dyDescent="0.25">
      <c r="A44" s="816" t="s">
        <v>919</v>
      </c>
      <c r="B44" s="848" t="s">
        <v>1845</v>
      </c>
      <c r="C44" s="849"/>
      <c r="D44" s="806" t="s">
        <v>921</v>
      </c>
      <c r="E44" s="803">
        <f>'P&amp;L'!D47</f>
        <v>889</v>
      </c>
      <c r="F44" s="591">
        <f>'P&amp;L'!E47</f>
        <v>1307</v>
      </c>
    </row>
    <row r="45" spans="1:6" ht="24.75" customHeight="1" x14ac:dyDescent="0.25">
      <c r="A45" s="816" t="s">
        <v>922</v>
      </c>
      <c r="B45" s="848" t="s">
        <v>1846</v>
      </c>
      <c r="C45" s="849"/>
      <c r="D45" s="806" t="s">
        <v>924</v>
      </c>
      <c r="E45" s="803">
        <f>'P&amp;L'!D48</f>
        <v>130</v>
      </c>
      <c r="F45" s="591">
        <f>'P&amp;L'!E48</f>
        <v>8</v>
      </c>
    </row>
    <row r="46" spans="1:6" ht="27" customHeight="1" x14ac:dyDescent="0.25">
      <c r="A46" s="816" t="s">
        <v>925</v>
      </c>
      <c r="B46" s="848" t="s">
        <v>1847</v>
      </c>
      <c r="C46" s="849"/>
      <c r="D46" s="806" t="s">
        <v>927</v>
      </c>
      <c r="E46" s="803">
        <f>'P&amp;L'!D49</f>
        <v>96</v>
      </c>
      <c r="F46" s="591">
        <f>'P&amp;L'!E49</f>
        <v>18</v>
      </c>
    </row>
    <row r="47" spans="1:6" ht="29.25" customHeight="1" x14ac:dyDescent="0.25">
      <c r="A47" s="816" t="s">
        <v>928</v>
      </c>
      <c r="B47" s="848" t="s">
        <v>1848</v>
      </c>
      <c r="C47" s="849"/>
      <c r="D47" s="806" t="s">
        <v>930</v>
      </c>
      <c r="E47" s="803">
        <f>'P&amp;L'!D50</f>
        <v>0</v>
      </c>
      <c r="F47" s="591">
        <f>'P&amp;L'!E50</f>
        <v>0</v>
      </c>
    </row>
    <row r="48" spans="1:6" ht="27.75" customHeight="1" x14ac:dyDescent="0.25">
      <c r="A48" s="816" t="s">
        <v>931</v>
      </c>
      <c r="B48" s="848" t="s">
        <v>1849</v>
      </c>
      <c r="C48" s="849"/>
      <c r="D48" s="806" t="s">
        <v>933</v>
      </c>
      <c r="E48" s="803">
        <f>'P&amp;L'!D51</f>
        <v>2591</v>
      </c>
      <c r="F48" s="591">
        <f>'P&amp;L'!E51</f>
        <v>6724</v>
      </c>
    </row>
    <row r="49" spans="1:6" ht="27.75" customHeight="1" x14ac:dyDescent="0.25">
      <c r="A49" s="816" t="s">
        <v>934</v>
      </c>
      <c r="B49" s="848" t="s">
        <v>1850</v>
      </c>
      <c r="C49" s="849"/>
      <c r="D49" s="806" t="s">
        <v>936</v>
      </c>
      <c r="E49" s="803">
        <f>'P&amp;L'!D52</f>
        <v>0</v>
      </c>
      <c r="F49" s="591">
        <f>'P&amp;L'!E52</f>
        <v>0</v>
      </c>
    </row>
    <row r="50" spans="1:6" ht="27.75" customHeight="1" x14ac:dyDescent="0.25">
      <c r="A50" s="816" t="s">
        <v>937</v>
      </c>
      <c r="B50" s="848" t="s">
        <v>1851</v>
      </c>
      <c r="C50" s="849"/>
      <c r="D50" s="806" t="s">
        <v>939</v>
      </c>
      <c r="E50" s="803">
        <f>'P&amp;L'!D53</f>
        <v>0</v>
      </c>
      <c r="F50" s="591">
        <f>'P&amp;L'!E53</f>
        <v>0</v>
      </c>
    </row>
    <row r="51" spans="1:6" s="588" customFormat="1" ht="36.75" customHeight="1" x14ac:dyDescent="0.25">
      <c r="A51" s="607" t="s">
        <v>880</v>
      </c>
      <c r="B51" s="609" t="s">
        <v>1852</v>
      </c>
      <c r="C51" s="608"/>
      <c r="D51" s="811" t="s">
        <v>941</v>
      </c>
      <c r="E51" s="803">
        <f>'P&amp;L'!D54</f>
        <v>-3442</v>
      </c>
      <c r="F51" s="591">
        <f>'P&amp;L'!E54</f>
        <v>-7892</v>
      </c>
    </row>
    <row r="52" spans="1:6" s="588" customFormat="1" ht="29.25" customHeight="1" x14ac:dyDescent="0.25">
      <c r="A52" s="607" t="s">
        <v>942</v>
      </c>
      <c r="B52" s="606" t="s">
        <v>1853</v>
      </c>
      <c r="C52" s="605"/>
      <c r="D52" s="811" t="s">
        <v>944</v>
      </c>
      <c r="E52" s="803">
        <f>'P&amp;L'!D55</f>
        <v>218531</v>
      </c>
      <c r="F52" s="591">
        <f>'P&amp;L'!E55</f>
        <v>23125</v>
      </c>
    </row>
    <row r="53" spans="1:6" ht="30.75" customHeight="1" x14ac:dyDescent="0.25">
      <c r="A53" s="816" t="s">
        <v>945</v>
      </c>
      <c r="B53" s="848" t="s">
        <v>1854</v>
      </c>
      <c r="C53" s="849"/>
      <c r="D53" s="806" t="s">
        <v>947</v>
      </c>
      <c r="E53" s="803">
        <f>'P&amp;L'!D56</f>
        <v>34227</v>
      </c>
      <c r="F53" s="591">
        <f>'P&amp;L'!E56</f>
        <v>20201</v>
      </c>
    </row>
    <row r="54" spans="1:6" ht="28.5" customHeight="1" x14ac:dyDescent="0.25">
      <c r="A54" s="808" t="s">
        <v>948</v>
      </c>
      <c r="B54" s="621" t="s">
        <v>1855</v>
      </c>
      <c r="C54" s="849"/>
      <c r="D54" s="806" t="s">
        <v>950</v>
      </c>
      <c r="E54" s="803">
        <f>'P&amp;L'!D57</f>
        <v>39946</v>
      </c>
      <c r="F54" s="591">
        <f>'P&amp;L'!E57</f>
        <v>49</v>
      </c>
    </row>
    <row r="55" spans="1:6" ht="28.5" customHeight="1" x14ac:dyDescent="0.25">
      <c r="A55" s="816" t="s">
        <v>836</v>
      </c>
      <c r="B55" s="621" t="s">
        <v>1856</v>
      </c>
      <c r="C55" s="849"/>
      <c r="D55" s="806" t="s">
        <v>952</v>
      </c>
      <c r="E55" s="803">
        <f>'P&amp;L'!D58</f>
        <v>-5719</v>
      </c>
      <c r="F55" s="591">
        <f>'P&amp;L'!E58</f>
        <v>20152</v>
      </c>
    </row>
    <row r="56" spans="1:6" s="588" customFormat="1" ht="31.5" customHeight="1" x14ac:dyDescent="0.25">
      <c r="A56" s="607" t="s">
        <v>942</v>
      </c>
      <c r="B56" s="606" t="s">
        <v>1857</v>
      </c>
      <c r="C56" s="605"/>
      <c r="D56" s="811" t="s">
        <v>954</v>
      </c>
      <c r="E56" s="803">
        <f>'P&amp;L'!D59</f>
        <v>184304</v>
      </c>
      <c r="F56" s="591">
        <f>'P&amp;L'!E59</f>
        <v>2924</v>
      </c>
    </row>
    <row r="57" spans="1:6" ht="29.25" customHeight="1" x14ac:dyDescent="0.25">
      <c r="A57" s="816" t="s">
        <v>955</v>
      </c>
      <c r="B57" s="848" t="s">
        <v>1858</v>
      </c>
      <c r="C57" s="849"/>
      <c r="D57" s="806" t="s">
        <v>957</v>
      </c>
      <c r="E57" s="803">
        <f>'P&amp;L'!D60</f>
        <v>0</v>
      </c>
      <c r="F57" s="591">
        <f>'P&amp;L'!E60</f>
        <v>0</v>
      </c>
    </row>
    <row r="58" spans="1:6" ht="28.5" customHeight="1" x14ac:dyDescent="0.25">
      <c r="A58" s="816" t="s">
        <v>958</v>
      </c>
      <c r="B58" s="848" t="s">
        <v>1859</v>
      </c>
      <c r="C58" s="849"/>
      <c r="D58" s="806" t="s">
        <v>960</v>
      </c>
      <c r="E58" s="803">
        <f>'P&amp;L'!D61</f>
        <v>0</v>
      </c>
      <c r="F58" s="591">
        <f>'P&amp;L'!E61</f>
        <v>0</v>
      </c>
    </row>
    <row r="59" spans="1:6" ht="30.75" customHeight="1" thickBot="1" x14ac:dyDescent="0.3">
      <c r="A59" s="563" t="s">
        <v>880</v>
      </c>
      <c r="B59" s="590" t="s">
        <v>1860</v>
      </c>
      <c r="C59" s="589"/>
      <c r="D59" s="562" t="s">
        <v>962</v>
      </c>
      <c r="E59" s="864">
        <f>'P&amp;L'!D62</f>
        <v>0</v>
      </c>
      <c r="F59" s="865">
        <f>'P&amp;L'!E62</f>
        <v>0</v>
      </c>
    </row>
    <row r="60" spans="1:6" ht="27.75" customHeight="1" x14ac:dyDescent="0.25">
      <c r="A60" s="845" t="s">
        <v>963</v>
      </c>
      <c r="B60" s="603" t="s">
        <v>1861</v>
      </c>
      <c r="C60" s="602"/>
      <c r="D60" s="809" t="s">
        <v>965</v>
      </c>
      <c r="E60" s="843">
        <f>'P&amp;L'!D63</f>
        <v>0</v>
      </c>
      <c r="F60" s="866">
        <f>'P&amp;L'!E63</f>
        <v>0</v>
      </c>
    </row>
    <row r="61" spans="1:6" ht="27.75" customHeight="1" x14ac:dyDescent="0.25">
      <c r="A61" s="808" t="s">
        <v>966</v>
      </c>
      <c r="B61" s="621" t="s">
        <v>1862</v>
      </c>
      <c r="C61" s="849"/>
      <c r="D61" s="806" t="s">
        <v>968</v>
      </c>
      <c r="E61" s="803">
        <f>'P&amp;L'!D64</f>
        <v>0</v>
      </c>
      <c r="F61" s="591">
        <f>'P&amp;L'!E64</f>
        <v>0</v>
      </c>
    </row>
    <row r="62" spans="1:6" ht="27.75" customHeight="1" x14ac:dyDescent="0.25">
      <c r="A62" s="816" t="s">
        <v>836</v>
      </c>
      <c r="B62" s="621" t="s">
        <v>1863</v>
      </c>
      <c r="C62" s="849"/>
      <c r="D62" s="806" t="s">
        <v>970</v>
      </c>
      <c r="E62" s="803">
        <f>'P&amp;L'!D65</f>
        <v>0</v>
      </c>
      <c r="F62" s="591">
        <f>'P&amp;L'!E65</f>
        <v>0</v>
      </c>
    </row>
    <row r="63" spans="1:6" s="588" customFormat="1" ht="27.75" customHeight="1" x14ac:dyDescent="0.25">
      <c r="A63" s="839" t="s">
        <v>880</v>
      </c>
      <c r="B63" s="598" t="s">
        <v>1864</v>
      </c>
      <c r="C63" s="597"/>
      <c r="D63" s="815">
        <v>58</v>
      </c>
      <c r="E63" s="843">
        <f>'P&amp;L'!D66</f>
        <v>0</v>
      </c>
      <c r="F63" s="866">
        <f>'P&amp;L'!E66</f>
        <v>0</v>
      </c>
    </row>
    <row r="64" spans="1:6" s="588" customFormat="1" ht="27.75" customHeight="1" x14ac:dyDescent="0.25">
      <c r="A64" s="810" t="s">
        <v>973</v>
      </c>
      <c r="B64" s="846" t="s">
        <v>1865</v>
      </c>
      <c r="C64" s="847"/>
      <c r="D64" s="811" t="s">
        <v>975</v>
      </c>
      <c r="E64" s="803">
        <f>'P&amp;L'!D67</f>
        <v>218531</v>
      </c>
      <c r="F64" s="591">
        <f>'P&amp;L'!E67</f>
        <v>23125</v>
      </c>
    </row>
    <row r="65" spans="1:6" ht="27.75" customHeight="1" x14ac:dyDescent="0.25">
      <c r="A65" s="816" t="s">
        <v>976</v>
      </c>
      <c r="B65" s="848" t="s">
        <v>1866</v>
      </c>
      <c r="C65" s="849"/>
      <c r="D65" s="806" t="s">
        <v>978</v>
      </c>
      <c r="E65" s="803">
        <f>'P&amp;L'!D68</f>
        <v>0</v>
      </c>
      <c r="F65" s="591">
        <f>'P&amp;L'!E68</f>
        <v>0</v>
      </c>
    </row>
    <row r="66" spans="1:6" s="588" customFormat="1" ht="27.75" customHeight="1" thickBot="1" x14ac:dyDescent="0.3">
      <c r="A66" s="563" t="s">
        <v>973</v>
      </c>
      <c r="B66" s="590" t="s">
        <v>1867</v>
      </c>
      <c r="C66" s="589"/>
      <c r="D66" s="562" t="s">
        <v>980</v>
      </c>
      <c r="E66" s="864">
        <f>'P&amp;L'!D69</f>
        <v>184304</v>
      </c>
      <c r="F66" s="865">
        <f>'P&amp;L'!E69</f>
        <v>2924</v>
      </c>
    </row>
  </sheetData>
  <mergeCells count="1">
    <mergeCell ref="E4:F4"/>
  </mergeCells>
  <pageMargins left="0.74803149606299213" right="0.55118110236220474" top="0.78740157480314965" bottom="0.47244094488188981" header="0.47244094488188981" footer="0.23622047244094491"/>
  <pageSetup paperSize="9" scale="80" firstPageNumber="2" orientation="portrait" useFirstPageNumber="1" r:id="rId1"/>
  <headerFooter alignWithMargins="0">
    <oddHeader>&amp;LUVPOD2v09_&amp;P</oddHeader>
    <oddFooter>&amp;LMF SR č. 24219/3/2008/1&amp;RSeite &amp;P</oddFooter>
  </headerFooter>
  <rowBreaks count="2" manualBreakCount="2">
    <brk id="32" max="5" man="1"/>
    <brk id="59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6"/>
  <sheetViews>
    <sheetView showGridLines="0" zoomScale="115" zoomScaleNormal="115" workbookViewId="0">
      <selection activeCell="A9" sqref="A9"/>
    </sheetView>
  </sheetViews>
  <sheetFormatPr defaultRowHeight="15" x14ac:dyDescent="0.25"/>
  <cols>
    <col min="1" max="1" width="33.28515625" customWidth="1"/>
    <col min="2" max="3" width="26.140625" customWidth="1"/>
  </cols>
  <sheetData>
    <row r="1" spans="1:3" ht="17.25" thickBot="1" x14ac:dyDescent="0.35">
      <c r="A1" s="1" t="s">
        <v>0</v>
      </c>
    </row>
    <row r="2" spans="1:3" ht="21.75" customHeight="1" thickTop="1" thickBot="1" x14ac:dyDescent="0.3">
      <c r="A2" s="10" t="s">
        <v>1</v>
      </c>
      <c r="B2" s="11" t="s">
        <v>2</v>
      </c>
      <c r="C2" s="11" t="s">
        <v>3</v>
      </c>
    </row>
    <row r="3" spans="1:3" ht="22.5" customHeight="1" thickTop="1" thickBot="1" x14ac:dyDescent="0.3">
      <c r="A3" s="12" t="s">
        <v>4</v>
      </c>
      <c r="B3" s="13"/>
      <c r="C3" s="13"/>
    </row>
    <row r="4" spans="1:3" ht="22.5" customHeight="1" thickBot="1" x14ac:dyDescent="0.3">
      <c r="A4" s="14" t="s">
        <v>5</v>
      </c>
      <c r="B4" s="15"/>
      <c r="C4" s="15"/>
    </row>
    <row r="5" spans="1:3" ht="22.5" customHeight="1" thickBot="1" x14ac:dyDescent="0.3">
      <c r="A5" s="16" t="s">
        <v>6</v>
      </c>
      <c r="B5" s="17"/>
      <c r="C5" s="17"/>
    </row>
    <row r="6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12"/>
  <sheetViews>
    <sheetView showGridLines="0" zoomScaleNormal="100" workbookViewId="0">
      <selection activeCell="A2" sqref="A1:A2"/>
    </sheetView>
  </sheetViews>
  <sheetFormatPr defaultRowHeight="15" x14ac:dyDescent="0.25"/>
  <cols>
    <col min="1" max="1" width="29.140625" customWidth="1"/>
    <col min="2" max="3" width="15.42578125" customWidth="1"/>
    <col min="4" max="5" width="12.85546875" customWidth="1"/>
    <col min="6" max="6" width="12.140625" customWidth="1"/>
  </cols>
  <sheetData>
    <row r="1" spans="1:7" ht="16.5" x14ac:dyDescent="0.3">
      <c r="A1" s="1" t="s">
        <v>7</v>
      </c>
    </row>
    <row r="2" spans="1:7" ht="17.25" thickBot="1" x14ac:dyDescent="0.35">
      <c r="A2" s="2" t="s">
        <v>8</v>
      </c>
    </row>
    <row r="3" spans="1:7" ht="43.5" customHeight="1" thickTop="1" thickBot="1" x14ac:dyDescent="0.3">
      <c r="A3" s="1426" t="s">
        <v>9</v>
      </c>
      <c r="B3" s="1366" t="s">
        <v>10</v>
      </c>
      <c r="C3" s="1368"/>
      <c r="D3" s="1426" t="s">
        <v>11</v>
      </c>
      <c r="E3" s="1426" t="s">
        <v>454</v>
      </c>
      <c r="F3" s="20"/>
      <c r="G3" s="20"/>
    </row>
    <row r="4" spans="1:7" ht="15" customHeight="1" thickTop="1" thickBot="1" x14ac:dyDescent="0.3">
      <c r="A4" s="1427"/>
      <c r="B4" s="21" t="s">
        <v>13</v>
      </c>
      <c r="C4" s="21" t="s">
        <v>12</v>
      </c>
      <c r="D4" s="1427"/>
      <c r="E4" s="1427"/>
      <c r="F4" s="20"/>
      <c r="G4" s="20"/>
    </row>
    <row r="5" spans="1:7" ht="16.5" thickTop="1" thickBot="1" x14ac:dyDescent="0.3">
      <c r="A5" s="14"/>
      <c r="B5" s="22"/>
      <c r="C5" s="23"/>
      <c r="D5" s="23"/>
      <c r="E5" s="24"/>
      <c r="F5" s="20"/>
      <c r="G5" s="20"/>
    </row>
    <row r="6" spans="1:7" ht="15.75" thickBot="1" x14ac:dyDescent="0.3">
      <c r="A6" s="14"/>
      <c r="B6" s="22"/>
      <c r="C6" s="23"/>
      <c r="D6" s="23"/>
      <c r="E6" s="24"/>
      <c r="F6" s="20"/>
      <c r="G6" s="20"/>
    </row>
    <row r="7" spans="1:7" ht="15.75" thickBot="1" x14ac:dyDescent="0.3">
      <c r="A7" s="14"/>
      <c r="B7" s="22"/>
      <c r="C7" s="23"/>
      <c r="D7" s="23"/>
      <c r="E7" s="24"/>
      <c r="F7" s="20"/>
      <c r="G7" s="20"/>
    </row>
    <row r="8" spans="1:7" ht="15.75" thickBot="1" x14ac:dyDescent="0.3">
      <c r="A8" s="14"/>
      <c r="B8" s="22"/>
      <c r="C8" s="23"/>
      <c r="D8" s="23"/>
      <c r="E8" s="24"/>
      <c r="F8" s="20"/>
      <c r="G8" s="20"/>
    </row>
    <row r="9" spans="1:7" ht="15.75" thickBot="1" x14ac:dyDescent="0.3">
      <c r="A9" s="14"/>
      <c r="B9" s="22"/>
      <c r="C9" s="23"/>
      <c r="D9" s="23"/>
      <c r="E9" s="24"/>
      <c r="F9" s="20"/>
      <c r="G9" s="20"/>
    </row>
    <row r="10" spans="1:7" ht="15.75" thickBot="1" x14ac:dyDescent="0.3">
      <c r="A10" s="25" t="s">
        <v>14</v>
      </c>
      <c r="B10" s="26">
        <f>SUM(B5:B9)</f>
        <v>0</v>
      </c>
      <c r="C10" s="27">
        <f>SUM(C5:C9)</f>
        <v>0</v>
      </c>
      <c r="D10" s="28">
        <f t="shared" ref="D10:E10" si="0">SUM(D5:D9)</f>
        <v>0</v>
      </c>
      <c r="E10" s="29">
        <f t="shared" si="0"/>
        <v>0</v>
      </c>
      <c r="F10" s="20"/>
      <c r="G10" s="20"/>
    </row>
    <row r="11" spans="1:7" ht="15.75" thickTop="1" x14ac:dyDescent="0.25">
      <c r="A11" s="20"/>
      <c r="B11" s="20"/>
      <c r="C11" s="20"/>
      <c r="D11" s="20"/>
      <c r="E11" s="20"/>
      <c r="F11" s="20"/>
      <c r="G11" s="20"/>
    </row>
    <row r="12" spans="1:7" x14ac:dyDescent="0.25">
      <c r="A12" s="37">
        <v>7</v>
      </c>
      <c r="B12" s="37">
        <v>4</v>
      </c>
      <c r="C12" s="37">
        <v>4</v>
      </c>
      <c r="D12" s="37">
        <v>4</v>
      </c>
      <c r="E12" s="37">
        <v>4</v>
      </c>
      <c r="F12" s="37"/>
      <c r="G12" s="37"/>
    </row>
  </sheetData>
  <mergeCells count="4">
    <mergeCell ref="A3:A4"/>
    <mergeCell ref="B3:C3"/>
    <mergeCell ref="D3:D4"/>
    <mergeCell ref="E3:E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72</vt:i4>
      </vt:variant>
      <vt:variant>
        <vt:lpstr>Named Ranges</vt:lpstr>
      </vt:variant>
      <vt:variant>
        <vt:i4>23</vt:i4>
      </vt:variant>
    </vt:vector>
  </HeadingPairs>
  <TitlesOfParts>
    <vt:vector size="95" baseType="lpstr">
      <vt:lpstr>Input data</vt:lpstr>
      <vt:lpstr>VYSVETLIVKY</vt:lpstr>
      <vt:lpstr>Notes-SK Cover sheet</vt:lpstr>
      <vt:lpstr>Notes Template</vt:lpstr>
      <vt:lpstr>BS</vt:lpstr>
      <vt:lpstr>P&amp;L</vt:lpstr>
      <vt:lpstr>Cash Flow</vt:lpstr>
      <vt:lpstr>1</vt:lpstr>
      <vt:lpstr>2</vt:lpstr>
      <vt:lpstr>2_tabulka 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12_tabulka c.2</vt:lpstr>
      <vt:lpstr>13</vt:lpstr>
      <vt:lpstr>14_tabulka 1 a 3</vt:lpstr>
      <vt:lpstr>14_tabulka 2 a 4</vt:lpstr>
      <vt:lpstr>15</vt:lpstr>
      <vt:lpstr>16</vt:lpstr>
      <vt:lpstr>16_tabulka c.2</vt:lpstr>
      <vt:lpstr>17</vt:lpstr>
      <vt:lpstr>18</vt:lpstr>
      <vt:lpstr>18_tabulka c.2</vt:lpstr>
      <vt:lpstr>19</vt:lpstr>
      <vt:lpstr>20</vt:lpstr>
      <vt:lpstr>21</vt:lpstr>
      <vt:lpstr>22</vt:lpstr>
      <vt:lpstr>23</vt:lpstr>
      <vt:lpstr>24</vt:lpstr>
      <vt:lpstr>24_tabulky 3 a 4</vt:lpstr>
      <vt:lpstr>25</vt:lpstr>
      <vt:lpstr>26</vt:lpstr>
      <vt:lpstr>27</vt:lpstr>
      <vt:lpstr>28</vt:lpstr>
      <vt:lpstr>29</vt:lpstr>
      <vt:lpstr>30</vt:lpstr>
      <vt:lpstr>31</vt:lpstr>
      <vt:lpstr>32</vt:lpstr>
      <vt:lpstr>32_tabulka 2</vt:lpstr>
      <vt:lpstr>33</vt:lpstr>
      <vt:lpstr>34</vt:lpstr>
      <vt:lpstr>42</vt:lpstr>
      <vt:lpstr>43</vt:lpstr>
      <vt:lpstr>44</vt:lpstr>
      <vt:lpstr>35</vt:lpstr>
      <vt:lpstr>36</vt:lpstr>
      <vt:lpstr>37</vt:lpstr>
      <vt:lpstr>38</vt:lpstr>
      <vt:lpstr>39</vt:lpstr>
      <vt:lpstr>40</vt:lpstr>
      <vt:lpstr>41</vt:lpstr>
      <vt:lpstr>45</vt:lpstr>
      <vt:lpstr>46</vt:lpstr>
      <vt:lpstr>BS-SK Cover sheet</vt:lpstr>
      <vt:lpstr>BS-SK Statutory </vt:lpstr>
      <vt:lpstr>IS-SK Cover sheet</vt:lpstr>
      <vt:lpstr>IS-SK Statutory </vt:lpstr>
      <vt:lpstr>BS-E Cover sheet</vt:lpstr>
      <vt:lpstr>BS- E Statutory</vt:lpstr>
      <vt:lpstr>IS-E Cover sheet</vt:lpstr>
      <vt:lpstr>IS-E Statutory</vt:lpstr>
      <vt:lpstr>BS-G Cover sheet</vt:lpstr>
      <vt:lpstr>BS - G Statutory</vt:lpstr>
      <vt:lpstr>IS-G Cover sheet</vt:lpstr>
      <vt:lpstr>IS-G Statutory</vt:lpstr>
      <vt:lpstr>BS!Print_Area</vt:lpstr>
      <vt:lpstr>'BS - G Statutory'!Print_Area</vt:lpstr>
      <vt:lpstr>'BS- E Statutory'!Print_Area</vt:lpstr>
      <vt:lpstr>'BS-E Cover sheet'!Print_Area</vt:lpstr>
      <vt:lpstr>'BS-G Cover sheet'!Print_Area</vt:lpstr>
      <vt:lpstr>'BS-SK Cover sheet'!Print_Area</vt:lpstr>
      <vt:lpstr>'BS-SK Statutory '!Print_Area</vt:lpstr>
      <vt:lpstr>'Cash Flow'!Print_Area</vt:lpstr>
      <vt:lpstr>'IS-E Cover sheet'!Print_Area</vt:lpstr>
      <vt:lpstr>'IS-E Statutory'!Print_Area</vt:lpstr>
      <vt:lpstr>'IS-G Cover sheet'!Print_Area</vt:lpstr>
      <vt:lpstr>'IS-G Statutory'!Print_Area</vt:lpstr>
      <vt:lpstr>'IS-SK Cover sheet'!Print_Area</vt:lpstr>
      <vt:lpstr>'IS-SK Statutory '!Print_Area</vt:lpstr>
      <vt:lpstr>'Notes Template'!Print_Area</vt:lpstr>
      <vt:lpstr>'Notes-SK Cover sheet'!Print_Area</vt:lpstr>
      <vt:lpstr>'P&amp;L'!Print_Area</vt:lpstr>
      <vt:lpstr>'BS - G Statutory'!Print_Titles</vt:lpstr>
      <vt:lpstr>'BS- E Statutory'!Print_Titles</vt:lpstr>
      <vt:lpstr>'BS-SK Statutory '!Print_Titles</vt:lpstr>
      <vt:lpstr>'IS-E Statutory'!Print_Titles</vt:lpstr>
      <vt:lpstr>'IS-G Statutory'!Print_Titles</vt:lpstr>
      <vt:lpstr>'IS-SK Statutory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2014-06-27T09:42:13Z</dcterms:modified>
</cp:coreProperties>
</file>