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" yWindow="660" windowWidth="15480" windowHeight="8955" tabRatio="887" firstSheet="1" activeTab="3"/>
  </bookViews>
  <sheets>
    <sheet name="Input data" sheetId="69" r:id="rId1"/>
    <sheet name="VYSVETLIVKY" sheetId="51" r:id="rId2"/>
    <sheet name="Notes-SK Cover sheet" sheetId="85" r:id="rId3"/>
    <sheet name="Notes Template" sheetId="71" r:id="rId4"/>
    <sheet name="BS" sheetId="60" r:id="rId5"/>
    <sheet name="P&amp;L" sheetId="61" r:id="rId6"/>
    <sheet name="Cash Flow" sheetId="62" r:id="rId7"/>
    <sheet name="1" sheetId="1" state="hidden" r:id="rId8"/>
    <sheet name="2" sheetId="4" state="hidden" r:id="rId9"/>
    <sheet name="2_tabulka 2" sheetId="52" state="hidden" r:id="rId10"/>
    <sheet name="3" sheetId="5" state="hidden" r:id="rId11"/>
    <sheet name="4" sheetId="6" state="hidden" r:id="rId12"/>
    <sheet name="5" sheetId="7" state="hidden" r:id="rId13"/>
    <sheet name="6" sheetId="8" state="hidden" r:id="rId14"/>
    <sheet name="7" sheetId="9" state="hidden" r:id="rId15"/>
    <sheet name="8" sheetId="10" state="hidden" r:id="rId16"/>
    <sheet name="9" sheetId="11" state="hidden" r:id="rId17"/>
    <sheet name="10" sheetId="12" state="hidden" r:id="rId18"/>
    <sheet name="11" sheetId="13" state="hidden" r:id="rId19"/>
    <sheet name="12" sheetId="14" state="hidden" r:id="rId20"/>
    <sheet name="12_tabulka c.2" sheetId="53" state="hidden" r:id="rId21"/>
    <sheet name="13" sheetId="15" state="hidden" r:id="rId22"/>
    <sheet name="14_tabulka 1 a 3" sheetId="56" state="hidden" r:id="rId23"/>
    <sheet name="14_tabulka 2 a 4" sheetId="57" state="hidden" r:id="rId24"/>
    <sheet name="15" sheetId="17" state="hidden" r:id="rId25"/>
    <sheet name="16" sheetId="18" state="hidden" r:id="rId26"/>
    <sheet name="16_tabulka c.2" sheetId="54" state="hidden" r:id="rId27"/>
    <sheet name="17" sheetId="19" state="hidden" r:id="rId28"/>
    <sheet name="18" sheetId="20" state="hidden" r:id="rId29"/>
    <sheet name="18_tabulka c.2" sheetId="55" state="hidden" r:id="rId30"/>
    <sheet name="19" sheetId="21" state="hidden" r:id="rId31"/>
    <sheet name="20" sheetId="22" state="hidden" r:id="rId32"/>
    <sheet name="21" sheetId="23" state="hidden" r:id="rId33"/>
    <sheet name="22" sheetId="24" state="hidden" r:id="rId34"/>
    <sheet name="23" sheetId="25" state="hidden" r:id="rId35"/>
    <sheet name="24" sheetId="26" state="hidden" r:id="rId36"/>
    <sheet name="24_tabulky 3 a 4" sheetId="50" state="hidden" r:id="rId37"/>
    <sheet name="25" sheetId="27" state="hidden" r:id="rId38"/>
    <sheet name="26" sheetId="28" state="hidden" r:id="rId39"/>
    <sheet name="27" sheetId="30" state="hidden" r:id="rId40"/>
    <sheet name="28" sheetId="31" state="hidden" r:id="rId41"/>
    <sheet name="29" sheetId="32" state="hidden" r:id="rId42"/>
    <sheet name="30" sheetId="29" state="hidden" r:id="rId43"/>
    <sheet name="31" sheetId="33" state="hidden" r:id="rId44"/>
    <sheet name="32" sheetId="34" state="hidden" r:id="rId45"/>
    <sheet name="32_tabulka 2" sheetId="59" state="hidden" r:id="rId46"/>
    <sheet name="33" sheetId="35" state="hidden" r:id="rId47"/>
    <sheet name="34" sheetId="36" state="hidden" r:id="rId48"/>
    <sheet name="42" sheetId="44" state="hidden" r:id="rId49"/>
    <sheet name="43" sheetId="45" state="hidden" r:id="rId50"/>
    <sheet name="44" sheetId="46" state="hidden" r:id="rId51"/>
    <sheet name="35" sheetId="37" state="hidden" r:id="rId52"/>
    <sheet name="36" sheetId="38" state="hidden" r:id="rId53"/>
    <sheet name="37" sheetId="39" state="hidden" r:id="rId54"/>
    <sheet name="38" sheetId="40" state="hidden" r:id="rId55"/>
    <sheet name="39" sheetId="41" state="hidden" r:id="rId56"/>
    <sheet name="40" sheetId="42" state="hidden" r:id="rId57"/>
    <sheet name="41" sheetId="43" state="hidden" r:id="rId58"/>
    <sheet name="45" sheetId="47" state="hidden" r:id="rId59"/>
    <sheet name="46" sheetId="48" state="hidden" r:id="rId60"/>
    <sheet name="BS-SK Cover sheet" sheetId="65" r:id="rId61"/>
    <sheet name="BS-SK Statutory " sheetId="66" r:id="rId62"/>
    <sheet name="IS-SK Cover sheet" sheetId="67" r:id="rId63"/>
    <sheet name="IS-SK Statutory " sheetId="68" r:id="rId64"/>
    <sheet name="BS-E Cover sheet" sheetId="72" r:id="rId65"/>
    <sheet name="BS- E Statutory" sheetId="78" r:id="rId66"/>
    <sheet name="IS-E Cover sheet" sheetId="75" r:id="rId67"/>
    <sheet name="IS-E Statutory" sheetId="76" r:id="rId68"/>
    <sheet name="BS-G Cover sheet" sheetId="83" r:id="rId69"/>
    <sheet name="BS - G Statutory" sheetId="80" r:id="rId70"/>
    <sheet name="IS-G Cover sheet" sheetId="84" r:id="rId71"/>
    <sheet name="IS-G Statutory" sheetId="82" r:id="rId72"/>
  </sheets>
  <externalReferences>
    <externalReference r:id="rId73"/>
  </externalReferences>
  <definedNames>
    <definedName name="_Fill" localSheetId="69" hidden="1">#REF!</definedName>
    <definedName name="_Fill" localSheetId="68" hidden="1">#REF!</definedName>
    <definedName name="_Fill" localSheetId="60" hidden="1">#REF!</definedName>
    <definedName name="_Fill" localSheetId="61" hidden="1">#REF!</definedName>
    <definedName name="_Fill" localSheetId="0" hidden="1">#REF!</definedName>
    <definedName name="_Fill" localSheetId="70" hidden="1">#REF!</definedName>
    <definedName name="_Fill" localSheetId="71" hidden="1">#REF!</definedName>
    <definedName name="_Fill" localSheetId="62" hidden="1">#REF!</definedName>
    <definedName name="_Fill" localSheetId="63" hidden="1">#REF!</definedName>
    <definedName name="_Fill" localSheetId="2" hidden="1">#REF!</definedName>
    <definedName name="_Fill" hidden="1">#REF!</definedName>
    <definedName name="_Toc474124192" localSheetId="3">'Notes Template'!$D$78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Print" localSheetId="2">#REF!</definedName>
    <definedName name="Print">#REF!</definedName>
    <definedName name="_xlnm.Print_Area" localSheetId="4">BS!$A$5:$G$142</definedName>
    <definedName name="_xlnm.Print_Area" localSheetId="69">'BS - G Statutory'!$A$1:$J$210</definedName>
    <definedName name="_xlnm.Print_Area" localSheetId="65">'BS- E Statutory'!$A$1:$J$210</definedName>
    <definedName name="_xlnm.Print_Area" localSheetId="64">'BS-E Cover sheet'!$A$1:$AN$53</definedName>
    <definedName name="_xlnm.Print_Area" localSheetId="68">'BS-G Cover sheet'!$A$1:$AM$54</definedName>
    <definedName name="_xlnm.Print_Area" localSheetId="60">'BS-SK Cover sheet'!$A$1:$AM$55</definedName>
    <definedName name="_xlnm.Print_Area" localSheetId="61">'BS-SK Statutory '!$A$1:$J$210</definedName>
    <definedName name="_xlnm.Print_Area" localSheetId="6">'Cash Flow'!$A$1:$G$96</definedName>
    <definedName name="_xlnm.Print_Area" localSheetId="66">'IS-E Cover sheet'!$A$1:$AN$53</definedName>
    <definedName name="_xlnm.Print_Area" localSheetId="67">'IS-E Statutory'!$A$1:$F$66</definedName>
    <definedName name="_xlnm.Print_Area" localSheetId="70">'IS-G Cover sheet'!$A$1:$AM$55</definedName>
    <definedName name="_xlnm.Print_Area" localSheetId="71">'IS-G Statutory'!$A$1:$F$66</definedName>
    <definedName name="_xlnm.Print_Area" localSheetId="62">'IS-SK Cover sheet'!$A$1:$AM$55</definedName>
    <definedName name="_xlnm.Print_Area" localSheetId="63">'IS-SK Statutory '!$A$1:$F$66</definedName>
    <definedName name="_xlnm.Print_Area" localSheetId="3">'Notes Template'!$B$2:$AH$1026</definedName>
    <definedName name="_xlnm.Print_Area" localSheetId="2">'Notes-SK Cover sheet'!$A$1:$AM$55</definedName>
    <definedName name="_xlnm.Print_Area" localSheetId="5">'P&amp;L'!$A$4:$E$68</definedName>
    <definedName name="_xlnm.Print_Area">#REF!</definedName>
    <definedName name="_xlnm.Print_Titles" localSheetId="69">'BS - G Statutory'!$1:$3</definedName>
    <definedName name="_xlnm.Print_Titles" localSheetId="65">'BS- E Statutory'!$1:$3</definedName>
    <definedName name="_xlnm.Print_Titles" localSheetId="61">'BS-SK Statutory '!$1:$3</definedName>
    <definedName name="_xlnm.Print_Titles" localSheetId="67">'IS-E Statutory'!$1:$5</definedName>
    <definedName name="_xlnm.Print_Titles" localSheetId="71">'IS-G Statutory'!$1:$5</definedName>
    <definedName name="_xlnm.Print_Titles" localSheetId="63">'IS-SK Statutory '!$1:$5</definedName>
    <definedName name="Účty">[1]Sheet3!$A$4:$BF$371</definedName>
    <definedName name="VER_CF_BALANCES" localSheetId="69">#REF!</definedName>
    <definedName name="VER_CF_BALANCES" localSheetId="65">#REF!</definedName>
    <definedName name="VER_CF_BALANCES" localSheetId="64">#REF!</definedName>
    <definedName name="VER_CF_BALANCES" localSheetId="68">#REF!</definedName>
    <definedName name="VER_CF_BALANCES" localSheetId="60">#REF!</definedName>
    <definedName name="VER_CF_BALANCES" localSheetId="61">#REF!</definedName>
    <definedName name="VER_CF_BALANCES" localSheetId="0">#REF!</definedName>
    <definedName name="VER_CF_BALANCES" localSheetId="66">#REF!</definedName>
    <definedName name="VER_CF_BALANCES" localSheetId="67">#REF!</definedName>
    <definedName name="VER_CF_BALANCES" localSheetId="70">#REF!</definedName>
    <definedName name="VER_CF_BALANCES" localSheetId="71">#REF!</definedName>
    <definedName name="VER_CF_BALANCES" localSheetId="62">#REF!</definedName>
    <definedName name="VER_CF_BALANCES" localSheetId="63">#REF!</definedName>
    <definedName name="VER_CF_BALANCES" localSheetId="2">#REF!</definedName>
    <definedName name="VER_CF_BALANCES">#REF!</definedName>
    <definedName name="VER_SH_RATIOS" localSheetId="69">#REF!</definedName>
    <definedName name="VER_SH_RATIOS" localSheetId="65">#REF!</definedName>
    <definedName name="VER_SH_RATIOS" localSheetId="64">#REF!</definedName>
    <definedName name="VER_SH_RATIOS" localSheetId="68">#REF!</definedName>
    <definedName name="VER_SH_RATIOS" localSheetId="60">#REF!</definedName>
    <definedName name="VER_SH_RATIOS" localSheetId="61">#REF!</definedName>
    <definedName name="VER_SH_RATIOS" localSheetId="0">#REF!</definedName>
    <definedName name="VER_SH_RATIOS" localSheetId="66">#REF!</definedName>
    <definedName name="VER_SH_RATIOS" localSheetId="67">#REF!</definedName>
    <definedName name="VER_SH_RATIOS" localSheetId="70">#REF!</definedName>
    <definedName name="VER_SH_RATIOS" localSheetId="71">#REF!</definedName>
    <definedName name="VER_SH_RATIOS" localSheetId="62">#REF!</definedName>
    <definedName name="VER_SH_RATIOS" localSheetId="63">#REF!</definedName>
    <definedName name="VER_SH_RATIOS" localSheetId="2">#REF!</definedName>
    <definedName name="VER_SH_RATIOS">#REF!</definedName>
    <definedName name="VER_SCH_10" localSheetId="69">#REF!</definedName>
    <definedName name="VER_SCH_10" localSheetId="65">#REF!</definedName>
    <definedName name="VER_SCH_10" localSheetId="64">#REF!</definedName>
    <definedName name="VER_SCH_10" localSheetId="68">#REF!</definedName>
    <definedName name="VER_SCH_10" localSheetId="60">#REF!</definedName>
    <definedName name="VER_SCH_10" localSheetId="61">#REF!</definedName>
    <definedName name="VER_SCH_10" localSheetId="0">#REF!</definedName>
    <definedName name="VER_SCH_10" localSheetId="66">#REF!</definedName>
    <definedName name="VER_SCH_10" localSheetId="67">#REF!</definedName>
    <definedName name="VER_SCH_10" localSheetId="70">#REF!</definedName>
    <definedName name="VER_SCH_10" localSheetId="71">#REF!</definedName>
    <definedName name="VER_SCH_10" localSheetId="62">#REF!</definedName>
    <definedName name="VER_SCH_10" localSheetId="63">#REF!</definedName>
    <definedName name="VER_SCH_10" localSheetId="2">#REF!</definedName>
    <definedName name="VER_SCH_10">#REF!</definedName>
    <definedName name="VER_SCH_14" localSheetId="2">#REF!</definedName>
    <definedName name="VER_SCH_14">#REF!</definedName>
    <definedName name="VER_SCH_2" localSheetId="2">#REF!</definedName>
    <definedName name="VER_SCH_2">#REF!</definedName>
    <definedName name="VER_SCH_7" localSheetId="2">#REF!</definedName>
    <definedName name="VER_SCH_7">#REF!</definedName>
    <definedName name="Visit">[1]Sheet2!$I$3</definedName>
    <definedName name="YearEnd">[1]Sheet2!$I$2</definedName>
    <definedName name="Z_4D14509E_B826_11D1_8159_444553540000_.wvu.Cols" localSheetId="4" hidden="1">BS!#REF!</definedName>
    <definedName name="Z_4D14509E_B826_11D1_8159_444553540000_.wvu.Cols" localSheetId="5" hidden="1">'P&amp;L'!#REF!</definedName>
  </definedNames>
  <calcPr calcId="145621"/>
</workbook>
</file>

<file path=xl/calcChain.xml><?xml version="1.0" encoding="utf-8"?>
<calcChain xmlns="http://schemas.openxmlformats.org/spreadsheetml/2006/main">
  <c r="D43" i="62" l="1"/>
  <c r="AD921" i="71" l="1"/>
  <c r="AD920" i="71"/>
  <c r="AD919" i="71"/>
  <c r="AD913" i="71"/>
  <c r="R921" i="71"/>
  <c r="R920" i="71"/>
  <c r="R919" i="71"/>
  <c r="R917" i="71"/>
  <c r="R913" i="71"/>
  <c r="N918" i="71" l="1"/>
  <c r="N874" i="71"/>
  <c r="N882" i="71" s="1"/>
  <c r="N757" i="71"/>
  <c r="N755" i="71"/>
  <c r="N754" i="71" s="1"/>
  <c r="N282" i="71" l="1"/>
  <c r="Z284" i="71"/>
  <c r="Z958" i="71" l="1"/>
  <c r="S722" i="71" l="1"/>
  <c r="N722" i="71"/>
  <c r="AC728" i="71" l="1"/>
  <c r="AC726" i="71"/>
  <c r="D62" i="62" l="1"/>
  <c r="E62" i="62"/>
  <c r="D71" i="62"/>
  <c r="E71" i="62"/>
  <c r="S707" i="71"/>
  <c r="N707" i="71"/>
  <c r="AC708" i="71" l="1"/>
  <c r="AC709" i="71"/>
  <c r="AC710" i="71"/>
  <c r="AC711" i="71"/>
  <c r="AC712" i="71"/>
  <c r="AC713" i="71"/>
  <c r="AM713" i="71" s="1"/>
  <c r="AC714" i="71"/>
  <c r="AM714" i="71" s="1"/>
  <c r="AC715" i="71"/>
  <c r="AM715" i="71" s="1"/>
  <c r="AC716" i="71"/>
  <c r="AC707" i="71" l="1"/>
  <c r="AC723" i="71"/>
  <c r="AC724" i="71"/>
  <c r="AC725" i="71"/>
  <c r="AM726" i="71"/>
  <c r="AC727" i="71"/>
  <c r="AM727" i="71" s="1"/>
  <c r="AM728" i="71"/>
  <c r="AC729" i="71"/>
  <c r="AC730" i="71"/>
  <c r="AC731" i="71"/>
  <c r="D19" i="61" l="1"/>
  <c r="F23" i="60" l="1"/>
  <c r="F22" i="60"/>
  <c r="B21" i="69"/>
  <c r="Z922" i="71" l="1"/>
  <c r="AD922" i="71" s="1"/>
  <c r="N922" i="71"/>
  <c r="AC399" i="71"/>
  <c r="Z399" i="71"/>
  <c r="W399" i="71"/>
  <c r="T399" i="71"/>
  <c r="Q399" i="71"/>
  <c r="N399" i="71"/>
  <c r="K399" i="71"/>
  <c r="H399" i="71"/>
  <c r="AF398" i="71"/>
  <c r="AF397" i="71"/>
  <c r="AF396" i="71"/>
  <c r="AF395" i="71"/>
  <c r="AC393" i="71"/>
  <c r="Z393" i="71"/>
  <c r="W393" i="71"/>
  <c r="T393" i="71"/>
  <c r="Q393" i="71"/>
  <c r="N393" i="71"/>
  <c r="K393" i="71"/>
  <c r="H393" i="71"/>
  <c r="AF392" i="71"/>
  <c r="AF391" i="71"/>
  <c r="AF390" i="71"/>
  <c r="AF373" i="71"/>
  <c r="AF393" i="71" l="1"/>
  <c r="AF399" i="71"/>
  <c r="AC38" i="85" l="1"/>
  <c r="U38" i="85"/>
  <c r="L38" i="85"/>
  <c r="J37" i="85"/>
  <c r="I37" i="85"/>
  <c r="H37" i="85"/>
  <c r="G37" i="85"/>
  <c r="E37" i="85"/>
  <c r="D37" i="85"/>
  <c r="B37" i="85"/>
  <c r="A37" i="85"/>
  <c r="J34" i="85"/>
  <c r="I34" i="85"/>
  <c r="H34" i="85"/>
  <c r="G34" i="85"/>
  <c r="E34" i="85"/>
  <c r="D34" i="85"/>
  <c r="B34" i="85"/>
  <c r="A34" i="85"/>
  <c r="AK31" i="85"/>
  <c r="AJ31" i="85"/>
  <c r="AI31" i="85"/>
  <c r="AH31" i="85"/>
  <c r="AG31" i="85"/>
  <c r="AF31" i="85"/>
  <c r="AE31" i="85"/>
  <c r="AD31" i="85"/>
  <c r="AC31" i="85"/>
  <c r="AB31" i="85"/>
  <c r="AA31" i="85"/>
  <c r="Z31" i="85"/>
  <c r="Y31" i="85"/>
  <c r="X31" i="85"/>
  <c r="W31" i="85"/>
  <c r="V31" i="85"/>
  <c r="U31" i="85"/>
  <c r="T31" i="85"/>
  <c r="S31" i="85"/>
  <c r="R31" i="85"/>
  <c r="Q31" i="85"/>
  <c r="P31" i="85"/>
  <c r="O31" i="85"/>
  <c r="N31" i="85"/>
  <c r="M31" i="85"/>
  <c r="L31" i="85"/>
  <c r="K31" i="85"/>
  <c r="J31" i="85"/>
  <c r="I31" i="85"/>
  <c r="H31" i="85"/>
  <c r="G31" i="85"/>
  <c r="F31" i="85"/>
  <c r="E31" i="85"/>
  <c r="D31" i="85"/>
  <c r="C31" i="85"/>
  <c r="B31" i="85"/>
  <c r="A31" i="85"/>
  <c r="AA29" i="85"/>
  <c r="Z29" i="85"/>
  <c r="Y29" i="85"/>
  <c r="X29" i="85"/>
  <c r="W29" i="85"/>
  <c r="V29" i="85"/>
  <c r="U29" i="85"/>
  <c r="T29" i="85"/>
  <c r="R29" i="85"/>
  <c r="Q29" i="85"/>
  <c r="P29" i="85"/>
  <c r="M29" i="85"/>
  <c r="L29" i="85"/>
  <c r="K29" i="85"/>
  <c r="J29" i="85"/>
  <c r="I29" i="85"/>
  <c r="H29" i="85"/>
  <c r="G29" i="85"/>
  <c r="F29" i="85"/>
  <c r="D29" i="85"/>
  <c r="C29" i="85"/>
  <c r="B29" i="85"/>
  <c r="AK27" i="85"/>
  <c r="AJ27" i="85"/>
  <c r="AI27" i="85"/>
  <c r="AH27" i="85"/>
  <c r="AG27" i="85"/>
  <c r="AF27" i="85"/>
  <c r="AE27" i="85"/>
  <c r="AD27" i="85"/>
  <c r="AC27" i="85"/>
  <c r="AB27" i="85"/>
  <c r="AA27" i="85"/>
  <c r="Z27" i="85"/>
  <c r="Y27" i="85"/>
  <c r="X27" i="85"/>
  <c r="W27" i="85"/>
  <c r="V27" i="85"/>
  <c r="U27" i="85"/>
  <c r="T27" i="85"/>
  <c r="S27" i="85"/>
  <c r="R27" i="85"/>
  <c r="Q27" i="85"/>
  <c r="P27" i="85"/>
  <c r="O27" i="85"/>
  <c r="N27" i="85"/>
  <c r="M27" i="85"/>
  <c r="L27" i="85"/>
  <c r="K27" i="85"/>
  <c r="J27" i="85"/>
  <c r="I27" i="85"/>
  <c r="H27" i="85"/>
  <c r="G27" i="85"/>
  <c r="E27" i="85"/>
  <c r="D27" i="85"/>
  <c r="C27" i="85"/>
  <c r="B27" i="85"/>
  <c r="A27" i="85"/>
  <c r="AK25" i="85"/>
  <c r="AJ25" i="85"/>
  <c r="AI25" i="85"/>
  <c r="AH25" i="85"/>
  <c r="AG25" i="85"/>
  <c r="AF25" i="85"/>
  <c r="AE25" i="85"/>
  <c r="AD25" i="85"/>
  <c r="AB25" i="85"/>
  <c r="AA25" i="85"/>
  <c r="Z25" i="85"/>
  <c r="Y25" i="85"/>
  <c r="X25" i="85"/>
  <c r="W25" i="85"/>
  <c r="V25" i="85"/>
  <c r="U25" i="85"/>
  <c r="T25" i="85"/>
  <c r="S25" i="85"/>
  <c r="R25" i="85"/>
  <c r="Q25" i="85"/>
  <c r="P25" i="85"/>
  <c r="O25" i="85"/>
  <c r="N25" i="85"/>
  <c r="M25" i="85"/>
  <c r="L25" i="85"/>
  <c r="K25" i="85"/>
  <c r="J25" i="85"/>
  <c r="I25" i="85"/>
  <c r="H25" i="85"/>
  <c r="G25" i="85"/>
  <c r="F25" i="85"/>
  <c r="E25" i="85"/>
  <c r="D25" i="85"/>
  <c r="C25" i="85"/>
  <c r="B25" i="85"/>
  <c r="A25" i="85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J20" i="85"/>
  <c r="AI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20" i="85"/>
  <c r="AK19" i="85"/>
  <c r="AJ19" i="85"/>
  <c r="AI19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19" i="85"/>
  <c r="B15" i="85"/>
  <c r="A15" i="85"/>
  <c r="R12" i="85"/>
  <c r="L12" i="85"/>
  <c r="H13" i="85"/>
  <c r="G13" i="85"/>
  <c r="F13" i="85"/>
  <c r="E13" i="85"/>
  <c r="D13" i="85"/>
  <c r="C13" i="85"/>
  <c r="B13" i="85"/>
  <c r="A13" i="85"/>
  <c r="R11" i="85"/>
  <c r="L11" i="85"/>
  <c r="J11" i="85"/>
  <c r="I11" i="85"/>
  <c r="H11" i="85"/>
  <c r="G11" i="85"/>
  <c r="F11" i="85"/>
  <c r="E11" i="85"/>
  <c r="D11" i="85"/>
  <c r="C11" i="85"/>
  <c r="B11" i="85"/>
  <c r="A11" i="85"/>
  <c r="AD36" i="72" l="1"/>
  <c r="V36" i="72"/>
  <c r="M36" i="72"/>
  <c r="AD36" i="75"/>
  <c r="V36" i="75"/>
  <c r="M36" i="75"/>
  <c r="E6" i="82"/>
  <c r="E6" i="68"/>
  <c r="AD38" i="84" l="1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F66" i="82" l="1"/>
  <c r="E66" i="82"/>
  <c r="F65" i="82"/>
  <c r="E65" i="82"/>
  <c r="F64" i="82"/>
  <c r="E64" i="82"/>
  <c r="F63" i="82"/>
  <c r="E63" i="82"/>
  <c r="F62" i="82"/>
  <c r="E62" i="82"/>
  <c r="F61" i="82"/>
  <c r="E61" i="82"/>
  <c r="F60" i="82"/>
  <c r="E60" i="82"/>
  <c r="F59" i="82"/>
  <c r="E59" i="82"/>
  <c r="F58" i="82"/>
  <c r="E58" i="82"/>
  <c r="F57" i="82"/>
  <c r="E57" i="82"/>
  <c r="F56" i="82"/>
  <c r="E56" i="82"/>
  <c r="F55" i="82"/>
  <c r="E55" i="82"/>
  <c r="F54" i="82"/>
  <c r="E54" i="82"/>
  <c r="F53" i="82"/>
  <c r="E53" i="82"/>
  <c r="F52" i="82"/>
  <c r="E52" i="82"/>
  <c r="F51" i="82"/>
  <c r="E51" i="82"/>
  <c r="F50" i="82"/>
  <c r="E50" i="82"/>
  <c r="F49" i="82"/>
  <c r="E49" i="82"/>
  <c r="F48" i="82"/>
  <c r="E48" i="82"/>
  <c r="F47" i="82"/>
  <c r="E47" i="82"/>
  <c r="F46" i="82"/>
  <c r="E46" i="82"/>
  <c r="F45" i="82"/>
  <c r="E45" i="82"/>
  <c r="F44" i="82"/>
  <c r="E44" i="82"/>
  <c r="F43" i="82"/>
  <c r="E43" i="82"/>
  <c r="F42" i="82"/>
  <c r="E42" i="82"/>
  <c r="F41" i="82"/>
  <c r="E41" i="82"/>
  <c r="F40" i="82"/>
  <c r="E40" i="82"/>
  <c r="F39" i="82"/>
  <c r="E39" i="82"/>
  <c r="F38" i="82"/>
  <c r="E38" i="82"/>
  <c r="F37" i="82"/>
  <c r="E37" i="82"/>
  <c r="F36" i="82"/>
  <c r="E36" i="82"/>
  <c r="F35" i="82"/>
  <c r="E35" i="82"/>
  <c r="F34" i="82"/>
  <c r="E34" i="82"/>
  <c r="F33" i="82"/>
  <c r="E33" i="82"/>
  <c r="F32" i="82"/>
  <c r="E32" i="82"/>
  <c r="F31" i="82"/>
  <c r="E31" i="82"/>
  <c r="F30" i="82"/>
  <c r="E30" i="82"/>
  <c r="F29" i="82"/>
  <c r="E29" i="82"/>
  <c r="F28" i="82"/>
  <c r="E28" i="82"/>
  <c r="F27" i="82"/>
  <c r="E27" i="82"/>
  <c r="F26" i="82"/>
  <c r="E26" i="82"/>
  <c r="F25" i="82"/>
  <c r="E25" i="82"/>
  <c r="F24" i="82"/>
  <c r="E24" i="82"/>
  <c r="F23" i="82"/>
  <c r="E23" i="82"/>
  <c r="F22" i="82"/>
  <c r="E22" i="82"/>
  <c r="F21" i="82"/>
  <c r="E21" i="82"/>
  <c r="F20" i="82"/>
  <c r="E20" i="82"/>
  <c r="F19" i="82"/>
  <c r="E19" i="82"/>
  <c r="F18" i="82"/>
  <c r="E18" i="82"/>
  <c r="F17" i="82"/>
  <c r="E17" i="82"/>
  <c r="F16" i="82"/>
  <c r="E16" i="82"/>
  <c r="F15" i="82"/>
  <c r="E15" i="82"/>
  <c r="F14" i="82"/>
  <c r="E14" i="82"/>
  <c r="F13" i="82"/>
  <c r="E13" i="82"/>
  <c r="F12" i="82"/>
  <c r="E12" i="82"/>
  <c r="F11" i="82"/>
  <c r="E11" i="82"/>
  <c r="F10" i="82"/>
  <c r="E10" i="82"/>
  <c r="F9" i="82"/>
  <c r="E9" i="82"/>
  <c r="F8" i="82"/>
  <c r="E8" i="82"/>
  <c r="F7" i="82"/>
  <c r="E7" i="82"/>
  <c r="F6" i="82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40" i="80"/>
  <c r="D140" i="80"/>
  <c r="G139" i="80"/>
  <c r="D139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5" i="80"/>
  <c r="D125" i="80"/>
  <c r="G124" i="80"/>
  <c r="D124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7" i="80"/>
  <c r="D107" i="80"/>
  <c r="G106" i="80"/>
  <c r="D106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8" i="80"/>
  <c r="D88" i="80"/>
  <c r="G87" i="80"/>
  <c r="D87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4" i="80"/>
  <c r="D74" i="80"/>
  <c r="G73" i="80"/>
  <c r="D73" i="80"/>
  <c r="H72" i="80"/>
  <c r="D72" i="80"/>
  <c r="G71" i="80"/>
  <c r="D71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51" i="80"/>
  <c r="D51" i="80"/>
  <c r="G50" i="80"/>
  <c r="D50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8" i="80"/>
  <c r="D28" i="80"/>
  <c r="G27" i="80"/>
  <c r="D27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H12" i="80"/>
  <c r="D12" i="80"/>
  <c r="G11" i="80"/>
  <c r="D11" i="80"/>
  <c r="H10" i="80"/>
  <c r="D10" i="80"/>
  <c r="G9" i="80"/>
  <c r="D9" i="80"/>
  <c r="H8" i="80"/>
  <c r="D8" i="80"/>
  <c r="G7" i="80"/>
  <c r="D7" i="80"/>
  <c r="F66" i="76" l="1"/>
  <c r="E66" i="76"/>
  <c r="F65" i="76"/>
  <c r="E65" i="76"/>
  <c r="F64" i="76"/>
  <c r="E64" i="76"/>
  <c r="F63" i="76"/>
  <c r="E63" i="76"/>
  <c r="F62" i="76"/>
  <c r="E62" i="76"/>
  <c r="F61" i="76"/>
  <c r="E61" i="76"/>
  <c r="F60" i="76"/>
  <c r="E60" i="76"/>
  <c r="F59" i="76"/>
  <c r="E59" i="76"/>
  <c r="F58" i="76"/>
  <c r="E58" i="76"/>
  <c r="F57" i="76"/>
  <c r="E57" i="76"/>
  <c r="F56" i="76"/>
  <c r="E56" i="76"/>
  <c r="F55" i="76"/>
  <c r="E55" i="76"/>
  <c r="F54" i="76"/>
  <c r="E54" i="76"/>
  <c r="F53" i="76"/>
  <c r="E53" i="76"/>
  <c r="F52" i="76"/>
  <c r="E52" i="76"/>
  <c r="F51" i="76"/>
  <c r="E51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4" i="76"/>
  <c r="E34" i="76"/>
  <c r="F33" i="76"/>
  <c r="E33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10" i="76"/>
  <c r="E10" i="76"/>
  <c r="F9" i="76"/>
  <c r="E9" i="76"/>
  <c r="F8" i="76"/>
  <c r="E8" i="76"/>
  <c r="F7" i="76"/>
  <c r="E7" i="76"/>
  <c r="F6" i="76"/>
  <c r="E6" i="76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40" i="78"/>
  <c r="D140" i="78"/>
  <c r="G139" i="78"/>
  <c r="D139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5" i="78"/>
  <c r="D125" i="78"/>
  <c r="G124" i="78"/>
  <c r="D124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7" i="78"/>
  <c r="D107" i="78"/>
  <c r="G106" i="78"/>
  <c r="D106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8" i="78"/>
  <c r="D88" i="78"/>
  <c r="G87" i="78"/>
  <c r="D87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4" i="78"/>
  <c r="D74" i="78"/>
  <c r="G73" i="78"/>
  <c r="D73" i="78"/>
  <c r="H72" i="78"/>
  <c r="D72" i="78"/>
  <c r="G71" i="78"/>
  <c r="D71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51" i="78"/>
  <c r="D51" i="78"/>
  <c r="G50" i="78"/>
  <c r="D50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8" i="78"/>
  <c r="D28" i="78"/>
  <c r="G27" i="78"/>
  <c r="D27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H12" i="78"/>
  <c r="D12" i="78"/>
  <c r="G11" i="78"/>
  <c r="D11" i="78"/>
  <c r="H10" i="78"/>
  <c r="D10" i="78"/>
  <c r="G9" i="78"/>
  <c r="D9" i="78"/>
  <c r="H8" i="78"/>
  <c r="D8" i="78"/>
  <c r="G7" i="78"/>
  <c r="D7" i="78"/>
  <c r="D7" i="66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J35" i="72" l="1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E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I210" i="66"/>
  <c r="G210" i="66"/>
  <c r="I209" i="66"/>
  <c r="G209" i="66"/>
  <c r="I208" i="66"/>
  <c r="G208" i="66"/>
  <c r="I207" i="66"/>
  <c r="G207" i="66"/>
  <c r="I205" i="66"/>
  <c r="G205" i="66"/>
  <c r="I204" i="66"/>
  <c r="G204" i="66"/>
  <c r="I201" i="66"/>
  <c r="G201" i="66"/>
  <c r="I200" i="66"/>
  <c r="G200" i="66"/>
  <c r="I199" i="66"/>
  <c r="G199" i="66"/>
  <c r="I198" i="66"/>
  <c r="G198" i="66"/>
  <c r="I197" i="66"/>
  <c r="G197" i="66"/>
  <c r="I196" i="66"/>
  <c r="G196" i="66"/>
  <c r="I195" i="66"/>
  <c r="G195" i="66"/>
  <c r="I194" i="66"/>
  <c r="G194" i="66"/>
  <c r="I193" i="66"/>
  <c r="G193" i="66"/>
  <c r="I192" i="66"/>
  <c r="G192" i="66"/>
  <c r="I190" i="66"/>
  <c r="G190" i="66"/>
  <c r="I189" i="66"/>
  <c r="G189" i="66"/>
  <c r="I188" i="66"/>
  <c r="G188" i="66"/>
  <c r="I187" i="66"/>
  <c r="G187" i="66"/>
  <c r="I186" i="66"/>
  <c r="G186" i="66"/>
  <c r="I185" i="66"/>
  <c r="G185" i="66"/>
  <c r="I184" i="66"/>
  <c r="G184" i="66"/>
  <c r="I183" i="66"/>
  <c r="G183" i="66"/>
  <c r="I182" i="66"/>
  <c r="G182" i="66"/>
  <c r="I181" i="66"/>
  <c r="G181" i="66"/>
  <c r="I180" i="66"/>
  <c r="G180" i="66"/>
  <c r="I177" i="66"/>
  <c r="G177" i="66"/>
  <c r="I176" i="66"/>
  <c r="G176" i="66"/>
  <c r="I175" i="66"/>
  <c r="G175" i="66"/>
  <c r="I174" i="66"/>
  <c r="G174" i="66"/>
  <c r="I170" i="66"/>
  <c r="G170" i="66"/>
  <c r="I169" i="66"/>
  <c r="G169" i="66"/>
  <c r="I167" i="66"/>
  <c r="G167" i="66"/>
  <c r="I166" i="66"/>
  <c r="G166" i="66"/>
  <c r="I165" i="66"/>
  <c r="G165" i="66"/>
  <c r="I163" i="66"/>
  <c r="G163" i="66"/>
  <c r="I162" i="66"/>
  <c r="G162" i="66"/>
  <c r="I161" i="66"/>
  <c r="G161" i="66"/>
  <c r="I160" i="66"/>
  <c r="G160" i="66"/>
  <c r="I159" i="66"/>
  <c r="G159" i="66"/>
  <c r="I158" i="66"/>
  <c r="G158" i="66"/>
  <c r="I156" i="66"/>
  <c r="G156" i="66"/>
  <c r="I155" i="66"/>
  <c r="G155" i="66"/>
  <c r="I154" i="66"/>
  <c r="G154" i="66"/>
  <c r="I153" i="66"/>
  <c r="G153" i="66"/>
  <c r="H148" i="66"/>
  <c r="D148" i="66"/>
  <c r="G147" i="66"/>
  <c r="D147" i="66"/>
  <c r="H146" i="66"/>
  <c r="D146" i="66"/>
  <c r="G145" i="66"/>
  <c r="D145" i="66"/>
  <c r="H144" i="66"/>
  <c r="D144" i="66"/>
  <c r="D143" i="66"/>
  <c r="H142" i="66"/>
  <c r="D142" i="66"/>
  <c r="D141" i="66"/>
  <c r="D138" i="66"/>
  <c r="D137" i="66"/>
  <c r="D136" i="66"/>
  <c r="D135" i="66"/>
  <c r="H134" i="66"/>
  <c r="D134" i="66"/>
  <c r="D133" i="66"/>
  <c r="H132" i="66"/>
  <c r="D132" i="66"/>
  <c r="D131" i="66"/>
  <c r="H127" i="66"/>
  <c r="D127" i="66"/>
  <c r="D126" i="66"/>
  <c r="D124" i="66"/>
  <c r="H123" i="66"/>
  <c r="D123" i="66"/>
  <c r="D122" i="66"/>
  <c r="H121" i="66"/>
  <c r="D121" i="66"/>
  <c r="D120" i="66"/>
  <c r="H119" i="66"/>
  <c r="D119" i="66"/>
  <c r="D118" i="66"/>
  <c r="H117" i="66"/>
  <c r="D117" i="66"/>
  <c r="D116" i="66"/>
  <c r="H115" i="66"/>
  <c r="D115" i="66"/>
  <c r="D114" i="66"/>
  <c r="H113" i="66"/>
  <c r="D113" i="66"/>
  <c r="D112" i="66"/>
  <c r="H111" i="66"/>
  <c r="D111" i="66"/>
  <c r="D110" i="66"/>
  <c r="H109" i="66"/>
  <c r="D109" i="66"/>
  <c r="D108" i="66"/>
  <c r="H105" i="66"/>
  <c r="D105" i="66"/>
  <c r="D104" i="66"/>
  <c r="H103" i="66"/>
  <c r="D103" i="66"/>
  <c r="D102" i="66"/>
  <c r="H101" i="66"/>
  <c r="D101" i="66"/>
  <c r="G100" i="66"/>
  <c r="D100" i="66"/>
  <c r="H99" i="66"/>
  <c r="D99" i="66"/>
  <c r="G98" i="66"/>
  <c r="D98" i="66"/>
  <c r="H94" i="66"/>
  <c r="D94" i="66"/>
  <c r="D93" i="66"/>
  <c r="H92" i="66"/>
  <c r="D92" i="66"/>
  <c r="D91" i="66"/>
  <c r="H90" i="66"/>
  <c r="D90" i="66"/>
  <c r="G89" i="66"/>
  <c r="D89" i="66"/>
  <c r="H86" i="66"/>
  <c r="D86" i="66"/>
  <c r="D85" i="66"/>
  <c r="H84" i="66"/>
  <c r="D84" i="66"/>
  <c r="D83" i="66"/>
  <c r="H82" i="66"/>
  <c r="D82" i="66"/>
  <c r="D81" i="66"/>
  <c r="H80" i="66"/>
  <c r="D80" i="66"/>
  <c r="D79" i="66"/>
  <c r="H78" i="66"/>
  <c r="D78" i="66"/>
  <c r="D77" i="66"/>
  <c r="H76" i="66"/>
  <c r="D76" i="66"/>
  <c r="D75" i="66"/>
  <c r="H70" i="66"/>
  <c r="D70" i="66"/>
  <c r="D69" i="66"/>
  <c r="H68" i="66"/>
  <c r="D68" i="66"/>
  <c r="D67" i="66"/>
  <c r="H63" i="66"/>
  <c r="D63" i="66"/>
  <c r="D62" i="66"/>
  <c r="H61" i="66"/>
  <c r="D61" i="66"/>
  <c r="D60" i="66"/>
  <c r="H59" i="66"/>
  <c r="D59" i="66"/>
  <c r="D58" i="66"/>
  <c r="H57" i="66"/>
  <c r="D57" i="66"/>
  <c r="D56" i="66"/>
  <c r="H55" i="66"/>
  <c r="D55" i="66"/>
  <c r="D54" i="66"/>
  <c r="H53" i="66"/>
  <c r="D53" i="66"/>
  <c r="D52" i="66"/>
  <c r="H49" i="66"/>
  <c r="D49" i="66"/>
  <c r="D48" i="66"/>
  <c r="H47" i="66"/>
  <c r="D47" i="66"/>
  <c r="D46" i="66"/>
  <c r="H45" i="66"/>
  <c r="D45" i="66"/>
  <c r="D44" i="66"/>
  <c r="H43" i="66"/>
  <c r="D43" i="66"/>
  <c r="D42" i="66"/>
  <c r="H41" i="66"/>
  <c r="D41" i="66"/>
  <c r="D40" i="66"/>
  <c r="H39" i="66"/>
  <c r="D39" i="66"/>
  <c r="D38" i="66"/>
  <c r="H37" i="66"/>
  <c r="D37" i="66"/>
  <c r="D36" i="66"/>
  <c r="H32" i="66"/>
  <c r="D32" i="66"/>
  <c r="D31" i="66"/>
  <c r="H30" i="66"/>
  <c r="D30" i="66"/>
  <c r="D29" i="66"/>
  <c r="D27" i="66"/>
  <c r="H26" i="66"/>
  <c r="D26" i="66"/>
  <c r="D25" i="66"/>
  <c r="H24" i="66"/>
  <c r="D24" i="66"/>
  <c r="D23" i="66"/>
  <c r="H22" i="66"/>
  <c r="D22" i="66"/>
  <c r="D21" i="66"/>
  <c r="H20" i="66"/>
  <c r="D20" i="66"/>
  <c r="D19" i="66"/>
  <c r="H18" i="66"/>
  <c r="D18" i="66"/>
  <c r="D17" i="66"/>
  <c r="H16" i="66"/>
  <c r="D16" i="66"/>
  <c r="D15" i="66"/>
  <c r="H14" i="66"/>
  <c r="D14" i="66"/>
  <c r="D13" i="66"/>
  <c r="AC38" i="65"/>
  <c r="U38" i="65"/>
  <c r="L38" i="65"/>
  <c r="J37" i="65"/>
  <c r="I37" i="65"/>
  <c r="H37" i="65"/>
  <c r="G37" i="65"/>
  <c r="E37" i="65"/>
  <c r="D37" i="65"/>
  <c r="B37" i="65"/>
  <c r="A37" i="65"/>
  <c r="J34" i="65"/>
  <c r="I34" i="65"/>
  <c r="H34" i="65"/>
  <c r="G34" i="65"/>
  <c r="E34" i="65"/>
  <c r="D34" i="65"/>
  <c r="B34" i="65"/>
  <c r="A34" i="65"/>
  <c r="AK31" i="65"/>
  <c r="AJ31" i="65"/>
  <c r="AI31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H31" i="65"/>
  <c r="G31" i="65"/>
  <c r="F31" i="65"/>
  <c r="E31" i="65"/>
  <c r="D31" i="65"/>
  <c r="C31" i="65"/>
  <c r="B31" i="65"/>
  <c r="A31" i="65"/>
  <c r="AA29" i="65"/>
  <c r="Z29" i="65"/>
  <c r="Y29" i="65"/>
  <c r="X29" i="65"/>
  <c r="W29" i="65"/>
  <c r="V29" i="65"/>
  <c r="U29" i="65"/>
  <c r="T29" i="65"/>
  <c r="R29" i="65"/>
  <c r="Q29" i="65"/>
  <c r="P29" i="65"/>
  <c r="M29" i="65"/>
  <c r="L29" i="65"/>
  <c r="K29" i="65"/>
  <c r="J29" i="65"/>
  <c r="I29" i="65"/>
  <c r="H29" i="65"/>
  <c r="G29" i="65"/>
  <c r="F29" i="65"/>
  <c r="D29" i="65"/>
  <c r="C29" i="65"/>
  <c r="B29" i="65"/>
  <c r="AK27" i="65"/>
  <c r="AJ27" i="65"/>
  <c r="AI27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M27" i="65"/>
  <c r="L27" i="65"/>
  <c r="K27" i="65"/>
  <c r="J27" i="65"/>
  <c r="I27" i="65"/>
  <c r="H27" i="65"/>
  <c r="G27" i="65"/>
  <c r="E27" i="65"/>
  <c r="D27" i="65"/>
  <c r="C27" i="65"/>
  <c r="B27" i="65"/>
  <c r="A27" i="65"/>
  <c r="AK25" i="65"/>
  <c r="AJ25" i="65"/>
  <c r="AI25" i="65"/>
  <c r="AH25" i="65"/>
  <c r="AG25" i="65"/>
  <c r="AF25" i="65"/>
  <c r="AE25" i="65"/>
  <c r="AD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I25" i="65"/>
  <c r="H25" i="65"/>
  <c r="G25" i="65"/>
  <c r="F25" i="65"/>
  <c r="E25" i="65"/>
  <c r="D25" i="65"/>
  <c r="C25" i="65"/>
  <c r="B25" i="65"/>
  <c r="A25" i="65"/>
  <c r="AK22" i="65"/>
  <c r="AJ22" i="65"/>
  <c r="AI22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H22" i="65"/>
  <c r="G22" i="65"/>
  <c r="AK20" i="65"/>
  <c r="AJ20" i="65"/>
  <c r="AI20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M20" i="65"/>
  <c r="L20" i="65"/>
  <c r="K20" i="65"/>
  <c r="J20" i="65"/>
  <c r="I20" i="65"/>
  <c r="H20" i="65"/>
  <c r="G20" i="65"/>
  <c r="F20" i="65"/>
  <c r="E20" i="65"/>
  <c r="D20" i="65"/>
  <c r="C20" i="65"/>
  <c r="B20" i="65"/>
  <c r="A20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M19" i="65"/>
  <c r="L19" i="65"/>
  <c r="K19" i="65"/>
  <c r="J19" i="65"/>
  <c r="I19" i="65"/>
  <c r="H19" i="65"/>
  <c r="G19" i="65"/>
  <c r="F19" i="65"/>
  <c r="E19" i="65"/>
  <c r="D19" i="65"/>
  <c r="C19" i="65"/>
  <c r="B19" i="65"/>
  <c r="A19" i="65"/>
  <c r="E15" i="65"/>
  <c r="B15" i="65"/>
  <c r="A15" i="65"/>
  <c r="R13" i="65"/>
  <c r="L13" i="65"/>
  <c r="H13" i="65"/>
  <c r="G13" i="65"/>
  <c r="F13" i="65"/>
  <c r="E13" i="65"/>
  <c r="D13" i="65"/>
  <c r="C13" i="65"/>
  <c r="B13" i="65"/>
  <c r="A13" i="65"/>
  <c r="R12" i="65"/>
  <c r="L12" i="65"/>
  <c r="J11" i="65"/>
  <c r="I11" i="65"/>
  <c r="H11" i="65"/>
  <c r="G11" i="65"/>
  <c r="F11" i="65"/>
  <c r="E11" i="65"/>
  <c r="D11" i="65"/>
  <c r="C11" i="65"/>
  <c r="B11" i="65"/>
  <c r="A11" i="65"/>
  <c r="B22" i="69"/>
  <c r="B19" i="69"/>
  <c r="B18" i="69"/>
  <c r="B16" i="69"/>
  <c r="B14" i="69"/>
  <c r="B13" i="69"/>
  <c r="B12" i="69"/>
  <c r="B11" i="69"/>
  <c r="B9" i="69"/>
  <c r="B8" i="69"/>
  <c r="B6" i="69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R12" i="38"/>
  <c r="Q12" i="38"/>
  <c r="F7" i="38"/>
  <c r="L12" i="38" s="1"/>
  <c r="E7" i="38"/>
  <c r="K12" i="38" s="1"/>
  <c r="D7" i="38"/>
  <c r="J7" i="38" s="1"/>
  <c r="C7" i="38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G7" i="36"/>
  <c r="O7" i="36" s="1"/>
  <c r="F7" i="36"/>
  <c r="N7" i="36" s="1"/>
  <c r="E7" i="36"/>
  <c r="M7" i="36" s="1"/>
  <c r="D7" i="36"/>
  <c r="L7" i="36" s="1"/>
  <c r="C7" i="36"/>
  <c r="K7" i="36" s="1"/>
  <c r="B7" i="36"/>
  <c r="J7" i="36" s="1"/>
  <c r="C8" i="35"/>
  <c r="B8" i="35"/>
  <c r="C13" i="33"/>
  <c r="F13" i="33" s="1"/>
  <c r="B13" i="33"/>
  <c r="E13" i="33" s="1"/>
  <c r="C9" i="33"/>
  <c r="I9" i="33" s="1"/>
  <c r="B9" i="33"/>
  <c r="E9" i="33" s="1"/>
  <c r="C6" i="33"/>
  <c r="B6" i="33"/>
  <c r="H6" i="33" s="1"/>
  <c r="C3" i="33"/>
  <c r="I3" i="33" s="1"/>
  <c r="B3" i="33"/>
  <c r="H3" i="33" s="1"/>
  <c r="H19" i="32"/>
  <c r="I8" i="32"/>
  <c r="H8" i="32"/>
  <c r="I4" i="32"/>
  <c r="H4" i="32"/>
  <c r="C7" i="30"/>
  <c r="C9" i="30" s="1"/>
  <c r="B7" i="30"/>
  <c r="E7" i="30" s="1"/>
  <c r="C8" i="28"/>
  <c r="B8" i="28"/>
  <c r="E8" i="28" s="1"/>
  <c r="C5" i="28"/>
  <c r="F5" i="28" s="1"/>
  <c r="B5" i="28"/>
  <c r="E5" i="28" s="1"/>
  <c r="F35" i="27"/>
  <c r="F34" i="27"/>
  <c r="L34" i="27" s="1"/>
  <c r="F33" i="27"/>
  <c r="F32" i="27"/>
  <c r="L32" i="27" s="1"/>
  <c r="F31" i="27"/>
  <c r="L31" i="27" s="1"/>
  <c r="F30" i="27"/>
  <c r="L30" i="27" s="1"/>
  <c r="E29" i="27"/>
  <c r="K29" i="27" s="1"/>
  <c r="D29" i="27"/>
  <c r="J29" i="27" s="1"/>
  <c r="C29" i="27"/>
  <c r="I29" i="27" s="1"/>
  <c r="B29" i="27"/>
  <c r="H29" i="27" s="1"/>
  <c r="F28" i="27"/>
  <c r="N10" i="27" s="1"/>
  <c r="F27" i="27"/>
  <c r="L27" i="27" s="1"/>
  <c r="F26" i="27"/>
  <c r="L26" i="27" s="1"/>
  <c r="F25" i="27"/>
  <c r="L25" i="27" s="1"/>
  <c r="F24" i="27"/>
  <c r="N6" i="27" s="1"/>
  <c r="E23" i="27"/>
  <c r="K23" i="27" s="1"/>
  <c r="D23" i="27"/>
  <c r="J23" i="27" s="1"/>
  <c r="C23" i="27"/>
  <c r="I23" i="27" s="1"/>
  <c r="B23" i="27"/>
  <c r="H23" i="27" s="1"/>
  <c r="F17" i="27"/>
  <c r="L17" i="27" s="1"/>
  <c r="N16" i="27"/>
  <c r="F16" i="27"/>
  <c r="L16" i="27" s="1"/>
  <c r="F15" i="27"/>
  <c r="L15" i="27" s="1"/>
  <c r="F14" i="27"/>
  <c r="L14" i="27" s="1"/>
  <c r="N13" i="27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H11" i="27" s="1"/>
  <c r="F10" i="27"/>
  <c r="L10" i="27" s="1"/>
  <c r="F9" i="27"/>
  <c r="L9" i="27" s="1"/>
  <c r="F8" i="27"/>
  <c r="L8" i="27" s="1"/>
  <c r="N7" i="27"/>
  <c r="F7" i="27"/>
  <c r="L7" i="27" s="1"/>
  <c r="F6" i="27"/>
  <c r="L6" i="27" s="1"/>
  <c r="E5" i="27"/>
  <c r="K5" i="27" s="1"/>
  <c r="D5" i="27"/>
  <c r="J5" i="27" s="1"/>
  <c r="C5" i="27"/>
  <c r="I5" i="27" s="1"/>
  <c r="B5" i="27"/>
  <c r="F44" i="50"/>
  <c r="I44" i="50" s="1"/>
  <c r="F43" i="50"/>
  <c r="F42" i="50"/>
  <c r="I42" i="50" s="1"/>
  <c r="F41" i="50"/>
  <c r="I41" i="50" s="1"/>
  <c r="F40" i="50"/>
  <c r="I40" i="50" s="1"/>
  <c r="F39" i="50"/>
  <c r="M39" i="50" s="1"/>
  <c r="F38" i="50"/>
  <c r="I38" i="50" s="1"/>
  <c r="F37" i="50"/>
  <c r="K15" i="50" s="1"/>
  <c r="F36" i="50"/>
  <c r="I36" i="50" s="1"/>
  <c r="F35" i="50"/>
  <c r="M35" i="50" s="1"/>
  <c r="F34" i="50"/>
  <c r="M34" i="50" s="1"/>
  <c r="F33" i="50"/>
  <c r="F32" i="50"/>
  <c r="M32" i="50" s="1"/>
  <c r="F31" i="50"/>
  <c r="F30" i="50"/>
  <c r="M30" i="50" s="1"/>
  <c r="F29" i="50"/>
  <c r="M29" i="50" s="1"/>
  <c r="F28" i="50"/>
  <c r="F27" i="50"/>
  <c r="I27" i="50" s="1"/>
  <c r="F22" i="50"/>
  <c r="I22" i="50" s="1"/>
  <c r="F21" i="50"/>
  <c r="I21" i="50" s="1"/>
  <c r="K20" i="50"/>
  <c r="F20" i="50"/>
  <c r="I20" i="50" s="1"/>
  <c r="F19" i="50"/>
  <c r="I19" i="50" s="1"/>
  <c r="F18" i="50"/>
  <c r="F17" i="50"/>
  <c r="M17" i="50" s="1"/>
  <c r="K16" i="50"/>
  <c r="F16" i="50"/>
  <c r="M16" i="50" s="1"/>
  <c r="F15" i="50"/>
  <c r="F14" i="50"/>
  <c r="M14" i="50" s="1"/>
  <c r="F13" i="50"/>
  <c r="M13" i="50" s="1"/>
  <c r="K12" i="50"/>
  <c r="F12" i="50"/>
  <c r="M12" i="50" s="1"/>
  <c r="F11" i="50"/>
  <c r="F10" i="50"/>
  <c r="M10" i="50" s="1"/>
  <c r="F9" i="50"/>
  <c r="M9" i="50" s="1"/>
  <c r="K8" i="50"/>
  <c r="F8" i="50"/>
  <c r="F7" i="50"/>
  <c r="F6" i="50"/>
  <c r="M6" i="50" s="1"/>
  <c r="K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C12" i="24"/>
  <c r="I12" i="24" s="1"/>
  <c r="B12" i="24"/>
  <c r="C9" i="24"/>
  <c r="F9" i="24" s="1"/>
  <c r="B9" i="24"/>
  <c r="C6" i="24"/>
  <c r="I6" i="24" s="1"/>
  <c r="B6" i="24"/>
  <c r="H6" i="24" s="1"/>
  <c r="C3" i="24"/>
  <c r="F3" i="24" s="1"/>
  <c r="B3" i="24"/>
  <c r="E5" i="21"/>
  <c r="L5" i="21" s="1"/>
  <c r="D5" i="21"/>
  <c r="K5" i="21" s="1"/>
  <c r="C5" i="21"/>
  <c r="J5" i="21" s="1"/>
  <c r="B5" i="21"/>
  <c r="I5" i="21" s="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E9" i="55"/>
  <c r="J9" i="55" s="1"/>
  <c r="E8" i="55"/>
  <c r="J8" i="55" s="1"/>
  <c r="E7" i="55"/>
  <c r="E13" i="55" s="1"/>
  <c r="J13" i="55" s="1"/>
  <c r="C8" i="20"/>
  <c r="I8" i="20" s="1"/>
  <c r="B8" i="20"/>
  <c r="H8" i="20" s="1"/>
  <c r="I6" i="20"/>
  <c r="H6" i="20"/>
  <c r="I5" i="20"/>
  <c r="H5" i="20"/>
  <c r="I4" i="20"/>
  <c r="I7" i="20" s="1"/>
  <c r="H4" i="20"/>
  <c r="H7" i="20" s="1"/>
  <c r="C10" i="54"/>
  <c r="B10" i="54"/>
  <c r="C7" i="54"/>
  <c r="F7" i="54" s="1"/>
  <c r="B7" i="54"/>
  <c r="H7" i="54" s="1"/>
  <c r="C19" i="18"/>
  <c r="G19" i="18" s="1"/>
  <c r="B19" i="18"/>
  <c r="F19" i="18" s="1"/>
  <c r="D18" i="18"/>
  <c r="D17" i="18"/>
  <c r="D16" i="18"/>
  <c r="J16" i="18" s="1"/>
  <c r="D15" i="18"/>
  <c r="J15" i="18" s="1"/>
  <c r="D14" i="18"/>
  <c r="J14" i="18" s="1"/>
  <c r="D13" i="18"/>
  <c r="D12" i="18"/>
  <c r="H12" i="18" s="1"/>
  <c r="C10" i="18"/>
  <c r="G10" i="18" s="1"/>
  <c r="B10" i="18"/>
  <c r="F10" i="18" s="1"/>
  <c r="D9" i="18"/>
  <c r="D8" i="18"/>
  <c r="D7" i="18"/>
  <c r="J7" i="18" s="1"/>
  <c r="D6" i="18"/>
  <c r="H6" i="18" s="1"/>
  <c r="D5" i="18"/>
  <c r="J5" i="18" s="1"/>
  <c r="E9" i="17"/>
  <c r="D9" i="17"/>
  <c r="C9" i="17"/>
  <c r="B9" i="17"/>
  <c r="F8" i="17"/>
  <c r="N8" i="17" s="1"/>
  <c r="F7" i="17"/>
  <c r="L7" i="17" s="1"/>
  <c r="F6" i="17"/>
  <c r="N6" i="17" s="1"/>
  <c r="F5" i="17"/>
  <c r="F4" i="17"/>
  <c r="L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F11" i="14"/>
  <c r="N11" i="14" s="1"/>
  <c r="F10" i="14"/>
  <c r="L10" i="14" s="1"/>
  <c r="F9" i="14"/>
  <c r="N9" i="14" s="1"/>
  <c r="F8" i="14"/>
  <c r="N8" i="14" s="1"/>
  <c r="F7" i="14"/>
  <c r="F6" i="14"/>
  <c r="L6" i="14" s="1"/>
  <c r="F5" i="14"/>
  <c r="E7" i="13"/>
  <c r="K7" i="13" s="1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G6" i="12"/>
  <c r="M6" i="12" s="1"/>
  <c r="G5" i="12"/>
  <c r="M5" i="12" s="1"/>
  <c r="G4" i="12"/>
  <c r="M4" i="12" s="1"/>
  <c r="G3" i="12"/>
  <c r="F19" i="11"/>
  <c r="I46" i="9"/>
  <c r="S46" i="9" s="1"/>
  <c r="H46" i="9"/>
  <c r="R46" i="9" s="1"/>
  <c r="G46" i="9"/>
  <c r="Q46" i="9" s="1"/>
  <c r="F46" i="9"/>
  <c r="P46" i="9" s="1"/>
  <c r="E46" i="9"/>
  <c r="O46" i="9" s="1"/>
  <c r="D46" i="9"/>
  <c r="N46" i="9" s="1"/>
  <c r="C46" i="9"/>
  <c r="M46" i="9" s="1"/>
  <c r="B46" i="9"/>
  <c r="L46" i="9" s="1"/>
  <c r="I44" i="9"/>
  <c r="S44" i="9" s="1"/>
  <c r="H44" i="9"/>
  <c r="R44" i="9" s="1"/>
  <c r="G44" i="9"/>
  <c r="F44" i="9"/>
  <c r="P44" i="9" s="1"/>
  <c r="E44" i="9"/>
  <c r="O44" i="9" s="1"/>
  <c r="D44" i="9"/>
  <c r="N44" i="9" s="1"/>
  <c r="C44" i="9"/>
  <c r="W17" i="9" s="1"/>
  <c r="B44" i="9"/>
  <c r="L44" i="9" s="1"/>
  <c r="J43" i="9"/>
  <c r="T43" i="9" s="1"/>
  <c r="J42" i="9"/>
  <c r="T42" i="9" s="1"/>
  <c r="J41" i="9"/>
  <c r="I39" i="9"/>
  <c r="S39" i="9" s="1"/>
  <c r="H39" i="9"/>
  <c r="G39" i="9"/>
  <c r="Q39" i="9" s="1"/>
  <c r="F39" i="9"/>
  <c r="P39" i="9" s="1"/>
  <c r="E39" i="9"/>
  <c r="O39" i="9" s="1"/>
  <c r="D39" i="9"/>
  <c r="C39" i="9"/>
  <c r="M39" i="9" s="1"/>
  <c r="B39" i="9"/>
  <c r="L39" i="9" s="1"/>
  <c r="J38" i="9"/>
  <c r="T38" i="9" s="1"/>
  <c r="J37" i="9"/>
  <c r="T37" i="9" s="1"/>
  <c r="J36" i="9"/>
  <c r="I34" i="9"/>
  <c r="S34" i="9" s="1"/>
  <c r="H34" i="9"/>
  <c r="G34" i="9"/>
  <c r="Q34" i="9" s="1"/>
  <c r="F34" i="9"/>
  <c r="Z6" i="9" s="1"/>
  <c r="E34" i="9"/>
  <c r="O34" i="9" s="1"/>
  <c r="D34" i="9"/>
  <c r="C34" i="9"/>
  <c r="B34" i="9"/>
  <c r="V6" i="9" s="1"/>
  <c r="J33" i="9"/>
  <c r="T33" i="9" s="1"/>
  <c r="J32" i="9"/>
  <c r="T32" i="9" s="1"/>
  <c r="J31" i="9"/>
  <c r="T31" i="9" s="1"/>
  <c r="J30" i="9"/>
  <c r="T30" i="9" s="1"/>
  <c r="I22" i="9"/>
  <c r="S22" i="9" s="1"/>
  <c r="H22" i="9"/>
  <c r="R22" i="9" s="1"/>
  <c r="G22" i="9"/>
  <c r="Q22" i="9" s="1"/>
  <c r="F22" i="9"/>
  <c r="E22" i="9"/>
  <c r="D22" i="9"/>
  <c r="N22" i="9" s="1"/>
  <c r="C22" i="9"/>
  <c r="M22" i="9" s="1"/>
  <c r="B22" i="9"/>
  <c r="I20" i="9"/>
  <c r="S20" i="9" s="1"/>
  <c r="H20" i="9"/>
  <c r="R20" i="9" s="1"/>
  <c r="G20" i="9"/>
  <c r="Q20" i="9" s="1"/>
  <c r="F20" i="9"/>
  <c r="P20" i="9" s="1"/>
  <c r="E20" i="9"/>
  <c r="O20" i="9" s="1"/>
  <c r="D20" i="9"/>
  <c r="N20" i="9" s="1"/>
  <c r="C20" i="9"/>
  <c r="B20" i="9"/>
  <c r="L20" i="9" s="1"/>
  <c r="J19" i="9"/>
  <c r="T19" i="9" s="1"/>
  <c r="T18" i="9"/>
  <c r="J18" i="9"/>
  <c r="AB17" i="9"/>
  <c r="Z17" i="9"/>
  <c r="J17" i="9"/>
  <c r="I15" i="9"/>
  <c r="H15" i="9"/>
  <c r="G15" i="9"/>
  <c r="Q15" i="9" s="1"/>
  <c r="F15" i="9"/>
  <c r="E15" i="9"/>
  <c r="D15" i="9"/>
  <c r="C15" i="9"/>
  <c r="M15" i="9" s="1"/>
  <c r="B15" i="9"/>
  <c r="J14" i="9"/>
  <c r="T14" i="9" s="1"/>
  <c r="J13" i="9"/>
  <c r="T13" i="9" s="1"/>
  <c r="W12" i="9"/>
  <c r="V12" i="9"/>
  <c r="J12" i="9"/>
  <c r="T12" i="9" s="1"/>
  <c r="I10" i="9"/>
  <c r="AM10" i="9" s="1"/>
  <c r="H10" i="9"/>
  <c r="G10" i="9"/>
  <c r="Q10" i="9" s="1"/>
  <c r="F10" i="9"/>
  <c r="E10" i="9"/>
  <c r="AI10" i="9" s="1"/>
  <c r="D10" i="9"/>
  <c r="C10" i="9"/>
  <c r="B10" i="9"/>
  <c r="AF10" i="9" s="1"/>
  <c r="J9" i="9"/>
  <c r="T9" i="9" s="1"/>
  <c r="J8" i="9"/>
  <c r="T8" i="9" s="1"/>
  <c r="J7" i="9"/>
  <c r="W6" i="9"/>
  <c r="J6" i="9"/>
  <c r="T6" i="9" s="1"/>
  <c r="I46" i="7"/>
  <c r="S46" i="7" s="1"/>
  <c r="H46" i="7"/>
  <c r="R46" i="7" s="1"/>
  <c r="G46" i="7"/>
  <c r="Q46" i="7" s="1"/>
  <c r="F46" i="7"/>
  <c r="P46" i="7" s="1"/>
  <c r="E46" i="7"/>
  <c r="O46" i="7" s="1"/>
  <c r="D46" i="7"/>
  <c r="N46" i="7" s="1"/>
  <c r="C46" i="7"/>
  <c r="M46" i="7" s="1"/>
  <c r="B46" i="7"/>
  <c r="L46" i="7" s="1"/>
  <c r="I44" i="7"/>
  <c r="AC17" i="7" s="1"/>
  <c r="H44" i="7"/>
  <c r="R44" i="7" s="1"/>
  <c r="G44" i="7"/>
  <c r="Q44" i="7" s="1"/>
  <c r="F44" i="7"/>
  <c r="Z17" i="7" s="1"/>
  <c r="E44" i="7"/>
  <c r="Y17" i="7" s="1"/>
  <c r="D44" i="7"/>
  <c r="N44" i="7" s="1"/>
  <c r="C44" i="7"/>
  <c r="B44" i="7"/>
  <c r="V17" i="7" s="1"/>
  <c r="J43" i="7"/>
  <c r="T43" i="7" s="1"/>
  <c r="J42" i="7"/>
  <c r="T42" i="7" s="1"/>
  <c r="J41" i="7"/>
  <c r="T41" i="7" s="1"/>
  <c r="I39" i="7"/>
  <c r="S39" i="7" s="1"/>
  <c r="H39" i="7"/>
  <c r="R39" i="7" s="1"/>
  <c r="G39" i="7"/>
  <c r="F39" i="7"/>
  <c r="Z12" i="7" s="1"/>
  <c r="E39" i="7"/>
  <c r="O39" i="7" s="1"/>
  <c r="D39" i="7"/>
  <c r="N39" i="7" s="1"/>
  <c r="C39" i="7"/>
  <c r="B39" i="7"/>
  <c r="L39" i="7" s="1"/>
  <c r="J38" i="7"/>
  <c r="T38" i="7" s="1"/>
  <c r="J37" i="7"/>
  <c r="T37" i="7" s="1"/>
  <c r="J36" i="7"/>
  <c r="T36" i="7" s="1"/>
  <c r="I34" i="7"/>
  <c r="S34" i="7" s="1"/>
  <c r="H34" i="7"/>
  <c r="R34" i="7" s="1"/>
  <c r="G34" i="7"/>
  <c r="G47" i="7" s="1"/>
  <c r="F34" i="7"/>
  <c r="E34" i="7"/>
  <c r="O34" i="7" s="1"/>
  <c r="D34" i="7"/>
  <c r="N34" i="7" s="1"/>
  <c r="C34" i="7"/>
  <c r="B34" i="7"/>
  <c r="J33" i="7"/>
  <c r="T33" i="7" s="1"/>
  <c r="J32" i="7"/>
  <c r="T32" i="7" s="1"/>
  <c r="J31" i="7"/>
  <c r="T31" i="7" s="1"/>
  <c r="J30" i="7"/>
  <c r="J46" i="7" s="1"/>
  <c r="I22" i="7"/>
  <c r="H22" i="7"/>
  <c r="R22" i="7" s="1"/>
  <c r="G22" i="7"/>
  <c r="Q22" i="7" s="1"/>
  <c r="F22" i="7"/>
  <c r="P22" i="7" s="1"/>
  <c r="E22" i="7"/>
  <c r="D22" i="7"/>
  <c r="C22" i="7"/>
  <c r="M22" i="7" s="1"/>
  <c r="B22" i="7"/>
  <c r="L22" i="7" s="1"/>
  <c r="I20" i="7"/>
  <c r="S20" i="7" s="1"/>
  <c r="H20" i="7"/>
  <c r="R20" i="7" s="1"/>
  <c r="G20" i="7"/>
  <c r="Q20" i="7" s="1"/>
  <c r="F20" i="7"/>
  <c r="P20" i="7" s="1"/>
  <c r="E20" i="7"/>
  <c r="O20" i="7" s="1"/>
  <c r="D20" i="7"/>
  <c r="N20" i="7" s="1"/>
  <c r="C20" i="7"/>
  <c r="B20" i="7"/>
  <c r="L20" i="7" s="1"/>
  <c r="J19" i="7"/>
  <c r="T19" i="7" s="1"/>
  <c r="J18" i="7"/>
  <c r="AB17" i="7"/>
  <c r="J17" i="7"/>
  <c r="I15" i="7"/>
  <c r="H15" i="7"/>
  <c r="R15" i="7" s="1"/>
  <c r="G15" i="7"/>
  <c r="F15" i="7"/>
  <c r="E15" i="7"/>
  <c r="D15" i="7"/>
  <c r="C15" i="7"/>
  <c r="M15" i="7" s="1"/>
  <c r="B15" i="7"/>
  <c r="L15" i="7" s="1"/>
  <c r="J14" i="7"/>
  <c r="T14" i="7" s="1"/>
  <c r="J13" i="7"/>
  <c r="T13" i="7" s="1"/>
  <c r="V12" i="7"/>
  <c r="J12" i="7"/>
  <c r="T12" i="7" s="1"/>
  <c r="I10" i="7"/>
  <c r="S10" i="7" s="1"/>
  <c r="H10" i="7"/>
  <c r="AL10" i="7" s="1"/>
  <c r="G10" i="7"/>
  <c r="F10" i="7"/>
  <c r="E10" i="7"/>
  <c r="O10" i="7" s="1"/>
  <c r="D10" i="7"/>
  <c r="AH10" i="7" s="1"/>
  <c r="C10" i="7"/>
  <c r="B10" i="7"/>
  <c r="L10" i="7" s="1"/>
  <c r="J9" i="7"/>
  <c r="T9" i="7" s="1"/>
  <c r="J8" i="7"/>
  <c r="J7" i="7"/>
  <c r="T7" i="7" s="1"/>
  <c r="AC6" i="7"/>
  <c r="Z6" i="7"/>
  <c r="Y6" i="7"/>
  <c r="V6" i="7"/>
  <c r="J6" i="7"/>
  <c r="J22" i="7" s="1"/>
  <c r="H47" i="5"/>
  <c r="Q47" i="5" s="1"/>
  <c r="G47" i="5"/>
  <c r="P47" i="5" s="1"/>
  <c r="F47" i="5"/>
  <c r="O47" i="5" s="1"/>
  <c r="E47" i="5"/>
  <c r="N47" i="5" s="1"/>
  <c r="D47" i="5"/>
  <c r="M47" i="5" s="1"/>
  <c r="C47" i="5"/>
  <c r="L47" i="5" s="1"/>
  <c r="B47" i="5"/>
  <c r="K47" i="5" s="1"/>
  <c r="H45" i="5"/>
  <c r="Q45" i="5" s="1"/>
  <c r="G45" i="5"/>
  <c r="P45" i="5" s="1"/>
  <c r="F45" i="5"/>
  <c r="O45" i="5" s="1"/>
  <c r="E45" i="5"/>
  <c r="N45" i="5" s="1"/>
  <c r="D45" i="5"/>
  <c r="V17" i="5" s="1"/>
  <c r="C45" i="5"/>
  <c r="L45" i="5" s="1"/>
  <c r="B45" i="5"/>
  <c r="K45" i="5" s="1"/>
  <c r="I44" i="5"/>
  <c r="R44" i="5" s="1"/>
  <c r="I43" i="5"/>
  <c r="R43" i="5" s="1"/>
  <c r="I42" i="5"/>
  <c r="H40" i="5"/>
  <c r="Q40" i="5" s="1"/>
  <c r="G40" i="5"/>
  <c r="P40" i="5" s="1"/>
  <c r="F40" i="5"/>
  <c r="O40" i="5" s="1"/>
  <c r="E40" i="5"/>
  <c r="D40" i="5"/>
  <c r="M40" i="5" s="1"/>
  <c r="C40" i="5"/>
  <c r="L40" i="5" s="1"/>
  <c r="B40" i="5"/>
  <c r="T12" i="5" s="1"/>
  <c r="I39" i="5"/>
  <c r="R39" i="5" s="1"/>
  <c r="I38" i="5"/>
  <c r="R38" i="5" s="1"/>
  <c r="I37" i="5"/>
  <c r="H35" i="5"/>
  <c r="Q35" i="5" s="1"/>
  <c r="G35" i="5"/>
  <c r="Y6" i="5" s="1"/>
  <c r="F35" i="5"/>
  <c r="E35" i="5"/>
  <c r="W6" i="5" s="1"/>
  <c r="D35" i="5"/>
  <c r="V6" i="5" s="1"/>
  <c r="C35" i="5"/>
  <c r="U6" i="5" s="1"/>
  <c r="B35" i="5"/>
  <c r="I34" i="5"/>
  <c r="R34" i="5" s="1"/>
  <c r="R33" i="5"/>
  <c r="I33" i="5"/>
  <c r="I32" i="5"/>
  <c r="R32" i="5" s="1"/>
  <c r="I31" i="5"/>
  <c r="R31" i="5" s="1"/>
  <c r="H22" i="5"/>
  <c r="G22" i="5"/>
  <c r="P22" i="5" s="1"/>
  <c r="F22" i="5"/>
  <c r="E22" i="5"/>
  <c r="D22" i="5"/>
  <c r="M22" i="5" s="1"/>
  <c r="C22" i="5"/>
  <c r="B22" i="5"/>
  <c r="K22" i="5" s="1"/>
  <c r="H20" i="5"/>
  <c r="Q20" i="5" s="1"/>
  <c r="G20" i="5"/>
  <c r="P20" i="5" s="1"/>
  <c r="F20" i="5"/>
  <c r="O20" i="5" s="1"/>
  <c r="E20" i="5"/>
  <c r="N20" i="5" s="1"/>
  <c r="D20" i="5"/>
  <c r="M20" i="5" s="1"/>
  <c r="C20" i="5"/>
  <c r="L20" i="5" s="1"/>
  <c r="B20" i="5"/>
  <c r="K20" i="5" s="1"/>
  <c r="I19" i="5"/>
  <c r="R19" i="5" s="1"/>
  <c r="I18" i="5"/>
  <c r="R18" i="5" s="1"/>
  <c r="Y17" i="5"/>
  <c r="X17" i="5"/>
  <c r="T17" i="5"/>
  <c r="I17" i="5"/>
  <c r="H15" i="5"/>
  <c r="G15" i="5"/>
  <c r="F15" i="5"/>
  <c r="O15" i="5" s="1"/>
  <c r="E15" i="5"/>
  <c r="AF15" i="5" s="1"/>
  <c r="D15" i="5"/>
  <c r="C15" i="5"/>
  <c r="B15" i="5"/>
  <c r="K15" i="5" s="1"/>
  <c r="I14" i="5"/>
  <c r="R14" i="5" s="1"/>
  <c r="I13" i="5"/>
  <c r="Z12" i="5"/>
  <c r="Y12" i="5"/>
  <c r="V12" i="5"/>
  <c r="I12" i="5"/>
  <c r="R12" i="5" s="1"/>
  <c r="H10" i="5"/>
  <c r="G10" i="5"/>
  <c r="F10" i="5"/>
  <c r="O10" i="5" s="1"/>
  <c r="E10" i="5"/>
  <c r="D10" i="5"/>
  <c r="C10" i="5"/>
  <c r="B10" i="5"/>
  <c r="K10" i="5" s="1"/>
  <c r="I9" i="5"/>
  <c r="R9" i="5" s="1"/>
  <c r="I8" i="5"/>
  <c r="R8" i="5" s="1"/>
  <c r="I7" i="5"/>
  <c r="R7" i="5" s="1"/>
  <c r="X6" i="5"/>
  <c r="T6" i="5"/>
  <c r="I6" i="5"/>
  <c r="R6" i="5" s="1"/>
  <c r="F9" i="52"/>
  <c r="E9" i="52"/>
  <c r="D9" i="52"/>
  <c r="C9" i="52"/>
  <c r="E10" i="4"/>
  <c r="D10" i="4"/>
  <c r="C10" i="4"/>
  <c r="B10" i="4"/>
  <c r="E88" i="62"/>
  <c r="D88" i="62"/>
  <c r="E61" i="62"/>
  <c r="D61" i="62"/>
  <c r="E29" i="62"/>
  <c r="D29" i="62"/>
  <c r="E15" i="62"/>
  <c r="D15" i="62"/>
  <c r="F60" i="68"/>
  <c r="F59" i="68"/>
  <c r="E59" i="68"/>
  <c r="E53" i="68"/>
  <c r="E51" i="68"/>
  <c r="F17" i="68"/>
  <c r="E17" i="68"/>
  <c r="F13" i="68"/>
  <c r="E13" i="68"/>
  <c r="F9" i="68"/>
  <c r="E9" i="68"/>
  <c r="I206" i="66"/>
  <c r="G206" i="66"/>
  <c r="I203" i="66"/>
  <c r="G203" i="66"/>
  <c r="G202" i="66"/>
  <c r="I191" i="66"/>
  <c r="G191" i="66"/>
  <c r="I178" i="66"/>
  <c r="G178" i="66"/>
  <c r="I173" i="66"/>
  <c r="I172" i="66"/>
  <c r="I168" i="66"/>
  <c r="G168" i="66"/>
  <c r="I164" i="66"/>
  <c r="G164" i="66"/>
  <c r="I157" i="66"/>
  <c r="G157" i="66"/>
  <c r="I152" i="66"/>
  <c r="G143" i="66"/>
  <c r="H140" i="66"/>
  <c r="D140" i="66"/>
  <c r="D139" i="66"/>
  <c r="H138" i="66"/>
  <c r="G137" i="66"/>
  <c r="H136" i="66"/>
  <c r="G135" i="66"/>
  <c r="G133" i="66"/>
  <c r="G131" i="66"/>
  <c r="G126" i="66"/>
  <c r="D125" i="66"/>
  <c r="G122" i="66"/>
  <c r="G120" i="66"/>
  <c r="G118" i="66"/>
  <c r="G116" i="66"/>
  <c r="G114" i="66"/>
  <c r="G112" i="66"/>
  <c r="G110" i="66"/>
  <c r="G108" i="66"/>
  <c r="H107" i="66"/>
  <c r="G106" i="66"/>
  <c r="D107" i="66"/>
  <c r="D106" i="66"/>
  <c r="G104" i="66"/>
  <c r="G102" i="66"/>
  <c r="G93" i="66"/>
  <c r="G91" i="66"/>
  <c r="H88" i="66"/>
  <c r="D88" i="66"/>
  <c r="D87" i="66"/>
  <c r="G85" i="66"/>
  <c r="G83" i="66"/>
  <c r="G81" i="66"/>
  <c r="G79" i="66"/>
  <c r="G77" i="66"/>
  <c r="H74" i="66"/>
  <c r="D74" i="66"/>
  <c r="D73" i="66"/>
  <c r="D72" i="66"/>
  <c r="D71" i="66"/>
  <c r="G69" i="66"/>
  <c r="G67" i="66"/>
  <c r="G62" i="66"/>
  <c r="G60" i="66"/>
  <c r="G58" i="66"/>
  <c r="G56" i="66"/>
  <c r="G54" i="66"/>
  <c r="H51" i="66"/>
  <c r="D51" i="66"/>
  <c r="D50" i="66"/>
  <c r="G48" i="66"/>
  <c r="G46" i="66"/>
  <c r="G44" i="66"/>
  <c r="G42" i="66"/>
  <c r="G40" i="66"/>
  <c r="G38" i="66"/>
  <c r="G36" i="66"/>
  <c r="G31" i="66"/>
  <c r="G29" i="66"/>
  <c r="H28" i="66"/>
  <c r="G25" i="66"/>
  <c r="G23" i="66"/>
  <c r="G21" i="66"/>
  <c r="G19" i="66"/>
  <c r="G17" i="66"/>
  <c r="G15" i="66"/>
  <c r="H12" i="66"/>
  <c r="D12" i="66"/>
  <c r="Q10" i="60"/>
  <c r="Q9" i="60"/>
  <c r="Q8" i="60"/>
  <c r="Q7" i="60"/>
  <c r="Q6" i="60"/>
  <c r="Q5" i="60"/>
  <c r="AP922" i="71"/>
  <c r="AO922" i="71"/>
  <c r="AP921" i="71"/>
  <c r="AO921" i="71"/>
  <c r="AP920" i="71"/>
  <c r="AO920" i="71"/>
  <c r="AP889" i="71"/>
  <c r="AO889" i="71"/>
  <c r="AM889" i="71"/>
  <c r="AL889" i="71"/>
  <c r="AM886" i="71"/>
  <c r="AL886" i="71"/>
  <c r="AP884" i="71"/>
  <c r="AO884" i="71"/>
  <c r="AP883" i="71"/>
  <c r="AO883" i="71"/>
  <c r="AM883" i="71"/>
  <c r="AL883" i="71"/>
  <c r="AM878" i="71"/>
  <c r="AL878" i="71"/>
  <c r="AM874" i="71"/>
  <c r="AL874" i="71"/>
  <c r="AM868" i="71"/>
  <c r="AL868" i="71"/>
  <c r="AP867" i="71"/>
  <c r="AO867" i="71"/>
  <c r="AM867" i="71"/>
  <c r="AL867" i="71"/>
  <c r="X858" i="71"/>
  <c r="N858" i="71"/>
  <c r="AP854" i="71"/>
  <c r="AO854" i="71"/>
  <c r="AP852" i="71"/>
  <c r="AP853" i="71" s="1"/>
  <c r="AO852" i="71"/>
  <c r="AO853" i="71" s="1"/>
  <c r="AP845" i="71"/>
  <c r="AO845" i="71"/>
  <c r="AP840" i="71"/>
  <c r="AO840" i="71"/>
  <c r="AP839" i="71"/>
  <c r="AO839" i="71"/>
  <c r="N813" i="71"/>
  <c r="J813" i="71"/>
  <c r="AD799" i="71"/>
  <c r="AN799" i="71" s="1"/>
  <c r="Z799" i="71"/>
  <c r="AM799" i="71" s="1"/>
  <c r="V799" i="71"/>
  <c r="AL799" i="71" s="1"/>
  <c r="R799" i="71"/>
  <c r="AK799" i="71" s="1"/>
  <c r="N799" i="71"/>
  <c r="AJ799" i="71" s="1"/>
  <c r="J799" i="71"/>
  <c r="AI799" i="71" s="1"/>
  <c r="X782" i="71"/>
  <c r="AP784" i="71" s="1"/>
  <c r="N782" i="71"/>
  <c r="AO784" i="71" s="1"/>
  <c r="AP743" i="71"/>
  <c r="AL743" i="71"/>
  <c r="AM730" i="71"/>
  <c r="AM729" i="71"/>
  <c r="AM724" i="71"/>
  <c r="AM723" i="71"/>
  <c r="AO722" i="71"/>
  <c r="AC721" i="71"/>
  <c r="AL706" i="71" s="1"/>
  <c r="AM716" i="71"/>
  <c r="AM712" i="71"/>
  <c r="AM711" i="71"/>
  <c r="AM710" i="71"/>
  <c r="AM709" i="71"/>
  <c r="AM708" i="71"/>
  <c r="AO707" i="71"/>
  <c r="AC706" i="71"/>
  <c r="AD1007" i="71"/>
  <c r="AM1007" i="71" s="1"/>
  <c r="AD1006" i="71"/>
  <c r="AM1006" i="71" s="1"/>
  <c r="AD1005" i="71"/>
  <c r="AM1005" i="71" s="1"/>
  <c r="AM1004" i="71"/>
  <c r="AD1003" i="71"/>
  <c r="AO1003" i="71" s="1"/>
  <c r="AD1002" i="71"/>
  <c r="AL980" i="71" s="1"/>
  <c r="AD1001" i="71"/>
  <c r="AO1001" i="71" s="1"/>
  <c r="AD1000" i="71"/>
  <c r="AO1000" i="71" s="1"/>
  <c r="AD999" i="71"/>
  <c r="AO999" i="71" s="1"/>
  <c r="AD998" i="71"/>
  <c r="AD997" i="71"/>
  <c r="AM997" i="71" s="1"/>
  <c r="AD996" i="71"/>
  <c r="AO996" i="71" s="1"/>
  <c r="AD995" i="71"/>
  <c r="AO995" i="71" s="1"/>
  <c r="AD994" i="71"/>
  <c r="AD993" i="71"/>
  <c r="AM993" i="71" s="1"/>
  <c r="AD992" i="71"/>
  <c r="AO992" i="71" s="1"/>
  <c r="AD991" i="71"/>
  <c r="AL969" i="71" s="1"/>
  <c r="AD990" i="71"/>
  <c r="AD985" i="71"/>
  <c r="AM985" i="71" s="1"/>
  <c r="AD984" i="71"/>
  <c r="AM984" i="71" s="1"/>
  <c r="AD983" i="71"/>
  <c r="AM983" i="71" s="1"/>
  <c r="AD981" i="71"/>
  <c r="AD979" i="71"/>
  <c r="AD978" i="71"/>
  <c r="AD977" i="71"/>
  <c r="AD976" i="71"/>
  <c r="AD975" i="71"/>
  <c r="AD974" i="71"/>
  <c r="AD973" i="71"/>
  <c r="AD972" i="71"/>
  <c r="AD971" i="71"/>
  <c r="AD970" i="71"/>
  <c r="AD969" i="71"/>
  <c r="AD968" i="71"/>
  <c r="R699" i="71"/>
  <c r="AM699" i="71" s="1"/>
  <c r="R688" i="71"/>
  <c r="AM688" i="71" s="1"/>
  <c r="AD667" i="71"/>
  <c r="AN667" i="71" s="1"/>
  <c r="Z667" i="71"/>
  <c r="AM667" i="71" s="1"/>
  <c r="V667" i="71"/>
  <c r="AL667" i="71" s="1"/>
  <c r="R667" i="71"/>
  <c r="AK667" i="71" s="1"/>
  <c r="N667" i="71"/>
  <c r="AJ667" i="71" s="1"/>
  <c r="J667" i="71"/>
  <c r="AI667" i="71" s="1"/>
  <c r="AP654" i="71"/>
  <c r="AO654" i="71"/>
  <c r="AM654" i="71"/>
  <c r="AL654" i="71"/>
  <c r="AP652" i="71"/>
  <c r="AO652" i="71"/>
  <c r="AM652" i="71"/>
  <c r="AL652" i="71"/>
  <c r="AP650" i="71"/>
  <c r="AO650" i="71"/>
  <c r="AM650" i="71"/>
  <c r="AL650" i="71"/>
  <c r="AP648" i="71"/>
  <c r="AO648" i="71"/>
  <c r="AM648" i="71"/>
  <c r="AL648" i="71"/>
  <c r="Z639" i="71"/>
  <c r="S639" i="71"/>
  <c r="L639" i="71"/>
  <c r="AD621" i="71"/>
  <c r="AM621" i="71" s="1"/>
  <c r="Z621" i="71"/>
  <c r="AL621" i="71" s="1"/>
  <c r="V621" i="71"/>
  <c r="AK621" i="71" s="1"/>
  <c r="R621" i="71"/>
  <c r="AJ621" i="71" s="1"/>
  <c r="N621" i="71"/>
  <c r="AI621" i="71" s="1"/>
  <c r="AM620" i="71"/>
  <c r="AM619" i="71"/>
  <c r="AM613" i="71"/>
  <c r="AL613" i="71"/>
  <c r="AK613" i="71"/>
  <c r="AC613" i="71"/>
  <c r="AO613" i="71" s="1"/>
  <c r="X613" i="71"/>
  <c r="S613" i="71"/>
  <c r="N613" i="71"/>
  <c r="AJ613" i="71" s="1"/>
  <c r="AM612" i="71"/>
  <c r="AM611" i="71"/>
  <c r="AM610" i="71"/>
  <c r="AM609" i="71"/>
  <c r="AM608" i="71"/>
  <c r="AM607" i="71"/>
  <c r="X599" i="71"/>
  <c r="N599" i="71"/>
  <c r="AO599" i="71" s="1"/>
  <c r="AP597" i="71"/>
  <c r="AO597" i="71"/>
  <c r="AP596" i="71"/>
  <c r="AO596" i="71"/>
  <c r="AP595" i="71"/>
  <c r="AP598" i="71" s="1"/>
  <c r="AO595" i="71"/>
  <c r="AO598" i="71" s="1"/>
  <c r="T580" i="71"/>
  <c r="AL580" i="71" s="1"/>
  <c r="M580" i="71"/>
  <c r="AK580" i="71" s="1"/>
  <c r="AA579" i="71"/>
  <c r="AA578" i="71"/>
  <c r="AM578" i="71" s="1"/>
  <c r="AA577" i="71"/>
  <c r="AM577" i="71" s="1"/>
  <c r="AA576" i="71"/>
  <c r="AO576" i="71" s="1"/>
  <c r="AA575" i="71"/>
  <c r="AA574" i="71"/>
  <c r="AM574" i="71" s="1"/>
  <c r="AA573" i="71"/>
  <c r="AO573" i="71" s="1"/>
  <c r="T571" i="71"/>
  <c r="AL571" i="71" s="1"/>
  <c r="M571" i="71"/>
  <c r="AK571" i="71" s="1"/>
  <c r="AA570" i="71"/>
  <c r="AA569" i="71"/>
  <c r="AA568" i="71"/>
  <c r="AM568" i="71" s="1"/>
  <c r="AA567" i="71"/>
  <c r="AO567" i="71" s="1"/>
  <c r="AA566" i="71"/>
  <c r="X537" i="71"/>
  <c r="AL537" i="71" s="1"/>
  <c r="S537" i="71"/>
  <c r="AK537" i="71" s="1"/>
  <c r="N537" i="71"/>
  <c r="AJ537" i="71" s="1"/>
  <c r="I537" i="71"/>
  <c r="AI537" i="71" s="1"/>
  <c r="AC536" i="71"/>
  <c r="AM536" i="71" s="1"/>
  <c r="AC535" i="71"/>
  <c r="AC534" i="71"/>
  <c r="AC533" i="71"/>
  <c r="AC532" i="71"/>
  <c r="AM532" i="71" s="1"/>
  <c r="Z517" i="71"/>
  <c r="AK517" i="71" s="1"/>
  <c r="S517" i="71"/>
  <c r="AJ517" i="71" s="1"/>
  <c r="L517" i="71"/>
  <c r="AI517" i="71" s="1"/>
  <c r="Z506" i="71"/>
  <c r="AK506" i="71" s="1"/>
  <c r="S506" i="71"/>
  <c r="AJ506" i="71" s="1"/>
  <c r="L506" i="71"/>
  <c r="AI506" i="71" s="1"/>
  <c r="X482" i="71"/>
  <c r="AL482" i="71" s="1"/>
  <c r="S482" i="71"/>
  <c r="AK482" i="71" s="1"/>
  <c r="N482" i="71"/>
  <c r="AJ482" i="71" s="1"/>
  <c r="I482" i="71"/>
  <c r="AI482" i="71" s="1"/>
  <c r="AC481" i="71"/>
  <c r="AC480" i="71"/>
  <c r="AM480" i="71" s="1"/>
  <c r="AC479" i="71"/>
  <c r="AC478" i="71"/>
  <c r="AC477" i="71"/>
  <c r="AC476" i="71"/>
  <c r="AM476" i="71" s="1"/>
  <c r="AC475" i="71"/>
  <c r="Y460" i="71"/>
  <c r="AL460" i="71" s="1"/>
  <c r="U460" i="71"/>
  <c r="AK460" i="71" s="1"/>
  <c r="Q460" i="71"/>
  <c r="AJ460" i="71" s="1"/>
  <c r="L460" i="71"/>
  <c r="AI460" i="71" s="1"/>
  <c r="AC459" i="71"/>
  <c r="AM459" i="71" s="1"/>
  <c r="AC458" i="71"/>
  <c r="AM458" i="71" s="1"/>
  <c r="AC457" i="71"/>
  <c r="AM457" i="71" s="1"/>
  <c r="AC456" i="71"/>
  <c r="AM456" i="71" s="1"/>
  <c r="Z450" i="71"/>
  <c r="AL450" i="71" s="1"/>
  <c r="V450" i="71"/>
  <c r="AK450" i="71" s="1"/>
  <c r="R450" i="71"/>
  <c r="AJ450" i="71" s="1"/>
  <c r="N450" i="71"/>
  <c r="AI450" i="71" s="1"/>
  <c r="AD449" i="71"/>
  <c r="AM449" i="71" s="1"/>
  <c r="AD448" i="71"/>
  <c r="AM448" i="71" s="1"/>
  <c r="AD447" i="71"/>
  <c r="AM447" i="71" s="1"/>
  <c r="AD446" i="71"/>
  <c r="AM446" i="71" s="1"/>
  <c r="AC435" i="71"/>
  <c r="AC401" i="71"/>
  <c r="AP401" i="71" s="1"/>
  <c r="Z401" i="71"/>
  <c r="AO401" i="71" s="1"/>
  <c r="W401" i="71"/>
  <c r="AN401" i="71" s="1"/>
  <c r="T401" i="71"/>
  <c r="AM401" i="71" s="1"/>
  <c r="Q401" i="71"/>
  <c r="AL401" i="71" s="1"/>
  <c r="N401" i="71"/>
  <c r="AK401" i="71" s="1"/>
  <c r="K401" i="71"/>
  <c r="AJ401" i="71" s="1"/>
  <c r="H401" i="71"/>
  <c r="AI401" i="71" s="1"/>
  <c r="AY371" i="71"/>
  <c r="AN399" i="71"/>
  <c r="AW371" i="71"/>
  <c r="AK399" i="71"/>
  <c r="AJ399" i="71"/>
  <c r="AQ398" i="71"/>
  <c r="AQ396" i="71"/>
  <c r="AL393" i="71"/>
  <c r="AP393" i="71"/>
  <c r="AM393" i="71"/>
  <c r="AK393" i="71"/>
  <c r="AI393" i="71"/>
  <c r="AQ392" i="71"/>
  <c r="AQ391" i="71"/>
  <c r="AQ390" i="71"/>
  <c r="AM388" i="71"/>
  <c r="AC388" i="71"/>
  <c r="AP388" i="71" s="1"/>
  <c r="Z388" i="71"/>
  <c r="AO388" i="71" s="1"/>
  <c r="W388" i="71"/>
  <c r="T388" i="71"/>
  <c r="Q388" i="71"/>
  <c r="AV360" i="71" s="1"/>
  <c r="N388" i="71"/>
  <c r="AK388" i="71" s="1"/>
  <c r="K388" i="71"/>
  <c r="H388" i="71"/>
  <c r="AF387" i="71"/>
  <c r="AQ387" i="71" s="1"/>
  <c r="AF386" i="71"/>
  <c r="AQ386" i="71" s="1"/>
  <c r="AF385" i="71"/>
  <c r="AQ385" i="71" s="1"/>
  <c r="AF384" i="71"/>
  <c r="AC377" i="71"/>
  <c r="Z377" i="71"/>
  <c r="AO377" i="71" s="1"/>
  <c r="W377" i="71"/>
  <c r="AN377" i="71" s="1"/>
  <c r="T377" i="71"/>
  <c r="AM377" i="71" s="1"/>
  <c r="Q377" i="71"/>
  <c r="N377" i="71"/>
  <c r="K377" i="71"/>
  <c r="AJ377" i="71" s="1"/>
  <c r="H377" i="71"/>
  <c r="AI377" i="71" s="1"/>
  <c r="AC375" i="71"/>
  <c r="AP375" i="71" s="1"/>
  <c r="Z375" i="71"/>
  <c r="AO375" i="71" s="1"/>
  <c r="W375" i="71"/>
  <c r="AN375" i="71" s="1"/>
  <c r="T375" i="71"/>
  <c r="AM375" i="71" s="1"/>
  <c r="Q375" i="71"/>
  <c r="AL375" i="71" s="1"/>
  <c r="N375" i="71"/>
  <c r="AK375" i="71" s="1"/>
  <c r="K375" i="71"/>
  <c r="AJ375" i="71" s="1"/>
  <c r="H375" i="71"/>
  <c r="AF374" i="71"/>
  <c r="AQ374" i="71" s="1"/>
  <c r="AF372" i="71"/>
  <c r="AQ372" i="71" s="1"/>
  <c r="AU371" i="71"/>
  <c r="AT371" i="71"/>
  <c r="AF371" i="71"/>
  <c r="AC369" i="71"/>
  <c r="Z369" i="71"/>
  <c r="AO369" i="71" s="1"/>
  <c r="W369" i="71"/>
  <c r="AN369" i="71" s="1"/>
  <c r="T369" i="71"/>
  <c r="AM369" i="71" s="1"/>
  <c r="Q369" i="71"/>
  <c r="N369" i="71"/>
  <c r="K369" i="71"/>
  <c r="H369" i="71"/>
  <c r="AI369" i="71" s="1"/>
  <c r="AF368" i="71"/>
  <c r="AQ368" i="71" s="1"/>
  <c r="AF367" i="71"/>
  <c r="AQ367" i="71" s="1"/>
  <c r="AZ366" i="71"/>
  <c r="AW366" i="71"/>
  <c r="AV366" i="71"/>
  <c r="AU366" i="71"/>
  <c r="AS366" i="71"/>
  <c r="AF366" i="71"/>
  <c r="AQ366" i="71" s="1"/>
  <c r="AM364" i="71"/>
  <c r="AC364" i="71"/>
  <c r="BJ364" i="71" s="1"/>
  <c r="Z364" i="71"/>
  <c r="BI364" i="71" s="1"/>
  <c r="W364" i="71"/>
  <c r="T364" i="71"/>
  <c r="Q364" i="71"/>
  <c r="BF364" i="71" s="1"/>
  <c r="N364" i="71"/>
  <c r="BE364" i="71" s="1"/>
  <c r="K364" i="71"/>
  <c r="H364" i="71"/>
  <c r="AF363" i="71"/>
  <c r="AQ363" i="71" s="1"/>
  <c r="AF362" i="71"/>
  <c r="AQ362" i="71" s="1"/>
  <c r="AF361" i="71"/>
  <c r="AQ361" i="71" s="1"/>
  <c r="AF360" i="71"/>
  <c r="AC321" i="71"/>
  <c r="AP321" i="71" s="1"/>
  <c r="Z321" i="71"/>
  <c r="AO321" i="71" s="1"/>
  <c r="W321" i="71"/>
  <c r="AN321" i="71" s="1"/>
  <c r="T321" i="71"/>
  <c r="AM321" i="71" s="1"/>
  <c r="Q321" i="71"/>
  <c r="AL321" i="71" s="1"/>
  <c r="N321" i="71"/>
  <c r="AK321" i="71" s="1"/>
  <c r="K321" i="71"/>
  <c r="AJ321" i="71" s="1"/>
  <c r="H321" i="71"/>
  <c r="AI321" i="71" s="1"/>
  <c r="AC319" i="71"/>
  <c r="AZ292" i="71" s="1"/>
  <c r="Z319" i="71"/>
  <c r="AY292" i="71" s="1"/>
  <c r="W319" i="71"/>
  <c r="AN319" i="71" s="1"/>
  <c r="T319" i="71"/>
  <c r="Q319" i="71"/>
  <c r="AV292" i="71" s="1"/>
  <c r="N319" i="71"/>
  <c r="AU292" i="71" s="1"/>
  <c r="K319" i="71"/>
  <c r="AJ319" i="71" s="1"/>
  <c r="H319" i="71"/>
  <c r="AF318" i="71"/>
  <c r="AQ318" i="71" s="1"/>
  <c r="AF317" i="71"/>
  <c r="AQ317" i="71" s="1"/>
  <c r="AF316" i="71"/>
  <c r="AQ316" i="71" s="1"/>
  <c r="AC314" i="71"/>
  <c r="AP314" i="71" s="1"/>
  <c r="Z314" i="71"/>
  <c r="AO314" i="71" s="1"/>
  <c r="W314" i="71"/>
  <c r="T314" i="71"/>
  <c r="AM314" i="71" s="1"/>
  <c r="Q314" i="71"/>
  <c r="AV287" i="71" s="1"/>
  <c r="N314" i="71"/>
  <c r="AK314" i="71" s="1"/>
  <c r="K314" i="71"/>
  <c r="H314" i="71"/>
  <c r="AI314" i="71" s="1"/>
  <c r="AF313" i="71"/>
  <c r="AQ313" i="71" s="1"/>
  <c r="AF312" i="71"/>
  <c r="AQ312" i="71" s="1"/>
  <c r="AF311" i="71"/>
  <c r="AQ311" i="71" s="1"/>
  <c r="AM309" i="71"/>
  <c r="AC309" i="71"/>
  <c r="AP309" i="71" s="1"/>
  <c r="Z309" i="71"/>
  <c r="W309" i="71"/>
  <c r="T309" i="71"/>
  <c r="Q309" i="71"/>
  <c r="AV281" i="71" s="1"/>
  <c r="N309" i="71"/>
  <c r="K309" i="71"/>
  <c r="H309" i="71"/>
  <c r="AF308" i="71"/>
  <c r="AQ308" i="71" s="1"/>
  <c r="AF307" i="71"/>
  <c r="AQ307" i="71" s="1"/>
  <c r="AF306" i="71"/>
  <c r="AQ306" i="71" s="1"/>
  <c r="AF305" i="71"/>
  <c r="AC297" i="71"/>
  <c r="Z297" i="71"/>
  <c r="W297" i="71"/>
  <c r="AN297" i="71" s="1"/>
  <c r="T297" i="71"/>
  <c r="AM297" i="71" s="1"/>
  <c r="Q297" i="71"/>
  <c r="N297" i="71"/>
  <c r="K297" i="71"/>
  <c r="AJ297" i="71" s="1"/>
  <c r="H297" i="71"/>
  <c r="AI297" i="71" s="1"/>
  <c r="AC295" i="71"/>
  <c r="AP295" i="71" s="1"/>
  <c r="Z295" i="71"/>
  <c r="AO295" i="71" s="1"/>
  <c r="W295" i="71"/>
  <c r="AN295" i="71" s="1"/>
  <c r="T295" i="71"/>
  <c r="AM295" i="71" s="1"/>
  <c r="Q295" i="71"/>
  <c r="AL295" i="71" s="1"/>
  <c r="N295" i="71"/>
  <c r="AK295" i="71" s="1"/>
  <c r="K295" i="71"/>
  <c r="AJ295" i="71" s="1"/>
  <c r="H295" i="71"/>
  <c r="AF294" i="71"/>
  <c r="AQ294" i="71" s="1"/>
  <c r="AF293" i="71"/>
  <c r="AQ293" i="71" s="1"/>
  <c r="AF292" i="71"/>
  <c r="AC290" i="71"/>
  <c r="Z290" i="71"/>
  <c r="AO290" i="71" s="1"/>
  <c r="W290" i="71"/>
  <c r="T290" i="71"/>
  <c r="AM290" i="71" s="1"/>
  <c r="Q290" i="71"/>
  <c r="N290" i="71"/>
  <c r="K290" i="71"/>
  <c r="AJ290" i="71" s="1"/>
  <c r="H290" i="71"/>
  <c r="AI290" i="71" s="1"/>
  <c r="AF289" i="71"/>
  <c r="AQ289" i="71" s="1"/>
  <c r="AF288" i="71"/>
  <c r="AQ288" i="71" s="1"/>
  <c r="AF287" i="71"/>
  <c r="AQ287" i="71" s="1"/>
  <c r="AM285" i="71"/>
  <c r="AC285" i="71"/>
  <c r="BJ285" i="71" s="1"/>
  <c r="Z285" i="71"/>
  <c r="AO285" i="71" s="1"/>
  <c r="W285" i="71"/>
  <c r="T285" i="71"/>
  <c r="Q285" i="71"/>
  <c r="N285" i="71"/>
  <c r="BE285" i="71" s="1"/>
  <c r="K285" i="71"/>
  <c r="H285" i="71"/>
  <c r="AF284" i="71"/>
  <c r="AQ284" i="71" s="1"/>
  <c r="AF283" i="71"/>
  <c r="AF282" i="71"/>
  <c r="AQ282" i="71" s="1"/>
  <c r="AF281" i="71"/>
  <c r="AQ281" i="71" s="1"/>
  <c r="AB245" i="71"/>
  <c r="AO245" i="71" s="1"/>
  <c r="Y245" i="71"/>
  <c r="AN245" i="71" s="1"/>
  <c r="V245" i="71"/>
  <c r="AM245" i="71" s="1"/>
  <c r="S245" i="71"/>
  <c r="AL245" i="71" s="1"/>
  <c r="P245" i="71"/>
  <c r="AK245" i="71" s="1"/>
  <c r="M245" i="71"/>
  <c r="AJ245" i="71" s="1"/>
  <c r="J245" i="71"/>
  <c r="AI245" i="71" s="1"/>
  <c r="AB243" i="71"/>
  <c r="AX217" i="71" s="1"/>
  <c r="Y243" i="71"/>
  <c r="AN243" i="71" s="1"/>
  <c r="V243" i="71"/>
  <c r="AM243" i="71" s="1"/>
  <c r="S243" i="71"/>
  <c r="P243" i="71"/>
  <c r="M243" i="71"/>
  <c r="AJ243" i="71" s="1"/>
  <c r="J243" i="71"/>
  <c r="AI243" i="71" s="1"/>
  <c r="AE242" i="71"/>
  <c r="AP242" i="71" s="1"/>
  <c r="AE241" i="71"/>
  <c r="AP241" i="71" s="1"/>
  <c r="AE240" i="71"/>
  <c r="AB238" i="71"/>
  <c r="AO238" i="71" s="1"/>
  <c r="Y238" i="71"/>
  <c r="AN238" i="71" s="1"/>
  <c r="V238" i="71"/>
  <c r="AM238" i="71" s="1"/>
  <c r="S238" i="71"/>
  <c r="P238" i="71"/>
  <c r="M238" i="71"/>
  <c r="AJ238" i="71" s="1"/>
  <c r="J238" i="71"/>
  <c r="AR212" i="71" s="1"/>
  <c r="AE237" i="71"/>
  <c r="AP237" i="71" s="1"/>
  <c r="AE236" i="71"/>
  <c r="AP236" i="71" s="1"/>
  <c r="AE235" i="71"/>
  <c r="AP235" i="71" s="1"/>
  <c r="AB233" i="71"/>
  <c r="AO233" i="71" s="1"/>
  <c r="Y233" i="71"/>
  <c r="AW206" i="71" s="1"/>
  <c r="V233" i="71"/>
  <c r="AM233" i="71" s="1"/>
  <c r="S233" i="71"/>
  <c r="AU206" i="71" s="1"/>
  <c r="P233" i="71"/>
  <c r="AT206" i="71" s="1"/>
  <c r="M233" i="71"/>
  <c r="J233" i="71"/>
  <c r="AI233" i="71" s="1"/>
  <c r="AE232" i="71"/>
  <c r="AP232" i="71" s="1"/>
  <c r="AE231" i="71"/>
  <c r="AP231" i="71" s="1"/>
  <c r="AE230" i="71"/>
  <c r="AP230" i="71" s="1"/>
  <c r="AE229" i="71"/>
  <c r="AB222" i="71"/>
  <c r="AO222" i="71" s="1"/>
  <c r="Y222" i="71"/>
  <c r="AN222" i="71" s="1"/>
  <c r="V222" i="71"/>
  <c r="AM222" i="71" s="1"/>
  <c r="S222" i="71"/>
  <c r="P222" i="71"/>
  <c r="M222" i="71"/>
  <c r="AJ222" i="71" s="1"/>
  <c r="J222" i="71"/>
  <c r="AI222" i="71" s="1"/>
  <c r="AB220" i="71"/>
  <c r="AO220" i="71" s="1"/>
  <c r="Y220" i="71"/>
  <c r="AN220" i="71" s="1"/>
  <c r="V220" i="71"/>
  <c r="AM220" i="71" s="1"/>
  <c r="S220" i="71"/>
  <c r="AL220" i="71" s="1"/>
  <c r="P220" i="71"/>
  <c r="AK220" i="71" s="1"/>
  <c r="M220" i="71"/>
  <c r="AJ220" i="71" s="1"/>
  <c r="J220" i="71"/>
  <c r="AE219" i="71"/>
  <c r="AP219" i="71" s="1"/>
  <c r="AE218" i="71"/>
  <c r="AP218" i="71" s="1"/>
  <c r="AE217" i="71"/>
  <c r="AB215" i="71"/>
  <c r="AO215" i="71" s="1"/>
  <c r="Y215" i="71"/>
  <c r="V215" i="71"/>
  <c r="S215" i="71"/>
  <c r="P215" i="71"/>
  <c r="M215" i="71"/>
  <c r="J215" i="71"/>
  <c r="AI215" i="71" s="1"/>
  <c r="AE214" i="71"/>
  <c r="AP214" i="71" s="1"/>
  <c r="AE213" i="71"/>
  <c r="AP213" i="71" s="1"/>
  <c r="AE212" i="71"/>
  <c r="AB210" i="71"/>
  <c r="BG210" i="71" s="1"/>
  <c r="Y210" i="71"/>
  <c r="V210" i="71"/>
  <c r="S210" i="71"/>
  <c r="P210" i="71"/>
  <c r="M210" i="71"/>
  <c r="BB210" i="71" s="1"/>
  <c r="J210" i="71"/>
  <c r="AI210" i="71" s="1"/>
  <c r="AE209" i="71"/>
  <c r="AP209" i="71" s="1"/>
  <c r="AE208" i="71"/>
  <c r="AP208" i="71" s="1"/>
  <c r="AE207" i="71"/>
  <c r="AP207" i="71" s="1"/>
  <c r="AE206" i="71"/>
  <c r="AP206" i="71" s="1"/>
  <c r="AC35" i="71"/>
  <c r="X35" i="71"/>
  <c r="S35" i="71"/>
  <c r="N35" i="71"/>
  <c r="AM10" i="7" l="1"/>
  <c r="Y6" i="9"/>
  <c r="W17" i="5"/>
  <c r="Z12" i="9"/>
  <c r="L9" i="14"/>
  <c r="K22" i="50"/>
  <c r="N8" i="27"/>
  <c r="U12" i="5"/>
  <c r="AC12" i="7"/>
  <c r="AK15" i="7"/>
  <c r="X17" i="7"/>
  <c r="AC6" i="9"/>
  <c r="AA12" i="9"/>
  <c r="V17" i="9"/>
  <c r="N9" i="27"/>
  <c r="I13" i="50"/>
  <c r="H14" i="18"/>
  <c r="I34" i="50"/>
  <c r="X6" i="7"/>
  <c r="F23" i="7"/>
  <c r="AJ23" i="7" s="1"/>
  <c r="AB12" i="7"/>
  <c r="AJ15" i="7"/>
  <c r="F23" i="9"/>
  <c r="AJ23" i="9" s="1"/>
  <c r="Y17" i="9"/>
  <c r="N14" i="27"/>
  <c r="Z6" i="5"/>
  <c r="AD15" i="5"/>
  <c r="AH15" i="5"/>
  <c r="U17" i="5"/>
  <c r="I40" i="5"/>
  <c r="AA12" i="5" s="1"/>
  <c r="X12" i="7"/>
  <c r="AC12" i="9"/>
  <c r="I9" i="24"/>
  <c r="I5" i="50"/>
  <c r="K7" i="50"/>
  <c r="I17" i="50"/>
  <c r="I29" i="50"/>
  <c r="L28" i="27"/>
  <c r="AE15" i="5"/>
  <c r="R37" i="5"/>
  <c r="AB6" i="7"/>
  <c r="I23" i="7"/>
  <c r="AM23" i="7" s="1"/>
  <c r="Y12" i="7"/>
  <c r="J20" i="7"/>
  <c r="T20" i="7" s="1"/>
  <c r="B47" i="7"/>
  <c r="AA6" i="9"/>
  <c r="Y12" i="9"/>
  <c r="AH15" i="9"/>
  <c r="AL15" i="9"/>
  <c r="X17" i="9"/>
  <c r="AC17" i="9"/>
  <c r="B47" i="9"/>
  <c r="L47" i="9" s="1"/>
  <c r="F47" i="9"/>
  <c r="AJ47" i="9" s="1"/>
  <c r="G7" i="12"/>
  <c r="M7" i="12" s="1"/>
  <c r="F12" i="14"/>
  <c r="L12" i="14" s="1"/>
  <c r="L8" i="14"/>
  <c r="H15" i="18"/>
  <c r="K10" i="50"/>
  <c r="L7" i="38"/>
  <c r="AC10" i="5"/>
  <c r="N15" i="5"/>
  <c r="M35" i="5"/>
  <c r="R40" i="5"/>
  <c r="C48" i="5"/>
  <c r="AD48" i="5" s="1"/>
  <c r="G48" i="5"/>
  <c r="AH48" i="5" s="1"/>
  <c r="J10" i="7"/>
  <c r="AI10" i="7"/>
  <c r="Q15" i="7"/>
  <c r="AF15" i="7"/>
  <c r="E23" i="7"/>
  <c r="AI23" i="7" s="1"/>
  <c r="V22" i="7"/>
  <c r="L34" i="7"/>
  <c r="J39" i="7"/>
  <c r="AD12" i="7" s="1"/>
  <c r="D47" i="7"/>
  <c r="AH47" i="7" s="1"/>
  <c r="L10" i="9"/>
  <c r="P10" i="9"/>
  <c r="AJ10" i="9"/>
  <c r="N15" i="9"/>
  <c r="R15" i="9"/>
  <c r="AG15" i="9"/>
  <c r="L34" i="9"/>
  <c r="P34" i="9"/>
  <c r="P47" i="9"/>
  <c r="F7" i="13"/>
  <c r="L7" i="13" s="1"/>
  <c r="L5" i="14"/>
  <c r="N6" i="14"/>
  <c r="L11" i="14"/>
  <c r="N4" i="17"/>
  <c r="N7" i="17"/>
  <c r="L8" i="17"/>
  <c r="J6" i="18"/>
  <c r="H7" i="18"/>
  <c r="J12" i="18"/>
  <c r="H16" i="18"/>
  <c r="E7" i="54"/>
  <c r="E8" i="20"/>
  <c r="I3" i="24"/>
  <c r="F6" i="24"/>
  <c r="F12" i="24"/>
  <c r="I6" i="50"/>
  <c r="I9" i="50"/>
  <c r="I10" i="50"/>
  <c r="I12" i="50"/>
  <c r="I14" i="50"/>
  <c r="I16" i="50"/>
  <c r="M27" i="50"/>
  <c r="I30" i="50"/>
  <c r="I32" i="50"/>
  <c r="I37" i="50"/>
  <c r="M38" i="50"/>
  <c r="L24" i="27"/>
  <c r="F7" i="30"/>
  <c r="E3" i="33"/>
  <c r="E6" i="33"/>
  <c r="H9" i="33"/>
  <c r="I13" i="33"/>
  <c r="I7" i="38"/>
  <c r="AC15" i="5"/>
  <c r="AG15" i="5"/>
  <c r="Y22" i="5"/>
  <c r="L35" i="5"/>
  <c r="M45" i="5"/>
  <c r="D48" i="5"/>
  <c r="AE48" i="5" s="1"/>
  <c r="P48" i="5"/>
  <c r="T6" i="7"/>
  <c r="T8" i="7"/>
  <c r="N10" i="7"/>
  <c r="R10" i="7"/>
  <c r="P15" i="7"/>
  <c r="T18" i="7"/>
  <c r="X22" i="7"/>
  <c r="T30" i="7"/>
  <c r="P39" i="7"/>
  <c r="J44" i="7"/>
  <c r="L44" i="7"/>
  <c r="O44" i="7"/>
  <c r="S44" i="7"/>
  <c r="O10" i="9"/>
  <c r="S10" i="9"/>
  <c r="AF47" i="9"/>
  <c r="M3" i="12"/>
  <c r="N5" i="14"/>
  <c r="L6" i="17"/>
  <c r="H5" i="18"/>
  <c r="F8" i="20"/>
  <c r="J7" i="55"/>
  <c r="E6" i="24"/>
  <c r="M37" i="50"/>
  <c r="F3" i="33"/>
  <c r="F9" i="33"/>
  <c r="H13" i="33"/>
  <c r="AL709" i="71"/>
  <c r="AL974" i="71"/>
  <c r="AM996" i="71"/>
  <c r="AG15" i="85"/>
  <c r="AJ15" i="85"/>
  <c r="AI15" i="85"/>
  <c r="AH15" i="85"/>
  <c r="AE15" i="85"/>
  <c r="AD15" i="85"/>
  <c r="AD14" i="85"/>
  <c r="AE14" i="85"/>
  <c r="AG14" i="65"/>
  <c r="AG14" i="85"/>
  <c r="AH14" i="85"/>
  <c r="AJ14" i="85"/>
  <c r="AI14" i="85"/>
  <c r="R4" i="85"/>
  <c r="AE12" i="85"/>
  <c r="AD12" i="85"/>
  <c r="S4" i="85"/>
  <c r="AJ12" i="85"/>
  <c r="V4" i="85"/>
  <c r="AI12" i="85"/>
  <c r="U4" i="85"/>
  <c r="AH12" i="85"/>
  <c r="X4" i="85"/>
  <c r="AG12" i="85"/>
  <c r="W4" i="85"/>
  <c r="M4" i="67"/>
  <c r="P4" i="85"/>
  <c r="O4" i="85"/>
  <c r="AE11" i="85"/>
  <c r="AD11" i="85"/>
  <c r="AH11" i="85"/>
  <c r="AG11" i="85"/>
  <c r="AJ11" i="85"/>
  <c r="AI11" i="85"/>
  <c r="AE11" i="65"/>
  <c r="AZ360" i="71"/>
  <c r="AL984" i="71"/>
  <c r="AS217" i="71"/>
  <c r="AF375" i="71"/>
  <c r="AQ375" i="71" s="1"/>
  <c r="BB215" i="71"/>
  <c r="BF215" i="71"/>
  <c r="AP319" i="71"/>
  <c r="AR206" i="71"/>
  <c r="AZ281" i="71"/>
  <c r="AU360" i="71"/>
  <c r="AL983" i="71"/>
  <c r="AM740" i="71"/>
  <c r="AO740" i="71"/>
  <c r="Q298" i="71"/>
  <c r="BF298" i="71" s="1"/>
  <c r="AS287" i="71"/>
  <c r="AO621" i="71"/>
  <c r="H298" i="71"/>
  <c r="BC298" i="71" s="1"/>
  <c r="AK285" i="71"/>
  <c r="AW287" i="71"/>
  <c r="BD369" i="71"/>
  <c r="AL708" i="71"/>
  <c r="AL782" i="71"/>
  <c r="AK364" i="71"/>
  <c r="AL971" i="71"/>
  <c r="AL977" i="71"/>
  <c r="M246" i="71"/>
  <c r="BB246" i="71" s="1"/>
  <c r="AU287" i="71"/>
  <c r="AO743" i="71"/>
  <c r="AM782" i="71"/>
  <c r="AL388" i="71"/>
  <c r="AM743" i="71"/>
  <c r="AV206" i="71"/>
  <c r="AX212" i="71"/>
  <c r="BI285" i="71"/>
  <c r="BG290" i="71"/>
  <c r="AO319" i="71"/>
  <c r="AL707" i="71"/>
  <c r="AL711" i="71"/>
  <c r="AO476" i="71"/>
  <c r="AO574" i="71"/>
  <c r="AO568" i="71"/>
  <c r="AL970" i="71"/>
  <c r="AM992" i="71"/>
  <c r="AL979" i="71"/>
  <c r="AP364" i="71"/>
  <c r="AV217" i="71"/>
  <c r="AL309" i="71"/>
  <c r="BH369" i="71"/>
  <c r="AM567" i="71"/>
  <c r="AO578" i="71"/>
  <c r="AM1001" i="71"/>
  <c r="AM722" i="71"/>
  <c r="V223" i="71"/>
  <c r="BE223" i="71" s="1"/>
  <c r="BA210" i="71"/>
  <c r="AW212" i="71"/>
  <c r="BE215" i="71"/>
  <c r="AR217" i="71"/>
  <c r="AN233" i="71"/>
  <c r="BD290" i="71"/>
  <c r="AK319" i="71"/>
  <c r="AY360" i="71"/>
  <c r="AM399" i="71"/>
  <c r="AL985" i="71"/>
  <c r="AO993" i="71"/>
  <c r="AO997" i="71"/>
  <c r="AO399" i="71"/>
  <c r="AO532" i="71"/>
  <c r="AM573" i="71"/>
  <c r="AS212" i="71"/>
  <c r="AW217" i="71"/>
  <c r="AI238" i="71"/>
  <c r="AY287" i="71"/>
  <c r="AL364" i="71"/>
  <c r="AQ395" i="71"/>
  <c r="AO536" i="71"/>
  <c r="AL599" i="71"/>
  <c r="AL973" i="71"/>
  <c r="AL975" i="71"/>
  <c r="AM999" i="71"/>
  <c r="AL712" i="71"/>
  <c r="J223" i="71"/>
  <c r="BA223" i="71" s="1"/>
  <c r="AL238" i="71"/>
  <c r="AU212" i="71"/>
  <c r="N322" i="71"/>
  <c r="AU297" i="71" s="1"/>
  <c r="AK309" i="71"/>
  <c r="AO297" i="71"/>
  <c r="K402" i="71"/>
  <c r="BD402" i="71" s="1"/>
  <c r="AM477" i="71"/>
  <c r="AO477" i="71"/>
  <c r="AM731" i="71"/>
  <c r="AL716" i="71"/>
  <c r="P223" i="71"/>
  <c r="BC223" i="71" s="1"/>
  <c r="BC210" i="71"/>
  <c r="AK210" i="71"/>
  <c r="AS206" i="71"/>
  <c r="AJ233" i="71"/>
  <c r="AL243" i="71"/>
  <c r="AU217" i="71"/>
  <c r="AU281" i="71"/>
  <c r="AZ287" i="71"/>
  <c r="AF377" i="71"/>
  <c r="AQ377" i="71" s="1"/>
  <c r="AQ360" i="71"/>
  <c r="AO393" i="71"/>
  <c r="AY366" i="71"/>
  <c r="AQ399" i="71"/>
  <c r="AV371" i="71"/>
  <c r="AL399" i="71"/>
  <c r="AZ371" i="71"/>
  <c r="AP399" i="71"/>
  <c r="AO475" i="71"/>
  <c r="AC482" i="71"/>
  <c r="AO482" i="71" s="1"/>
  <c r="AM569" i="71"/>
  <c r="AO569" i="71"/>
  <c r="AL982" i="71"/>
  <c r="AM1000" i="71"/>
  <c r="BA215" i="71"/>
  <c r="Z322" i="71"/>
  <c r="AO322" i="71" s="1"/>
  <c r="AO309" i="71"/>
  <c r="AY281" i="71"/>
  <c r="AM599" i="71"/>
  <c r="AP599" i="71"/>
  <c r="AL285" i="71"/>
  <c r="BF285" i="71"/>
  <c r="AP285" i="71"/>
  <c r="AL314" i="71"/>
  <c r="AM215" i="71"/>
  <c r="AI220" i="71"/>
  <c r="AK238" i="71"/>
  <c r="AT212" i="71"/>
  <c r="BH290" i="71"/>
  <c r="AN290" i="71"/>
  <c r="AT292" i="71"/>
  <c r="AW292" i="71"/>
  <c r="AM319" i="71"/>
  <c r="AF319" i="71"/>
  <c r="BA292" i="71" s="1"/>
  <c r="BA366" i="71"/>
  <c r="AO479" i="71"/>
  <c r="AM479" i="71"/>
  <c r="AM533" i="71"/>
  <c r="AO533" i="71"/>
  <c r="AL978" i="71"/>
  <c r="AO858" i="71"/>
  <c r="AL858" i="71"/>
  <c r="Y223" i="71"/>
  <c r="BF223" i="71" s="1"/>
  <c r="AM210" i="71"/>
  <c r="BD215" i="71"/>
  <c r="AL215" i="71"/>
  <c r="BG215" i="71"/>
  <c r="AO364" i="71"/>
  <c r="AJ369" i="71"/>
  <c r="Q402" i="71"/>
  <c r="AV377" i="71" s="1"/>
  <c r="AC402" i="71"/>
  <c r="AZ377" i="71" s="1"/>
  <c r="AQ393" i="71"/>
  <c r="AA580" i="71"/>
  <c r="AO580" i="71" s="1"/>
  <c r="AM576" i="71"/>
  <c r="AM707" i="71"/>
  <c r="AE238" i="71"/>
  <c r="AP238" i="71" s="1"/>
  <c r="Q322" i="71"/>
  <c r="BF322" i="71" s="1"/>
  <c r="AC322" i="71"/>
  <c r="AP322" i="71" s="1"/>
  <c r="AF314" i="71"/>
  <c r="AQ314" i="71" s="1"/>
  <c r="AL319" i="71"/>
  <c r="N402" i="71"/>
  <c r="AU377" i="71" s="1"/>
  <c r="Z402" i="71"/>
  <c r="AO402" i="71" s="1"/>
  <c r="AE12" i="65"/>
  <c r="AG14" i="67"/>
  <c r="E2" i="82"/>
  <c r="G2" i="80"/>
  <c r="G2" i="78"/>
  <c r="E2" i="76"/>
  <c r="AE15" i="65"/>
  <c r="AE17" i="84"/>
  <c r="AE16" i="83"/>
  <c r="AD17" i="84"/>
  <c r="AD16" i="83"/>
  <c r="AD15" i="75"/>
  <c r="AE15" i="75"/>
  <c r="AD15" i="72"/>
  <c r="AE15" i="72"/>
  <c r="AJ17" i="84"/>
  <c r="AJ16" i="83"/>
  <c r="AI16" i="83"/>
  <c r="AH16" i="83"/>
  <c r="AG17" i="84"/>
  <c r="AG16" i="83"/>
  <c r="AI17" i="84"/>
  <c r="AH17" i="84"/>
  <c r="AI15" i="75"/>
  <c r="AH15" i="75"/>
  <c r="AJ15" i="75"/>
  <c r="AG15" i="75"/>
  <c r="AG15" i="72"/>
  <c r="AJ15" i="72"/>
  <c r="AH15" i="72"/>
  <c r="AI15" i="72"/>
  <c r="AD15" i="67"/>
  <c r="AJ14" i="67"/>
  <c r="AH16" i="84"/>
  <c r="AJ15" i="83"/>
  <c r="AG16" i="84"/>
  <c r="AH15" i="83"/>
  <c r="AI16" i="84"/>
  <c r="AG15" i="83"/>
  <c r="AI15" i="83"/>
  <c r="AJ16" i="84"/>
  <c r="AI14" i="75"/>
  <c r="AG14" i="75"/>
  <c r="AJ14" i="75"/>
  <c r="AH14" i="75"/>
  <c r="AI14" i="72"/>
  <c r="AG14" i="72"/>
  <c r="AJ14" i="72"/>
  <c r="AH14" i="72"/>
  <c r="AJ14" i="65"/>
  <c r="AH14" i="67"/>
  <c r="AE15" i="83"/>
  <c r="AD15" i="83"/>
  <c r="AE16" i="84"/>
  <c r="AD16" i="84"/>
  <c r="AD14" i="75"/>
  <c r="AE14" i="75"/>
  <c r="AD14" i="72"/>
  <c r="AE14" i="72"/>
  <c r="R4" i="65"/>
  <c r="AH14" i="84"/>
  <c r="U5" i="84"/>
  <c r="AH13" i="83"/>
  <c r="U4" i="83"/>
  <c r="T5" i="84"/>
  <c r="T4" i="83"/>
  <c r="S5" i="84"/>
  <c r="S4" i="83"/>
  <c r="AI14" i="84"/>
  <c r="R5" i="84"/>
  <c r="AI13" i="83"/>
  <c r="R4" i="83"/>
  <c r="AG14" i="84"/>
  <c r="AG13" i="83"/>
  <c r="AJ14" i="84"/>
  <c r="AJ13" i="83"/>
  <c r="AI12" i="75"/>
  <c r="R4" i="75"/>
  <c r="U4" i="75"/>
  <c r="AG12" i="75"/>
  <c r="AJ12" i="75"/>
  <c r="S4" i="75"/>
  <c r="AH12" i="75"/>
  <c r="T4" i="75"/>
  <c r="AI12" i="72"/>
  <c r="R4" i="72"/>
  <c r="AH12" i="72"/>
  <c r="U4" i="72"/>
  <c r="AG12" i="72"/>
  <c r="AJ12" i="72"/>
  <c r="S4" i="72"/>
  <c r="T4" i="72"/>
  <c r="AE12" i="67"/>
  <c r="P5" i="84"/>
  <c r="P4" i="83"/>
  <c r="AE14" i="84"/>
  <c r="AE13" i="83"/>
  <c r="AD14" i="84"/>
  <c r="AD13" i="83"/>
  <c r="O5" i="84"/>
  <c r="O4" i="83"/>
  <c r="AD12" i="75"/>
  <c r="O4" i="75"/>
  <c r="AE12" i="75"/>
  <c r="P4" i="75"/>
  <c r="AD12" i="72"/>
  <c r="P4" i="72"/>
  <c r="O4" i="72"/>
  <c r="AE12" i="72"/>
  <c r="L5" i="84"/>
  <c r="L4" i="83"/>
  <c r="M5" i="84"/>
  <c r="M4" i="83"/>
  <c r="L4" i="75"/>
  <c r="M4" i="75"/>
  <c r="L4" i="72"/>
  <c r="M4" i="72"/>
  <c r="P4" i="65"/>
  <c r="AE11" i="67"/>
  <c r="AE12" i="83"/>
  <c r="AD12" i="83"/>
  <c r="AE13" i="84"/>
  <c r="AD13" i="84"/>
  <c r="AE11" i="75"/>
  <c r="AD11" i="75"/>
  <c r="AD11" i="72"/>
  <c r="AE11" i="72"/>
  <c r="AG11" i="67"/>
  <c r="AH13" i="84"/>
  <c r="AJ12" i="83"/>
  <c r="AJ13" i="84"/>
  <c r="AI13" i="84"/>
  <c r="AG13" i="84"/>
  <c r="AI12" i="83"/>
  <c r="AH12" i="83"/>
  <c r="AG12" i="83"/>
  <c r="AI11" i="75"/>
  <c r="AG11" i="75"/>
  <c r="AJ11" i="75"/>
  <c r="AH11" i="75"/>
  <c r="AI11" i="72"/>
  <c r="AH11" i="72"/>
  <c r="AJ11" i="72"/>
  <c r="AG11" i="72"/>
  <c r="A17" i="84"/>
  <c r="A16" i="83"/>
  <c r="A15" i="72"/>
  <c r="A15" i="75" s="1"/>
  <c r="G17" i="84"/>
  <c r="G16" i="83"/>
  <c r="G15" i="72"/>
  <c r="G15" i="75" s="1"/>
  <c r="D16" i="83"/>
  <c r="D17" i="84"/>
  <c r="D15" i="72"/>
  <c r="D15" i="75" s="1"/>
  <c r="E16" i="83"/>
  <c r="E17" i="84"/>
  <c r="E15" i="72"/>
  <c r="E15" i="75" s="1"/>
  <c r="B16" i="83"/>
  <c r="B17" i="84"/>
  <c r="B15" i="72"/>
  <c r="B15" i="75" s="1"/>
  <c r="AE245" i="71"/>
  <c r="AP245" i="71" s="1"/>
  <c r="AE233" i="71"/>
  <c r="AP233" i="71" s="1"/>
  <c r="BG285" i="71"/>
  <c r="T298" i="71"/>
  <c r="BG298" i="71" s="1"/>
  <c r="AF285" i="71"/>
  <c r="AQ292" i="71"/>
  <c r="AF321" i="71"/>
  <c r="AQ321" i="71" s="1"/>
  <c r="AQ305" i="71"/>
  <c r="AN314" i="71"/>
  <c r="AX287" i="71"/>
  <c r="BC369" i="71"/>
  <c r="AI375" i="71"/>
  <c r="AO534" i="71"/>
  <c r="AM534" i="71"/>
  <c r="AO971" i="71"/>
  <c r="AM971" i="71"/>
  <c r="I202" i="66"/>
  <c r="I19" i="32"/>
  <c r="P10" i="5"/>
  <c r="G23" i="5"/>
  <c r="AH23" i="5" s="1"/>
  <c r="AH10" i="5"/>
  <c r="K40" i="5"/>
  <c r="AA17" i="9"/>
  <c r="Q44" i="9"/>
  <c r="G47" i="9"/>
  <c r="Q47" i="9" s="1"/>
  <c r="AQ283" i="71"/>
  <c r="BH285" i="71"/>
  <c r="W298" i="71"/>
  <c r="BH298" i="71" s="1"/>
  <c r="AN285" i="71"/>
  <c r="AL297" i="71"/>
  <c r="AS292" i="71"/>
  <c r="AI319" i="71"/>
  <c r="BC364" i="71"/>
  <c r="BA371" i="71"/>
  <c r="AQ371" i="71"/>
  <c r="AF401" i="71"/>
  <c r="AQ401" i="71" s="1"/>
  <c r="AQ384" i="71"/>
  <c r="AN393" i="71"/>
  <c r="AX366" i="71"/>
  <c r="AL784" i="71"/>
  <c r="G173" i="66"/>
  <c r="G172" i="66"/>
  <c r="AE10" i="5"/>
  <c r="D23" i="5"/>
  <c r="AE23" i="5" s="1"/>
  <c r="M10" i="5"/>
  <c r="I15" i="5"/>
  <c r="R15" i="5" s="1"/>
  <c r="M44" i="7"/>
  <c r="W17" i="7"/>
  <c r="M223" i="71"/>
  <c r="BB223" i="71" s="1"/>
  <c r="AJ210" i="71"/>
  <c r="AV212" i="71"/>
  <c r="BC215" i="71"/>
  <c r="AK222" i="71"/>
  <c r="AB246" i="71"/>
  <c r="BG246" i="71" s="1"/>
  <c r="H322" i="71"/>
  <c r="AI322" i="71" s="1"/>
  <c r="AS281" i="71"/>
  <c r="AI309" i="71"/>
  <c r="AW281" i="71"/>
  <c r="AF309" i="71"/>
  <c r="AQ309" i="71" s="1"/>
  <c r="T322" i="71"/>
  <c r="AM322" i="71" s="1"/>
  <c r="BD364" i="71"/>
  <c r="K378" i="71"/>
  <c r="BD378" i="71" s="1"/>
  <c r="AJ364" i="71"/>
  <c r="BH364" i="71"/>
  <c r="W378" i="71"/>
  <c r="BH378" i="71" s="1"/>
  <c r="AN364" i="71"/>
  <c r="AI364" i="71"/>
  <c r="AL377" i="71"/>
  <c r="AP377" i="71"/>
  <c r="H378" i="71"/>
  <c r="BC378" i="71" s="1"/>
  <c r="AS371" i="71"/>
  <c r="AI399" i="71"/>
  <c r="AO977" i="71"/>
  <c r="AM977" i="71"/>
  <c r="AO979" i="71"/>
  <c r="AM979" i="71"/>
  <c r="AO981" i="71"/>
  <c r="AM981" i="71"/>
  <c r="AO990" i="71"/>
  <c r="AM990" i="71"/>
  <c r="AL968" i="71"/>
  <c r="AO994" i="71"/>
  <c r="AM994" i="71"/>
  <c r="AL972" i="71"/>
  <c r="H10" i="66"/>
  <c r="G13" i="66"/>
  <c r="D28" i="66"/>
  <c r="G124" i="66"/>
  <c r="D91" i="62"/>
  <c r="G139" i="66"/>
  <c r="G141" i="66"/>
  <c r="E60" i="68"/>
  <c r="J12" i="43"/>
  <c r="L22" i="5"/>
  <c r="M23" i="5"/>
  <c r="AN10" i="7"/>
  <c r="T10" i="7"/>
  <c r="M20" i="7"/>
  <c r="AG15" i="7"/>
  <c r="C47" i="7"/>
  <c r="M47" i="7" s="1"/>
  <c r="M34" i="7"/>
  <c r="W6" i="7"/>
  <c r="Q47" i="7"/>
  <c r="Q34" i="7"/>
  <c r="AA6" i="7"/>
  <c r="H9" i="24"/>
  <c r="E9" i="24"/>
  <c r="M28" i="50"/>
  <c r="I28" i="50"/>
  <c r="K6" i="50"/>
  <c r="AK233" i="71"/>
  <c r="P246" i="71"/>
  <c r="BC246" i="71" s="1"/>
  <c r="BC285" i="71"/>
  <c r="AJ314" i="71"/>
  <c r="AT287" i="71"/>
  <c r="BF369" i="71"/>
  <c r="AL369" i="71"/>
  <c r="BJ369" i="71"/>
  <c r="AP369" i="71"/>
  <c r="AC378" i="71"/>
  <c r="BJ378" i="71" s="1"/>
  <c r="AO969" i="71"/>
  <c r="AM969" i="71"/>
  <c r="AM858" i="71"/>
  <c r="AP858" i="71"/>
  <c r="F8" i="68"/>
  <c r="C23" i="5"/>
  <c r="AD23" i="5" s="1"/>
  <c r="L10" i="5"/>
  <c r="AD10" i="5"/>
  <c r="R13" i="5"/>
  <c r="Q15" i="5"/>
  <c r="AI15" i="5"/>
  <c r="AK47" i="7"/>
  <c r="AA22" i="7"/>
  <c r="M44" i="9"/>
  <c r="AP212" i="71"/>
  <c r="AE215" i="71"/>
  <c r="AP229" i="71"/>
  <c r="BD285" i="71"/>
  <c r="K298" i="71"/>
  <c r="BD298" i="71" s="1"/>
  <c r="AJ285" i="71"/>
  <c r="AI285" i="71"/>
  <c r="AP297" i="71"/>
  <c r="K322" i="71"/>
  <c r="BG364" i="71"/>
  <c r="T378" i="71"/>
  <c r="BG378" i="71" s="1"/>
  <c r="AF364" i="71"/>
  <c r="AJ393" i="71"/>
  <c r="AT366" i="71"/>
  <c r="AO535" i="71"/>
  <c r="AM535" i="71"/>
  <c r="AM1003" i="71"/>
  <c r="Q10" i="5"/>
  <c r="H23" i="5"/>
  <c r="AI23" i="5" s="1"/>
  <c r="AI10" i="5"/>
  <c r="X12" i="5"/>
  <c r="M15" i="5"/>
  <c r="AF47" i="7"/>
  <c r="AX206" i="71"/>
  <c r="AB223" i="71"/>
  <c r="BG223" i="71" s="1"/>
  <c r="AO210" i="71"/>
  <c r="AN210" i="71"/>
  <c r="BF210" i="71"/>
  <c r="AK215" i="71"/>
  <c r="AK243" i="71"/>
  <c r="AT217" i="71"/>
  <c r="AO243" i="71"/>
  <c r="AF297" i="71"/>
  <c r="BF290" i="71"/>
  <c r="AL290" i="71"/>
  <c r="BJ290" i="71"/>
  <c r="AP290" i="71"/>
  <c r="AC298" i="71"/>
  <c r="BC290" i="71"/>
  <c r="AI295" i="71"/>
  <c r="AF295" i="71"/>
  <c r="AQ295" i="71" s="1"/>
  <c r="BG369" i="71"/>
  <c r="Q378" i="71"/>
  <c r="BF378" i="71" s="1"/>
  <c r="H402" i="71"/>
  <c r="AS360" i="71"/>
  <c r="AI388" i="71"/>
  <c r="AW360" i="71"/>
  <c r="AF388" i="71"/>
  <c r="T402" i="71"/>
  <c r="AM402" i="71" s="1"/>
  <c r="AO973" i="71"/>
  <c r="AM973" i="71"/>
  <c r="AO975" i="71"/>
  <c r="AM975" i="71"/>
  <c r="AL981" i="71"/>
  <c r="AO991" i="71"/>
  <c r="AM991" i="71"/>
  <c r="D11" i="66"/>
  <c r="G27" i="66"/>
  <c r="G75" i="66"/>
  <c r="G87" i="66"/>
  <c r="Q22" i="5"/>
  <c r="AA17" i="7"/>
  <c r="AK15" i="9"/>
  <c r="G23" i="9"/>
  <c r="AK23" i="9" s="1"/>
  <c r="M20" i="9"/>
  <c r="E10" i="54"/>
  <c r="H10" i="54"/>
  <c r="V246" i="71"/>
  <c r="BE246" i="71" s="1"/>
  <c r="AE243" i="71"/>
  <c r="AP243" i="71" s="1"/>
  <c r="AP240" i="71"/>
  <c r="AJ309" i="71"/>
  <c r="AT281" i="71"/>
  <c r="AN309" i="71"/>
  <c r="AX281" i="71"/>
  <c r="W322" i="71"/>
  <c r="AN322" i="71" s="1"/>
  <c r="AJ388" i="71"/>
  <c r="AT360" i="71"/>
  <c r="AN388" i="71"/>
  <c r="AX360" i="71"/>
  <c r="W402" i="71"/>
  <c r="AN402" i="71" s="1"/>
  <c r="AD450" i="71"/>
  <c r="AM450" i="71" s="1"/>
  <c r="AO478" i="71"/>
  <c r="AM478" i="71"/>
  <c r="AC537" i="71"/>
  <c r="AO566" i="71"/>
  <c r="AA571" i="71"/>
  <c r="AM566" i="71"/>
  <c r="AO575" i="71"/>
  <c r="AM575" i="71"/>
  <c r="AO968" i="71"/>
  <c r="AM968" i="71"/>
  <c r="AO970" i="71"/>
  <c r="AM970" i="71"/>
  <c r="AO972" i="71"/>
  <c r="AM972" i="71"/>
  <c r="AO974" i="71"/>
  <c r="AM974" i="71"/>
  <c r="AO976" i="71"/>
  <c r="AM976" i="71"/>
  <c r="AO978" i="71"/>
  <c r="AM978" i="71"/>
  <c r="AO980" i="71"/>
  <c r="AM980" i="71"/>
  <c r="AM982" i="71"/>
  <c r="AO998" i="71"/>
  <c r="AM998" i="71"/>
  <c r="AO721" i="71"/>
  <c r="AM721" i="71"/>
  <c r="AM784" i="71"/>
  <c r="I45" i="5"/>
  <c r="R45" i="5" s="1"/>
  <c r="R42" i="5"/>
  <c r="N22" i="7"/>
  <c r="J18" i="18"/>
  <c r="H18" i="18"/>
  <c r="I7" i="54"/>
  <c r="F10" i="54"/>
  <c r="I10" i="54"/>
  <c r="J246" i="71"/>
  <c r="AI246" i="71" s="1"/>
  <c r="AE222" i="71"/>
  <c r="AE210" i="71"/>
  <c r="AP210" i="71" s="1"/>
  <c r="BE210" i="71"/>
  <c r="AE220" i="71"/>
  <c r="AP220" i="71" s="1"/>
  <c r="AP217" i="71"/>
  <c r="Y246" i="71"/>
  <c r="N298" i="71"/>
  <c r="BE290" i="71"/>
  <c r="Z298" i="71"/>
  <c r="BI298" i="71" s="1"/>
  <c r="BI290" i="71"/>
  <c r="AK290" i="71"/>
  <c r="AX292" i="71"/>
  <c r="AK297" i="71"/>
  <c r="N378" i="71"/>
  <c r="BE369" i="71"/>
  <c r="Z378" i="71"/>
  <c r="BI378" i="71" s="1"/>
  <c r="BI369" i="71"/>
  <c r="AK369" i="71"/>
  <c r="AX371" i="71"/>
  <c r="AK377" i="71"/>
  <c r="AC460" i="71"/>
  <c r="AM460" i="71" s="1"/>
  <c r="AM475" i="71"/>
  <c r="AO481" i="71"/>
  <c r="AM481" i="71"/>
  <c r="AO570" i="71"/>
  <c r="AM570" i="71"/>
  <c r="AO577" i="71"/>
  <c r="AO579" i="71"/>
  <c r="AM579" i="71"/>
  <c r="AL976" i="71"/>
  <c r="AM995" i="71"/>
  <c r="AO1002" i="71"/>
  <c r="AM1002" i="71"/>
  <c r="AO706" i="71"/>
  <c r="AM706" i="71"/>
  <c r="AM725" i="71"/>
  <c r="AL710" i="71"/>
  <c r="E8" i="68"/>
  <c r="W12" i="5"/>
  <c r="N40" i="5"/>
  <c r="D23" i="7"/>
  <c r="AH23" i="7" s="1"/>
  <c r="AH15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AL210" i="71"/>
  <c r="BD210" i="71"/>
  <c r="AJ215" i="71"/>
  <c r="AN215" i="71"/>
  <c r="AL222" i="71"/>
  <c r="S223" i="71"/>
  <c r="BD223" i="71" s="1"/>
  <c r="AL233" i="71"/>
  <c r="S246" i="71"/>
  <c r="BD246" i="71" s="1"/>
  <c r="AF290" i="71"/>
  <c r="AF369" i="71"/>
  <c r="E34" i="68"/>
  <c r="E10" i="39"/>
  <c r="Z17" i="5"/>
  <c r="P35" i="5"/>
  <c r="H48" i="5"/>
  <c r="AI48" i="5" s="1"/>
  <c r="AF10" i="7"/>
  <c r="P23" i="7"/>
  <c r="AJ10" i="7"/>
  <c r="P10" i="7"/>
  <c r="AI15" i="7"/>
  <c r="O15" i="7"/>
  <c r="AM15" i="7"/>
  <c r="S15" i="7"/>
  <c r="AD17" i="7"/>
  <c r="T17" i="7"/>
  <c r="O22" i="7"/>
  <c r="S22" i="7"/>
  <c r="B23" i="7"/>
  <c r="AF23" i="7" s="1"/>
  <c r="S23" i="7"/>
  <c r="M39" i="7"/>
  <c r="W12" i="7"/>
  <c r="Q39" i="7"/>
  <c r="AA12" i="7"/>
  <c r="T44" i="7"/>
  <c r="AH10" i="9"/>
  <c r="D23" i="9"/>
  <c r="AH23" i="9" s="1"/>
  <c r="N10" i="9"/>
  <c r="AL10" i="9"/>
  <c r="H23" i="9"/>
  <c r="AL23" i="9" s="1"/>
  <c r="R10" i="9"/>
  <c r="J20" i="9"/>
  <c r="T20" i="9" s="1"/>
  <c r="J22" i="9"/>
  <c r="T17" i="9"/>
  <c r="J39" i="9"/>
  <c r="AD12" i="9" s="1"/>
  <c r="T36" i="9"/>
  <c r="J46" i="9"/>
  <c r="T46" i="9" s="1"/>
  <c r="J8" i="18"/>
  <c r="H8" i="18"/>
  <c r="D10" i="18"/>
  <c r="L13" i="55"/>
  <c r="F5" i="21"/>
  <c r="E3" i="24"/>
  <c r="H3" i="24"/>
  <c r="G52" i="66"/>
  <c r="G50" i="66"/>
  <c r="F34" i="68"/>
  <c r="F10" i="39"/>
  <c r="F51" i="68"/>
  <c r="E63" i="68"/>
  <c r="I22" i="5"/>
  <c r="I10" i="5"/>
  <c r="B23" i="5"/>
  <c r="AC23" i="5" s="1"/>
  <c r="F23" i="5"/>
  <c r="AG23" i="5" s="1"/>
  <c r="AG10" i="5"/>
  <c r="I20" i="5"/>
  <c r="R20" i="5" s="1"/>
  <c r="R17" i="5"/>
  <c r="O22" i="5"/>
  <c r="I47" i="5"/>
  <c r="R47" i="5" s="1"/>
  <c r="T22" i="7"/>
  <c r="AG10" i="7"/>
  <c r="C23" i="7"/>
  <c r="AG23" i="7" s="1"/>
  <c r="M10" i="7"/>
  <c r="AK10" i="7"/>
  <c r="G23" i="7"/>
  <c r="AK23" i="7" s="1"/>
  <c r="Q10" i="7"/>
  <c r="T46" i="7"/>
  <c r="L47" i="7"/>
  <c r="J34" i="7"/>
  <c r="T34" i="7" s="1"/>
  <c r="P34" i="7"/>
  <c r="P44" i="7"/>
  <c r="E23" i="9"/>
  <c r="AI23" i="9" s="1"/>
  <c r="I23" i="9"/>
  <c r="AM23" i="9" s="1"/>
  <c r="J34" i="9"/>
  <c r="T34" i="9" s="1"/>
  <c r="N34" i="9"/>
  <c r="X6" i="9"/>
  <c r="D47" i="9"/>
  <c r="N47" i="9" s="1"/>
  <c r="R34" i="9"/>
  <c r="AB6" i="9"/>
  <c r="J44" i="9"/>
  <c r="T44" i="9" s="1"/>
  <c r="T41" i="9"/>
  <c r="H47" i="9"/>
  <c r="R47" i="9" s="1"/>
  <c r="J9" i="18"/>
  <c r="H9" i="18"/>
  <c r="J17" i="18"/>
  <c r="H17" i="18"/>
  <c r="D19" i="18"/>
  <c r="M8" i="50"/>
  <c r="I8" i="50"/>
  <c r="M33" i="50"/>
  <c r="K11" i="50"/>
  <c r="I33" i="50"/>
  <c r="N17" i="27"/>
  <c r="L35" i="27"/>
  <c r="G152" i="66"/>
  <c r="F53" i="68"/>
  <c r="K12" i="43"/>
  <c r="F63" i="68"/>
  <c r="N10" i="5"/>
  <c r="AF10" i="5"/>
  <c r="L15" i="5"/>
  <c r="P15" i="5"/>
  <c r="N22" i="5"/>
  <c r="E23" i="5"/>
  <c r="AF23" i="5" s="1"/>
  <c r="I35" i="5"/>
  <c r="AA6" i="5" s="1"/>
  <c r="N35" i="5"/>
  <c r="E48" i="5"/>
  <c r="AF48" i="5" s="1"/>
  <c r="J15" i="7"/>
  <c r="N47" i="7"/>
  <c r="H47" i="7"/>
  <c r="AL47" i="7" s="1"/>
  <c r="J10" i="9"/>
  <c r="T7" i="9"/>
  <c r="AF15" i="9"/>
  <c r="L15" i="9"/>
  <c r="AJ15" i="9"/>
  <c r="P15" i="9"/>
  <c r="J15" i="9"/>
  <c r="AN15" i="9" s="1"/>
  <c r="O22" i="9"/>
  <c r="B23" i="9"/>
  <c r="C47" i="9"/>
  <c r="M47" i="9" s="1"/>
  <c r="N5" i="17"/>
  <c r="L5" i="17"/>
  <c r="M11" i="50"/>
  <c r="I11" i="50"/>
  <c r="M18" i="50"/>
  <c r="I18" i="50"/>
  <c r="F23" i="27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I47" i="7"/>
  <c r="AM47" i="7" s="1"/>
  <c r="AG10" i="9"/>
  <c r="AK10" i="9"/>
  <c r="M10" i="9"/>
  <c r="L22" i="9"/>
  <c r="Z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5"/>
  <c r="AI11" i="67"/>
  <c r="AH11" i="65"/>
  <c r="AH11" i="67"/>
  <c r="AJ11" i="65"/>
  <c r="AJ12" i="67"/>
  <c r="U4" i="67"/>
  <c r="AI12" i="65"/>
  <c r="T4" i="65"/>
  <c r="AI12" i="67"/>
  <c r="T4" i="67"/>
  <c r="AH12" i="65"/>
  <c r="S4" i="65"/>
  <c r="AJ12" i="65"/>
  <c r="AH12" i="67"/>
  <c r="S4" i="67"/>
  <c r="AG12" i="65"/>
  <c r="AG12" i="67"/>
  <c r="U4" i="65"/>
  <c r="AG11" i="65"/>
  <c r="R4" i="67"/>
  <c r="E47" i="9"/>
  <c r="AI47" i="9" s="1"/>
  <c r="I47" i="9"/>
  <c r="AM47" i="9" s="1"/>
  <c r="N5" i="27"/>
  <c r="H5" i="27"/>
  <c r="F5" i="27"/>
  <c r="B9" i="30"/>
  <c r="H9" i="30" s="1"/>
  <c r="M4" i="65"/>
  <c r="L4" i="67"/>
  <c r="L4" i="65"/>
  <c r="AG15" i="67"/>
  <c r="AJ15" i="65"/>
  <c r="AJ15" i="67"/>
  <c r="AI15" i="65"/>
  <c r="AH15" i="65"/>
  <c r="AI15" i="67"/>
  <c r="AG15" i="65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E9" i="30"/>
  <c r="H7" i="38"/>
  <c r="K7" i="38"/>
  <c r="I35" i="50"/>
  <c r="K13" i="50"/>
  <c r="M40" i="50"/>
  <c r="K18" i="50"/>
  <c r="AE14" i="67"/>
  <c r="AD14" i="65"/>
  <c r="AD14" i="67"/>
  <c r="G2" i="66"/>
  <c r="E2" i="68"/>
  <c r="AE14" i="65"/>
  <c r="AH14" i="65"/>
  <c r="AD15" i="65"/>
  <c r="O4" i="67"/>
  <c r="AD11" i="67"/>
  <c r="AD12" i="67"/>
  <c r="AI14" i="67"/>
  <c r="AE15" i="67"/>
  <c r="O4" i="65"/>
  <c r="AD11" i="65"/>
  <c r="AD12" i="65"/>
  <c r="AI14" i="65"/>
  <c r="P4" i="67"/>
  <c r="Q23" i="9" l="1"/>
  <c r="AN15" i="7"/>
  <c r="V22" i="9"/>
  <c r="L48" i="5"/>
  <c r="U22" i="5"/>
  <c r="N23" i="7"/>
  <c r="N12" i="14"/>
  <c r="S47" i="7"/>
  <c r="R35" i="5"/>
  <c r="AA17" i="5"/>
  <c r="P23" i="5"/>
  <c r="P23" i="9"/>
  <c r="X22" i="5"/>
  <c r="AD17" i="9"/>
  <c r="O23" i="7"/>
  <c r="M48" i="5"/>
  <c r="V22" i="5"/>
  <c r="Y22" i="9"/>
  <c r="Q23" i="7"/>
  <c r="M23" i="7"/>
  <c r="K23" i="5"/>
  <c r="T39" i="9"/>
  <c r="R23" i="9"/>
  <c r="N23" i="9"/>
  <c r="T15" i="7"/>
  <c r="Q23" i="5"/>
  <c r="S47" i="9"/>
  <c r="T39" i="7"/>
  <c r="AQ319" i="71"/>
  <c r="BK369" i="71"/>
  <c r="AJ402" i="71"/>
  <c r="AT377" i="71"/>
  <c r="AL740" i="71"/>
  <c r="BK290" i="71"/>
  <c r="AL298" i="71"/>
  <c r="AI298" i="71"/>
  <c r="AP740" i="71"/>
  <c r="AS222" i="71"/>
  <c r="BJ322" i="71"/>
  <c r="AJ223" i="71"/>
  <c r="AZ297" i="71"/>
  <c r="AI223" i="71"/>
  <c r="AJ246" i="71"/>
  <c r="BI402" i="71"/>
  <c r="AY377" i="71"/>
  <c r="AK223" i="71"/>
  <c r="AY297" i="71"/>
  <c r="AJ298" i="71"/>
  <c r="AY212" i="71"/>
  <c r="AN378" i="71"/>
  <c r="AJ378" i="71"/>
  <c r="AP378" i="71"/>
  <c r="AM223" i="71"/>
  <c r="BA287" i="71"/>
  <c r="AL322" i="71"/>
  <c r="BI322" i="71"/>
  <c r="AM580" i="71"/>
  <c r="AM482" i="71"/>
  <c r="AV297" i="71"/>
  <c r="AM298" i="71"/>
  <c r="AL378" i="71"/>
  <c r="AN223" i="71"/>
  <c r="BH215" i="71"/>
  <c r="AP402" i="71"/>
  <c r="BJ402" i="71"/>
  <c r="AM246" i="71"/>
  <c r="AQ290" i="71"/>
  <c r="AI378" i="71"/>
  <c r="AN298" i="71"/>
  <c r="AK402" i="71"/>
  <c r="BE402" i="71"/>
  <c r="BF402" i="71"/>
  <c r="AL402" i="71"/>
  <c r="AK322" i="71"/>
  <c r="BE322" i="71"/>
  <c r="L23" i="27"/>
  <c r="P23" i="27"/>
  <c r="AO571" i="71"/>
  <c r="AM571" i="71"/>
  <c r="AF402" i="71"/>
  <c r="BA360" i="71"/>
  <c r="G11" i="66"/>
  <c r="T15" i="9"/>
  <c r="R47" i="7"/>
  <c r="J19" i="18"/>
  <c r="H19" i="18"/>
  <c r="E16" i="68"/>
  <c r="BE378" i="71"/>
  <c r="AK378" i="71"/>
  <c r="D9" i="66"/>
  <c r="AQ297" i="71"/>
  <c r="AL246" i="71"/>
  <c r="AK246" i="71"/>
  <c r="BG322" i="71"/>
  <c r="AW297" i="71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AO378" i="71"/>
  <c r="BE298" i="71"/>
  <c r="AK298" i="71"/>
  <c r="AY217" i="71"/>
  <c r="AE223" i="71"/>
  <c r="BH210" i="71"/>
  <c r="AB22" i="7"/>
  <c r="O48" i="5"/>
  <c r="AM537" i="71"/>
  <c r="AO537" i="71"/>
  <c r="BH402" i="71"/>
  <c r="AX377" i="71"/>
  <c r="Z22" i="5"/>
  <c r="BJ298" i="71"/>
  <c r="AP298" i="71"/>
  <c r="AX222" i="71"/>
  <c r="AQ388" i="71"/>
  <c r="AM378" i="71"/>
  <c r="L23" i="5"/>
  <c r="D10" i="66"/>
  <c r="AF322" i="71"/>
  <c r="BA297" i="71" s="1"/>
  <c r="BA281" i="71"/>
  <c r="AV222" i="71"/>
  <c r="N48" i="5"/>
  <c r="O47" i="9"/>
  <c r="BK285" i="71"/>
  <c r="AF298" i="71"/>
  <c r="AQ285" i="71"/>
  <c r="AT222" i="71"/>
  <c r="AF23" i="9"/>
  <c r="L23" i="9"/>
  <c r="I23" i="5"/>
  <c r="AJ10" i="5"/>
  <c r="N23" i="5"/>
  <c r="AJ47" i="7"/>
  <c r="Z22" i="7"/>
  <c r="BF246" i="71"/>
  <c r="AW222" i="71"/>
  <c r="AP222" i="71"/>
  <c r="BD322" i="71"/>
  <c r="AT297" i="71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BA246" i="71"/>
  <c r="AR222" i="71"/>
  <c r="BH322" i="71"/>
  <c r="AX297" i="71"/>
  <c r="G71" i="66"/>
  <c r="G73" i="66"/>
  <c r="BC402" i="71"/>
  <c r="AS377" i="71"/>
  <c r="AI402" i="71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AO298" i="71"/>
  <c r="AN246" i="71"/>
  <c r="AU222" i="71"/>
  <c r="K48" i="5"/>
  <c r="AJ322" i="71"/>
  <c r="H125" i="66"/>
  <c r="E91" i="62"/>
  <c r="D90" i="62"/>
  <c r="BG402" i="71"/>
  <c r="AW377" i="71"/>
  <c r="BK364" i="71"/>
  <c r="AF378" i="71"/>
  <c r="AQ364" i="71"/>
  <c r="AO223" i="71"/>
  <c r="F16" i="68"/>
  <c r="AO246" i="71"/>
  <c r="AG47" i="7"/>
  <c r="W22" i="7"/>
  <c r="J23" i="7"/>
  <c r="BC322" i="71"/>
  <c r="AS297" i="71"/>
  <c r="AJ15" i="5"/>
  <c r="AK47" i="9"/>
  <c r="AA22" i="9"/>
  <c r="AQ369" i="71"/>
  <c r="AE246" i="71"/>
  <c r="AY206" i="71"/>
  <c r="AL223" i="71"/>
  <c r="AP215" i="71"/>
  <c r="BH246" i="71" l="1"/>
  <c r="AP246" i="71"/>
  <c r="AN23" i="9"/>
  <c r="T23" i="9"/>
  <c r="G9" i="66"/>
  <c r="AJ48" i="5"/>
  <c r="R48" i="5"/>
  <c r="BK322" i="71"/>
  <c r="AQ322" i="71"/>
  <c r="AA22" i="5"/>
  <c r="AJ23" i="5"/>
  <c r="R23" i="5"/>
  <c r="D8" i="66"/>
  <c r="BH223" i="71"/>
  <c r="AP223" i="71"/>
  <c r="E31" i="68"/>
  <c r="T47" i="7"/>
  <c r="AN47" i="7"/>
  <c r="AD22" i="7"/>
  <c r="AN23" i="7"/>
  <c r="T23" i="7"/>
  <c r="F31" i="68"/>
  <c r="BK378" i="71"/>
  <c r="AQ378" i="71"/>
  <c r="H72" i="66"/>
  <c r="AN47" i="9"/>
  <c r="T47" i="9"/>
  <c r="AY222" i="71"/>
  <c r="BK298" i="71"/>
  <c r="AQ298" i="71"/>
  <c r="BK402" i="71"/>
  <c r="AQ402" i="71"/>
  <c r="BA377" i="71"/>
  <c r="E52" i="68" l="1"/>
  <c r="AO911" i="71"/>
  <c r="E64" i="68"/>
  <c r="D13" i="62"/>
  <c r="J4" i="43"/>
  <c r="F52" i="68"/>
  <c r="K4" i="43"/>
  <c r="AP911" i="71"/>
  <c r="E13" i="62"/>
  <c r="F64" i="68"/>
  <c r="G7" i="66"/>
  <c r="H8" i="66"/>
  <c r="D41" i="62" l="1"/>
  <c r="D89" i="62" s="1"/>
  <c r="E41" i="62"/>
  <c r="E89" i="62" s="1"/>
  <c r="D99" i="62"/>
  <c r="G171" i="80"/>
  <c r="G171" i="78"/>
  <c r="I171" i="80"/>
  <c r="I171" i="78"/>
  <c r="F56" i="68"/>
  <c r="F66" i="68"/>
  <c r="I171" i="66"/>
  <c r="AO1004" i="71"/>
  <c r="M41" i="50"/>
  <c r="E56" i="68"/>
  <c r="E66" i="68"/>
  <c r="G171" i="66"/>
  <c r="M19" i="50"/>
  <c r="AO982" i="71"/>
  <c r="E99" i="62" l="1"/>
  <c r="I151" i="80"/>
  <c r="I151" i="78"/>
  <c r="G151" i="80"/>
  <c r="G151" i="78"/>
  <c r="I151" i="66"/>
  <c r="G151" i="66"/>
  <c r="G150" i="80" l="1"/>
  <c r="G150" i="78"/>
  <c r="I150" i="80"/>
  <c r="I150" i="78"/>
  <c r="I150" i="66"/>
  <c r="G150" i="66"/>
</calcChain>
</file>

<file path=xl/comments1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D8, D9, D10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2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E15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25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27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365" authorId="0">
      <text>
        <r>
          <rPr>
            <b/>
            <sz val="8"/>
            <color indexed="81"/>
            <rFont val="Tahoma"/>
            <family val="2"/>
            <charset val="238"/>
          </rPr>
          <t>EY:</t>
        </r>
        <r>
          <rPr>
            <sz val="8"/>
            <color indexed="81"/>
            <rFont val="Tahoma"/>
            <family val="2"/>
            <charset val="238"/>
          </rPr>
          <t xml:space="preserve">
Vyhodene</t>
        </r>
      </text>
    </comment>
    <comment ref="D456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zmeneny "wording" vyznam rovnaky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<sst xmlns="http://schemas.openxmlformats.org/spreadsheetml/2006/main" count="5458" uniqueCount="2073">
  <si>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</si>
  <si>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</si>
  <si>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</si>
  <si>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</si>
  <si>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</si>
  <si>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</si>
  <si>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</si>
  <si>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</si>
  <si>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</si>
  <si>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</si>
  <si>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</si>
  <si>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</si>
  <si>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</si>
  <si>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</si>
  <si>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</si>
  <si>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</si>
  <si>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</si>
  <si>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</si>
  <si>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</si>
  <si>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</si>
  <si>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</si>
  <si>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</si>
  <si>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</si>
  <si>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</si>
  <si>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</si>
  <si>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</si>
  <si>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</si>
  <si>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</si>
  <si>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</si>
  <si>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</si>
  <si>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</si>
  <si>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</si>
  <si>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</si>
  <si>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</si>
  <si>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</si>
  <si>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</si>
  <si>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</si>
  <si>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</si>
  <si>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</si>
  <si>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</si>
  <si>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</si>
  <si>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</si>
  <si>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</si>
  <si>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</si>
  <si>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</si>
  <si>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</si>
  <si>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</si>
  <si>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</si>
  <si>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</si>
  <si>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</si>
  <si>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</si>
  <si>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</si>
  <si>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</si>
  <si>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</si>
  <si>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</si>
  <si>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</si>
  <si>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</si>
  <si>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</si>
  <si>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</si>
  <si>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</si>
  <si>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</si>
  <si>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</si>
  <si>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</si>
  <si>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</si>
  <si>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</si>
  <si>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</si>
  <si>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</si>
  <si>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</si>
  <si>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</si>
  <si>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</si>
  <si>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</si>
  <si>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</si>
  <si>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</si>
  <si>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</si>
  <si>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</si>
  <si>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</si>
  <si>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</si>
  <si>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</si>
  <si>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</si>
  <si>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</si>
  <si>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</si>
  <si>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</si>
  <si>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</si>
  <si>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</si>
  <si>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</si>
  <si>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</si>
  <si>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</si>
  <si>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</si>
  <si>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</si>
  <si>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</si>
  <si>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</si>
  <si>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</si>
  <si>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</si>
  <si>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</si>
  <si>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</si>
  <si>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</si>
  <si>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</si>
  <si>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</si>
  <si>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</si>
  <si>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</si>
  <si>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</si>
  <si>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</si>
  <si>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</si>
  <si>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</si>
  <si>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</si>
  <si>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</si>
  <si>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</si>
  <si>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</si>
  <si>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</si>
  <si>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</si>
  <si>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</si>
  <si>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</si>
  <si>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</si>
  <si>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</si>
  <si>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</si>
  <si>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</si>
  <si>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</si>
  <si>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</si>
  <si>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</si>
  <si>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</si>
  <si>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</si>
  <si>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</si>
  <si>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</si>
  <si>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</si>
  <si>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</si>
  <si>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</si>
  <si>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</si>
  <si>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</si>
  <si>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</si>
  <si>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</si>
  <si>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</si>
  <si>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</si>
  <si>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</si>
  <si>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</si>
  <si>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</si>
  <si>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</si>
  <si>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</si>
  <si>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</si>
  <si>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</si>
  <si>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</si>
  <si>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</si>
  <si>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</si>
  <si>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</si>
  <si>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</si>
  <si>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</si>
  <si>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</si>
  <si>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</si>
  <si>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</si>
  <si>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</si>
  <si>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</si>
  <si>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</si>
  <si>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</si>
  <si>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</si>
  <si>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</si>
  <si>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</si>
  <si>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</si>
  <si>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</si>
  <si>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</si>
  <si>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</si>
  <si>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</si>
  <si>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</si>
  <si>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</si>
  <si>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</si>
  <si>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</si>
  <si>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</si>
  <si>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</si>
  <si>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</si>
  <si>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</si>
  <si>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</si>
  <si>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</si>
  <si>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</si>
  <si>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</si>
  <si>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</si>
  <si>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</si>
  <si>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</si>
  <si>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</si>
  <si>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</si>
  <si>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</si>
  <si>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</si>
  <si>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</si>
  <si>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</si>
  <si>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</si>
  <si>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</si>
  <si>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</si>
  <si>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</si>
  <si>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</si>
  <si>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</si>
  <si>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</si>
  <si>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</si>
  <si>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</si>
  <si>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</si>
  <si>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</si>
  <si>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</si>
  <si>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</si>
  <si>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</si>
  <si>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</si>
  <si>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</si>
  <si>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</si>
  <si>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</si>
  <si>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</si>
  <si>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</si>
  <si>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</si>
  <si>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</si>
  <si>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</si>
  <si>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</si>
  <si>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</si>
  <si>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</si>
  <si>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</si>
  <si>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</si>
  <si>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</si>
  <si>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</si>
  <si>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</si>
  <si>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</si>
  <si>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</si>
  <si>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</si>
  <si>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</si>
  <si>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</si>
  <si>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</si>
  <si>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</si>
  <si>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</si>
  <si>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</si>
  <si>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</si>
  <si>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</si>
  <si>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</si>
  <si>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</si>
  <si>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</si>
  <si>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</si>
  <si>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</si>
  <si>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</si>
  <si>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</si>
  <si>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</si>
  <si>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</si>
  <si>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</si>
  <si>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</si>
  <si>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</si>
  <si>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</si>
  <si>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</si>
  <si>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</si>
  <si>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</si>
  <si>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</si>
  <si>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</si>
  <si>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</si>
  <si>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</si>
  <si>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</si>
  <si>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</si>
  <si>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</si>
  <si>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</si>
  <si>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</si>
  <si>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</si>
  <si>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</si>
  <si>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</si>
  <si>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</si>
  <si>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</si>
  <si>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</si>
  <si>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</si>
  <si>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</si>
  <si>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</si>
  <si>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</si>
  <si>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</si>
  <si>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</si>
  <si>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</si>
  <si>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</si>
  <si>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</si>
  <si>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</si>
  <si>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</si>
  <si>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</si>
  <si>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</si>
  <si>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</si>
  <si>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</si>
  <si>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</si>
  <si>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</si>
  <si>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</si>
  <si>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</si>
  <si>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</si>
  <si>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</si>
  <si>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</si>
  <si>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</si>
  <si>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</si>
  <si>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</si>
  <si>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</si>
  <si>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</si>
  <si>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</si>
  <si>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</si>
  <si>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</si>
  <si>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</si>
  <si>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</si>
  <si>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</si>
  <si>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</si>
  <si>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</si>
  <si>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</si>
  <si>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</si>
  <si>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</si>
  <si>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</si>
  <si>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</si>
  <si>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</si>
  <si>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</si>
  <si>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</si>
  <si>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</si>
  <si>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</si>
  <si>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</si>
  <si>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</si>
  <si>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</si>
  <si>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</si>
  <si>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</si>
  <si>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</si>
  <si>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</si>
  <si>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</si>
  <si>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</si>
  <si>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</si>
  <si>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</si>
  <si>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</si>
  <si>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</si>
  <si>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</si>
  <si>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</si>
  <si>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</si>
  <si>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</si>
  <si>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</si>
  <si>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</si>
  <si>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</si>
  <si>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</si>
  <si>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</si>
  <si>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</si>
  <si>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</si>
  <si>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</si>
  <si>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</si>
  <si>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</si>
  <si>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</si>
  <si>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</si>
  <si>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</si>
  <si>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</si>
  <si>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</si>
  <si>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</si>
  <si>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</si>
  <si>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</si>
  <si>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</si>
  <si>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</si>
  <si>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</si>
  <si>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</si>
  <si>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</si>
  <si>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</si>
  <si>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</si>
  <si>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</si>
  <si>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</si>
  <si>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</si>
  <si>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</si>
  <si>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</si>
  <si>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</si>
  <si>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</si>
  <si>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</si>
  <si>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</si>
  <si>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</si>
  <si>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</si>
  <si>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</si>
  <si>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</si>
  <si>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</si>
  <si>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</si>
  <si>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</si>
  <si>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</si>
  <si>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</si>
  <si>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</si>
  <si>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</si>
  <si>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</si>
  <si>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</si>
  <si>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</si>
  <si>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</si>
  <si>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</si>
  <si>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</si>
  <si>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</si>
  <si>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</si>
  <si>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</si>
  <si>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</si>
  <si>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</si>
  <si>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</si>
  <si>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</si>
  <si>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</si>
  <si>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</si>
  <si>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</si>
  <si>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</si>
  <si>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</si>
  <si>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</si>
  <si>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</si>
  <si>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</si>
  <si>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</si>
  <si>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</si>
  <si>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</si>
  <si>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</si>
  <si>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</si>
  <si>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</si>
  <si>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</si>
  <si>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</si>
  <si>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</si>
  <si>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</si>
  <si>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</si>
  <si>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</si>
  <si>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</si>
  <si>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</si>
  <si>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</si>
  <si>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</si>
  <si>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</si>
  <si>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</si>
  <si>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</si>
  <si>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</si>
  <si>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</si>
  <si>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</si>
  <si>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</si>
  <si>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</si>
  <si>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</si>
  <si>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</si>
  <si>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</si>
  <si>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</si>
  <si>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</si>
  <si>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</si>
  <si>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</si>
  <si>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</si>
  <si>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</si>
  <si>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</si>
  <si>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</si>
  <si>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</si>
  <si>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</si>
  <si>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</si>
  <si>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</si>
  <si>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</si>
  <si>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</si>
  <si>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</si>
  <si>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</si>
  <si>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</si>
  <si>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</si>
  <si>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</si>
  <si>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</si>
  <si>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</si>
  <si>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</si>
  <si>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</si>
  <si>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</si>
  <si>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</si>
  <si>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</si>
  <si>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</si>
  <si>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</si>
  <si>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</si>
  <si>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</si>
  <si>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</si>
  <si>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</si>
  <si>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</si>
  <si>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</si>
  <si>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</si>
  <si>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</si>
  <si>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</si>
  <si>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</si>
  <si>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</si>
  <si>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</si>
  <si>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</si>
  <si>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</si>
  <si>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</si>
  <si>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</si>
  <si>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</si>
  <si>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</si>
  <si>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</si>
  <si>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</si>
  <si>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</si>
  <si>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</si>
  <si>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</si>
  <si>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</si>
  <si>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</si>
  <si>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</si>
  <si>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</si>
  <si>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</si>
  <si>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</si>
  <si>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</si>
  <si>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</si>
  <si>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</si>
  <si>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</si>
  <si>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</si>
  <si>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</si>
  <si>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</si>
  <si>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</si>
  <si>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</si>
  <si>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</si>
  <si>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</si>
  <si>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</si>
  <si>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</si>
  <si>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</si>
  <si>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</si>
  <si>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</si>
  <si>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</si>
  <si>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</si>
  <si>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</si>
  <si>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</si>
  <si>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</si>
  <si>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</si>
  <si>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</si>
  <si>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</si>
  <si>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</si>
  <si>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</si>
  <si>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</si>
  <si>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</si>
  <si>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</si>
  <si>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</si>
  <si>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</si>
  <si>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</si>
  <si>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</si>
  <si>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</si>
  <si>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</si>
  <si>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</si>
  <si>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</si>
  <si>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</si>
  <si>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</si>
  <si>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</si>
  <si>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</si>
  <si>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</si>
  <si>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</si>
  <si>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</si>
  <si>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</si>
  <si>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</si>
  <si>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</si>
  <si>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</si>
  <si>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</si>
  <si>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</si>
  <si>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</si>
  <si>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</si>
  <si>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</si>
  <si>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</si>
  <si>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</si>
  <si>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</si>
  <si>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</si>
  <si>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</si>
  <si>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</si>
  <si>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</si>
  <si>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</si>
  <si>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</si>
  <si>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</si>
  <si>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</si>
  <si>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</si>
  <si>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</si>
  <si>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</si>
  <si>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</si>
  <si>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</si>
  <si>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</si>
  <si>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</si>
  <si>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</si>
  <si>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</si>
  <si>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</si>
  <si>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</si>
  <si>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</si>
  <si>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</si>
  <si>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</si>
  <si>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</si>
  <si>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</si>
  <si>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</si>
  <si>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</si>
  <si>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</si>
  <si>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</si>
  <si>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</si>
  <si>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</si>
  <si>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</si>
  <si>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</si>
  <si>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</si>
  <si>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</si>
  <si>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</si>
  <si>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</si>
  <si>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</si>
  <si>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</si>
  <si>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</si>
  <si>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</si>
  <si>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</si>
  <si>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</si>
  <si>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</si>
  <si>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</si>
  <si>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</si>
  <si>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</si>
  <si>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</si>
  <si>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</si>
  <si>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</si>
  <si>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</si>
  <si>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</si>
  <si>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</si>
  <si>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</si>
  <si>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</si>
  <si>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</si>
  <si>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</si>
  <si>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</si>
  <si>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</si>
  <si>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</si>
  <si>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</si>
  <si>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</si>
  <si>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</si>
  <si>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</si>
  <si>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</si>
  <si>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</si>
  <si>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</si>
  <si>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</si>
  <si>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</si>
  <si>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</si>
  <si>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</si>
  <si>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</si>
  <si>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</si>
  <si>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</si>
  <si>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</si>
  <si>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</si>
  <si>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</si>
  <si>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</si>
  <si>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</si>
  <si>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</si>
  <si>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</si>
  <si>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</si>
  <si>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</si>
  <si>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</si>
  <si>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</si>
  <si>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</si>
  <si>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</si>
  <si>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</si>
  <si>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</si>
  <si>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</si>
  <si>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</si>
  <si>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</si>
  <si>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</si>
  <si>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</si>
  <si>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</si>
  <si>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</si>
  <si>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</si>
  <si>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</si>
  <si>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</si>
  <si>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</si>
  <si>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</si>
  <si>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</si>
  <si>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</si>
  <si>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</si>
  <si>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</si>
  <si>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</si>
  <si>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</si>
  <si>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</si>
  <si>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</si>
  <si>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</si>
  <si>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</si>
  <si>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</si>
  <si>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</si>
  <si>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</si>
  <si>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</si>
  <si>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</si>
  <si>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</si>
  <si>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</si>
  <si>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</si>
  <si>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</si>
  <si>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</si>
  <si>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</si>
  <si>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</si>
  <si>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</si>
  <si>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</si>
  <si>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</si>
  <si>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</si>
  <si>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</si>
  <si>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</si>
  <si>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</si>
  <si>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</si>
  <si>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</si>
  <si>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</si>
  <si>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</si>
  <si>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</si>
  <si>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</si>
  <si>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</si>
  <si>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</si>
  <si>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</si>
  <si>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</si>
  <si>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</si>
  <si>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</si>
  <si>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</si>
  <si>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</si>
  <si>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</si>
  <si>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</si>
  <si>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</si>
  <si>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</si>
  <si>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</si>
  <si>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</si>
  <si>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</si>
  <si>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</si>
  <si>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</si>
  <si>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</si>
  <si>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</si>
  <si>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</si>
  <si>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</si>
  <si>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</si>
  <si>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</si>
  <si>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</si>
  <si>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</si>
  <si>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</si>
  <si>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</si>
  <si>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</si>
  <si>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</si>
  <si>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</si>
  <si>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</si>
  <si>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</si>
  <si>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</si>
  <si>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</si>
  <si>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</si>
  <si>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</si>
  <si>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</si>
  <si>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</si>
  <si>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</si>
  <si>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</si>
  <si>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</si>
  <si>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</si>
  <si>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</si>
  <si>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</si>
  <si>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</si>
  <si>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</si>
  <si>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</si>
  <si>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</si>
  <si>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</si>
  <si>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</si>
  <si>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</si>
  <si>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</si>
  <si>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</si>
  <si>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</si>
  <si>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</si>
  <si>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</si>
  <si>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</si>
  <si>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</si>
  <si>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</si>
  <si>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</si>
  <si>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</si>
  <si>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</si>
  <si>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</si>
  <si>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</si>
  <si>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</si>
  <si>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</si>
  <si>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</si>
  <si>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</si>
  <si>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</si>
  <si>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</si>
  <si>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</si>
  <si>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</si>
  <si>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</si>
  <si>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</si>
  <si>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</si>
  <si>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</si>
  <si>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</si>
  <si>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</si>
  <si>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</si>
  <si>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</si>
  <si>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</si>
  <si>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</si>
  <si>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</si>
  <si>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</si>
  <si>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</si>
  <si>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</si>
  <si>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</si>
  <si>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</si>
  <si>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</si>
  <si>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</si>
  <si>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</si>
  <si>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</si>
  <si>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</si>
  <si>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</si>
  <si>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</si>
  <si>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</si>
  <si>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</si>
  <si>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</si>
  <si>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</si>
  <si>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</si>
  <si>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</si>
  <si>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</si>
  <si>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</si>
  <si>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</si>
  <si>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</si>
  <si>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</si>
  <si>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</si>
  <si>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</si>
  <si>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</si>
  <si>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</si>
  <si>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</si>
  <si>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</si>
  <si>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</si>
  <si>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</si>
  <si>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</si>
  <si>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</si>
  <si>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</si>
  <si>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</si>
  <si>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</si>
  <si>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</si>
  <si>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</si>
  <si>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</si>
  <si>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</si>
  <si>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</si>
  <si>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</si>
  <si>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</si>
  <si>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</si>
  <si>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</si>
  <si>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</si>
  <si>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</si>
  <si>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</si>
  <si>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</si>
  <si>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</si>
  <si>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</si>
  <si>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</si>
  <si>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</si>
  <si>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</si>
  <si>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</si>
  <si>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</si>
  <si>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</si>
  <si>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</si>
  <si>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</si>
  <si>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</si>
  <si>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</si>
  <si>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</si>
  <si>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</si>
  <si>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</si>
  <si>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</si>
  <si>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</si>
  <si>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</si>
  <si>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</si>
  <si>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</si>
  <si>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</si>
  <si>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</si>
  <si>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</si>
  <si>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</si>
  <si>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</si>
  <si>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</si>
  <si>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</si>
  <si>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</si>
  <si>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</si>
  <si>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</si>
  <si>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</si>
  <si>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</si>
  <si>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</si>
  <si>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</si>
  <si>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</si>
  <si>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</si>
  <si>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</si>
  <si>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</si>
  <si>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</si>
  <si>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</si>
  <si>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</si>
  <si>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</si>
  <si>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</si>
  <si>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</si>
  <si>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</si>
  <si>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</si>
  <si>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</si>
  <si>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</si>
  <si>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</si>
  <si>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</si>
  <si>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</si>
  <si>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</si>
  <si>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</si>
  <si>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</si>
  <si>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</si>
  <si>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</si>
  <si>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</si>
  <si>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</si>
  <si>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</si>
  <si>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</si>
  <si>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</si>
  <si>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</si>
  <si>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</si>
  <si>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</si>
  <si>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</si>
  <si>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</si>
  <si>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</si>
  <si>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</si>
  <si>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</si>
  <si>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</si>
  <si>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</si>
  <si>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</si>
  <si>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</si>
  <si>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</si>
  <si>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</si>
  <si>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</si>
  <si>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</si>
  <si>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</si>
  <si>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</si>
  <si>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</si>
  <si>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</si>
  <si>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</si>
  <si>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</si>
  <si>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</si>
  <si>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</si>
  <si>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</si>
  <si>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</si>
  <si>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</si>
  <si>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</si>
  <si>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</si>
  <si>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</si>
  <si>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</si>
  <si>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</si>
  <si>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</si>
  <si>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</si>
  <si>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</si>
  <si>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</si>
  <si>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</si>
  <si>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</si>
  <si>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</si>
  <si>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</si>
  <si>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</si>
  <si>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</si>
  <si>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</si>
  <si>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</si>
  <si>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</si>
  <si>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</si>
  <si>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</si>
  <si>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</si>
  <si>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</si>
  <si>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</si>
  <si>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</si>
  <si>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</si>
  <si>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</si>
  <si>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</si>
  <si>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</si>
  <si>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</si>
  <si>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</si>
  <si>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</si>
  <si>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</si>
  <si>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</si>
  <si>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</si>
  <si>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</si>
  <si>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</si>
  <si>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</si>
  <si>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</si>
  <si>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</si>
  <si>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</si>
  <si>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</si>
  <si>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</si>
  <si>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</si>
  <si>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</si>
  <si>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</si>
  <si>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</si>
  <si>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</si>
  <si>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</si>
  <si>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</si>
  <si>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</si>
  <si>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</si>
  <si>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</si>
  <si>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</si>
  <si>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</si>
  <si>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</si>
  <si>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</si>
  <si>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</si>
  <si>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</si>
  <si>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</si>
  <si>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</si>
  <si>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</si>
  <si>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</si>
  <si>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</si>
  <si>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</si>
  <si>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</si>
  <si>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</si>
  <si>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</si>
  <si>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</si>
  <si>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</si>
  <si>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</si>
  <si>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</si>
  <si>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</si>
  <si>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</si>
  <si>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</si>
  <si>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</si>
  <si>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</si>
  <si>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</si>
  <si>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</si>
  <si>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</si>
  <si>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</si>
  <si>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</si>
  <si>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</si>
  <si>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</si>
  <si>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</si>
  <si>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</si>
  <si>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</si>
  <si>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</si>
  <si>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</si>
  <si>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</si>
  <si>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</si>
  <si>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</si>
  <si>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</si>
  <si>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</si>
  <si>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</si>
  <si>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</si>
  <si>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</si>
  <si>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</si>
  <si>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</si>
  <si>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</si>
  <si>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</si>
  <si>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</si>
  <si>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</si>
  <si>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</si>
  <si>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</si>
  <si>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Prehľad o peňažných tokoch</t>
  </si>
  <si>
    <t>(v EUR)</t>
  </si>
  <si>
    <t>Označe-nie</t>
  </si>
  <si>
    <t>Text</t>
  </si>
  <si>
    <t>Účtovné obdobie</t>
  </si>
  <si>
    <t>bežné</t>
  </si>
  <si>
    <t>predchádzajúce</t>
  </si>
  <si>
    <t>Z/S</t>
  </si>
  <si>
    <t>Výsledok hospodárenia z bežnej činnosti pred zdanením daňou z príjmov</t>
  </si>
  <si>
    <t>A.1.</t>
  </si>
  <si>
    <t>Nepeňažné operácie ovplyvňujúce hospodársky výsledok z bežnej činnosti</t>
  </si>
  <si>
    <t>A.1.1.</t>
  </si>
  <si>
    <t>Odpisy dlhodobého nehmotného majetku a dlhodobého hmotného majetku</t>
  </si>
  <si>
    <t>A.1.2.</t>
  </si>
  <si>
    <t>Zostatková hodnota dlhodobého nehmotného a hmotného majetku účtovaná pri vyradení (s výnimkou predaja)</t>
  </si>
  <si>
    <t>A.1.3.</t>
  </si>
  <si>
    <t>Odpis opravnej položky k nadobutnutému majetku</t>
  </si>
  <si>
    <t>A.1.4.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</si>
  <si>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</si>
  <si>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</si>
  <si>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</si>
  <si>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</si>
  <si>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</si>
  <si>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</si>
  <si>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</si>
  <si>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</si>
  <si>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</si>
  <si>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</si>
  <si>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</si>
  <si>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</si>
  <si>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</si>
  <si>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</si>
  <si>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</si>
  <si>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</si>
  <si>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</si>
  <si>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</si>
  <si>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</si>
  <si>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</si>
  <si>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</si>
  <si>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</si>
  <si>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</si>
  <si>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</si>
  <si>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</si>
  <si>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</si>
  <si>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</si>
  <si>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</si>
  <si>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</si>
  <si>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</si>
  <si>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</si>
  <si>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</si>
  <si>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</si>
  <si>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</si>
  <si>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</si>
  <si>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</si>
  <si>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</si>
  <si>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</si>
  <si>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</si>
  <si>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</si>
  <si>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</si>
  <si>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</si>
  <si>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Čisté peňažné toky z prevádzkovej činnosti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</si>
  <si>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</si>
  <si>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</si>
  <si>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</si>
  <si>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</si>
  <si>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</si>
  <si>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</si>
  <si>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</si>
  <si>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</si>
  <si>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</si>
  <si>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</si>
  <si>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</si>
  <si>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</si>
  <si>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</si>
  <si>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</si>
  <si>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</si>
  <si>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</si>
  <si>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</si>
  <si>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</si>
  <si>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</si>
  <si>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</t>
  </si>
  <si>
    <t>Prijaté úroky, s výnimkou tých, ktoré sa začleňujú do prevádzkových činností</t>
  </si>
  <si>
    <t>B.12.</t>
  </si>
  <si>
    <t>Príjmy z dividend a iných podielov na zisku, s výnimkou tých, ktoré sa začleňujú do prevádzkových činností</t>
  </si>
  <si>
    <t>B.13.</t>
  </si>
  <si>
    <t>Výdavky súvisiace s derivátmi s výnimkou, ak sú určené na predaj alebo na obchodovanie</t>
  </si>
  <si>
    <t>B.14.</t>
  </si>
  <si>
    <t>Príjmy súvisiace s derivátmi s výnimkou, ak sú určené na predaj alebo na obchodovanie</t>
  </si>
  <si>
    <t>B.15.</t>
  </si>
  <si>
    <r>
      <t>Výdavky na daň z príjmov účtovnej jednotky, ak je ju</t>
    </r>
    <r>
      <rPr>
        <sz val="14"/>
        <color indexed="12"/>
        <rFont val="Arial CE"/>
        <family val="2"/>
        <charset val="238"/>
      </rPr>
      <t xml:space="preserve"> </t>
    </r>
    <r>
      <rPr>
        <sz val="14"/>
        <rFont val="Arial CE"/>
        <family val="2"/>
        <charset val="238"/>
      </rPr>
      <t>možné začleniť do investičných činností</t>
    </r>
  </si>
  <si>
    <t>B.16.</t>
  </si>
  <si>
    <t>Príjmy mimoriadneho charakteru vzťahujúce sa na investičnú činnosť</t>
  </si>
  <si>
    <t>B.17.</t>
  </si>
  <si>
    <t>Výdavky mimoriadneho 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</si>
  <si>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</si>
  <si>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</si>
  <si>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</si>
  <si>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</si>
  <si>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Čisté peňažné toky z investičnej činnosti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</si>
  <si>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</si>
  <si>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</si>
  <si>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</si>
  <si>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</si>
  <si>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</si>
  <si>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</si>
  <si>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</si>
  <si>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</si>
  <si>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</si>
  <si>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</si>
  <si>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</si>
  <si>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</si>
  <si>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</si>
  <si>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</si>
  <si>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</si>
  <si>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</si>
  <si>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</si>
  <si>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</si>
  <si>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</si>
  <si>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</si>
  <si>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</si>
  <si>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</si>
  <si>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</si>
  <si>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</si>
  <si>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</si>
  <si>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</si>
  <si>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s výnimkou úverov poskytnutých na hlavnú činnosť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</si>
  <si>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</si>
  <si>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</si>
  <si>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</si>
  <si>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</si>
  <si>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</si>
  <si>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</si>
  <si>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</si>
  <si>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Príjmy z ostatných dlhodobých a krátkodobých záväzkov vyplývajúcich z finančnej činnosti</t>
  </si>
  <si>
    <t>C.2.9.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</si>
  <si>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</si>
  <si>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</si>
  <si>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</si>
  <si>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</si>
  <si>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</si>
  <si>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</si>
  <si>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</si>
  <si>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</si>
  <si>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</si>
  <si>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</si>
  <si>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</si>
  <si>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</si>
  <si>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</si>
  <si>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</si>
  <si>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</si>
  <si>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Čisté peňažné toky z finančnej činnosti</t>
  </si>
  <si>
    <t>Čisté zvýšenie alebo čisté zníženie peňažných prostriedkov</t>
  </si>
  <si>
    <t>Stav peňažných prostriedkov a peňažných ekvivalentov na začiatku účtovného obdobia</t>
  </si>
  <si>
    <t>Stav peňažných prostriedkov a peňažných ekvivalentov na konci účtovného obdobia</t>
  </si>
  <si>
    <t>Kurzové rozdiely vyčíslené k peňažným prostriedkom a peňažným ekvivalentom ku dňu účtovnej závierke</t>
  </si>
  <si>
    <t>Zostatok peňažných prostriedkov a peňažných ekvivalentov na konci účtovného obdobia</t>
  </si>
  <si>
    <t>Musi byt NULA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</si>
  <si>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</si>
  <si>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</si>
  <si>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</si>
  <si>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</si>
  <si>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</si>
  <si>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</si>
  <si>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Súvaha Úč POD 1 - 01</t>
  </si>
  <si>
    <t>SÚVAHA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</si>
  <si>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</si>
  <si>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</si>
  <si>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</si>
  <si>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</si>
  <si>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</si>
  <si>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</si>
  <si>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</si>
  <si>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</si>
  <si>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</si>
  <si>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</si>
  <si>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</si>
  <si>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</si>
  <si>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</si>
  <si>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</si>
  <si>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</si>
  <si>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</si>
  <si>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</si>
  <si>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</si>
  <si>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</si>
  <si>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</si>
  <si>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</si>
  <si>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</si>
  <si>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</si>
  <si>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</si>
  <si>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</si>
  <si>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</si>
  <si>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</si>
  <si>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</si>
  <si>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</si>
  <si>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</si>
  <si>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</si>
  <si>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</si>
  <si>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</si>
  <si>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</si>
  <si>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</si>
  <si>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</si>
  <si>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</si>
  <si>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</si>
  <si>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</si>
  <si>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</si>
  <si>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</si>
  <si>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</si>
  <si>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</si>
  <si>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</si>
  <si>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</si>
  <si>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</si>
  <si>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</si>
  <si>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</si>
  <si>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</si>
  <si>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</si>
  <si>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</si>
  <si>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</si>
  <si>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</si>
  <si>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</si>
  <si>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</si>
  <si>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</si>
  <si>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</si>
  <si>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</si>
  <si>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</si>
  <si>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</si>
  <si>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</si>
  <si>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</si>
  <si>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</si>
  <si>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</si>
  <si>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</si>
  <si>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</si>
  <si>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</si>
  <si>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</si>
  <si>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</si>
  <si>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</si>
  <si>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</si>
  <si>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</si>
  <si>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</si>
  <si>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</si>
  <si>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</si>
  <si>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</si>
  <si>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</si>
  <si>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</si>
  <si>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</si>
  <si>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</si>
  <si>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</si>
  <si>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</si>
  <si>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</si>
  <si>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</si>
  <si>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</si>
  <si>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</si>
  <si>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</si>
  <si>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</si>
  <si>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</si>
  <si>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</si>
  <si>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</si>
  <si>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</si>
  <si>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</si>
  <si>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</si>
  <si>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</si>
  <si>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</si>
  <si>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</si>
  <si>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</si>
  <si>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</si>
  <si>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</si>
  <si>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</si>
  <si>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</si>
  <si>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</si>
  <si>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</si>
  <si>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</si>
  <si>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</si>
  <si>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</si>
  <si>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</si>
  <si>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</si>
  <si>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</si>
  <si>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</si>
  <si>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</si>
  <si>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</si>
  <si>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</si>
  <si>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</si>
  <si>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</si>
  <si>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</si>
  <si>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</si>
  <si>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</si>
  <si>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</si>
  <si>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</si>
  <si>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</si>
  <si>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</si>
  <si>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</si>
  <si>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</si>
  <si>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</si>
  <si>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</si>
  <si>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</si>
  <si>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</si>
  <si>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</si>
  <si>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</si>
  <si>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</si>
  <si>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</si>
  <si>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</si>
  <si>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</si>
  <si>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</si>
  <si>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</si>
  <si>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</si>
  <si>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</si>
  <si>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</si>
  <si>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</si>
  <si>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</si>
  <si>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</si>
  <si>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</si>
  <si>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</si>
  <si>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</si>
  <si>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</si>
  <si>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</si>
  <si>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</si>
  <si>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</si>
  <si>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</si>
  <si>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</si>
  <si>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</si>
  <si>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</si>
  <si>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</si>
  <si>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</si>
  <si>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</si>
  <si>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</si>
  <si>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</si>
  <si>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</si>
  <si>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</si>
  <si>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</si>
  <si>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</si>
  <si>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</si>
  <si>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</si>
  <si>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</si>
  <si>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</si>
  <si>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</si>
  <si>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</si>
  <si>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Dlhodobý
nehmotný majetok
súčet (r. 004 až
010)</t>
  </si>
  <si>
    <t>Neobežný majetok
r. 003 + r. 011
+ r. 021</t>
  </si>
  <si>
    <t>SPOLU MAJETOK
r. 002 + r. 030
+ r. 061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</si>
  <si>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</si>
  <si>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</si>
  <si>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</si>
  <si>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</si>
  <si>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</si>
  <si>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</si>
  <si>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</si>
  <si>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</si>
  <si>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</si>
  <si>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</si>
  <si>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</si>
  <si>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</si>
  <si>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</si>
  <si>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</si>
  <si>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</si>
  <si>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</si>
  <si>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</si>
  <si>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</si>
  <si>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</si>
  <si>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</si>
  <si>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</si>
  <si>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</si>
  <si>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</si>
  <si>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</si>
  <si>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</si>
  <si>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</si>
  <si>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</si>
  <si>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</si>
  <si>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</si>
  <si>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</si>
  <si>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</si>
  <si>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</si>
  <si>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</si>
  <si>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</si>
  <si>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</si>
  <si>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</si>
  <si>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</si>
  <si>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</si>
  <si>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</si>
  <si>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</si>
  <si>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</si>
  <si>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</si>
  <si>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</si>
  <si>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</si>
  <si>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</si>
  <si>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</si>
  <si>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</si>
  <si>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</si>
  <si>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</si>
  <si>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</si>
  <si>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</si>
  <si>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</si>
  <si>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</si>
  <si>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</si>
  <si>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</si>
  <si>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</si>
  <si>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</si>
  <si>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</si>
  <si>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</si>
  <si>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</si>
  <si>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</si>
  <si>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</si>
  <si>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</si>
  <si>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</si>
  <si>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</si>
  <si>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</si>
  <si>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</si>
  <si>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</si>
  <si>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</si>
  <si>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</si>
  <si>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</si>
  <si>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</si>
  <si>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or a person that is the accounting entity :</t>
  </si>
  <si>
    <t>Phone number :</t>
  </si>
  <si>
    <t>Name of statutory representative</t>
  </si>
  <si>
    <t>Phone area code :</t>
  </si>
  <si>
    <t>for preparing of financial statements :</t>
  </si>
  <si>
    <t>City</t>
  </si>
  <si>
    <t>Person responsible</t>
  </si>
  <si>
    <t>ZIP</t>
  </si>
  <si>
    <t>for accounting :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</si>
  <si>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</si>
  <si>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</si>
  <si>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</si>
  <si>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</si>
  <si>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</si>
  <si>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</si>
  <si>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</si>
  <si>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</si>
  <si>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</si>
  <si>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</si>
  <si>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</si>
  <si>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</si>
  <si>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</si>
  <si>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</si>
  <si>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</si>
  <si>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</si>
  <si>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</si>
  <si>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</si>
  <si>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</si>
  <si>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</si>
  <si>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</si>
  <si>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</si>
  <si>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</si>
  <si>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>Hlavným predmetom činnosti je:</t>
  </si>
  <si>
    <t>1.</t>
  </si>
  <si>
    <t>Informácie o počte zamestnancov</t>
  </si>
  <si>
    <t>Predseda:</t>
  </si>
  <si>
    <t>Podpredseda:</t>
  </si>
  <si>
    <t>Člen:</t>
  </si>
  <si>
    <t>Predstavenstvo (Konatelia)</t>
  </si>
  <si>
    <t>Dozorná rada</t>
  </si>
  <si>
    <t>2.1</t>
  </si>
  <si>
    <r>
      <t>3.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VŠEOBECNÉ ÚČTOVNÉ ZÁSADY A METÓDY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</si>
  <si>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u/>
        <sz val="10"/>
        <color theme="1"/>
        <rFont val="Arial"/>
        <family val="2"/>
        <charset val="238"/>
      </rPr>
      <t>ZÁKLADNÉ VÝCHODISKÁ PRE ZOSTAVENIE ÚČTOVNEJ ZÁVIERKY</t>
    </r>
  </si>
  <si>
    <r>
      <t>1.      </t>
    </r>
    <r>
      <rPr>
        <b/>
        <u/>
        <sz val="10"/>
        <color theme="1"/>
        <rFont val="Arial"/>
        <family val="2"/>
        <charset val="238"/>
      </rPr>
      <t>POPIS SPOLOČNOSTI</t>
    </r>
  </si>
  <si>
    <t>a)    Dlhodobý nehmotný majetok</t>
  </si>
  <si>
    <t>Nakupovaný dlhodobý nehmotný majetok sa oceňuje v obstarávacích cenách, ktoré obsahujú cenu obstarania a náklady súvisiace s jeho obstaraním.</t>
  </si>
  <si>
    <t>Odpisovanie</t>
  </si>
  <si>
    <t>Dlhodobý nehmotný majetok sa odpisuje do nákladov počas predpokladanej doby životnosti príslušného majetku. Predpokladaná  doba používania, metóda odpisovania a odpisová  sadzba sú  stanovené pre jednotlivé skupiny dlhodobého nehmotného majetku  nasledovne:</t>
  </si>
  <si>
    <t>Predpokladaná doba používania</t>
  </si>
  <si>
    <t>Ročná odpisová sadzba</t>
  </si>
  <si>
    <t>-</t>
  </si>
  <si>
    <t>Metóda     odpisovania</t>
  </si>
  <si>
    <t>V prípade prechodného zníženia úžitkovej hodnoty dlhodobého nehmotného majetku sa tvorí opravná položka vo výške rozdielu jeho zistenej úžitkovej hodnoty a zostatkovej hodnoty.</t>
  </si>
  <si>
    <t>b)    Dlhodobý hmotný majetok</t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</si>
  <si>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</si>
  <si>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 údržba sa účtujú do nákladov.</t>
  </si>
  <si>
    <t>Stroje, prístroje a zariadenia</t>
  </si>
  <si>
    <t>Dopravné prostriedky</t>
  </si>
  <si>
    <t>Inventár</t>
  </si>
  <si>
    <t>Dlhodobý hmotný majetok sa odpisuje do nákladov počas predpokladanej doby životnosti príslušného majetku. Predpokladaná doba používania, metóda odpisovania a odpisová sadzba sú stanovené pre jednotlivé skupiny dlhodobého hmotného majetku  nasledovne:</t>
  </si>
  <si>
    <t>V prípade prechodného zníženia úžitkovej hodnoty dlhodobého hmotného majetku sa tvorí opravná položka vo výške rozdielu jeho zistenej úžitkovej hodnoty a zostatkovej hodnoty.</t>
  </si>
  <si>
    <t>c)    Finančný majetok</t>
  </si>
  <si>
    <t>Náklady budúcich období a príjmy budúcich období sa oceňujú ich menovitou hodnotou, pričom sa vykazujú vo výške, ktorá je potrebná na dodržanie zásady vecnej a časovej súvislosti s účtovným obdobím.</t>
  </si>
  <si>
    <t>Rezervy sú záväzky s neurčitým časovým vymedzením alebo výškou, tvoria sa na krytie  známych rizík alebo strát z podnikania. Oceňujú sa v očakávanej výške záväzku.</t>
  </si>
  <si>
    <t>Výdavky budúcich období a výnosy budúcich období sa oceňujú ich menovitou hodnotou, pričom sa vykazujú vo výške, ktorá je potrebná na dodržanie zásady vecnej a časovej súvislosti s účtovným obdobím.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</si>
  <si>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</si>
  <si>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</si>
  <si>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</si>
  <si>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</si>
  <si>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 xml:space="preserve">Majetok obstaraný formou operatívneho lízingu sa účtuje do nákladov počas doby trvania lízingovej zmluvy. Nájomné za majetok obstaraný formou operatívneho lízingu sa účtuje do nákladov rovnomerne počas doby trvania  zmluvy o prenájme. 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</si>
  <si>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na:</t>
  </si>
  <si>
    <t>možnosti umorovať daňovú stratu v budúcnosti, pod ktorou sa rozumie možnosť odpočítať daňovú stratu od základu dane v budúcnosti,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</si>
  <si>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</si>
  <si>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</si>
  <si>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</si>
  <si>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r>
      <t>4.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DLHODOBÝ MAJETOK</t>
    </r>
  </si>
  <si>
    <t>Informácie o výskumnej a vývojovej činnosti účtovnej jednotky za bežné účtovné obdobie v členení na:</t>
  </si>
  <si>
    <t>V prípade, že existujú vecné bremená, popíšte ich.</t>
  </si>
  <si>
    <t>Poistenie majetku</t>
  </si>
  <si>
    <t>Pokiaľ nie je finančný majetok ocenený reálnou hodnotou či metódou vlastného imania, uviesť dôvody a dopady iného použitého ocenenia.</t>
  </si>
  <si>
    <t>Opravné položky predstavujú hlavne dôvody vytvorenia.</t>
  </si>
  <si>
    <t>Informácie o štruktúre dlhodobého finančného majetku</t>
  </si>
  <si>
    <t>Informácie o dlhových CP držaných do splatnosti</t>
  </si>
  <si>
    <t>Dlhové CP držané do splatnosti</t>
  </si>
  <si>
    <t>Informácie o poskytnutých dlhodobých pôžičkách</t>
  </si>
  <si>
    <t>Ocenenie nadbytočných, zastaraných a nízkoobrátkových zásob sa znižuje na nižšiu úžitkovú hodnotu prostredníctvom opravných položiek. Opravnú položku stanovilo vedenie spoločnosti na základe (popis).</t>
  </si>
  <si>
    <t>Informácie o opravných položkách k zásobám</t>
  </si>
  <si>
    <t xml:space="preserve">Zúčtovanie OP z dôvodu zániku opodstat-
nenosti
</t>
  </si>
  <si>
    <t>Informácie o nehnuteľnostiach na predaj</t>
  </si>
  <si>
    <t>Informácie o zásobách, na ktoré je zriadené záložné právo a o zásobách, pri ktorých má účtovná jednotka obmedzené právo s nimi nakladať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</si>
  <si>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ZÁSOBY</t>
    </r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</si>
  <si>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ZÁKAZKOVÁ VÝROBA</t>
    </r>
  </si>
  <si>
    <t>Informácie o zákazkovej výrobe a o zákazkovej výstavbe nehnuteľnosti určenej na predaj</t>
  </si>
  <si>
    <t>12.2</t>
  </si>
  <si>
    <t>14.1</t>
  </si>
  <si>
    <t>14.2</t>
  </si>
  <si>
    <t>14.3</t>
  </si>
  <si>
    <t>14.4</t>
  </si>
  <si>
    <t>Informácie o vývoji opravnej položky k pohľadávkam</t>
  </si>
  <si>
    <t>Iné pohľadávky tvoria kladné reálne hodnoty otvorených derivátov (poznámka doplniť číslo).</t>
  </si>
  <si>
    <t>Informácie o vekovej štruktúre pohľadávok</t>
  </si>
  <si>
    <t>Informácie o pohľadávkach zabezpečených záložným právom alebo inou formou zabezpečenia</t>
  </si>
  <si>
    <t>Hodnota predmetu</t>
  </si>
  <si>
    <t>Hodnota pohľadávky
na predaj až do konca bežného účtovného obdobia</t>
  </si>
  <si>
    <t>Informácie o krátkodobom finančnom majetku</t>
  </si>
  <si>
    <t>18.2</t>
  </si>
  <si>
    <t>Informácie o vývoji opravnej položky ku krátkodobému finančnému majetku</t>
  </si>
  <si>
    <t>Informácie o krátkodobom finančnom majetku, na ktorý bolo zriadené záložné právo a o krátkodobom finančnom majetku, pri ktorom má účtovná jednotka obmedzené právo s ním nakladať</t>
  </si>
  <si>
    <t>Informácie o ocenení krátkodobého finančného majetku, ku dňu ku ktorému sa zostavuje účtovná závierka reálnou hodnotou</t>
  </si>
  <si>
    <t xml:space="preserve">Zvýšenie/ zníženie hodnoty (+/-) </t>
  </si>
  <si>
    <t>Informácie o významných položkách časového rozlíšenia</t>
  </si>
  <si>
    <r>
      <t xml:space="preserve">10.      </t>
    </r>
    <r>
      <rPr>
        <b/>
        <u/>
        <sz val="10"/>
        <color theme="1"/>
        <rFont val="Arial"/>
        <family val="2"/>
        <charset val="238"/>
      </rPr>
      <t>MAJETOK PRENAJATÝ FORMOU FINANČNÉHO PRENÁJMU (SPOLOČNOSŤ JE PRENAJÍMATEĽOM)</t>
    </r>
  </si>
  <si>
    <t>Informácie o majetku prenajatom formou finančného prenájmu</t>
  </si>
  <si>
    <t>24.1</t>
  </si>
  <si>
    <t>24.2.</t>
  </si>
  <si>
    <t>Informácie o rezervách</t>
  </si>
  <si>
    <t>25.1</t>
  </si>
  <si>
    <t>25.2</t>
  </si>
  <si>
    <t>Informácie o záväzkoch</t>
  </si>
  <si>
    <t>Informácie o významných položkách časového rozlíšenia na strane pasív</t>
  </si>
  <si>
    <t>Revenues from merchandise (604,607)</t>
  </si>
  <si>
    <t>Tržby</t>
  </si>
  <si>
    <t>Informácie o tržbách</t>
  </si>
  <si>
    <t>Aktivácia</t>
  </si>
  <si>
    <t>Informácie o výnosoch pri aktivácii nákladov a o výnosoch z hospodárskej činnosti, finančnej činnosti a mimoriadnej činnosti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</si>
  <si>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</si>
  <si>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</si>
  <si>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</si>
  <si>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</si>
  <si>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</si>
  <si>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</si>
  <si>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46.1</t>
  </si>
  <si>
    <t>strana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</si>
  <si>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</si>
  <si>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</si>
  <si>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Metóda odpisovania</t>
  </si>
  <si>
    <t>#</t>
  </si>
  <si>
    <t>3.1</t>
  </si>
  <si>
    <t>a)   Dlhodobý nehmotný majetok</t>
  </si>
  <si>
    <t>Informácie o dlhodobom nehmotnom majetku</t>
  </si>
  <si>
    <r>
      <t>KONTROLA SUC</t>
    </r>
    <r>
      <rPr>
        <sz val="8"/>
        <color theme="1"/>
        <rFont val="Arial"/>
        <family val="2"/>
        <charset val="238"/>
      </rPr>
      <t>T</t>
    </r>
    <r>
      <rPr>
        <b/>
        <sz val="8"/>
        <color theme="1"/>
        <rFont val="Arial"/>
        <family val="2"/>
        <charset val="238"/>
      </rPr>
      <t>OV</t>
    </r>
  </si>
  <si>
    <t>3.2</t>
  </si>
  <si>
    <t>b)   Dlhodobý hmotný majetok</t>
  </si>
  <si>
    <t>Informácie o dlhodobom hmotnom majetku</t>
  </si>
  <si>
    <t>5.1</t>
  </si>
  <si>
    <t>Pestovateľ-  ské celky 
trvalých porastov</t>
  </si>
  <si>
    <t>5.2</t>
  </si>
  <si>
    <t>c)   Dlhodobý finančný majetok</t>
  </si>
  <si>
    <t>Informácie o dlhodobom finančnom majetku</t>
  </si>
  <si>
    <t>7.1</t>
  </si>
  <si>
    <t>7.2</t>
  </si>
  <si>
    <t>Pôžičky ÚJ 
v kons. Celku</t>
  </si>
  <si>
    <t>POZNÁMKY</t>
  </si>
  <si>
    <t>priebežná</t>
  </si>
  <si>
    <t>46.2</t>
  </si>
  <si>
    <t>BALANCE SHEET</t>
  </si>
  <si>
    <t>Balance sheet Úč POD 1 - 01</t>
  </si>
  <si>
    <t>as of</t>
  </si>
  <si>
    <t>in full EUR</t>
  </si>
  <si>
    <t>Numerical data must align right, other data must be written from left. Unused rows must be left blank.</t>
  </si>
  <si>
    <t>Data must be written in block letters (based on the example), by typewriter or printer, in black or dark blue ink.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</si>
  <si>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</si>
  <si>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</si>
  <si>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</si>
  <si>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</si>
  <si>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</si>
  <si>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</si>
  <si>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</si>
  <si>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</si>
  <si>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</si>
  <si>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</si>
  <si>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</si>
  <si>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</si>
  <si>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</si>
  <si>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</si>
  <si>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</si>
  <si>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</si>
  <si>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</si>
  <si>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</si>
  <si>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</si>
  <si>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</si>
  <si>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</si>
  <si>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</si>
  <si>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</si>
  <si>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</si>
  <si>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</si>
  <si>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</si>
  <si>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</si>
  <si>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</si>
  <si>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</si>
  <si>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</si>
  <si>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</si>
  <si>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</si>
  <si>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</si>
  <si>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</si>
  <si>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</si>
  <si>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</si>
  <si>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</si>
  <si>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</si>
  <si>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</si>
  <si>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</si>
  <si>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</si>
  <si>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</si>
  <si>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</si>
  <si>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</si>
  <si>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</si>
  <si>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</si>
  <si>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</si>
  <si>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</si>
  <si>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</si>
  <si>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</si>
  <si>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</si>
  <si>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</si>
  <si>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</si>
  <si>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</si>
  <si>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</si>
  <si>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</si>
  <si>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</si>
  <si>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</si>
  <si>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</si>
  <si>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</si>
  <si>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</si>
  <si>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</si>
  <si>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</si>
  <si>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</si>
  <si>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</si>
  <si>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</si>
  <si>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</si>
  <si>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</si>
  <si>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</si>
  <si>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</si>
  <si>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</si>
  <si>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</si>
  <si>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</si>
  <si>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</si>
  <si>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</si>
  <si>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</si>
  <si>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</si>
  <si>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</si>
  <si>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</si>
  <si>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</si>
  <si>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</si>
  <si>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</si>
  <si>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</si>
  <si>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</si>
  <si>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</si>
  <si>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</si>
  <si>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</si>
  <si>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</si>
  <si>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</si>
  <si>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</si>
  <si>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</si>
  <si>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</si>
  <si>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</si>
  <si>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</si>
  <si>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</si>
  <si>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</si>
  <si>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</si>
  <si>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</si>
  <si>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</si>
  <si>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</si>
  <si>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</si>
  <si>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Profit or loss from current period /+-/
l. 001 - (068 + 073 + 080 + 084 + 088 + 121)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</si>
  <si>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</si>
  <si>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</si>
  <si>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</si>
  <si>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</si>
  <si>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</si>
  <si>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</si>
  <si>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</si>
  <si>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</si>
  <si>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Numbers should be justified to the right, other data is justified to the left. Lines not filled out are left blank.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</si>
  <si>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</si>
  <si>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</si>
  <si>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</si>
  <si>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</si>
  <si>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</si>
  <si>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</si>
  <si>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Revnues from merchandise (604)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</si>
  <si>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</si>
  <si>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</si>
  <si>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</si>
  <si>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</si>
  <si>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</si>
  <si>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</si>
  <si>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</si>
  <si>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</si>
  <si>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</si>
  <si>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</si>
  <si>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</si>
  <si>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Brutto - časť 1</t>
  </si>
  <si>
    <t>Korekcia - časť 2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</si>
  <si>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</si>
  <si>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</si>
  <si>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</si>
  <si>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</si>
  <si>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</si>
  <si>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</si>
  <si>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</si>
  <si>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</si>
  <si>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</si>
  <si>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</si>
  <si>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</si>
  <si>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</si>
  <si>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</si>
  <si>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</si>
  <si>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</si>
  <si>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</si>
  <si>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</si>
  <si>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</si>
  <si>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</si>
  <si>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</si>
  <si>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</si>
  <si>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</si>
  <si>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</si>
  <si>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</si>
  <si>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</si>
  <si>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</si>
  <si>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</si>
  <si>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</si>
  <si>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</si>
  <si>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</si>
  <si>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</si>
  <si>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</si>
  <si>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</si>
  <si>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</si>
  <si>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</si>
  <si>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</si>
  <si>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</si>
  <si>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</si>
  <si>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</si>
  <si>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</si>
  <si>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</si>
  <si>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</si>
  <si>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</si>
  <si>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</si>
  <si>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</si>
  <si>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</si>
  <si>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</si>
  <si>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</si>
  <si>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</si>
  <si>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</si>
  <si>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</si>
  <si>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</si>
  <si>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</si>
  <si>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</si>
  <si>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</si>
  <si>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</si>
  <si>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</si>
  <si>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</si>
  <si>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</si>
  <si>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</si>
  <si>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</si>
  <si>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</si>
  <si>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</si>
  <si>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</si>
  <si>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</si>
  <si>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</si>
  <si>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</si>
  <si>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</si>
  <si>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</si>
  <si>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</si>
  <si>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</si>
  <si>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</si>
  <si>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</si>
  <si>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</si>
  <si>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</si>
  <si>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</si>
  <si>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</si>
  <si>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</si>
  <si>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</si>
  <si>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</si>
  <si>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</si>
  <si>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</si>
  <si>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</si>
  <si>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</si>
  <si>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</si>
  <si>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</si>
  <si>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</si>
  <si>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</si>
  <si>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</si>
  <si>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</si>
  <si>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</si>
  <si>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</si>
  <si>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</si>
  <si>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</si>
  <si>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</si>
  <si>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</si>
  <si>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</si>
  <si>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</si>
  <si>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</si>
  <si>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</si>
  <si>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</si>
  <si>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</si>
  <si>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</si>
  <si>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</si>
  <si>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</si>
  <si>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</si>
  <si>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</si>
  <si>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</si>
  <si>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</si>
  <si>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</si>
  <si>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</si>
  <si>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</si>
  <si>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</si>
  <si>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</si>
  <si>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</si>
  <si>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</si>
  <si>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</si>
  <si>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</si>
  <si>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</si>
  <si>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</si>
  <si>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</si>
  <si>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</si>
  <si>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</si>
  <si>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</si>
  <si>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</si>
  <si>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</si>
  <si>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</si>
  <si>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</si>
  <si>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</si>
  <si>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</si>
  <si>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</si>
  <si>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</si>
  <si>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</si>
  <si>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</si>
  <si>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</si>
  <si>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</si>
  <si>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</si>
  <si>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</si>
  <si>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</si>
  <si>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</si>
  <si>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</si>
  <si>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</si>
  <si>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</si>
  <si>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</si>
  <si>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</si>
  <si>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</si>
  <si>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</si>
  <si>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</si>
  <si>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</si>
  <si>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</si>
  <si>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</si>
  <si>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</si>
  <si>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</si>
  <si>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</si>
  <si>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</si>
  <si>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</si>
  <si>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</si>
  <si>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</si>
  <si>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</si>
  <si>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</si>
  <si>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</si>
  <si>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</si>
  <si>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</si>
  <si>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</si>
  <si>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</si>
  <si>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</si>
  <si>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</si>
  <si>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</si>
  <si>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</si>
  <si>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</si>
  <si>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</si>
  <si>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</si>
  <si>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</si>
  <si>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 xml:space="preserve">Umsatzerlöse aus dem Warenverkauf (604)                                       </t>
  </si>
  <si>
    <t xml:space="preserve">Wareneinsatz (504)                       </t>
  </si>
  <si>
    <t xml:space="preserve">Handelsspanne Z. 01-02                          </t>
  </si>
  <si>
    <t xml:space="preserve">Produktion Z. 05+06+07                                     </t>
  </si>
  <si>
    <t xml:space="preserve">Umsatzerlöse aus dem Verkauf eigener Erzeugnisse und Dienstleistungen (601,602,606)          </t>
  </si>
  <si>
    <t xml:space="preserve">Erhöhung/Verminderung des Bestands an fertigen und unfertigen Erzeugnissen (+/- Kontengruppe 61)           </t>
  </si>
  <si>
    <t xml:space="preserve">Aktivierte Eigenleistungen (Kontengruppe 62)                                          </t>
  </si>
  <si>
    <t xml:space="preserve">Materialaufwand Z. 09+10                                     </t>
  </si>
  <si>
    <t xml:space="preserve">Aufwendungen für Roh-, Hilfs- und Betriebsstoffe und Energieverbrauch (501, 502, 503, 505A)                       </t>
  </si>
  <si>
    <t xml:space="preserve">Aufwendungen für bezogene Leistungen (Kontengruppe 51)                                           </t>
  </si>
  <si>
    <t xml:space="preserve">Wertschöpfung  Z. 03+04-08                   </t>
  </si>
  <si>
    <t xml:space="preserve">Personalaufwand geamt Z. 13 bis 16                             </t>
  </si>
  <si>
    <t xml:space="preserve">Löhne und Gehälter  (521, 522)                                        </t>
  </si>
  <si>
    <t xml:space="preserve">Bezüge der Mitglieder der Gesellschafts- und Genossenschaftsorgane (523)              </t>
  </si>
  <si>
    <t xml:space="preserve">Aufwendungen für Sozial- und Krankenversicherung und Altersversorgung  (524, 525, 526)                  </t>
  </si>
  <si>
    <t xml:space="preserve">Sonstige Sozialaufwendungen (527, 528)                                     </t>
  </si>
  <si>
    <t xml:space="preserve">Steuern und Abgaben (Kontengruppe 53)                                    </t>
  </si>
  <si>
    <t xml:space="preserve">Abschreibungen auf immaterielle Vermögensgegenstände und Sachanlagen (551, 553)         </t>
  </si>
  <si>
    <t xml:space="preserve">Erlöse aus dem Verkauf von Anlagevermögen und Material (641, 642)      </t>
  </si>
  <si>
    <t>Restbuchwert des verkauften Anlagevermögens und Materials (541, 542)</t>
  </si>
  <si>
    <t>Zuführung zu und Auflösung von Wertberichtigungen auf Forderungen (+/-547)</t>
  </si>
  <si>
    <t xml:space="preserve">Sonstige betriebliche Erträge (644, 645, 646, 648, 655, 657)                    </t>
  </si>
  <si>
    <t xml:space="preserve">Sonstige betriebliche Aufwendungen (543, 544, 545, 546, 547, 548, 549, 555, 557)                    </t>
  </si>
  <si>
    <t xml:space="preserve">Übertragung von betrieblichen Erträgen (-)(697)                         </t>
  </si>
  <si>
    <t xml:space="preserve">Übertragung von betrieblichen Aufwendungen (-)(597)                         </t>
  </si>
  <si>
    <t>Betriebsergebnis Z. 11-12-17-18+19-20-21+22-23+(-24)-(-25)</t>
  </si>
  <si>
    <t xml:space="preserve">Erlöse aus dem Verkauf von Wertpapieren und Beteiligungen (661)                 </t>
  </si>
  <si>
    <t>Verkaufte Wertpapiere und Beteiligungen (561)</t>
  </si>
  <si>
    <t xml:space="preserve">Erträge aus Finanzanlagen Z. 30+31+32                    </t>
  </si>
  <si>
    <t xml:space="preserve">Erträge aus Wertpapieren und Anteilen an verbundenen Unternehmen (665A) </t>
  </si>
  <si>
    <t>Erträge aus sonstigen Wertpapieren des Anlagevermögens und Anteilen (665A)</t>
  </si>
  <si>
    <t xml:space="preserve">Erträge aus sonstigen Finanzanlagen (665A)                  </t>
  </si>
  <si>
    <t xml:space="preserve">Erträge aus dem Finanzumlaufvermögen (666)                   </t>
  </si>
  <si>
    <t xml:space="preserve">Aufwendungen für das Finanzumlaufvermögen (566)                       </t>
  </si>
  <si>
    <t xml:space="preserve">Erträge aus der Neubewertung von Wertpapieren und Erträge aus Transaktionen mit derivativen Finanzinstrumenten (664, 667)                          </t>
  </si>
  <si>
    <t xml:space="preserve">Aufwendungen für die Neubewertung von Wertpapieren und Aufwendungen für Transaktionen mit derivativen Finanzinstrumenten (564, 567)     </t>
  </si>
  <si>
    <t xml:space="preserve">Bildung und Auflösung von Wertberichtigungen auf finanzielle Vermögenswerte +/- 565                                     </t>
  </si>
  <si>
    <t xml:space="preserve">Zinserträge (662)                                             </t>
  </si>
  <si>
    <t xml:space="preserve">Zinsaufwendungen (562)                                            </t>
  </si>
  <si>
    <t xml:space="preserve">Kursgewinne (663)                                            </t>
  </si>
  <si>
    <t xml:space="preserve">Kursverluste (563)                                </t>
  </si>
  <si>
    <t xml:space="preserve">Sonstige Finanzerträge (668)                               </t>
  </si>
  <si>
    <t xml:space="preserve">Sonstige Finanzaufwendungen (568, 569)                               </t>
  </si>
  <si>
    <t xml:space="preserve">Übertragung der Finanzerträge (-)(698)                               </t>
  </si>
  <si>
    <t xml:space="preserve">Übertragung der Finanzaufwendungen (-)(598)                              </t>
  </si>
  <si>
    <t>Ergebnis aus der Finanzierungstätigkeit
Z. 27 - 28 + 29 + 33 - 34 + 35 - 36 - 37 + 38
- 39  + 40 - 41 + 42 - 43 + (-44) - (-45)</t>
  </si>
  <si>
    <t>Ergebnis aus laufender Geschäftstätigkeit vor Steuern Z.26 + Z.46</t>
  </si>
  <si>
    <t xml:space="preserve">Einkommensteuer aus gewöhnlicher Geschäftstätigkeit Z. 49 + 50                          </t>
  </si>
  <si>
    <t>- fällig (591, 595)</t>
  </si>
  <si>
    <t xml:space="preserve">- latent (+/-592)                                                 </t>
  </si>
  <si>
    <t>Ergebnis aus laufender Geschäftstätigkeit nach Steuern Z. 47 - Z. 48</t>
  </si>
  <si>
    <t xml:space="preserve">Außerordentliche Erträge (Kontengruppe 68)                                 </t>
  </si>
  <si>
    <t xml:space="preserve">Außerordentliche Aufwendungen (Kontengruppe 58)                                </t>
  </si>
  <si>
    <t>Ergebnis aus außergewöhnlicher Tätigkeit vor Steuern Z.52 - Z.53</t>
  </si>
  <si>
    <t xml:space="preserve">Einkommensteuer aus außerordentlicher Geschäftstätigkeit Z. 56 + 57                   </t>
  </si>
  <si>
    <t xml:space="preserve">- fällig (593)                                                 </t>
  </si>
  <si>
    <t xml:space="preserve">- latent (594)                                                 </t>
  </si>
  <si>
    <t>Ergebnis aus außergewöhnlicher Tätigkeit nach Steuern Z.54 - Z.55</t>
  </si>
  <si>
    <t xml:space="preserve">Jahresergebnis vor Steuern (+/-) Z.47+ Z.54         </t>
  </si>
  <si>
    <t xml:space="preserve">Ergebnisanteile der persönlich haftenden Gesellschafter (nur OHG, KG) (+/-596)  </t>
  </si>
  <si>
    <t xml:space="preserve">Jahresüberschuß/Jahresfehlbetrag  
(+/-) Z.51 + Z.58 - Z.60           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</si>
  <si>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</si>
  <si>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</si>
  <si>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</si>
  <si>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</si>
  <si>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</si>
  <si>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</si>
  <si>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</si>
  <si>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</si>
  <si>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Do splatnosti viac ako tri roky a najviac päť rokov vrátane</t>
  </si>
  <si>
    <t>Do splatnosti viac ako jeden rok a najviac tri roky vrátane</t>
  </si>
  <si>
    <t>Pohľadávky voči DÚJ a MÚJ</t>
  </si>
  <si>
    <t>Ostatné pohľadávky v rámci kons. celku</t>
  </si>
  <si>
    <t>Bežné účty v banke alebo v pobočke zahraničnej banky</t>
  </si>
  <si>
    <t>Vkladové účty v banke alebo v pobočke zahraničnej banky termínované</t>
  </si>
  <si>
    <t>Vplyv nevykázanej odloženej daňovej pohľadávky</t>
  </si>
  <si>
    <t>Zmena sadzby dane</t>
  </si>
  <si>
    <t>36725838</t>
  </si>
  <si>
    <t>Teslova</t>
  </si>
  <si>
    <t>Bratislava</t>
  </si>
  <si>
    <t xml:space="preserve">V roku 2013 neboli uskutočnené žiadne významné zmeny v zápise do Obchodného registra. </t>
  </si>
  <si>
    <t>reklamná činnosť v rozsahu voľnej živnosti</t>
  </si>
  <si>
    <t>marketing a manažment, sprostredkovanie reklamy</t>
  </si>
  <si>
    <t>Aegis Media (Central Europe &amp; Africa) GmbH</t>
  </si>
  <si>
    <t>Spoločnosť nie je v žiadnom podniku neobmedzene ručiacim spoločníkom.</t>
  </si>
  <si>
    <t>Členovia štatutárnych orgánov k 31. decembru 2013:</t>
  </si>
  <si>
    <t>Ing. Peter Chajda</t>
  </si>
  <si>
    <t>Ing. Roman Filla</t>
  </si>
  <si>
    <t xml:space="preserve">Spoločnosť nemá organizačnú zložku v zahraničí. </t>
  </si>
  <si>
    <t xml:space="preserve">Účtovné zásady a metódy, ktoré spoločnosť používala pri zostavení účtovnej závierky za rok 2013 a 2012 sú nasledovné: </t>
  </si>
  <si>
    <t>rovnomerná</t>
  </si>
  <si>
    <r>
      <t>Účtovná závierka spoločnosti za predchádzajúce účtovné obdobie k 31. decembru 2012 bola schválená valným zhromaždením spoločnosti dňa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14.11.2013</t>
    </r>
    <r>
      <rPr>
        <sz val="10"/>
        <color theme="1"/>
        <rFont val="Arial"/>
        <family val="2"/>
        <charset val="238"/>
      </rPr>
      <t>.</t>
    </r>
  </si>
  <si>
    <t>náklady na výskum vo výške 0,00 EUR,</t>
  </si>
  <si>
    <t>neaktivované náklady na vývoj vo výške 0,00 EUR,</t>
  </si>
  <si>
    <t>aktivované náklady na vývoj vo výške 0,00 EUR.</t>
  </si>
  <si>
    <t xml:space="preserve">V aktivovaných nákladoch na vývoj sú zahrnuté výdaje na vývoj, ktorého výsledky sú určené na predaj alebo na obchodovanie, a sú rozdelené do jednotlivých položiek podľa projektov. Vedenie spoločnosti zároveň predpokladá technický úspech a ziskovosť týchto projektov. </t>
  </si>
  <si>
    <t>V roku 2013 a 2012 spoločnosť získala bezplatne dlhodobý nehmotný majetok vo výške 0,00 EUR.</t>
  </si>
  <si>
    <t>Spoločnosť nevykazuje v majetku goodwill.</t>
  </si>
  <si>
    <t>V roku 2013 a 2012 spoločnosť získala bezodplatne dlhodobý hmotný majetok vo výške 0,00 EUR.</t>
  </si>
  <si>
    <t>Spoločnosť nemá zmluvu, ktorá stanovuje rozhodovacie práva spoločnosti bez ohľadu na výšku uvedeného podielu vlastníctva. (Popíšte)</t>
  </si>
  <si>
    <t>Spoločnosť neuzavrela ovládaciu zmluvu s ovládanými spoločnosťami (vypísať ktoré), zmluvu o prevode zisku so spoločnosťami (uviesť názov), z tejto zmluvy vyplýva povinnosť 0,00 EUR.</t>
  </si>
  <si>
    <t>Na dlhodobý finančný majetok k 31. decembru 2013 a 31. decembru 2012 v zostatkovej hodnote 0,00 EUR nebolo zriadené záložné právo  na krytie úveru od banky (poznámka doplniť číslo).</t>
  </si>
  <si>
    <t>V roku 2013 a 2012 spoločnosť z dôvodu nedobytnosti, zamietnutím konkurzu a vyrovnaním či neuspokojením pohľadávok v konkurznom riadení, atď. odpísala do nákladov pohľadávky vo výške 0,00 EUR.</t>
  </si>
  <si>
    <t>na nevyčerpanú dovolenku</t>
  </si>
  <si>
    <t>na služby audítorov</t>
  </si>
  <si>
    <t>na služby DP</t>
  </si>
  <si>
    <t>na zam. Bonusy</t>
  </si>
  <si>
    <t>na RZZP</t>
  </si>
  <si>
    <t>na bonusy klientov</t>
  </si>
  <si>
    <t>na prvádzkové náklady</t>
  </si>
  <si>
    <t>na výskumné dáta</t>
  </si>
  <si>
    <t>na konkurenčnú doložku</t>
  </si>
  <si>
    <t>EU</t>
  </si>
  <si>
    <t>Tuzemsko</t>
  </si>
  <si>
    <t>Vo výnosoch ďalej spoločnosť neeviduje dotácie na prevádzkové účely prijaté zo štátneho rozpočtu.</t>
  </si>
  <si>
    <t>ostatné výnosy</t>
  </si>
  <si>
    <t>úroky z bežného účtu, úroky z pôžičiek</t>
  </si>
  <si>
    <t xml:space="preserve">nákup mediálneho priestoru </t>
  </si>
  <si>
    <t>nákup dát pre plánovanie</t>
  </si>
  <si>
    <t xml:space="preserve">na právne služby a služby DP </t>
  </si>
  <si>
    <t>na cestovné</t>
  </si>
  <si>
    <t>na školenia zamestnancov</t>
  </si>
  <si>
    <t>na nájomné</t>
  </si>
  <si>
    <t>na management charges</t>
  </si>
  <si>
    <t>nákladové úroky</t>
  </si>
  <si>
    <t>ostatné náklady na služby</t>
  </si>
  <si>
    <t>bankové poplatky, poistné</t>
  </si>
  <si>
    <t>Po 31. decembri 2013 nenastali také udalosti, ktoré majú významný vplyv na verné zobrazenie skutočností uvádzaných v tejto účtovnej závierke.</t>
  </si>
  <si>
    <t>za rok končiaci: 31.12.2013</t>
  </si>
  <si>
    <t>Aegis Media Global ltd Londýn</t>
  </si>
  <si>
    <t>Aegis Media (Centrale Europe &amp; Africa) GmbH</t>
  </si>
  <si>
    <t>Vedenie spoločnosti navrhuje rozdeliť zisk za rok 2013 nasledovne: vyplatením podielov na zisku spoločníkom.</t>
  </si>
  <si>
    <t>Aegis Media Slovakia Central Services, s.r.o.</t>
  </si>
  <si>
    <t>82005</t>
  </si>
  <si>
    <t>Informácie o štruktúre spoločníkov ku dňu, ku ktorému sa zostavuje účtovná závierka a o štruktúre spoločníkov do dňa jej zmeny v priebehu účtovného obdobia.</t>
  </si>
  <si>
    <t>Spoločník</t>
  </si>
  <si>
    <t>Konateľ:</t>
  </si>
  <si>
    <t>Prokurista:</t>
  </si>
  <si>
    <t>Prokurista koná v mene spoločnosti spoločne s konateľom.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</si>
  <si>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POHĽADÁVKY</t>
    </r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</si>
  <si>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FINANČNÉ ÚČTY</t>
    </r>
  </si>
  <si>
    <r>
      <t xml:space="preserve">7.      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</si>
  <si>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 xml:space="preserve">8.      </t>
    </r>
    <r>
      <rPr>
        <b/>
        <u/>
        <sz val="10"/>
        <color theme="1"/>
        <rFont val="Arial"/>
        <family val="2"/>
        <charset val="238"/>
      </rPr>
      <t>VLASTNÉ IMANIE</t>
    </r>
  </si>
  <si>
    <r>
      <t xml:space="preserve">9.      </t>
    </r>
    <r>
      <rPr>
        <b/>
        <u/>
        <sz val="10"/>
        <color theme="1"/>
        <rFont val="Arial"/>
        <family val="2"/>
        <charset val="238"/>
      </rPr>
      <t>REZERVY</t>
    </r>
  </si>
  <si>
    <t>na prevádzkové náklady</t>
  </si>
  <si>
    <r>
      <t xml:space="preserve">10.      </t>
    </r>
    <r>
      <rPr>
        <b/>
        <u/>
        <sz val="10"/>
        <color theme="1"/>
        <rFont val="Arial"/>
        <family val="2"/>
        <charset val="238"/>
      </rPr>
      <t>ZÁVÄZKY</t>
    </r>
  </si>
  <si>
    <r>
      <t>11.     </t>
    </r>
    <r>
      <rPr>
        <b/>
        <u/>
        <sz val="10"/>
        <color theme="1"/>
        <rFont val="Arial"/>
        <family val="2"/>
        <charset val="238"/>
      </rPr>
      <t>ODLOŽENÁ DAŇ Z PRÍJMOV</t>
    </r>
  </si>
  <si>
    <r>
      <t>13.     </t>
    </r>
    <r>
      <rPr>
        <b/>
        <u/>
        <sz val="10"/>
        <color theme="1"/>
        <rFont val="Arial"/>
        <family val="2"/>
        <charset val="238"/>
      </rPr>
      <t>ČASOVÉ ROZLÍŠENIE</t>
    </r>
  </si>
  <si>
    <t>Mediálne služby</t>
  </si>
  <si>
    <t>Aegis Media Austria Central Services GmbH</t>
  </si>
  <si>
    <t>Aegis Media Central Services GmbH</t>
  </si>
  <si>
    <t>Carat Czech Republic</t>
  </si>
  <si>
    <t>Vizeum Czech Republich</t>
  </si>
  <si>
    <t>Informácie o odloženej daňovej pohľadávke</t>
  </si>
  <si>
    <t xml:space="preserve">Aegis Media Slovakia Central Services, s.r.o. (ďalej len „spoločnosť”) je spoločnosť s ručením obmedzeným, ktorá bola založená dňa 17.01.2007. Dňa 17.01.2007 bola zapísaná do Obchodného registra vedenom na Okresnom súde Bratislava I, oddiel Sro, vložka 44120/B. Spoločnosť sídli  na ulici Teslova 20, 820 05 Bratislava, Slovenská republika, IČO 36 725 838. </t>
  </si>
  <si>
    <t>Krátkodobý finančný majetok tvoria ceniny, peniaze v hotovosti a na bankových účtoch.</t>
  </si>
  <si>
    <t>Pohľadávky sa oceňujú menovitou hodnotou. Postúpené pohľadávky a pohľadávky nadobudnuté vkladom do základného imania sa oceňujú obstarávacou cenou. Ocenenie pochybných pohľadávok sa upravuje na ich realizovateľnú  hodnotu  opravnými  položkami. Spoločnosť vytvára 100% opravnú položku k pohľadávkam po lehote splatnosti viac ako 180 dní.</t>
  </si>
  <si>
    <t xml:space="preserve">Prehľad o peňažných tokoch bol spracovaný nepriamou metódou. </t>
  </si>
  <si>
    <t>d)    Pohľadávky</t>
  </si>
  <si>
    <t>e)    Náklady budúcich období a príjmy budúcich období</t>
  </si>
  <si>
    <t xml:space="preserve">f)    Záväzky </t>
  </si>
  <si>
    <t xml:space="preserve">g)    Rezervy </t>
  </si>
  <si>
    <t>h)    Výdavky budúcich období a výnosy budúcich období</t>
  </si>
  <si>
    <t>i)    Vlastné imanie</t>
  </si>
  <si>
    <t>j)    Transakcie v cudzích menách</t>
  </si>
  <si>
    <t>k)    Výnosy</t>
  </si>
  <si>
    <t>l)   Finančný lízing</t>
  </si>
  <si>
    <t>m)   Daň z príjmu</t>
  </si>
  <si>
    <t>n)   Opravy chýb minulých účtovných období</t>
  </si>
  <si>
    <r>
      <t>13.     </t>
    </r>
    <r>
      <rPr>
        <b/>
        <u/>
        <sz val="10"/>
        <color theme="1"/>
        <rFont val="Arial"/>
        <family val="2"/>
        <charset val="238"/>
      </rPr>
      <t>LÍZING (SPOLOČNOSŤ JE NÁJOMCOM)</t>
    </r>
  </si>
  <si>
    <r>
      <t>14.     </t>
    </r>
    <r>
      <rPr>
        <b/>
        <u/>
        <sz val="10"/>
        <color theme="1"/>
        <rFont val="Arial"/>
        <family val="2"/>
        <charset val="238"/>
      </rPr>
      <t>VÝNOSY A NÁKLADY</t>
    </r>
  </si>
  <si>
    <r>
      <t>15.     </t>
    </r>
    <r>
      <rPr>
        <b/>
        <u/>
        <sz val="10"/>
        <color theme="1"/>
        <rFont val="Arial"/>
        <family val="2"/>
        <charset val="238"/>
      </rPr>
      <t>INFORMÁCIE O SPRIAZNENÝCH OSOBÁCH</t>
    </r>
  </si>
  <si>
    <r>
      <t>16.     </t>
    </r>
    <r>
      <rPr>
        <b/>
        <u/>
        <sz val="10"/>
        <color theme="1"/>
        <rFont val="Arial"/>
        <family val="2"/>
        <charset val="238"/>
      </rPr>
      <t>INFORMÁCIE O ZMENÁCH VLASTNÉHO IMANIA</t>
    </r>
  </si>
  <si>
    <r>
      <t>17.     </t>
    </r>
    <r>
      <rPr>
        <b/>
        <u/>
        <sz val="10"/>
        <color theme="1"/>
        <rFont val="Arial"/>
        <family val="2"/>
        <charset val="238"/>
      </rPr>
      <t xml:space="preserve">PREHĽAD O PEŇAŽNÝCH TOKOCH </t>
    </r>
  </si>
  <si>
    <r>
      <t>18.     </t>
    </r>
    <r>
      <rPr>
        <b/>
        <u/>
        <sz val="10"/>
        <color theme="1"/>
        <rFont val="Arial"/>
        <family val="2"/>
        <charset val="238"/>
      </rPr>
      <t>VÝZNAMNÉ UDALOSTI, KTORÉ NASTALI PO DNI, KU KTORÉMU SA ZOSTAVUJE ÚČTOVNÁ ZÁVIERKA</t>
    </r>
  </si>
  <si>
    <t>Aegis Media Global ltd Londýn - nákup</t>
  </si>
  <si>
    <t>Aegis International (Admin) Ltd</t>
  </si>
  <si>
    <t>Aegis Media Central Services, s.r.o. (ČR)</t>
  </si>
  <si>
    <t>Aegis Media Hungary Média Kft.</t>
  </si>
  <si>
    <t>Aegis Group PLC</t>
  </si>
  <si>
    <t>Carat Slovakia, s.r.o.</t>
  </si>
  <si>
    <t xml:space="preserve">Carat Slovakia, s.r.o. - predaj </t>
  </si>
  <si>
    <t xml:space="preserve">Carat Slovakia, s.r.o. - nákup </t>
  </si>
  <si>
    <t>Carat Global Management - nákup</t>
  </si>
  <si>
    <t>Vizeum Slovakia, s.r.o. - predaj</t>
  </si>
  <si>
    <t>Vizeum Slovakia, s.r.o. - nákup</t>
  </si>
  <si>
    <t>IC pohľadávky a záväzky k 31.12.2013</t>
  </si>
  <si>
    <t xml:space="preserve">IC pohľadávky a záväzky </t>
  </si>
  <si>
    <t>Suma</t>
  </si>
  <si>
    <t>Vizeum Slovakia, s.r.o.</t>
  </si>
  <si>
    <t xml:space="preserve">IC pohľadávky spolu </t>
  </si>
  <si>
    <t>Vizeum Czech Republic</t>
  </si>
  <si>
    <t xml:space="preserve">IC záväzky spolu </t>
  </si>
  <si>
    <t>Účtovná závierka bola zostavená podľa Zákona č. 431/2002 Z.z. o účtovníctve v znení neskorších predpisov za predpokladu nepretržitého trvania jej činnosti a je zostavená ako riadna účtovná závierka.</t>
  </si>
  <si>
    <t>Dlhodobé i krátkodobé záväzky sa vykazujú v menovitých hodnotách.</t>
  </si>
  <si>
    <t xml:space="preserve">Vlastné imanie sa skladá zo základného imania, zákonného rezervného fondu a výsledku hospodárenia v schvaľovacom konaní. </t>
  </si>
  <si>
    <t xml:space="preserve"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 </t>
  </si>
  <si>
    <t xml:space="preserve">Spoločnosť účtuje o finančnom lízingu tak, že majetok obstaraný formou finančného lízingu je aktivovaný v deň prijatia predmetu lízingu v ocenení rovnajúcom sa istine. Lízingové splátky sú rozdelené medzi finančný náklad a zníženie nesplateného záväzku t.j. istinu. Finančný náklad sa účtuje do nákladov pri zachovaní vecnej a časovej súvislosti.   </t>
  </si>
  <si>
    <t>Dlhodobý majetok je poistený. Majetok spoločnosti je poistený v poisťovni Alianz - Slovenská poisťovňa a.s.. Na automobily Mercedes GLK 220 CDI a SAAB 9-3 má spoločnosť uzatvorené povinné zmluvné poistenie a havarijné poistenie vo výške 4 444 EUR / rok. Spoločnosť má uzatvorené poistenie majetku a zodpovednosti za škodu vo výške 1 052 EUR / rok.</t>
  </si>
  <si>
    <t>K pochybným pohľadávkam bola v roku 2013 vytvorená opravná položka vo výške 18 068 EUR. V roku 2012 neboli vytvorené žiadne opravné položky.</t>
  </si>
  <si>
    <t>Informácie o rozdelení účtovného zisku</t>
  </si>
  <si>
    <t>na zam. bonusy</t>
  </si>
  <si>
    <t>Rezervy sú vytvorené z dôvodu zohľadnenia zásady opatrnosti. Predpokladaný rok použitia je rok 2014.</t>
  </si>
  <si>
    <t>Záväzky voči spriazneným osobám sú uvedené v poznámke 15.</t>
  </si>
  <si>
    <t>Pohľadávky voči spriazneným osobám sú uvedené v poznámke 15.</t>
  </si>
  <si>
    <t>Spoločnosť vytvára rezervný fond  do výšky 10% základného imania.</t>
  </si>
  <si>
    <t>Spoločnosť v bežnom účtovnom období neúčtovala o oprave významných chýb minulých období.</t>
  </si>
  <si>
    <t xml:space="preserve">Spoločnosť nemá krátkodobý finančný majetok, na ktorý bolo zriadené záložné právo ani krátkodobý finančný majetok, pri ktorom má spoločnosť obmedzené právo s ním nakladať. </t>
  </si>
  <si>
    <t>Základné imanie má hodnotu 6 639 EUR. Základné imanie bolo celé upísané a splatené.</t>
  </si>
  <si>
    <t>Zákonný rezervný fond je tvorený vo výške 13 278 EUR, čo predstavuje 10 % základného imania a dosahuje výšku povinnej minimálnej tvorby podľa Obchodného zákonníka.</t>
  </si>
  <si>
    <r>
      <t>12.    </t>
    </r>
    <r>
      <rPr>
        <b/>
        <u/>
        <sz val="10"/>
        <color theme="1"/>
        <rFont val="Arial"/>
        <family val="2"/>
        <charset val="238"/>
      </rPr>
      <t> INFORMÁCIE O ZÁVAZKOCH ZO SOCIÁLNEHO FONDU</t>
    </r>
  </si>
  <si>
    <t>Valné zhromaždenie spoločnosti konané dňa 14 novembra 2013 schválilo rozdelenie zisku za rok 2012, a to vyplatením dividend vo výške 631 262 EUR a tvorbou zákonného rezervného fondu vo výške 332 EUR.</t>
  </si>
  <si>
    <t xml:space="preserve">Zisk na podiel na základnom imaní predstavuje za rok 2013 602 504 EUR a za rok 2012 631 593 EUR.  </t>
  </si>
  <si>
    <t>8 - poskytnutie pôžičky</t>
  </si>
  <si>
    <t>8 - splatenie pôžičky</t>
  </si>
  <si>
    <t>Zmena stavu rezerv</t>
  </si>
  <si>
    <t>Spoločnosť Aegis Media Slovakia Central Services, s.r.o. je dcérskou spoločnosťou spoločnosti AEGIS Media (Central Europe &amp; Africa) GmbH so sídlom vo Wiesbadene, Spolková republika Nemecko, ktorá má 100-percentný podiel na jej základnom imaní. Materská spoločnosť AEGIS Media (Central Europe &amp; Africa) GmbH je dcérskou spoločnosťou spoločnosti AEGIS Group plc, London, ktorá má 100-percentný podiel na jej základnom imaní. Spoločnosť AEGIS Group plc, London zostavuje konsolidovanú účtovnú závierku za všetky skupiny podnikov konsolidovaného celku.</t>
  </si>
  <si>
    <t>Informácie o ekonomických vzťahoch medzi účtovnou jednotkou a spriaznenými osobami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</si>
</sst>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#,##0;\-#,##0;&quot;&quot;"/>
    <numFmt numFmtId="169" formatCode="[&lt;=9999999]###\ ##\ ##;##\ ##\ ##\ ##"/>
    <numFmt numFmtId="170" formatCode="[$-41B]mmmmm;@"/>
    <numFmt numFmtId="171" formatCode="_*\ #,##0__;_(* \-#,##0__;_(&quot;&quot;_);_(@_)"/>
    <numFmt numFmtId="172" formatCode="d/m/yyyy;@"/>
    <numFmt numFmtId="173" formatCode="00"/>
    <numFmt numFmtId="174" formatCode="dd\.mm\.yyyy"/>
    <numFmt numFmtId="175" formatCode="#,##0\ [$EUR]"/>
  </numFmts>
  <fonts count="8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sz val="10"/>
      <name val="Arial CE"/>
      <family val="2"/>
      <charset val="238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3"/>
      <name val="Arial CE"/>
      <family val="2"/>
      <charset val="238"/>
    </font>
    <font>
      <sz val="14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4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999999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8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7" fillId="0" borderId="0"/>
    <xf numFmtId="0" fontId="20" fillId="0" borderId="0"/>
    <xf numFmtId="0" fontId="26" fillId="0" borderId="0"/>
    <xf numFmtId="0" fontId="27" fillId="0" borderId="0"/>
    <xf numFmtId="0" fontId="20" fillId="0" borderId="0"/>
    <xf numFmtId="0" fontId="66" fillId="0" borderId="0"/>
    <xf numFmtId="0" fontId="2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16" fillId="0" borderId="0" applyFont="0" applyFill="0" applyBorder="0" applyAlignment="0" applyProtection="0"/>
    <xf numFmtId="0" fontId="63" fillId="0" borderId="0"/>
    <xf numFmtId="0" fontId="82" fillId="0" borderId="0" applyNumberFormat="0" applyFill="0" applyBorder="0" applyAlignment="0" applyProtection="0">
      <alignment vertical="top"/>
      <protection locked="0"/>
    </xf>
  </cellStyleXfs>
  <cellXfs count="1709">
    <xf numFmtId="0" fontId="0" fillId="0" borderId="0" xfId="0"/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justify"/>
    </xf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3" fontId="13" fillId="0" borderId="6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 wrapText="1"/>
    </xf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right" vertical="center" wrapText="1"/>
    </xf>
    <xf numFmtId="9" fontId="13" fillId="0" borderId="13" xfId="1" applyFont="1" applyBorder="1" applyAlignment="1">
      <alignment horizontal="right" vertical="center" wrapText="1"/>
    </xf>
    <xf numFmtId="9" fontId="13" fillId="0" borderId="6" xfId="1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3" fontId="13" fillId="0" borderId="14" xfId="0" applyNumberFormat="1" applyFont="1" applyBorder="1" applyAlignment="1">
      <alignment horizontal="right" vertical="center" wrapText="1"/>
    </xf>
    <xf numFmtId="9" fontId="13" fillId="0" borderId="14" xfId="0" applyNumberFormat="1" applyFont="1" applyBorder="1" applyAlignment="1">
      <alignment horizontal="right" vertical="center" wrapText="1"/>
    </xf>
    <xf numFmtId="9" fontId="13" fillId="0" borderId="14" xfId="1" applyFont="1" applyBorder="1" applyAlignment="1">
      <alignment horizontal="right" vertical="center" wrapText="1"/>
    </xf>
    <xf numFmtId="9" fontId="13" fillId="0" borderId="8" xfId="1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9" fontId="13" fillId="0" borderId="13" xfId="1" applyNumberFormat="1" applyFont="1" applyBorder="1" applyAlignment="1">
      <alignment horizontal="right" vertical="center" wrapText="1"/>
    </xf>
    <xf numFmtId="9" fontId="13" fillId="0" borderId="6" xfId="1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9" fontId="13" fillId="0" borderId="14" xfId="1" applyNumberFormat="1" applyFont="1" applyBorder="1" applyAlignment="1">
      <alignment horizontal="right" vertical="center" wrapText="1"/>
    </xf>
    <xf numFmtId="9" fontId="13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3" fontId="13" fillId="0" borderId="16" xfId="0" applyNumberFormat="1" applyFont="1" applyBorder="1" applyAlignment="1">
      <alignment horizontal="right" vertical="center" wrapText="1"/>
    </xf>
    <xf numFmtId="3" fontId="13" fillId="0" borderId="17" xfId="0" applyNumberFormat="1" applyFont="1" applyBorder="1" applyAlignment="1">
      <alignment horizontal="right" vertical="center" wrapText="1"/>
    </xf>
    <xf numFmtId="3" fontId="13" fillId="0" borderId="18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9" fontId="13" fillId="0" borderId="13" xfId="1" applyFont="1" applyBorder="1" applyAlignment="1">
      <alignment horizontal="center" vertical="center" wrapText="1"/>
    </xf>
    <xf numFmtId="9" fontId="13" fillId="0" borderId="14" xfId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right" vertical="center" wrapText="1"/>
    </xf>
    <xf numFmtId="0" fontId="12" fillId="0" borderId="32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5" xfId="0" applyFont="1" applyBorder="1" applyAlignment="1">
      <alignment vertical="center" wrapText="1"/>
    </xf>
    <xf numFmtId="3" fontId="13" fillId="0" borderId="13" xfId="0" applyNumberFormat="1" applyFont="1" applyBorder="1" applyAlignment="1">
      <alignment horizontal="right" vertical="center" wrapText="1" indent="1"/>
    </xf>
    <xf numFmtId="3" fontId="13" fillId="0" borderId="6" xfId="0" applyNumberFormat="1" applyFont="1" applyBorder="1" applyAlignment="1">
      <alignment horizontal="right" vertical="center" wrapText="1" indent="1"/>
    </xf>
    <xf numFmtId="3" fontId="12" fillId="0" borderId="14" xfId="0" applyNumberFormat="1" applyFont="1" applyBorder="1" applyAlignment="1">
      <alignment horizontal="right" vertical="center" wrapText="1" indent="1"/>
    </xf>
    <xf numFmtId="3" fontId="12" fillId="0" borderId="8" xfId="0" applyNumberFormat="1" applyFont="1" applyBorder="1" applyAlignment="1">
      <alignment horizontal="righ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32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2" fillId="0" borderId="14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30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48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3" fontId="13" fillId="0" borderId="13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9" fontId="13" fillId="0" borderId="13" xfId="1" applyFont="1" applyBorder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12" fillId="0" borderId="26" xfId="0" applyFont="1" applyBorder="1" applyAlignment="1">
      <alignment horizontal="right" vertical="center"/>
    </xf>
    <xf numFmtId="9" fontId="13" fillId="0" borderId="14" xfId="1" applyFont="1" applyBorder="1" applyAlignment="1">
      <alignment horizontal="right" vertical="center"/>
    </xf>
    <xf numFmtId="14" fontId="13" fillId="0" borderId="13" xfId="0" applyNumberFormat="1" applyFont="1" applyBorder="1" applyAlignment="1">
      <alignment horizontal="right" vertical="center"/>
    </xf>
    <xf numFmtId="9" fontId="13" fillId="0" borderId="6" xfId="1" applyFont="1" applyBorder="1" applyAlignment="1">
      <alignment horizontal="right" vertical="center"/>
    </xf>
    <xf numFmtId="0" fontId="13" fillId="0" borderId="34" xfId="0" applyFont="1" applyBorder="1" applyAlignment="1">
      <alignment vertical="center" wrapText="1"/>
    </xf>
    <xf numFmtId="3" fontId="13" fillId="0" borderId="17" xfId="0" applyNumberFormat="1" applyFont="1" applyBorder="1" applyAlignment="1">
      <alignment horizontal="right" vertical="center"/>
    </xf>
    <xf numFmtId="3" fontId="13" fillId="0" borderId="24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3" fillId="0" borderId="39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/>
    </xf>
    <xf numFmtId="3" fontId="13" fillId="0" borderId="49" xfId="0" applyNumberFormat="1" applyFont="1" applyBorder="1" applyAlignment="1">
      <alignment horizontal="right" vertical="center"/>
    </xf>
    <xf numFmtId="3" fontId="13" fillId="0" borderId="16" xfId="0" applyNumberFormat="1" applyFont="1" applyBorder="1" applyAlignment="1">
      <alignment horizontal="right" vertical="center"/>
    </xf>
    <xf numFmtId="3" fontId="13" fillId="0" borderId="31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3" fillId="0" borderId="50" xfId="0" applyNumberFormat="1" applyFont="1" applyBorder="1" applyAlignment="1">
      <alignment horizontal="right" vertical="center"/>
    </xf>
    <xf numFmtId="3" fontId="12" fillId="0" borderId="18" xfId="0" applyNumberFormat="1" applyFont="1" applyBorder="1" applyAlignment="1">
      <alignment horizontal="right" vertical="center"/>
    </xf>
    <xf numFmtId="3" fontId="12" fillId="0" borderId="50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left" vertical="center"/>
    </xf>
    <xf numFmtId="3" fontId="12" fillId="0" borderId="13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3" fillId="0" borderId="29" xfId="0" applyNumberFormat="1" applyFont="1" applyBorder="1" applyAlignment="1">
      <alignment horizontal="right" vertical="center"/>
    </xf>
    <xf numFmtId="3" fontId="13" fillId="0" borderId="53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3" fontId="13" fillId="0" borderId="45" xfId="0" applyNumberFormat="1" applyFont="1" applyBorder="1" applyAlignment="1">
      <alignment horizontal="right" vertical="center"/>
    </xf>
    <xf numFmtId="3" fontId="13" fillId="0" borderId="44" xfId="0" applyNumberFormat="1" applyFont="1" applyBorder="1" applyAlignment="1">
      <alignment horizontal="right" vertical="center"/>
    </xf>
    <xf numFmtId="3" fontId="13" fillId="0" borderId="52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9" fontId="13" fillId="0" borderId="8" xfId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center" vertical="center"/>
    </xf>
    <xf numFmtId="3" fontId="13" fillId="0" borderId="36" xfId="0" applyNumberFormat="1" applyFont="1" applyBorder="1" applyAlignment="1">
      <alignment horizontal="right" vertical="center"/>
    </xf>
    <xf numFmtId="3" fontId="13" fillId="0" borderId="37" xfId="0" applyNumberFormat="1" applyFont="1" applyBorder="1" applyAlignment="1">
      <alignment horizontal="right" vertical="center"/>
    </xf>
    <xf numFmtId="3" fontId="13" fillId="0" borderId="38" xfId="0" applyNumberFormat="1" applyFont="1" applyBorder="1" applyAlignment="1">
      <alignment horizontal="right" vertical="center"/>
    </xf>
    <xf numFmtId="0" fontId="12" fillId="0" borderId="0" xfId="0" applyFont="1" applyAlignment="1">
      <alignment horizontal="justify" vertical="center"/>
    </xf>
    <xf numFmtId="3" fontId="13" fillId="0" borderId="38" xfId="0" applyNumberFormat="1" applyFont="1" applyBorder="1" applyAlignment="1">
      <alignment horizontal="right" vertical="center" wrapText="1"/>
    </xf>
    <xf numFmtId="3" fontId="13" fillId="0" borderId="26" xfId="0" applyNumberFormat="1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7" fillId="0" borderId="0" xfId="2" applyFont="1"/>
    <xf numFmtId="0" fontId="16" fillId="0" borderId="0" xfId="2"/>
    <xf numFmtId="0" fontId="17" fillId="0" borderId="0" xfId="2" applyNumberFormat="1" applyFont="1" applyAlignment="1"/>
    <xf numFmtId="0" fontId="18" fillId="0" borderId="0" xfId="2" applyNumberFormat="1" applyFont="1" applyAlignment="1"/>
    <xf numFmtId="49" fontId="17" fillId="0" borderId="0" xfId="2" applyNumberFormat="1" applyFont="1" applyAlignment="1" applyProtection="1"/>
    <xf numFmtId="0" fontId="17" fillId="0" borderId="0" xfId="2" applyNumberFormat="1" applyFont="1" applyBorder="1" applyAlignment="1"/>
    <xf numFmtId="0" fontId="17" fillId="0" borderId="0" xfId="2" applyNumberFormat="1" applyFont="1" applyBorder="1" applyAlignment="1">
      <alignment horizontal="left"/>
    </xf>
    <xf numFmtId="0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vertical="center"/>
    </xf>
    <xf numFmtId="0" fontId="15" fillId="0" borderId="0" xfId="2" applyFont="1"/>
    <xf numFmtId="0" fontId="16" fillId="0" borderId="0" xfId="2" applyAlignment="1">
      <alignment horizontal="right"/>
    </xf>
    <xf numFmtId="0" fontId="18" fillId="3" borderId="0" xfId="2" applyFont="1" applyFill="1" applyAlignment="1">
      <alignment horizontal="centerContinuous"/>
    </xf>
    <xf numFmtId="0" fontId="17" fillId="3" borderId="0" xfId="2" applyFont="1" applyFill="1" applyAlignment="1">
      <alignment horizontal="centerContinuous"/>
    </xf>
    <xf numFmtId="9" fontId="16" fillId="0" borderId="0" xfId="2" applyNumberFormat="1"/>
    <xf numFmtId="165" fontId="16" fillId="0" borderId="0" xfId="2" applyNumberFormat="1"/>
    <xf numFmtId="10" fontId="16" fillId="0" borderId="0" xfId="2" applyNumberFormat="1"/>
    <xf numFmtId="10" fontId="20" fillId="0" borderId="0" xfId="3" applyNumberFormat="1" applyFont="1" applyFill="1"/>
    <xf numFmtId="0" fontId="19" fillId="0" borderId="0" xfId="2" applyFont="1" applyAlignment="1">
      <alignment horizontal="left"/>
    </xf>
    <xf numFmtId="0" fontId="17" fillId="0" borderId="0" xfId="2" applyFont="1" applyAlignment="1">
      <alignment horizontal="centerContinuous"/>
    </xf>
    <xf numFmtId="0" fontId="17" fillId="3" borderId="55" xfId="2" applyFont="1" applyFill="1" applyBorder="1" applyAlignment="1">
      <alignment horizontal="center"/>
    </xf>
    <xf numFmtId="0" fontId="17" fillId="3" borderId="56" xfId="2" applyFont="1" applyFill="1" applyBorder="1" applyAlignment="1">
      <alignment horizontal="center"/>
    </xf>
    <xf numFmtId="0" fontId="17" fillId="3" borderId="57" xfId="2" applyFont="1" applyFill="1" applyBorder="1" applyAlignment="1">
      <alignment horizontal="centerContinuous"/>
    </xf>
    <xf numFmtId="0" fontId="17" fillId="3" borderId="57" xfId="2" applyFont="1" applyFill="1" applyBorder="1" applyAlignment="1">
      <alignment horizontal="center" wrapText="1"/>
    </xf>
    <xf numFmtId="0" fontId="17" fillId="0" borderId="0" xfId="2" applyFont="1" applyAlignment="1">
      <alignment horizontal="center"/>
    </xf>
    <xf numFmtId="0" fontId="17" fillId="3" borderId="59" xfId="2" applyFont="1" applyFill="1" applyBorder="1" applyAlignment="1">
      <alignment horizontal="center" vertical="top"/>
    </xf>
    <xf numFmtId="0" fontId="17" fillId="3" borderId="0" xfId="2" applyFont="1" applyFill="1" applyBorder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7" fillId="3" borderId="60" xfId="2" applyFont="1" applyFill="1" applyBorder="1" applyAlignment="1">
      <alignment horizontal="center" vertical="center"/>
    </xf>
    <xf numFmtId="0" fontId="17" fillId="3" borderId="61" xfId="2" applyFont="1" applyFill="1" applyBorder="1" applyAlignment="1">
      <alignment horizontal="center" vertical="center"/>
    </xf>
    <xf numFmtId="0" fontId="18" fillId="2" borderId="0" xfId="2" applyFont="1" applyFill="1" applyAlignment="1">
      <alignment vertical="center"/>
    </xf>
    <xf numFmtId="0" fontId="18" fillId="2" borderId="62" xfId="2" applyFont="1" applyFill="1" applyBorder="1" applyAlignment="1" applyProtection="1">
      <alignment vertical="center" wrapText="1"/>
    </xf>
    <xf numFmtId="0" fontId="18" fillId="2" borderId="62" xfId="2" quotePrefix="1" applyFont="1" applyFill="1" applyBorder="1" applyAlignment="1" applyProtection="1">
      <alignment horizontal="center" vertical="center"/>
    </xf>
    <xf numFmtId="3" fontId="18" fillId="0" borderId="0" xfId="2" applyNumberFormat="1" applyFont="1" applyAlignment="1">
      <alignment vertical="center"/>
    </xf>
    <xf numFmtId="0" fontId="18" fillId="0" borderId="0" xfId="2" applyFont="1" applyAlignment="1">
      <alignment vertical="center"/>
    </xf>
    <xf numFmtId="0" fontId="18" fillId="2" borderId="62" xfId="2" applyFont="1" applyFill="1" applyBorder="1" applyAlignment="1" applyProtection="1">
      <alignment vertical="center"/>
    </xf>
    <xf numFmtId="0" fontId="18" fillId="2" borderId="62" xfId="2" applyFont="1" applyFill="1" applyBorder="1" applyAlignment="1" applyProtection="1">
      <alignment horizontal="left" vertical="center" wrapText="1"/>
    </xf>
    <xf numFmtId="0" fontId="18" fillId="2" borderId="62" xfId="2" applyFont="1" applyFill="1" applyBorder="1" applyAlignment="1" applyProtection="1">
      <alignment horizontal="left" vertical="center"/>
    </xf>
    <xf numFmtId="0" fontId="17" fillId="3" borderId="62" xfId="2" applyFont="1" applyFill="1" applyBorder="1" applyAlignment="1" applyProtection="1">
      <alignment horizontal="left" vertical="center"/>
    </xf>
    <xf numFmtId="0" fontId="17" fillId="0" borderId="62" xfId="2" applyFont="1" applyBorder="1" applyAlignment="1" applyProtection="1">
      <alignment horizontal="left" vertical="center"/>
    </xf>
    <xf numFmtId="0" fontId="17" fillId="0" borderId="62" xfId="2" quotePrefix="1" applyFont="1" applyBorder="1" applyAlignment="1" applyProtection="1">
      <alignment horizontal="center" vertical="center"/>
    </xf>
    <xf numFmtId="166" fontId="17" fillId="0" borderId="0" xfId="2" applyNumberFormat="1" applyFont="1" applyAlignment="1">
      <alignment vertical="center"/>
    </xf>
    <xf numFmtId="0" fontId="17" fillId="0" borderId="62" xfId="2" applyFont="1" applyBorder="1" applyAlignment="1" applyProtection="1">
      <alignment horizontal="left" vertical="center" wrapText="1"/>
    </xf>
    <xf numFmtId="0" fontId="17" fillId="2" borderId="62" xfId="2" applyFont="1" applyFill="1" applyBorder="1" applyAlignment="1" applyProtection="1">
      <alignment horizontal="left" vertical="center"/>
    </xf>
    <xf numFmtId="0" fontId="18" fillId="3" borderId="62" xfId="2" applyFont="1" applyFill="1" applyBorder="1" applyAlignment="1" applyProtection="1">
      <alignment horizontal="left" vertical="center"/>
    </xf>
    <xf numFmtId="3" fontId="22" fillId="0" borderId="0" xfId="2" applyNumberFormat="1" applyFont="1" applyAlignment="1">
      <alignment vertical="center" wrapText="1"/>
    </xf>
    <xf numFmtId="0" fontId="24" fillId="0" borderId="0" xfId="2" applyFont="1" applyAlignment="1">
      <alignment vertical="center"/>
    </xf>
    <xf numFmtId="0" fontId="17" fillId="0" borderId="62" xfId="2" applyFont="1" applyFill="1" applyBorder="1" applyAlignment="1" applyProtection="1">
      <alignment horizontal="left" vertical="center"/>
    </xf>
    <xf numFmtId="0" fontId="17" fillId="0" borderId="62" xfId="2" applyFont="1" applyFill="1" applyBorder="1" applyAlignment="1" applyProtection="1">
      <alignment horizontal="left" vertical="center" wrapText="1"/>
    </xf>
    <xf numFmtId="0" fontId="17" fillId="0" borderId="62" xfId="2" quotePrefix="1" applyFont="1" applyFill="1" applyBorder="1" applyAlignment="1" applyProtection="1">
      <alignment horizontal="center" vertical="center"/>
    </xf>
    <xf numFmtId="0" fontId="17" fillId="2" borderId="62" xfId="2" applyFont="1" applyFill="1" applyBorder="1" applyAlignment="1" applyProtection="1">
      <alignment vertical="center"/>
    </xf>
    <xf numFmtId="0" fontId="17" fillId="2" borderId="62" xfId="2" applyFont="1" applyFill="1" applyBorder="1" applyAlignment="1" applyProtection="1">
      <alignment horizontal="center" vertical="center"/>
    </xf>
    <xf numFmtId="0" fontId="17" fillId="3" borderId="0" xfId="2" applyFont="1" applyFill="1" applyAlignment="1">
      <alignment vertical="center"/>
    </xf>
    <xf numFmtId="167" fontId="17" fillId="0" borderId="0" xfId="2" applyNumberFormat="1" applyFont="1" applyAlignment="1">
      <alignment vertical="center"/>
    </xf>
    <xf numFmtId="0" fontId="17" fillId="3" borderId="55" xfId="2" applyFont="1" applyFill="1" applyBorder="1" applyAlignment="1" applyProtection="1">
      <alignment horizontal="center" vertical="center"/>
    </xf>
    <xf numFmtId="167" fontId="17" fillId="3" borderId="55" xfId="2" applyNumberFormat="1" applyFont="1" applyFill="1" applyBorder="1" applyAlignment="1" applyProtection="1">
      <alignment horizontal="center" vertical="center"/>
    </xf>
    <xf numFmtId="167" fontId="17" fillId="3" borderId="0" xfId="2" applyNumberFormat="1" applyFont="1" applyFill="1" applyAlignment="1">
      <alignment vertical="center"/>
    </xf>
    <xf numFmtId="0" fontId="17" fillId="3" borderId="59" xfId="2" applyFont="1" applyFill="1" applyBorder="1" applyAlignment="1" applyProtection="1">
      <alignment horizontal="center" vertical="center"/>
    </xf>
    <xf numFmtId="167" fontId="17" fillId="3" borderId="59" xfId="2" applyNumberFormat="1" applyFont="1" applyFill="1" applyBorder="1" applyAlignment="1" applyProtection="1">
      <alignment horizontal="center" vertical="center"/>
    </xf>
    <xf numFmtId="0" fontId="17" fillId="3" borderId="60" xfId="2" applyFont="1" applyFill="1" applyBorder="1" applyAlignment="1" applyProtection="1">
      <alignment horizontal="center" vertical="center"/>
    </xf>
    <xf numFmtId="1" fontId="17" fillId="3" borderId="60" xfId="2" applyNumberFormat="1" applyFont="1" applyFill="1" applyBorder="1" applyAlignment="1" applyProtection="1">
      <alignment horizontal="center" vertical="center"/>
    </xf>
    <xf numFmtId="0" fontId="17" fillId="0" borderId="0" xfId="2" applyFont="1" applyAlignment="1">
      <alignment vertical="top"/>
    </xf>
    <xf numFmtId="37" fontId="18" fillId="2" borderId="62" xfId="2" applyNumberFormat="1" applyFont="1" applyFill="1" applyBorder="1" applyAlignment="1" applyProtection="1">
      <alignment vertical="center"/>
    </xf>
    <xf numFmtId="37" fontId="18" fillId="2" borderId="62" xfId="2" quotePrefix="1" applyNumberFormat="1" applyFont="1" applyFill="1" applyBorder="1" applyAlignment="1" applyProtection="1">
      <alignment horizontal="center" vertical="center"/>
    </xf>
    <xf numFmtId="167" fontId="18" fillId="3" borderId="0" xfId="2" applyNumberFormat="1" applyFont="1" applyFill="1" applyAlignment="1">
      <alignment vertical="center"/>
    </xf>
    <xf numFmtId="37" fontId="17" fillId="3" borderId="62" xfId="2" applyNumberFormat="1" applyFont="1" applyFill="1" applyBorder="1" applyAlignment="1" applyProtection="1">
      <alignment vertical="center"/>
    </xf>
    <xf numFmtId="37" fontId="17" fillId="0" borderId="62" xfId="2" applyNumberFormat="1" applyFont="1" applyBorder="1" applyAlignment="1" applyProtection="1">
      <alignment vertical="center"/>
    </xf>
    <xf numFmtId="37" fontId="17" fillId="0" borderId="62" xfId="2" quotePrefix="1" applyNumberFormat="1" applyFont="1" applyBorder="1" applyAlignment="1" applyProtection="1">
      <alignment horizontal="center" vertical="center"/>
    </xf>
    <xf numFmtId="37" fontId="18" fillId="5" borderId="62" xfId="2" applyNumberFormat="1" applyFont="1" applyFill="1" applyBorder="1" applyAlignment="1" applyProtection="1">
      <alignment vertical="center"/>
    </xf>
    <xf numFmtId="37" fontId="18" fillId="5" borderId="62" xfId="2" quotePrefix="1" applyNumberFormat="1" applyFont="1" applyFill="1" applyBorder="1" applyAlignment="1" applyProtection="1">
      <alignment horizontal="center" vertical="center"/>
    </xf>
    <xf numFmtId="0" fontId="18" fillId="3" borderId="0" xfId="2" applyFont="1" applyFill="1" applyAlignment="1">
      <alignment vertical="center"/>
    </xf>
    <xf numFmtId="167" fontId="25" fillId="3" borderId="0" xfId="2" applyNumberFormat="1" applyFont="1" applyFill="1" applyAlignment="1">
      <alignment vertical="center"/>
    </xf>
    <xf numFmtId="37" fontId="17" fillId="4" borderId="62" xfId="2" applyNumberFormat="1" applyFont="1" applyFill="1" applyBorder="1" applyAlignment="1" applyProtection="1">
      <alignment vertical="center"/>
    </xf>
    <xf numFmtId="37" fontId="17" fillId="4" borderId="62" xfId="2" quotePrefix="1" applyNumberFormat="1" applyFont="1" applyFill="1" applyBorder="1" applyAlignment="1" applyProtection="1">
      <alignment horizontal="center" vertical="center"/>
    </xf>
    <xf numFmtId="0" fontId="17" fillId="4" borderId="62" xfId="2" applyFont="1" applyFill="1" applyBorder="1" applyAlignment="1" applyProtection="1">
      <alignment horizontal="left" vertical="center"/>
    </xf>
    <xf numFmtId="37" fontId="21" fillId="2" borderId="62" xfId="2" applyNumberFormat="1" applyFont="1" applyFill="1" applyBorder="1" applyAlignment="1" applyProtection="1">
      <alignment vertical="center"/>
    </xf>
    <xf numFmtId="37" fontId="21" fillId="2" borderId="62" xfId="2" quotePrefix="1" applyNumberFormat="1" applyFont="1" applyFill="1" applyBorder="1" applyAlignment="1" applyProtection="1">
      <alignment horizontal="center" vertical="center"/>
    </xf>
    <xf numFmtId="37" fontId="17" fillId="2" borderId="62" xfId="2" applyNumberFormat="1" applyFont="1" applyFill="1" applyBorder="1" applyAlignment="1" applyProtection="1">
      <alignment vertical="center"/>
    </xf>
    <xf numFmtId="37" fontId="17" fillId="2" borderId="62" xfId="2" quotePrefix="1" applyNumberFormat="1" applyFont="1" applyFill="1" applyBorder="1" applyAlignment="1" applyProtection="1">
      <alignment horizontal="center" vertical="center"/>
    </xf>
    <xf numFmtId="0" fontId="17" fillId="0" borderId="0" xfId="2" applyFont="1" applyAlignment="1" applyProtection="1">
      <alignment horizontal="left"/>
    </xf>
    <xf numFmtId="0" fontId="17" fillId="0" borderId="0" xfId="2" applyFont="1" applyAlignment="1" applyProtection="1">
      <alignment horizontal="center"/>
    </xf>
    <xf numFmtId="37" fontId="17" fillId="0" borderId="0" xfId="2" applyNumberFormat="1" applyFont="1" applyProtection="1"/>
    <xf numFmtId="0" fontId="18" fillId="0" borderId="0" xfId="2" applyNumberFormat="1" applyFont="1" applyAlignment="1" applyProtection="1"/>
    <xf numFmtId="0" fontId="17" fillId="0" borderId="0" xfId="2" applyNumberFormat="1" applyFont="1" applyBorder="1" applyAlignment="1">
      <alignment vertical="center"/>
    </xf>
    <xf numFmtId="3" fontId="17" fillId="0" borderId="0" xfId="2" applyNumberFormat="1" applyFont="1" applyBorder="1" applyAlignment="1">
      <alignment horizontal="right" vertical="center"/>
    </xf>
    <xf numFmtId="15" fontId="17" fillId="0" borderId="0" xfId="2" applyNumberFormat="1" applyFont="1" applyBorder="1" applyAlignment="1">
      <alignment horizontal="left" vertical="center"/>
    </xf>
    <xf numFmtId="0" fontId="18" fillId="0" borderId="0" xfId="2" applyFont="1"/>
    <xf numFmtId="3" fontId="17" fillId="3" borderId="0" xfId="2" applyNumberFormat="1" applyFont="1" applyFill="1" applyAlignment="1">
      <alignment horizontal="centerContinuous"/>
    </xf>
    <xf numFmtId="0" fontId="17" fillId="3" borderId="0" xfId="2" applyFont="1" applyFill="1" applyBorder="1" applyAlignment="1">
      <alignment horizontal="centerContinuous"/>
    </xf>
    <xf numFmtId="0" fontId="19" fillId="0" borderId="0" xfId="2" applyFont="1" applyAlignment="1">
      <alignment horizontal="centerContinuous"/>
    </xf>
    <xf numFmtId="3" fontId="17" fillId="0" borderId="0" xfId="2" applyNumberFormat="1" applyFont="1" applyAlignment="1">
      <alignment horizontal="centerContinuous"/>
    </xf>
    <xf numFmtId="0" fontId="17" fillId="0" borderId="61" xfId="2" applyFont="1" applyBorder="1" applyAlignment="1">
      <alignment horizontal="centerContinuous"/>
    </xf>
    <xf numFmtId="0" fontId="17" fillId="0" borderId="55" xfId="2" applyFont="1" applyBorder="1" applyAlignment="1">
      <alignment horizontal="center"/>
    </xf>
    <xf numFmtId="0" fontId="17" fillId="0" borderId="56" xfId="2" applyFont="1" applyBorder="1" applyAlignment="1">
      <alignment horizontal="center"/>
    </xf>
    <xf numFmtId="3" fontId="17" fillId="0" borderId="56" xfId="2" applyNumberFormat="1" applyFont="1" applyBorder="1" applyAlignment="1">
      <alignment horizontal="centerContinuous"/>
    </xf>
    <xf numFmtId="0" fontId="17" fillId="0" borderId="57" xfId="2" applyFont="1" applyBorder="1" applyAlignment="1">
      <alignment horizontal="centerContinuous"/>
    </xf>
    <xf numFmtId="0" fontId="17" fillId="0" borderId="59" xfId="2" applyFont="1" applyBorder="1" applyAlignment="1">
      <alignment horizontal="center" vertical="top"/>
    </xf>
    <xf numFmtId="0" fontId="17" fillId="0" borderId="0" xfId="2" applyFont="1" applyBorder="1" applyAlignment="1">
      <alignment horizontal="center" vertical="top"/>
    </xf>
    <xf numFmtId="3" fontId="17" fillId="0" borderId="55" xfId="2" applyNumberFormat="1" applyFont="1" applyBorder="1" applyAlignment="1">
      <alignment horizontal="center" vertical="top"/>
    </xf>
    <xf numFmtId="0" fontId="17" fillId="0" borderId="55" xfId="2" applyFont="1" applyBorder="1" applyAlignment="1">
      <alignment horizontal="center" vertical="top"/>
    </xf>
    <xf numFmtId="0" fontId="17" fillId="0" borderId="60" xfId="2" applyFont="1" applyBorder="1" applyAlignment="1">
      <alignment horizontal="center"/>
    </xf>
    <xf numFmtId="0" fontId="17" fillId="0" borderId="61" xfId="2" applyFont="1" applyBorder="1" applyAlignment="1">
      <alignment horizontal="center"/>
    </xf>
    <xf numFmtId="3" fontId="17" fillId="0" borderId="60" xfId="2" applyNumberFormat="1" applyFont="1" applyBorder="1" applyAlignment="1">
      <alignment horizontal="center"/>
    </xf>
    <xf numFmtId="0" fontId="17" fillId="3" borderId="62" xfId="2" applyFont="1" applyFill="1" applyBorder="1" applyAlignment="1">
      <alignment vertical="center"/>
    </xf>
    <xf numFmtId="0" fontId="17" fillId="0" borderId="62" xfId="2" applyFont="1" applyBorder="1" applyAlignment="1">
      <alignment vertical="center"/>
    </xf>
    <xf numFmtId="0" fontId="17" fillId="0" borderId="62" xfId="2" quotePrefix="1" applyFont="1" applyBorder="1" applyAlignment="1">
      <alignment horizontal="center" vertical="center"/>
    </xf>
    <xf numFmtId="0" fontId="28" fillId="2" borderId="62" xfId="2" applyFont="1" applyFill="1" applyBorder="1" applyAlignment="1">
      <alignment vertical="center"/>
    </xf>
    <xf numFmtId="0" fontId="28" fillId="2" borderId="62" xfId="2" quotePrefix="1" applyFont="1" applyFill="1" applyBorder="1" applyAlignment="1">
      <alignment horizontal="center" vertical="center"/>
    </xf>
    <xf numFmtId="0" fontId="28" fillId="0" borderId="0" xfId="2" applyFont="1" applyAlignment="1">
      <alignment vertical="center"/>
    </xf>
    <xf numFmtId="0" fontId="18" fillId="2" borderId="62" xfId="2" applyFont="1" applyFill="1" applyBorder="1" applyAlignment="1">
      <alignment vertical="center"/>
    </xf>
    <xf numFmtId="0" fontId="18" fillId="2" borderId="62" xfId="2" quotePrefix="1" applyFont="1" applyFill="1" applyBorder="1" applyAlignment="1">
      <alignment horizontal="center" vertical="center"/>
    </xf>
    <xf numFmtId="0" fontId="17" fillId="2" borderId="62" xfId="2" applyFont="1" applyFill="1" applyBorder="1" applyAlignment="1">
      <alignment vertical="center"/>
    </xf>
    <xf numFmtId="0" fontId="21" fillId="2" borderId="62" xfId="2" applyFont="1" applyFill="1" applyBorder="1" applyAlignment="1">
      <alignment vertical="center"/>
    </xf>
    <xf numFmtId="0" fontId="17" fillId="2" borderId="62" xfId="2" quotePrefix="1" applyFont="1" applyFill="1" applyBorder="1" applyAlignment="1">
      <alignment horizontal="center" vertical="center"/>
    </xf>
    <xf numFmtId="0" fontId="17" fillId="0" borderId="62" xfId="2" applyFont="1" applyFill="1" applyBorder="1" applyAlignment="1">
      <alignment vertical="center"/>
    </xf>
    <xf numFmtId="0" fontId="28" fillId="2" borderId="62" xfId="2" applyFont="1" applyFill="1" applyBorder="1" applyAlignment="1">
      <alignment vertical="center" wrapText="1"/>
    </xf>
    <xf numFmtId="0" fontId="21" fillId="2" borderId="62" xfId="2" quotePrefix="1" applyFont="1" applyFill="1" applyBorder="1" applyAlignment="1">
      <alignment horizontal="center" vertical="center"/>
    </xf>
    <xf numFmtId="49" fontId="17" fillId="0" borderId="62" xfId="2" applyNumberFormat="1" applyFont="1" applyFill="1" applyBorder="1" applyAlignment="1">
      <alignment vertical="center"/>
    </xf>
    <xf numFmtId="0" fontId="28" fillId="3" borderId="0" xfId="2" applyFont="1" applyFill="1" applyAlignment="1">
      <alignment vertical="center"/>
    </xf>
    <xf numFmtId="49" fontId="17" fillId="2" borderId="62" xfId="2" applyNumberFormat="1" applyFont="1" applyFill="1" applyBorder="1" applyAlignment="1">
      <alignment vertical="center"/>
    </xf>
    <xf numFmtId="0" fontId="18" fillId="5" borderId="62" xfId="2" applyFont="1" applyFill="1" applyBorder="1" applyAlignment="1">
      <alignment vertical="center"/>
    </xf>
    <xf numFmtId="0" fontId="28" fillId="5" borderId="62" xfId="2" applyFont="1" applyFill="1" applyBorder="1" applyAlignment="1">
      <alignment vertical="center"/>
    </xf>
    <xf numFmtId="0" fontId="21" fillId="5" borderId="62" xfId="2" quotePrefix="1" applyFont="1" applyFill="1" applyBorder="1" applyAlignment="1">
      <alignment horizontal="center" vertical="center"/>
    </xf>
    <xf numFmtId="3" fontId="17" fillId="0" borderId="0" xfId="2" applyNumberFormat="1" applyFont="1"/>
    <xf numFmtId="0" fontId="29" fillId="0" borderId="0" xfId="7" applyFont="1" applyAlignment="1">
      <alignment horizontal="left"/>
    </xf>
    <xf numFmtId="0" fontId="30" fillId="0" borderId="0" xfId="6" applyFont="1" applyFill="1" applyAlignment="1">
      <alignment horizontal="center"/>
    </xf>
    <xf numFmtId="0" fontId="29" fillId="0" borderId="0" xfId="7" applyFont="1"/>
    <xf numFmtId="0" fontId="31" fillId="0" borderId="0" xfId="7" applyFont="1"/>
    <xf numFmtId="0" fontId="31" fillId="0" borderId="0" xfId="7" applyNumberFormat="1" applyFont="1"/>
    <xf numFmtId="0" fontId="32" fillId="0" borderId="0" xfId="7" applyFont="1"/>
    <xf numFmtId="0" fontId="33" fillId="0" borderId="0" xfId="7" applyFont="1"/>
    <xf numFmtId="0" fontId="34" fillId="0" borderId="0" xfId="7" applyFont="1" applyAlignment="1">
      <alignment horizontal="center"/>
    </xf>
    <xf numFmtId="0" fontId="35" fillId="0" borderId="0" xfId="7" applyFont="1" applyAlignment="1">
      <alignment horizontal="center"/>
    </xf>
    <xf numFmtId="0" fontId="36" fillId="0" borderId="0" xfId="7" applyFont="1" applyAlignment="1">
      <alignment horizontal="left"/>
    </xf>
    <xf numFmtId="0" fontId="36" fillId="0" borderId="0" xfId="7" applyFont="1" applyAlignment="1">
      <alignment horizontal="center"/>
    </xf>
    <xf numFmtId="0" fontId="31" fillId="0" borderId="0" xfId="7" applyFont="1" applyAlignment="1">
      <alignment horizontal="center"/>
    </xf>
    <xf numFmtId="0" fontId="37" fillId="0" borderId="0" xfId="7" applyFont="1" applyBorder="1" applyAlignment="1">
      <alignment horizontal="center"/>
    </xf>
    <xf numFmtId="0" fontId="38" fillId="0" borderId="0" xfId="7" applyFont="1" applyAlignment="1">
      <alignment horizontal="left"/>
    </xf>
    <xf numFmtId="0" fontId="36" fillId="0" borderId="0" xfId="7" applyFont="1" applyBorder="1" applyAlignment="1">
      <alignment horizontal="center"/>
    </xf>
    <xf numFmtId="0" fontId="36" fillId="0" borderId="0" xfId="7" applyFont="1" applyBorder="1" applyAlignment="1">
      <alignment horizontal="left"/>
    </xf>
    <xf numFmtId="0" fontId="33" fillId="5" borderId="63" xfId="7" applyFont="1" applyFill="1" applyBorder="1" applyAlignment="1">
      <alignment horizontal="center" vertical="center" wrapText="1"/>
    </xf>
    <xf numFmtId="0" fontId="31" fillId="5" borderId="64" xfId="7" applyFont="1" applyFill="1" applyBorder="1" applyAlignment="1">
      <alignment horizontal="center" vertical="center" wrapText="1"/>
    </xf>
    <xf numFmtId="0" fontId="33" fillId="5" borderId="64" xfId="7" applyFont="1" applyFill="1" applyBorder="1" applyAlignment="1">
      <alignment horizontal="center" vertical="center" wrapText="1"/>
    </xf>
    <xf numFmtId="0" fontId="39" fillId="0" borderId="0" xfId="7" applyFont="1" applyBorder="1" applyAlignment="1">
      <alignment horizontal="center" wrapText="1"/>
    </xf>
    <xf numFmtId="0" fontId="39" fillId="0" borderId="66" xfId="7" applyFont="1" applyBorder="1" applyAlignment="1">
      <alignment horizontal="center" wrapText="1"/>
    </xf>
    <xf numFmtId="0" fontId="40" fillId="0" borderId="0" xfId="7" applyFont="1"/>
    <xf numFmtId="0" fontId="31" fillId="5" borderId="67" xfId="7" applyFont="1" applyFill="1" applyBorder="1" applyAlignment="1">
      <alignment horizontal="center" wrapText="1"/>
    </xf>
    <xf numFmtId="0" fontId="31" fillId="5" borderId="43" xfId="7" applyFont="1" applyFill="1" applyBorder="1" applyAlignment="1">
      <alignment horizontal="center" wrapText="1"/>
    </xf>
    <xf numFmtId="0" fontId="31" fillId="5" borderId="69" xfId="7" applyFont="1" applyFill="1" applyBorder="1" applyAlignment="1">
      <alignment horizontal="center" wrapText="1"/>
    </xf>
    <xf numFmtId="0" fontId="31" fillId="5" borderId="70" xfId="7" applyFont="1" applyFill="1" applyBorder="1" applyAlignment="1">
      <alignment horizontal="center" wrapText="1"/>
    </xf>
    <xf numFmtId="0" fontId="31" fillId="5" borderId="70" xfId="7" applyFont="1" applyFill="1" applyBorder="1" applyAlignment="1">
      <alignment horizontal="center" vertical="center"/>
    </xf>
    <xf numFmtId="0" fontId="31" fillId="5" borderId="58" xfId="7" applyFont="1" applyFill="1" applyBorder="1" applyAlignment="1">
      <alignment horizontal="center" vertical="center"/>
    </xf>
    <xf numFmtId="0" fontId="39" fillId="0" borderId="71" xfId="7" applyFont="1" applyBorder="1" applyAlignment="1">
      <alignment horizontal="center" wrapText="1"/>
    </xf>
    <xf numFmtId="0" fontId="31" fillId="0" borderId="72" xfId="7" applyFont="1" applyFill="1" applyBorder="1" applyAlignment="1">
      <alignment horizontal="left"/>
    </xf>
    <xf numFmtId="0" fontId="31" fillId="0" borderId="73" xfId="7" applyFont="1" applyFill="1" applyBorder="1" applyAlignment="1">
      <alignment horizontal="left"/>
    </xf>
    <xf numFmtId="0" fontId="31" fillId="0" borderId="73" xfId="7" applyFont="1" applyFill="1" applyBorder="1" applyAlignment="1">
      <alignment horizontal="center"/>
    </xf>
    <xf numFmtId="168" fontId="31" fillId="0" borderId="73" xfId="7" applyNumberFormat="1" applyFont="1" applyFill="1" applyBorder="1" applyAlignment="1">
      <alignment horizontal="right"/>
    </xf>
    <xf numFmtId="168" fontId="31" fillId="0" borderId="54" xfId="7" applyNumberFormat="1" applyFont="1" applyFill="1" applyBorder="1" applyAlignment="1">
      <alignment horizontal="right"/>
    </xf>
    <xf numFmtId="0" fontId="40" fillId="0" borderId="0" xfId="7" applyFont="1" applyFill="1" applyBorder="1" applyAlignment="1">
      <alignment horizontal="left"/>
    </xf>
    <xf numFmtId="0" fontId="40" fillId="0" borderId="74" xfId="7" applyFont="1" applyFill="1" applyBorder="1" applyAlignment="1">
      <alignment horizontal="left"/>
    </xf>
    <xf numFmtId="0" fontId="35" fillId="0" borderId="67" xfId="7" applyFont="1" applyFill="1" applyBorder="1" applyAlignment="1">
      <alignment horizontal="left" vertical="center"/>
    </xf>
    <xf numFmtId="0" fontId="35" fillId="0" borderId="43" xfId="7" applyFont="1" applyFill="1" applyBorder="1" applyAlignment="1">
      <alignment horizontal="left" vertical="center"/>
    </xf>
    <xf numFmtId="0" fontId="35" fillId="0" borderId="43" xfId="7" applyFont="1" applyFill="1" applyBorder="1" applyAlignment="1">
      <alignment horizontal="center" vertical="center"/>
    </xf>
    <xf numFmtId="168" fontId="35" fillId="5" borderId="43" xfId="7" applyNumberFormat="1" applyFont="1" applyFill="1" applyBorder="1" applyAlignment="1">
      <alignment horizontal="right" vertical="center"/>
    </xf>
    <xf numFmtId="0" fontId="31" fillId="0" borderId="67" xfId="7" applyFont="1" applyFill="1" applyBorder="1" applyAlignment="1">
      <alignment horizontal="left"/>
    </xf>
    <xf numFmtId="0" fontId="31" fillId="0" borderId="43" xfId="7" applyFont="1" applyFill="1" applyBorder="1" applyAlignment="1">
      <alignment horizontal="left"/>
    </xf>
    <xf numFmtId="0" fontId="31" fillId="0" borderId="43" xfId="7" applyFont="1" applyFill="1" applyBorder="1" applyAlignment="1">
      <alignment horizontal="center"/>
    </xf>
    <xf numFmtId="168" fontId="31" fillId="0" borderId="43" xfId="7" applyNumberFormat="1" applyFont="1" applyFill="1" applyBorder="1" applyAlignment="1">
      <alignment horizontal="right"/>
    </xf>
    <xf numFmtId="168" fontId="31" fillId="0" borderId="68" xfId="7" applyNumberFormat="1" applyFont="1" applyFill="1" applyBorder="1" applyAlignment="1">
      <alignment horizontal="right"/>
    </xf>
    <xf numFmtId="0" fontId="31" fillId="0" borderId="67" xfId="7" applyFont="1" applyBorder="1" applyAlignment="1">
      <alignment horizontal="left"/>
    </xf>
    <xf numFmtId="0" fontId="31" fillId="0" borderId="43" xfId="7" applyFont="1" applyBorder="1" applyAlignment="1">
      <alignment horizontal="left"/>
    </xf>
    <xf numFmtId="0" fontId="31" fillId="0" borderId="43" xfId="7" applyFont="1" applyBorder="1" applyAlignment="1">
      <alignment horizontal="center"/>
    </xf>
    <xf numFmtId="0" fontId="40" fillId="0" borderId="0" xfId="7" applyFont="1" applyBorder="1" applyAlignment="1">
      <alignment horizontal="left"/>
    </xf>
    <xf numFmtId="0" fontId="40" fillId="0" borderId="74" xfId="7" applyFont="1" applyBorder="1" applyAlignment="1">
      <alignment horizontal="left"/>
    </xf>
    <xf numFmtId="168" fontId="31" fillId="0" borderId="43" xfId="7" applyNumberFormat="1" applyFont="1" applyBorder="1" applyAlignment="1">
      <alignment horizontal="right"/>
    </xf>
    <xf numFmtId="168" fontId="31" fillId="0" borderId="68" xfId="7" applyNumberFormat="1" applyFont="1" applyBorder="1" applyAlignment="1">
      <alignment horizontal="right"/>
    </xf>
    <xf numFmtId="0" fontId="41" fillId="0" borderId="0" xfId="7" applyFont="1"/>
    <xf numFmtId="0" fontId="31" fillId="0" borderId="0" xfId="7" applyNumberFormat="1" applyFont="1" applyFill="1"/>
    <xf numFmtId="3" fontId="40" fillId="0" borderId="0" xfId="7" applyNumberFormat="1" applyFont="1"/>
    <xf numFmtId="0" fontId="39" fillId="0" borderId="0" xfId="7" applyFont="1" applyFill="1" applyBorder="1" applyAlignment="1">
      <alignment horizontal="left"/>
    </xf>
    <xf numFmtId="0" fontId="39" fillId="0" borderId="74" xfId="7" applyFont="1" applyFill="1" applyBorder="1" applyAlignment="1">
      <alignment horizontal="left"/>
    </xf>
    <xf numFmtId="0" fontId="35" fillId="0" borderId="0" xfId="7" applyNumberFormat="1" applyFont="1" applyFill="1"/>
    <xf numFmtId="0" fontId="39" fillId="0" borderId="0" xfId="7" applyFont="1" applyFill="1"/>
    <xf numFmtId="168" fontId="31" fillId="3" borderId="43" xfId="5" applyNumberFormat="1" applyFont="1" applyFill="1" applyBorder="1" applyAlignment="1">
      <alignment horizontal="right" vertical="center"/>
    </xf>
    <xf numFmtId="168" fontId="31" fillId="3" borderId="68" xfId="5" applyNumberFormat="1" applyFont="1" applyFill="1" applyBorder="1" applyAlignment="1">
      <alignment horizontal="right" vertical="center"/>
    </xf>
    <xf numFmtId="0" fontId="39" fillId="0" borderId="75" xfId="7" applyFont="1" applyFill="1" applyBorder="1" applyAlignment="1">
      <alignment horizontal="left"/>
    </xf>
    <xf numFmtId="3" fontId="35" fillId="0" borderId="43" xfId="7" applyNumberFormat="1" applyFont="1" applyFill="1" applyBorder="1" applyAlignment="1">
      <alignment vertical="center"/>
    </xf>
    <xf numFmtId="168" fontId="35" fillId="0" borderId="43" xfId="7" applyNumberFormat="1" applyFont="1" applyFill="1" applyBorder="1" applyAlignment="1">
      <alignment horizontal="right" vertical="center"/>
    </xf>
    <xf numFmtId="168" fontId="35" fillId="0" borderId="68" xfId="7" applyNumberFormat="1" applyFont="1" applyFill="1" applyBorder="1" applyAlignment="1">
      <alignment horizontal="right" vertical="center"/>
    </xf>
    <xf numFmtId="0" fontId="35" fillId="0" borderId="76" xfId="7" applyFont="1" applyFill="1" applyBorder="1" applyAlignment="1">
      <alignment horizontal="left" vertical="center"/>
    </xf>
    <xf numFmtId="3" fontId="35" fillId="0" borderId="77" xfId="7" applyNumberFormat="1" applyFont="1" applyFill="1" applyBorder="1" applyAlignment="1">
      <alignment vertical="center"/>
    </xf>
    <xf numFmtId="0" fontId="35" fillId="0" borderId="77" xfId="7" applyFont="1" applyFill="1" applyBorder="1" applyAlignment="1">
      <alignment horizontal="center" vertical="center"/>
    </xf>
    <xf numFmtId="0" fontId="39" fillId="0" borderId="0" xfId="7" applyFont="1" applyFill="1" applyAlignment="1">
      <alignment horizontal="left"/>
    </xf>
    <xf numFmtId="3" fontId="40" fillId="0" borderId="0" xfId="7" applyNumberFormat="1" applyFont="1" applyFill="1" applyBorder="1"/>
    <xf numFmtId="49" fontId="40" fillId="0" borderId="0" xfId="7" applyNumberFormat="1" applyFont="1" applyBorder="1" applyAlignment="1">
      <alignment horizontal="center"/>
    </xf>
    <xf numFmtId="3" fontId="31" fillId="0" borderId="0" xfId="7" applyNumberFormat="1" applyFont="1" applyFill="1" applyBorder="1"/>
    <xf numFmtId="0" fontId="31" fillId="0" borderId="0" xfId="7" applyFont="1" applyFill="1" applyBorder="1"/>
    <xf numFmtId="0" fontId="40" fillId="0" borderId="0" xfId="7" applyFont="1" applyFill="1" applyAlignment="1">
      <alignment horizontal="left"/>
    </xf>
    <xf numFmtId="0" fontId="40" fillId="0" borderId="0" xfId="7" applyFont="1" applyFill="1"/>
    <xf numFmtId="3" fontId="31" fillId="0" borderId="0" xfId="7" applyNumberFormat="1" applyFont="1" applyFill="1"/>
    <xf numFmtId="0" fontId="31" fillId="0" borderId="0" xfId="7" applyFont="1" applyFill="1"/>
    <xf numFmtId="0" fontId="42" fillId="6" borderId="0" xfId="7" applyFont="1" applyFill="1"/>
    <xf numFmtId="3" fontId="43" fillId="6" borderId="0" xfId="7" applyNumberFormat="1" applyFont="1" applyFill="1"/>
    <xf numFmtId="0" fontId="29" fillId="0" borderId="0" xfId="7" applyFont="1" applyFill="1" applyAlignment="1">
      <alignment horizontal="left"/>
    </xf>
    <xf numFmtId="0" fontId="29" fillId="0" borderId="0" xfId="7" applyFont="1" applyFill="1"/>
    <xf numFmtId="0" fontId="29" fillId="0" borderId="0" xfId="7" applyFont="1" applyFill="1" applyBorder="1" applyAlignment="1">
      <alignment horizontal="left"/>
    </xf>
    <xf numFmtId="3" fontId="0" fillId="0" borderId="0" xfId="0" applyNumberFormat="1"/>
    <xf numFmtId="0" fontId="0" fillId="0" borderId="79" xfId="0" applyBorder="1"/>
    <xf numFmtId="0" fontId="0" fillId="0" borderId="0" xfId="0" applyBorder="1"/>
    <xf numFmtId="3" fontId="0" fillId="0" borderId="0" xfId="0" applyNumberFormat="1" applyBorder="1"/>
    <xf numFmtId="3" fontId="0" fillId="0" borderId="79" xfId="0" applyNumberFormat="1" applyBorder="1"/>
    <xf numFmtId="0" fontId="11" fillId="0" borderId="81" xfId="0" applyFont="1" applyBorder="1" applyAlignment="1">
      <alignment horizontal="center"/>
    </xf>
    <xf numFmtId="0" fontId="0" fillId="0" borderId="81" xfId="0" applyBorder="1"/>
    <xf numFmtId="3" fontId="0" fillId="0" borderId="81" xfId="0" applyNumberFormat="1" applyBorder="1"/>
    <xf numFmtId="0" fontId="0" fillId="0" borderId="80" xfId="0" applyBorder="1"/>
    <xf numFmtId="0" fontId="11" fillId="0" borderId="79" xfId="0" applyFont="1" applyBorder="1"/>
    <xf numFmtId="0" fontId="0" fillId="0" borderId="81" xfId="0" applyBorder="1" applyAlignment="1">
      <alignment wrapText="1"/>
    </xf>
    <xf numFmtId="0" fontId="11" fillId="0" borderId="0" xfId="0" applyFont="1" applyBorder="1" applyAlignment="1"/>
    <xf numFmtId="0" fontId="12" fillId="0" borderId="82" xfId="0" applyFont="1" applyBorder="1" applyAlignment="1">
      <alignment horizontal="center" vertical="center" wrapText="1"/>
    </xf>
    <xf numFmtId="0" fontId="12" fillId="0" borderId="83" xfId="0" applyFont="1" applyBorder="1" applyAlignment="1">
      <alignment horizontal="center" vertical="center" wrapText="1"/>
    </xf>
    <xf numFmtId="0" fontId="11" fillId="0" borderId="80" xfId="0" applyFont="1" applyBorder="1" applyAlignment="1"/>
    <xf numFmtId="3" fontId="0" fillId="0" borderId="80" xfId="0" applyNumberFormat="1" applyBorder="1"/>
    <xf numFmtId="0" fontId="11" fillId="0" borderId="8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3" fontId="13" fillId="0" borderId="87" xfId="0" applyNumberFormat="1" applyFont="1" applyBorder="1" applyAlignment="1">
      <alignment horizontal="right" vertical="center"/>
    </xf>
    <xf numFmtId="3" fontId="13" fillId="0" borderId="30" xfId="0" applyNumberFormat="1" applyFont="1" applyBorder="1" applyAlignment="1">
      <alignment horizontal="right" vertical="center"/>
    </xf>
    <xf numFmtId="3" fontId="13" fillId="0" borderId="46" xfId="0" applyNumberFormat="1" applyFont="1" applyBorder="1" applyAlignment="1">
      <alignment horizontal="right" vertical="center"/>
    </xf>
    <xf numFmtId="3" fontId="0" fillId="0" borderId="84" xfId="0" applyNumberFormat="1" applyBorder="1"/>
    <xf numFmtId="0" fontId="13" fillId="0" borderId="81" xfId="0" applyFont="1" applyBorder="1" applyAlignment="1">
      <alignment vertical="center"/>
    </xf>
    <xf numFmtId="0" fontId="13" fillId="0" borderId="79" xfId="0" applyFont="1" applyBorder="1" applyAlignment="1">
      <alignment vertical="center"/>
    </xf>
    <xf numFmtId="0" fontId="13" fillId="0" borderId="80" xfId="0" applyFont="1" applyBorder="1" applyAlignment="1">
      <alignment vertical="center"/>
    </xf>
    <xf numFmtId="3" fontId="13" fillId="0" borderId="80" xfId="0" applyNumberFormat="1" applyFont="1" applyBorder="1" applyAlignment="1">
      <alignment vertical="center"/>
    </xf>
    <xf numFmtId="0" fontId="13" fillId="7" borderId="80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horizontal="center"/>
    </xf>
    <xf numFmtId="3" fontId="13" fillId="0" borderId="81" xfId="0" applyNumberFormat="1" applyFont="1" applyBorder="1" applyAlignment="1">
      <alignment vertical="center"/>
    </xf>
    <xf numFmtId="0" fontId="13" fillId="7" borderId="81" xfId="0" applyFont="1" applyFill="1" applyBorder="1" applyAlignment="1">
      <alignment vertical="center"/>
    </xf>
    <xf numFmtId="3" fontId="13" fillId="0" borderId="79" xfId="0" applyNumberFormat="1" applyFont="1" applyBorder="1" applyAlignment="1">
      <alignment vertical="center"/>
    </xf>
    <xf numFmtId="0" fontId="13" fillId="7" borderId="79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81" xfId="0" applyNumberFormat="1" applyBorder="1" applyAlignment="1">
      <alignment horizontal="centerContinuous"/>
    </xf>
    <xf numFmtId="0" fontId="0" fillId="0" borderId="79" xfId="0" applyNumberFormat="1" applyBorder="1" applyAlignment="1">
      <alignment horizontal="centerContinuous"/>
    </xf>
    <xf numFmtId="0" fontId="12" fillId="0" borderId="32" xfId="0" applyNumberFormat="1" applyFont="1" applyBorder="1" applyAlignment="1">
      <alignment horizontal="centerContinuous" vertical="center" wrapText="1"/>
    </xf>
    <xf numFmtId="0" fontId="0" fillId="0" borderId="79" xfId="0" applyNumberFormat="1" applyBorder="1" applyAlignment="1">
      <alignment horizontal="right"/>
    </xf>
    <xf numFmtId="0" fontId="0" fillId="0" borderId="81" xfId="0" applyNumberFormat="1" applyBorder="1" applyAlignment="1">
      <alignment horizontal="right"/>
    </xf>
    <xf numFmtId="0" fontId="18" fillId="0" borderId="0" xfId="2" applyNumberFormat="1" applyFont="1" applyAlignment="1">
      <alignment horizontal="center"/>
    </xf>
    <xf numFmtId="0" fontId="18" fillId="0" borderId="0" xfId="2" applyFont="1" applyAlignment="1">
      <alignment horizontal="right"/>
    </xf>
    <xf numFmtId="0" fontId="9" fillId="0" borderId="0" xfId="0" applyFont="1" applyAlignment="1">
      <alignment horizontal="left" wrapText="1"/>
    </xf>
    <xf numFmtId="0" fontId="0" fillId="7" borderId="79" xfId="0" applyFill="1" applyBorder="1"/>
    <xf numFmtId="0" fontId="0" fillId="7" borderId="81" xfId="0" applyFill="1" applyBorder="1"/>
    <xf numFmtId="3" fontId="0" fillId="0" borderId="79" xfId="0" applyNumberFormat="1" applyFill="1" applyBorder="1"/>
    <xf numFmtId="3" fontId="0" fillId="0" borderId="81" xfId="0" applyNumberFormat="1" applyFill="1" applyBorder="1"/>
    <xf numFmtId="0" fontId="0" fillId="0" borderId="79" xfId="0" applyFill="1" applyBorder="1"/>
    <xf numFmtId="0" fontId="0" fillId="0" borderId="81" xfId="0" applyFill="1" applyBorder="1"/>
    <xf numFmtId="0" fontId="0" fillId="0" borderId="79" xfId="0" applyBorder="1" applyAlignment="1">
      <alignment horizontal="center"/>
    </xf>
    <xf numFmtId="0" fontId="0" fillId="0" borderId="90" xfId="0" applyBorder="1"/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3" fontId="0" fillId="7" borderId="80" xfId="0" applyNumberFormat="1" applyFill="1" applyBorder="1"/>
    <xf numFmtId="0" fontId="12" fillId="0" borderId="7" xfId="0" applyFont="1" applyBorder="1" applyAlignment="1">
      <alignment horizontal="center" vertical="center" wrapText="1"/>
    </xf>
    <xf numFmtId="0" fontId="20" fillId="0" borderId="0" xfId="8" applyFill="1" applyAlignment="1">
      <alignment vertical="center"/>
    </xf>
    <xf numFmtId="0" fontId="55" fillId="0" borderId="0" xfId="8" applyFont="1" applyFill="1" applyAlignment="1">
      <alignment horizontal="left" vertical="center"/>
    </xf>
    <xf numFmtId="0" fontId="59" fillId="0" borderId="0" xfId="8" applyFont="1" applyFill="1" applyAlignment="1">
      <alignment horizontal="left" vertical="center"/>
    </xf>
    <xf numFmtId="0" fontId="59" fillId="0" borderId="13" xfId="8" applyFont="1" applyFill="1" applyBorder="1" applyAlignment="1">
      <alignment horizontal="left" vertical="center"/>
    </xf>
    <xf numFmtId="0" fontId="59" fillId="0" borderId="101" xfId="8" applyFont="1" applyFill="1" applyBorder="1" applyAlignment="1">
      <alignment horizontal="left" vertical="center"/>
    </xf>
    <xf numFmtId="0" fontId="55" fillId="0" borderId="101" xfId="8" applyFont="1" applyFill="1" applyBorder="1" applyAlignment="1">
      <alignment horizontal="left" vertical="center"/>
    </xf>
    <xf numFmtId="0" fontId="55" fillId="0" borderId="100" xfId="8" applyFont="1" applyFill="1" applyBorder="1" applyAlignment="1">
      <alignment horizontal="left" vertical="center"/>
    </xf>
    <xf numFmtId="0" fontId="52" fillId="0" borderId="0" xfId="8" applyFont="1" applyFill="1" applyAlignment="1">
      <alignment horizontal="left" vertical="center"/>
    </xf>
    <xf numFmtId="0" fontId="59" fillId="0" borderId="29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 vertical="center"/>
    </xf>
    <xf numFmtId="0" fontId="52" fillId="0" borderId="0" xfId="8" applyFont="1" applyFill="1" applyBorder="1" applyAlignment="1">
      <alignment horizontal="left" vertical="center"/>
    </xf>
    <xf numFmtId="0" fontId="52" fillId="0" borderId="99" xfId="8" applyFont="1" applyFill="1" applyBorder="1" applyAlignment="1">
      <alignment horizontal="left" vertical="center"/>
    </xf>
    <xf numFmtId="0" fontId="55" fillId="0" borderId="0" xfId="8" applyFont="1" applyFill="1" applyBorder="1" applyAlignment="1">
      <alignment horizontal="left" vertical="center"/>
    </xf>
    <xf numFmtId="0" fontId="55" fillId="0" borderId="99" xfId="8" applyFont="1" applyFill="1" applyBorder="1" applyAlignment="1">
      <alignment horizontal="left" vertical="center"/>
    </xf>
    <xf numFmtId="0" fontId="20" fillId="0" borderId="0" xfId="8" applyFill="1" applyBorder="1" applyAlignment="1">
      <alignment vertical="center"/>
    </xf>
    <xf numFmtId="0" fontId="20" fillId="0" borderId="99" xfId="8" applyFill="1" applyBorder="1" applyAlignment="1">
      <alignment vertical="center"/>
    </xf>
    <xf numFmtId="0" fontId="59" fillId="0" borderId="98" xfId="8" applyFont="1" applyFill="1" applyBorder="1" applyAlignment="1">
      <alignment horizontal="left" vertical="center"/>
    </xf>
    <xf numFmtId="0" fontId="59" fillId="0" borderId="97" xfId="8" applyFont="1" applyFill="1" applyBorder="1" applyAlignment="1">
      <alignment horizontal="left" vertical="center"/>
    </xf>
    <xf numFmtId="0" fontId="52" fillId="0" borderId="97" xfId="8" applyFont="1" applyFill="1" applyBorder="1" applyAlignment="1">
      <alignment horizontal="left" vertical="center"/>
    </xf>
    <xf numFmtId="0" fontId="65" fillId="0" borderId="96" xfId="8" applyFont="1" applyFill="1" applyBorder="1" applyAlignment="1">
      <alignment horizontal="left" vertical="center"/>
    </xf>
    <xf numFmtId="0" fontId="52" fillId="0" borderId="109" xfId="8" applyFont="1" applyFill="1" applyBorder="1" applyAlignment="1">
      <alignment horizontal="left" vertical="center"/>
    </xf>
    <xf numFmtId="0" fontId="52" fillId="0" borderId="101" xfId="8" applyFont="1" applyFill="1" applyBorder="1" applyAlignment="1">
      <alignment horizontal="left" vertical="center"/>
    </xf>
    <xf numFmtId="0" fontId="52" fillId="0" borderId="100" xfId="8" applyFont="1" applyFill="1" applyBorder="1" applyAlignment="1">
      <alignment horizontal="left" vertical="center"/>
    </xf>
    <xf numFmtId="0" fontId="20" fillId="0" borderId="81" xfId="8" applyBorder="1" applyAlignment="1">
      <alignment horizontal="center" vertical="center"/>
    </xf>
    <xf numFmtId="0" fontId="20" fillId="0" borderId="0" xfId="8" applyAlignment="1">
      <alignment horizontal="center" vertical="center"/>
    </xf>
    <xf numFmtId="0" fontId="55" fillId="0" borderId="79" xfId="8" applyFont="1" applyFill="1" applyBorder="1" applyAlignment="1">
      <alignment horizontal="center" vertical="center"/>
    </xf>
    <xf numFmtId="0" fontId="55" fillId="0" borderId="81" xfId="8" applyFont="1" applyFill="1" applyBorder="1" applyAlignment="1">
      <alignment horizontal="center" vertical="center"/>
    </xf>
    <xf numFmtId="1" fontId="59" fillId="0" borderId="0" xfId="8" applyNumberFormat="1" applyFont="1" applyFill="1" applyBorder="1" applyAlignment="1">
      <alignment horizontal="center" vertical="center"/>
    </xf>
    <xf numFmtId="169" fontId="59" fillId="0" borderId="0" xfId="8" applyNumberFormat="1" applyFont="1" applyFill="1" applyBorder="1" applyAlignment="1">
      <alignment horizontal="center" vertical="center"/>
    </xf>
    <xf numFmtId="170" fontId="59" fillId="0" borderId="0" xfId="8" applyNumberFormat="1" applyFont="1" applyFill="1" applyBorder="1" applyAlignment="1">
      <alignment horizontal="center" vertical="center"/>
    </xf>
    <xf numFmtId="170" fontId="59" fillId="0" borderId="99" xfId="8" applyNumberFormat="1" applyFont="1" applyFill="1" applyBorder="1" applyAlignment="1">
      <alignment horizontal="center" vertical="center"/>
    </xf>
    <xf numFmtId="0" fontId="20" fillId="0" borderId="29" xfId="8" applyFill="1" applyBorder="1" applyAlignment="1"/>
    <xf numFmtId="0" fontId="20" fillId="0" borderId="0" xfId="8" applyFill="1" applyBorder="1" applyAlignment="1"/>
    <xf numFmtId="0" fontId="55" fillId="0" borderId="79" xfId="8" applyFont="1" applyFill="1" applyBorder="1" applyAlignment="1">
      <alignment vertical="top" wrapText="1"/>
    </xf>
    <xf numFmtId="0" fontId="55" fillId="0" borderId="81" xfId="8" applyFont="1" applyFill="1" applyBorder="1" applyAlignment="1">
      <alignment vertical="top" wrapText="1"/>
    </xf>
    <xf numFmtId="0" fontId="55" fillId="0" borderId="0" xfId="8" applyFont="1" applyFill="1" applyBorder="1" applyAlignment="1">
      <alignment vertical="top" wrapText="1"/>
    </xf>
    <xf numFmtId="0" fontId="55" fillId="0" borderId="0" xfId="8" applyFont="1" applyFill="1" applyBorder="1" applyAlignment="1">
      <alignment vertical="center" wrapText="1"/>
    </xf>
    <xf numFmtId="0" fontId="55" fillId="0" borderId="81" xfId="8" applyFont="1" applyFill="1" applyBorder="1" applyAlignment="1">
      <alignment vertical="center" wrapText="1"/>
    </xf>
    <xf numFmtId="1" fontId="55" fillId="0" borderId="0" xfId="8" applyNumberFormat="1" applyFont="1" applyFill="1" applyBorder="1" applyAlignment="1">
      <alignment horizontal="left" vertical="center"/>
    </xf>
    <xf numFmtId="0" fontId="55" fillId="0" borderId="89" xfId="8" applyFont="1" applyFill="1" applyBorder="1" applyAlignment="1">
      <alignment vertical="center" wrapText="1"/>
    </xf>
    <xf numFmtId="1" fontId="55" fillId="0" borderId="103" xfId="8" applyNumberFormat="1" applyFont="1" applyFill="1" applyBorder="1" applyAlignment="1">
      <alignment horizontal="left" vertical="center"/>
    </xf>
    <xf numFmtId="0" fontId="55" fillId="0" borderId="103" xfId="8" applyFont="1" applyFill="1" applyBorder="1" applyAlignment="1">
      <alignment horizontal="left" vertical="center"/>
    </xf>
    <xf numFmtId="0" fontId="55" fillId="0" borderId="102" xfId="8" applyFont="1" applyFill="1" applyBorder="1" applyAlignment="1">
      <alignment horizontal="left" vertical="center"/>
    </xf>
    <xf numFmtId="0" fontId="54" fillId="0" borderId="81" xfId="8" applyFont="1" applyFill="1" applyBorder="1" applyAlignment="1">
      <alignment horizontal="center" vertical="center" wrapText="1"/>
    </xf>
    <xf numFmtId="0" fontId="64" fillId="0" borderId="0" xfId="8" applyFont="1" applyFill="1" applyAlignment="1">
      <alignment horizontal="left" vertical="center"/>
    </xf>
    <xf numFmtId="0" fontId="64" fillId="0" borderId="107" xfId="8" applyFont="1" applyFill="1" applyBorder="1" applyAlignment="1">
      <alignment horizontal="left" vertical="center"/>
    </xf>
    <xf numFmtId="0" fontId="20" fillId="0" borderId="97" xfId="8" applyFill="1" applyBorder="1" applyAlignment="1">
      <alignment vertical="center"/>
    </xf>
    <xf numFmtId="0" fontId="55" fillId="0" borderId="96" xfId="8" applyFont="1" applyFill="1" applyBorder="1" applyAlignment="1">
      <alignment vertical="center"/>
    </xf>
    <xf numFmtId="0" fontId="59" fillId="0" borderId="13" xfId="8" applyFont="1" applyFill="1" applyBorder="1" applyAlignment="1">
      <alignment horizontal="center" vertical="center"/>
    </xf>
    <xf numFmtId="0" fontId="59" fillId="0" borderId="101" xfId="8" applyFont="1" applyFill="1" applyBorder="1" applyAlignment="1">
      <alignment horizontal="center" vertical="center"/>
    </xf>
    <xf numFmtId="0" fontId="59" fillId="0" borderId="100" xfId="8" applyFont="1" applyFill="1" applyBorder="1" applyAlignment="1">
      <alignment horizontal="center" vertical="center"/>
    </xf>
    <xf numFmtId="0" fontId="59" fillId="0" borderId="0" xfId="8" applyFont="1" applyFill="1" applyBorder="1" applyAlignment="1">
      <alignment horizontal="center" vertical="center"/>
    </xf>
    <xf numFmtId="0" fontId="59" fillId="0" borderId="0" xfId="8" applyFont="1" applyFill="1" applyBorder="1" applyAlignment="1">
      <alignment vertical="center"/>
    </xf>
    <xf numFmtId="0" fontId="62" fillId="0" borderId="0" xfId="8" applyFont="1" applyFill="1" applyBorder="1" applyAlignment="1">
      <alignment vertical="center"/>
    </xf>
    <xf numFmtId="0" fontId="59" fillId="0" borderId="99" xfId="8" applyFont="1" applyFill="1" applyBorder="1" applyAlignment="1">
      <alignment vertical="center"/>
    </xf>
    <xf numFmtId="0" fontId="55" fillId="0" borderId="0" xfId="8" applyFont="1" applyFill="1" applyBorder="1" applyAlignment="1">
      <alignment vertical="center"/>
    </xf>
    <xf numFmtId="0" fontId="55" fillId="0" borderId="99" xfId="8" applyFont="1" applyFill="1" applyBorder="1" applyAlignment="1">
      <alignment vertical="center"/>
    </xf>
    <xf numFmtId="0" fontId="63" fillId="0" borderId="0" xfId="8" applyFont="1" applyFill="1" applyAlignment="1">
      <alignment vertical="center"/>
    </xf>
    <xf numFmtId="0" fontId="59" fillId="0" borderId="29" xfId="8" applyFont="1" applyFill="1" applyBorder="1" applyAlignment="1">
      <alignment horizontal="center" vertical="center"/>
    </xf>
    <xf numFmtId="0" fontId="59" fillId="0" borderId="99" xfId="8" applyFont="1" applyFill="1" applyBorder="1" applyAlignment="1">
      <alignment horizontal="center" vertical="center"/>
    </xf>
    <xf numFmtId="0" fontId="56" fillId="0" borderId="0" xfId="8" applyFont="1" applyFill="1" applyAlignment="1">
      <alignment vertical="center"/>
    </xf>
    <xf numFmtId="0" fontId="60" fillId="0" borderId="106" xfId="8" applyFont="1" applyFill="1" applyBorder="1" applyAlignment="1">
      <alignment horizontal="left" vertical="center"/>
    </xf>
    <xf numFmtId="0" fontId="60" fillId="0" borderId="92" xfId="8" applyFont="1" applyFill="1" applyBorder="1" applyAlignment="1">
      <alignment horizontal="left" vertical="center"/>
    </xf>
    <xf numFmtId="0" fontId="56" fillId="0" borderId="92" xfId="8" applyFont="1" applyFill="1" applyBorder="1" applyAlignment="1">
      <alignment vertical="center"/>
    </xf>
    <xf numFmtId="0" fontId="56" fillId="0" borderId="105" xfId="8" applyFont="1" applyFill="1" applyBorder="1" applyAlignment="1">
      <alignment vertical="center"/>
    </xf>
    <xf numFmtId="0" fontId="54" fillId="0" borderId="104" xfId="8" applyFont="1" applyFill="1" applyBorder="1" applyAlignment="1">
      <alignment horizontal="center" vertical="center"/>
    </xf>
    <xf numFmtId="0" fontId="54" fillId="0" borderId="103" xfId="8" applyFont="1" applyFill="1" applyBorder="1" applyAlignment="1">
      <alignment horizontal="center" vertical="center"/>
    </xf>
    <xf numFmtId="0" fontId="54" fillId="0" borderId="102" xfId="8" applyFont="1" applyFill="1" applyBorder="1" applyAlignment="1">
      <alignment horizontal="center" vertical="center"/>
    </xf>
    <xf numFmtId="0" fontId="60" fillId="0" borderId="104" xfId="8" applyFont="1" applyFill="1" applyBorder="1" applyAlignment="1">
      <alignment horizontal="left" vertical="center"/>
    </xf>
    <xf numFmtId="0" fontId="60" fillId="0" borderId="103" xfId="8" applyFont="1" applyFill="1" applyBorder="1" applyAlignment="1">
      <alignment horizontal="left" vertical="center"/>
    </xf>
    <xf numFmtId="0" fontId="60" fillId="0" borderId="103" xfId="8" applyFont="1" applyFill="1" applyBorder="1" applyAlignment="1">
      <alignment vertical="center"/>
    </xf>
    <xf numFmtId="0" fontId="60" fillId="0" borderId="102" xfId="8" applyFont="1" applyFill="1" applyBorder="1" applyAlignment="1">
      <alignment vertical="center"/>
    </xf>
    <xf numFmtId="0" fontId="58" fillId="0" borderId="0" xfId="8" applyFont="1" applyFill="1" applyAlignment="1">
      <alignment horizontal="left" vertical="center"/>
    </xf>
    <xf numFmtId="0" fontId="58" fillId="0" borderId="97" xfId="8" applyFont="1" applyFill="1" applyBorder="1" applyAlignment="1">
      <alignment horizontal="left" vertical="center"/>
    </xf>
    <xf numFmtId="0" fontId="55" fillId="0" borderId="96" xfId="8" applyFont="1" applyFill="1" applyBorder="1" applyAlignment="1">
      <alignment horizontal="left" vertical="center"/>
    </xf>
    <xf numFmtId="0" fontId="58" fillId="0" borderId="0" xfId="8" applyFont="1" applyFill="1" applyBorder="1" applyAlignment="1">
      <alignment horizontal="left" vertical="center"/>
    </xf>
    <xf numFmtId="0" fontId="55" fillId="0" borderId="101" xfId="8" applyFont="1" applyFill="1" applyBorder="1" applyAlignment="1">
      <alignment horizontal="left"/>
    </xf>
    <xf numFmtId="0" fontId="58" fillId="0" borderId="101" xfId="8" applyFont="1" applyFill="1" applyBorder="1" applyAlignment="1">
      <alignment horizontal="left" vertical="center"/>
    </xf>
    <xf numFmtId="0" fontId="58" fillId="0" borderId="13" xfId="8" applyFont="1" applyFill="1" applyBorder="1" applyAlignment="1">
      <alignment horizontal="left" vertical="center"/>
    </xf>
    <xf numFmtId="0" fontId="59" fillId="0" borderId="100" xfId="8" applyFont="1" applyFill="1" applyBorder="1" applyAlignment="1">
      <alignment horizontal="left" vertical="center"/>
    </xf>
    <xf numFmtId="0" fontId="55" fillId="0" borderId="0" xfId="8" applyFont="1" applyFill="1" applyBorder="1" applyAlignment="1">
      <alignment horizontal="left"/>
    </xf>
    <xf numFmtId="0" fontId="58" fillId="0" borderId="29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/>
    </xf>
    <xf numFmtId="0" fontId="19" fillId="0" borderId="0" xfId="8" applyFont="1" applyFill="1" applyBorder="1" applyAlignment="1">
      <alignment horizontal="left"/>
    </xf>
    <xf numFmtId="0" fontId="54" fillId="0" borderId="0" xfId="8" applyFont="1" applyFill="1" applyBorder="1" applyAlignment="1">
      <alignment horizontal="center" vertical="center"/>
    </xf>
    <xf numFmtId="0" fontId="59" fillId="0" borderId="0" xfId="8" applyFont="1" applyFill="1" applyBorder="1" applyAlignment="1">
      <alignment horizontal="center"/>
    </xf>
    <xf numFmtId="0" fontId="59" fillId="0" borderId="99" xfId="8" applyFont="1" applyFill="1" applyBorder="1" applyAlignment="1" applyProtection="1">
      <alignment horizontal="center" vertical="center"/>
      <protection locked="0"/>
    </xf>
    <xf numFmtId="0" fontId="58" fillId="0" borderId="100" xfId="8" applyFont="1" applyFill="1" applyBorder="1" applyAlignment="1">
      <alignment horizontal="left"/>
    </xf>
    <xf numFmtId="0" fontId="61" fillId="0" borderId="0" xfId="8" applyFont="1" applyFill="1" applyBorder="1" applyAlignment="1">
      <alignment horizontal="center" vertical="center"/>
    </xf>
    <xf numFmtId="0" fontId="58" fillId="0" borderId="98" xfId="8" applyFont="1" applyFill="1" applyBorder="1" applyAlignment="1">
      <alignment horizontal="left" vertical="center"/>
    </xf>
    <xf numFmtId="0" fontId="55" fillId="0" borderId="97" xfId="8" applyFont="1" applyFill="1" applyBorder="1" applyAlignment="1">
      <alignment horizontal="left" vertical="center"/>
    </xf>
    <xf numFmtId="0" fontId="60" fillId="0" borderId="97" xfId="8" applyFont="1" applyFill="1" applyBorder="1" applyAlignment="1">
      <alignment horizontal="left" vertical="center"/>
    </xf>
    <xf numFmtId="0" fontId="57" fillId="0" borderId="0" xfId="8" applyFont="1" applyFill="1" applyAlignment="1">
      <alignment horizontal="left" vertical="center"/>
    </xf>
    <xf numFmtId="0" fontId="57" fillId="0" borderId="13" xfId="8" applyFont="1" applyFill="1" applyBorder="1" applyAlignment="1">
      <alignment horizontal="left" vertical="center"/>
    </xf>
    <xf numFmtId="0" fontId="57" fillId="0" borderId="101" xfId="8" applyFont="1" applyFill="1" applyBorder="1" applyAlignment="1">
      <alignment horizontal="left" vertical="center"/>
    </xf>
    <xf numFmtId="0" fontId="57" fillId="0" borderId="100" xfId="8" applyFont="1" applyFill="1" applyBorder="1" applyAlignment="1">
      <alignment horizontal="left" vertical="center"/>
    </xf>
    <xf numFmtId="0" fontId="55" fillId="0" borderId="29" xfId="8" applyFont="1" applyFill="1" applyBorder="1" applyAlignment="1">
      <alignment horizontal="left" vertical="center"/>
    </xf>
    <xf numFmtId="0" fontId="56" fillId="0" borderId="0" xfId="8" applyFont="1" applyFill="1" applyAlignment="1">
      <alignment horizontal="left" vertical="center"/>
    </xf>
    <xf numFmtId="0" fontId="56" fillId="0" borderId="98" xfId="8" applyFont="1" applyFill="1" applyBorder="1" applyAlignment="1">
      <alignment horizontal="left" vertical="center"/>
    </xf>
    <xf numFmtId="0" fontId="56" fillId="0" borderId="97" xfId="8" applyFont="1" applyFill="1" applyBorder="1" applyAlignment="1">
      <alignment horizontal="left" vertical="center"/>
    </xf>
    <xf numFmtId="0" fontId="56" fillId="0" borderId="96" xfId="8" applyFont="1" applyFill="1" applyBorder="1" applyAlignment="1">
      <alignment horizontal="left" vertical="center"/>
    </xf>
    <xf numFmtId="0" fontId="20" fillId="0" borderId="17" xfId="8" applyFill="1" applyBorder="1" applyAlignment="1">
      <alignment vertical="center"/>
    </xf>
    <xf numFmtId="0" fontId="20" fillId="0" borderId="95" xfId="8" applyFill="1" applyBorder="1" applyAlignment="1">
      <alignment vertical="center"/>
    </xf>
    <xf numFmtId="0" fontId="55" fillId="0" borderId="95" xfId="8" quotePrefix="1" applyFont="1" applyFill="1" applyBorder="1" applyAlignment="1">
      <alignment horizontal="left" vertical="center"/>
    </xf>
    <xf numFmtId="0" fontId="54" fillId="0" borderId="95" xfId="8" applyFont="1" applyFill="1" applyBorder="1" applyAlignment="1">
      <alignment horizontal="center" vertical="center"/>
    </xf>
    <xf numFmtId="0" fontId="52" fillId="0" borderId="94" xfId="8" applyFont="1" applyFill="1" applyBorder="1" applyAlignment="1">
      <alignment vertical="center"/>
    </xf>
    <xf numFmtId="0" fontId="53" fillId="0" borderId="0" xfId="8" applyFont="1" applyFill="1" applyAlignment="1">
      <alignment horizontal="left" vertical="center"/>
    </xf>
    <xf numFmtId="0" fontId="20" fillId="0" borderId="93" xfId="8" applyFont="1" applyFill="1" applyBorder="1" applyAlignment="1">
      <alignment horizontal="left" vertical="center"/>
    </xf>
    <xf numFmtId="0" fontId="52" fillId="0" borderId="92" xfId="8" applyFont="1" applyFill="1" applyBorder="1" applyAlignment="1">
      <alignment horizontal="left" vertical="center"/>
    </xf>
    <xf numFmtId="0" fontId="20" fillId="0" borderId="91" xfId="8" applyFont="1" applyFill="1" applyBorder="1" applyAlignment="1">
      <alignment horizontal="left" vertical="center"/>
    </xf>
    <xf numFmtId="0" fontId="50" fillId="0" borderId="0" xfId="8" applyFont="1" applyFill="1" applyAlignment="1">
      <alignment horizontal="left" vertical="center"/>
    </xf>
    <xf numFmtId="0" fontId="51" fillId="0" borderId="0" xfId="8" quotePrefix="1" applyFont="1" applyFill="1" applyAlignment="1">
      <alignment horizontal="left" vertical="center"/>
    </xf>
    <xf numFmtId="0" fontId="55" fillId="0" borderId="0" xfId="8" applyFont="1" applyFill="1" applyAlignment="1">
      <alignment vertical="center"/>
    </xf>
    <xf numFmtId="49" fontId="68" fillId="0" borderId="43" xfId="8" applyNumberFormat="1" applyFont="1" applyFill="1" applyBorder="1" applyAlignment="1">
      <alignment horizontal="center" vertical="top"/>
    </xf>
    <xf numFmtId="0" fontId="68" fillId="0" borderId="76" xfId="8" applyFont="1" applyFill="1" applyBorder="1" applyAlignment="1">
      <alignment horizontal="right" vertical="top" wrapText="1"/>
    </xf>
    <xf numFmtId="0" fontId="68" fillId="0" borderId="67" xfId="8" applyFont="1" applyFill="1" applyBorder="1" applyAlignment="1">
      <alignment horizontal="right" vertical="top" wrapText="1"/>
    </xf>
    <xf numFmtId="0" fontId="68" fillId="0" borderId="67" xfId="8" applyFont="1" applyFill="1" applyBorder="1" applyAlignment="1">
      <alignment horizontal="left" vertical="top" wrapText="1"/>
    </xf>
    <xf numFmtId="0" fontId="69" fillId="0" borderId="67" xfId="8" applyFont="1" applyFill="1" applyBorder="1" applyAlignment="1">
      <alignment horizontal="lef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0" fontId="70" fillId="0" borderId="64" xfId="8" applyFont="1" applyFill="1" applyBorder="1" applyAlignment="1">
      <alignment horizontal="center" wrapText="1"/>
    </xf>
    <xf numFmtId="0" fontId="70" fillId="0" borderId="63" xfId="8" applyFont="1" applyFill="1" applyBorder="1" applyAlignment="1">
      <alignment horizontal="center" wrapText="1"/>
    </xf>
    <xf numFmtId="49" fontId="69" fillId="0" borderId="77" xfId="8" applyNumberFormat="1" applyFont="1" applyFill="1" applyBorder="1" applyAlignment="1">
      <alignment horizontal="center" vertical="top"/>
    </xf>
    <xf numFmtId="0" fontId="69" fillId="0" borderId="76" xfId="8" applyFont="1" applyFill="1" applyBorder="1" applyAlignment="1">
      <alignment horizontal="left" vertical="top" wrapText="1"/>
    </xf>
    <xf numFmtId="49" fontId="69" fillId="0" borderId="43" xfId="8" applyNumberFormat="1" applyFont="1" applyFill="1" applyBorder="1" applyAlignment="1">
      <alignment horizontal="center" vertical="top"/>
    </xf>
    <xf numFmtId="0" fontId="71" fillId="0" borderId="67" xfId="8" applyFont="1" applyFill="1" applyBorder="1" applyAlignment="1">
      <alignment horizontal="right" vertical="top" wrapText="1"/>
    </xf>
    <xf numFmtId="0" fontId="55" fillId="0" borderId="0" xfId="8" applyFont="1" applyFill="1"/>
    <xf numFmtId="0" fontId="69" fillId="0" borderId="67" xfId="8" applyFont="1" applyFill="1" applyBorder="1" applyAlignment="1">
      <alignment horizontal="left" vertical="top"/>
    </xf>
    <xf numFmtId="0" fontId="70" fillId="0" borderId="73" xfId="8" applyFont="1" applyFill="1" applyBorder="1" applyAlignment="1">
      <alignment horizontal="center" wrapText="1"/>
    </xf>
    <xf numFmtId="0" fontId="70" fillId="0" borderId="72" xfId="8" applyFont="1" applyFill="1" applyBorder="1" applyAlignment="1">
      <alignment horizontal="center" wrapText="1"/>
    </xf>
    <xf numFmtId="171" fontId="67" fillId="0" borderId="43" xfId="8" applyNumberFormat="1" applyFont="1" applyFill="1" applyBorder="1" applyAlignment="1">
      <alignment horizontal="right" vertical="center"/>
    </xf>
    <xf numFmtId="0" fontId="55" fillId="0" borderId="0" xfId="8" applyFont="1" applyFill="1" applyAlignment="1">
      <alignment vertical="center" wrapText="1"/>
    </xf>
    <xf numFmtId="0" fontId="67" fillId="0" borderId="118" xfId="8" applyFont="1" applyFill="1" applyBorder="1" applyAlignment="1">
      <alignment horizontal="right" vertical="center" wrapText="1"/>
    </xf>
    <xf numFmtId="0" fontId="56" fillId="0" borderId="0" xfId="8" applyFont="1" applyFill="1" applyAlignment="1">
      <alignment vertical="center" wrapText="1"/>
    </xf>
    <xf numFmtId="0" fontId="54" fillId="0" borderId="93" xfId="8" applyFont="1" applyFill="1" applyBorder="1" applyAlignment="1">
      <alignment horizontal="left" vertical="center"/>
    </xf>
    <xf numFmtId="0" fontId="54" fillId="0" borderId="92" xfId="8" applyFont="1" applyFill="1" applyBorder="1" applyAlignment="1">
      <alignment horizontal="left" vertical="center"/>
    </xf>
    <xf numFmtId="0" fontId="67" fillId="0" borderId="91" xfId="8" applyFont="1" applyFill="1" applyBorder="1" applyAlignment="1">
      <alignment horizontal="left" vertical="center"/>
    </xf>
    <xf numFmtId="0" fontId="54" fillId="0" borderId="43" xfId="8" applyFont="1" applyFill="1" applyBorder="1" applyAlignment="1">
      <alignment horizontal="center" vertical="center"/>
    </xf>
    <xf numFmtId="0" fontId="55" fillId="0" borderId="43" xfId="8" applyFont="1" applyFill="1" applyBorder="1" applyAlignment="1">
      <alignment horizontal="center" vertical="center"/>
    </xf>
    <xf numFmtId="0" fontId="59" fillId="0" borderId="81" xfId="8" applyFont="1" applyFill="1" applyBorder="1" applyAlignment="1">
      <alignment horizontal="left" vertical="center"/>
    </xf>
    <xf numFmtId="0" fontId="55" fillId="0" borderId="81" xfId="8" applyFont="1" applyFill="1" applyBorder="1" applyAlignment="1">
      <alignment horizontal="left" vertical="center"/>
    </xf>
    <xf numFmtId="172" fontId="55" fillId="0" borderId="0" xfId="8" applyNumberFormat="1" applyFont="1" applyFill="1" applyAlignment="1">
      <alignment horizontal="left" vertical="center"/>
    </xf>
    <xf numFmtId="0" fontId="62" fillId="0" borderId="0" xfId="8" applyFont="1" applyFill="1" applyAlignment="1">
      <alignment vertical="center"/>
    </xf>
    <xf numFmtId="0" fontId="20" fillId="0" borderId="0" xfId="8" applyFont="1" applyFill="1" applyAlignment="1">
      <alignment vertical="center"/>
    </xf>
    <xf numFmtId="0" fontId="20" fillId="0" borderId="0" xfId="8" applyFont="1" applyFill="1" applyBorder="1" applyAlignment="1">
      <alignment horizontal="left" vertical="center"/>
    </xf>
    <xf numFmtId="0" fontId="52" fillId="0" borderId="93" xfId="8" applyFont="1" applyFill="1" applyBorder="1" applyAlignment="1">
      <alignment horizontal="left" vertical="center"/>
    </xf>
    <xf numFmtId="0" fontId="20" fillId="0" borderId="106" xfId="8" applyFont="1" applyFill="1" applyBorder="1" applyAlignment="1">
      <alignment horizontal="left" vertical="center"/>
    </xf>
    <xf numFmtId="0" fontId="68" fillId="0" borderId="0" xfId="8" applyFont="1" applyFill="1" applyAlignment="1">
      <alignment vertical="center"/>
    </xf>
    <xf numFmtId="0" fontId="69" fillId="0" borderId="0" xfId="8" applyFont="1" applyFill="1" applyAlignment="1">
      <alignment vertical="center"/>
    </xf>
    <xf numFmtId="0" fontId="69" fillId="0" borderId="113" xfId="8" applyFont="1" applyFill="1" applyBorder="1" applyAlignment="1">
      <alignment horizontal="left" vertical="top" wrapText="1"/>
    </xf>
    <xf numFmtId="0" fontId="69" fillId="0" borderId="112" xfId="8" applyFont="1" applyFill="1" applyBorder="1" applyAlignment="1">
      <alignment horizontal="left" vertical="top" wrapText="1"/>
    </xf>
    <xf numFmtId="171" fontId="67" fillId="0" borderId="68" xfId="8" applyNumberFormat="1" applyFont="1" applyFill="1" applyBorder="1" applyAlignment="1">
      <alignment horizontal="right" vertical="center"/>
    </xf>
    <xf numFmtId="0" fontId="68" fillId="0" borderId="93" xfId="8" applyFont="1" applyFill="1" applyBorder="1" applyAlignment="1">
      <alignment horizontal="left" vertical="top" wrapText="1"/>
    </xf>
    <xf numFmtId="0" fontId="68" fillId="0" borderId="91" xfId="8" applyFont="1" applyFill="1" applyBorder="1" applyAlignment="1">
      <alignment horizontal="left" vertical="top" wrapText="1"/>
    </xf>
    <xf numFmtId="0" fontId="69" fillId="0" borderId="93" xfId="8" applyFont="1" applyFill="1" applyBorder="1" applyAlignment="1">
      <alignment horizontal="left" vertical="top" wrapText="1"/>
    </xf>
    <xf numFmtId="0" fontId="69" fillId="0" borderId="91" xfId="8" applyFont="1" applyFill="1" applyBorder="1" applyAlignment="1">
      <alignment horizontal="left" vertical="top" wrapText="1"/>
    </xf>
    <xf numFmtId="49" fontId="69" fillId="0" borderId="73" xfId="8" applyNumberFormat="1" applyFont="1" applyFill="1" applyBorder="1" applyAlignment="1">
      <alignment horizontal="center" vertical="top"/>
    </xf>
    <xf numFmtId="0" fontId="69" fillId="0" borderId="89" xfId="8" applyFont="1" applyFill="1" applyBorder="1" applyAlignment="1">
      <alignment horizontal="left" vertical="top" wrapText="1"/>
    </xf>
    <xf numFmtId="0" fontId="69" fillId="0" borderId="88" xfId="8" applyFont="1" applyFill="1" applyBorder="1" applyAlignment="1">
      <alignment horizontal="left" vertical="top" wrapText="1"/>
    </xf>
    <xf numFmtId="0" fontId="69" fillId="0" borderId="72" xfId="8" applyFont="1" applyFill="1" applyBorder="1" applyAlignment="1">
      <alignment horizontal="left" vertical="top" wrapText="1"/>
    </xf>
    <xf numFmtId="0" fontId="68" fillId="0" borderId="67" xfId="8" quotePrefix="1" applyFont="1" applyFill="1" applyBorder="1" applyAlignment="1">
      <alignment horizontal="left" vertical="top" wrapText="1"/>
    </xf>
    <xf numFmtId="49" fontId="68" fillId="0" borderId="73" xfId="8" applyNumberFormat="1" applyFont="1" applyFill="1" applyBorder="1" applyAlignment="1">
      <alignment horizontal="center" vertical="top"/>
    </xf>
    <xf numFmtId="0" fontId="68" fillId="0" borderId="89" xfId="8" applyFont="1" applyFill="1" applyBorder="1" applyAlignment="1">
      <alignment horizontal="left" vertical="top" wrapText="1"/>
    </xf>
    <xf numFmtId="0" fontId="68" fillId="0" borderId="88" xfId="8" applyFont="1" applyFill="1" applyBorder="1" applyAlignment="1">
      <alignment horizontal="left" vertical="top" wrapText="1"/>
    </xf>
    <xf numFmtId="0" fontId="68" fillId="0" borderId="72" xfId="8" applyFont="1" applyFill="1" applyBorder="1" applyAlignment="1">
      <alignment horizontal="left" vertical="top" wrapText="1"/>
    </xf>
    <xf numFmtId="0" fontId="72" fillId="0" borderId="93" xfId="8" applyFont="1" applyFill="1" applyBorder="1" applyAlignment="1">
      <alignment horizontal="left" vertical="top" wrapText="1"/>
    </xf>
    <xf numFmtId="0" fontId="72" fillId="0" borderId="91" xfId="8" applyFont="1" applyFill="1" applyBorder="1" applyAlignment="1">
      <alignment horizontal="left" vertical="top" wrapText="1"/>
    </xf>
    <xf numFmtId="0" fontId="72" fillId="0" borderId="67" xfId="8" applyFont="1" applyFill="1" applyBorder="1" applyAlignment="1">
      <alignment horizontal="left" vertical="top" wrapText="1"/>
    </xf>
    <xf numFmtId="0" fontId="72" fillId="0" borderId="93" xfId="8" quotePrefix="1" applyFont="1" applyFill="1" applyBorder="1" applyAlignment="1">
      <alignment horizontal="left" vertical="top" wrapText="1"/>
    </xf>
    <xf numFmtId="0" fontId="72" fillId="0" borderId="91" xfId="8" quotePrefix="1" applyFont="1" applyFill="1" applyBorder="1" applyAlignment="1">
      <alignment horizontal="left" vertical="top" wrapText="1"/>
    </xf>
    <xf numFmtId="0" fontId="68" fillId="0" borderId="89" xfId="8" quotePrefix="1" applyFont="1" applyFill="1" applyBorder="1" applyAlignment="1">
      <alignment horizontal="left" vertical="top" wrapText="1"/>
    </xf>
    <xf numFmtId="0" fontId="68" fillId="0" borderId="88" xfId="8" quotePrefix="1" applyFont="1" applyFill="1" applyBorder="1" applyAlignment="1">
      <alignment horizontal="left" vertical="top" wrapText="1"/>
    </xf>
    <xf numFmtId="0" fontId="68" fillId="0" borderId="0" xfId="8" applyFont="1" applyFill="1" applyAlignment="1">
      <alignment vertical="center" wrapText="1"/>
    </xf>
    <xf numFmtId="49" fontId="68" fillId="0" borderId="77" xfId="8" applyNumberFormat="1" applyFont="1" applyFill="1" applyBorder="1" applyAlignment="1">
      <alignment horizontal="center" vertical="top"/>
    </xf>
    <xf numFmtId="0" fontId="68" fillId="0" borderId="113" xfId="8" applyFont="1" applyFill="1" applyBorder="1" applyAlignment="1">
      <alignment horizontal="left" vertical="top" wrapText="1"/>
    </xf>
    <xf numFmtId="0" fontId="68" fillId="0" borderId="112" xfId="8" applyFont="1" applyFill="1" applyBorder="1" applyAlignment="1">
      <alignment horizontal="left" vertical="top" wrapText="1"/>
    </xf>
    <xf numFmtId="0" fontId="68" fillId="0" borderId="76" xfId="8" applyFont="1" applyFill="1" applyBorder="1" applyAlignment="1">
      <alignment horizontal="left" vertical="top" wrapText="1"/>
    </xf>
    <xf numFmtId="0" fontId="69" fillId="0" borderId="0" xfId="8" applyFont="1" applyFill="1" applyAlignment="1">
      <alignment vertical="center" wrapText="1"/>
    </xf>
    <xf numFmtId="0" fontId="69" fillId="0" borderId="93" xfId="8" quotePrefix="1" applyFont="1" applyFill="1" applyBorder="1" applyAlignment="1">
      <alignment horizontal="left" vertical="top" wrapText="1"/>
    </xf>
    <xf numFmtId="0" fontId="69" fillId="0" borderId="91" xfId="8" quotePrefix="1" applyFont="1" applyFill="1" applyBorder="1" applyAlignment="1">
      <alignment horizontal="left" vertical="top" wrapText="1"/>
    </xf>
    <xf numFmtId="0" fontId="68" fillId="0" borderId="93" xfId="8" quotePrefix="1" applyFont="1" applyFill="1" applyBorder="1" applyAlignment="1">
      <alignment horizontal="left" vertical="top" wrapText="1"/>
    </xf>
    <xf numFmtId="0" fontId="68" fillId="0" borderId="91" xfId="8" quotePrefix="1" applyFont="1" applyFill="1" applyBorder="1" applyAlignment="1">
      <alignment horizontal="left" vertical="top" wrapText="1"/>
    </xf>
    <xf numFmtId="0" fontId="69" fillId="0" borderId="68" xfId="8" applyFont="1" applyFill="1" applyBorder="1" applyAlignment="1">
      <alignment horizontal="center" vertical="center" wrapText="1"/>
    </xf>
    <xf numFmtId="0" fontId="69" fillId="0" borderId="43" xfId="8" applyFont="1" applyFill="1" applyBorder="1" applyAlignment="1">
      <alignment horizontal="center" wrapText="1"/>
    </xf>
    <xf numFmtId="0" fontId="70" fillId="0" borderId="43" xfId="8" applyFont="1" applyFill="1" applyBorder="1" applyAlignment="1">
      <alignment horizontal="center" vertical="center" wrapText="1"/>
    </xf>
    <xf numFmtId="0" fontId="69" fillId="0" borderId="93" xfId="8" applyFont="1" applyFill="1" applyBorder="1" applyAlignment="1">
      <alignment horizontal="center" vertical="center" wrapText="1"/>
    </xf>
    <xf numFmtId="0" fontId="69" fillId="0" borderId="91" xfId="8" applyFont="1" applyFill="1" applyBorder="1" applyAlignment="1">
      <alignment horizontal="center" vertical="center" wrapText="1"/>
    </xf>
    <xf numFmtId="0" fontId="70" fillId="0" borderId="67" xfId="8" applyFont="1" applyFill="1" applyBorder="1" applyAlignment="1">
      <alignment horizontal="center" vertical="center" wrapText="1"/>
    </xf>
    <xf numFmtId="0" fontId="68" fillId="0" borderId="64" xfId="8" applyFont="1" applyFill="1" applyBorder="1" applyAlignment="1">
      <alignment horizontal="center" vertical="center"/>
    </xf>
    <xf numFmtId="0" fontId="68" fillId="0" borderId="116" xfId="8" applyFont="1" applyFill="1" applyBorder="1" applyAlignment="1">
      <alignment horizontal="center" vertical="center"/>
    </xf>
    <xf numFmtId="0" fontId="68" fillId="0" borderId="115" xfId="8" applyFont="1" applyFill="1" applyBorder="1" applyAlignment="1">
      <alignment horizontal="center" vertical="center"/>
    </xf>
    <xf numFmtId="0" fontId="68" fillId="0" borderId="63" xfId="8" applyFont="1" applyFill="1" applyBorder="1" applyAlignment="1">
      <alignment horizontal="center" vertical="center"/>
    </xf>
    <xf numFmtId="0" fontId="55" fillId="0" borderId="101" xfId="8" applyFont="1" applyFill="1" applyBorder="1" applyAlignment="1">
      <alignment vertical="center"/>
    </xf>
    <xf numFmtId="0" fontId="67" fillId="0" borderId="0" xfId="8" applyFont="1" applyFill="1" applyBorder="1" applyAlignment="1">
      <alignment horizontal="left" vertical="center"/>
    </xf>
    <xf numFmtId="0" fontId="49" fillId="8" borderId="0" xfId="0" applyFont="1" applyFill="1" applyAlignment="1"/>
    <xf numFmtId="0" fontId="75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5" fillId="0" borderId="0" xfId="0" applyFont="1" applyBorder="1"/>
    <xf numFmtId="0" fontId="75" fillId="0" borderId="101" xfId="0" applyFont="1" applyBorder="1"/>
    <xf numFmtId="171" fontId="67" fillId="0" borderId="43" xfId="8" applyNumberFormat="1" applyFont="1" applyFill="1" applyBorder="1" applyAlignment="1">
      <alignment horizontal="right" vertical="center"/>
    </xf>
    <xf numFmtId="0" fontId="75" fillId="0" borderId="0" xfId="0" applyFont="1" applyAlignment="1">
      <alignment vertical="center"/>
    </xf>
    <xf numFmtId="0" fontId="75" fillId="0" borderId="0" xfId="0" applyFont="1" applyAlignment="1">
      <alignment wrapText="1"/>
    </xf>
    <xf numFmtId="0" fontId="13" fillId="0" borderId="79" xfId="0" applyFont="1" applyBorder="1"/>
    <xf numFmtId="0" fontId="13" fillId="0" borderId="0" xfId="0" applyFont="1" applyBorder="1"/>
    <xf numFmtId="3" fontId="13" fillId="0" borderId="81" xfId="0" applyNumberFormat="1" applyFont="1" applyBorder="1"/>
    <xf numFmtId="0" fontId="13" fillId="0" borderId="81" xfId="0" applyFont="1" applyBorder="1"/>
    <xf numFmtId="3" fontId="13" fillId="0" borderId="79" xfId="0" applyNumberFormat="1" applyFont="1" applyBorder="1"/>
    <xf numFmtId="3" fontId="77" fillId="0" borderId="79" xfId="0" applyNumberFormat="1" applyFont="1" applyBorder="1"/>
    <xf numFmtId="3" fontId="77" fillId="0" borderId="81" xfId="0" applyNumberFormat="1" applyFont="1" applyBorder="1"/>
    <xf numFmtId="0" fontId="77" fillId="0" borderId="79" xfId="0" applyFont="1" applyBorder="1"/>
    <xf numFmtId="0" fontId="77" fillId="0" borderId="81" xfId="0" applyFont="1" applyBorder="1"/>
    <xf numFmtId="3" fontId="77" fillId="0" borderId="88" xfId="0" applyNumberFormat="1" applyFont="1" applyBorder="1"/>
    <xf numFmtId="3" fontId="77" fillId="0" borderId="89" xfId="0" applyNumberFormat="1" applyFont="1" applyBorder="1"/>
    <xf numFmtId="0" fontId="13" fillId="0" borderId="80" xfId="0" applyFont="1" applyBorder="1"/>
    <xf numFmtId="0" fontId="77" fillId="0" borderId="119" xfId="0" applyFont="1" applyBorder="1"/>
    <xf numFmtId="0" fontId="77" fillId="0" borderId="122" xfId="0" applyFont="1" applyBorder="1"/>
    <xf numFmtId="3" fontId="0" fillId="0" borderId="79" xfId="0" applyNumberFormat="1" applyBorder="1" applyAlignment="1">
      <alignment horizontal="right"/>
    </xf>
    <xf numFmtId="3" fontId="0" fillId="0" borderId="81" xfId="0" applyNumberFormat="1" applyBorder="1" applyAlignment="1">
      <alignment horizontal="right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3" fontId="13" fillId="0" borderId="0" xfId="0" applyNumberFormat="1" applyFont="1" applyBorder="1"/>
    <xf numFmtId="0" fontId="12" fillId="0" borderId="144" xfId="0" applyFont="1" applyBorder="1" applyAlignment="1">
      <alignment horizontal="center" vertical="center" wrapText="1"/>
    </xf>
    <xf numFmtId="0" fontId="12" fillId="0" borderId="14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3" fontId="13" fillId="0" borderId="0" xfId="0" applyNumberFormat="1" applyFont="1"/>
    <xf numFmtId="0" fontId="12" fillId="0" borderId="79" xfId="0" applyFont="1" applyBorder="1"/>
    <xf numFmtId="0" fontId="18" fillId="6" borderId="94" xfId="8" applyFont="1" applyFill="1" applyBorder="1"/>
    <xf numFmtId="0" fontId="18" fillId="6" borderId="95" xfId="8" applyFont="1" applyFill="1" applyBorder="1"/>
    <xf numFmtId="0" fontId="17" fillId="6" borderId="95" xfId="8" applyFont="1" applyFill="1" applyBorder="1"/>
    <xf numFmtId="0" fontId="17" fillId="6" borderId="17" xfId="8" applyFont="1" applyFill="1" applyBorder="1"/>
    <xf numFmtId="0" fontId="17" fillId="0" borderId="0" xfId="8" applyFont="1"/>
    <xf numFmtId="0" fontId="78" fillId="3" borderId="96" xfId="8" applyFont="1" applyFill="1" applyBorder="1"/>
    <xf numFmtId="0" fontId="17" fillId="3" borderId="97" xfId="8" applyFont="1" applyFill="1" applyBorder="1"/>
    <xf numFmtId="0" fontId="17" fillId="3" borderId="98" xfId="8" applyFont="1" applyFill="1" applyBorder="1"/>
    <xf numFmtId="0" fontId="17" fillId="0" borderId="0" xfId="8" applyFont="1" applyFill="1"/>
    <xf numFmtId="0" fontId="17" fillId="6" borderId="137" xfId="8" applyFont="1" applyFill="1" applyBorder="1"/>
    <xf numFmtId="0" fontId="21" fillId="0" borderId="136" xfId="8" applyFont="1" applyFill="1" applyBorder="1" applyAlignment="1" applyProtection="1">
      <alignment horizontal="left" vertical="top"/>
      <protection locked="0"/>
    </xf>
    <xf numFmtId="0" fontId="17" fillId="7" borderId="17" xfId="8" applyFont="1" applyFill="1" applyBorder="1"/>
    <xf numFmtId="0" fontId="17" fillId="0" borderId="29" xfId="8" applyFont="1" applyFill="1" applyBorder="1"/>
    <xf numFmtId="0" fontId="17" fillId="3" borderId="99" xfId="8" applyFont="1" applyFill="1" applyBorder="1"/>
    <xf numFmtId="0" fontId="17" fillId="3" borderId="0" xfId="8" applyFont="1" applyFill="1" applyBorder="1"/>
    <xf numFmtId="0" fontId="17" fillId="3" borderId="29" xfId="8" applyFont="1" applyFill="1" applyBorder="1"/>
    <xf numFmtId="0" fontId="18" fillId="6" borderId="135" xfId="8" applyFont="1" applyFill="1" applyBorder="1"/>
    <xf numFmtId="0" fontId="18" fillId="6" borderId="127" xfId="8" applyFont="1" applyFill="1" applyBorder="1" applyAlignment="1">
      <alignment horizontal="center"/>
    </xf>
    <xf numFmtId="0" fontId="18" fillId="6" borderId="132" xfId="10" applyFont="1" applyFill="1" applyBorder="1" applyAlignment="1">
      <alignment horizontal="left" vertical="top"/>
    </xf>
    <xf numFmtId="0" fontId="17" fillId="6" borderId="98" xfId="8" applyFont="1" applyFill="1" applyBorder="1"/>
    <xf numFmtId="0" fontId="18" fillId="3" borderId="63" xfId="8" applyFont="1" applyFill="1" applyBorder="1"/>
    <xf numFmtId="0" fontId="18" fillId="0" borderId="132" xfId="10" applyFont="1" applyFill="1" applyBorder="1" applyAlignment="1" applyProtection="1">
      <alignment horizontal="center" vertical="top"/>
      <protection locked="0"/>
    </xf>
    <xf numFmtId="0" fontId="17" fillId="0" borderId="98" xfId="10" applyFont="1" applyFill="1" applyBorder="1" applyAlignment="1">
      <alignment horizontal="left" vertical="center"/>
    </xf>
    <xf numFmtId="0" fontId="81" fillId="0" borderId="0" xfId="9" applyFont="1" applyFill="1" applyBorder="1" applyAlignment="1" applyProtection="1">
      <alignment vertical="center"/>
      <protection hidden="1"/>
    </xf>
    <xf numFmtId="0" fontId="17" fillId="0" borderId="0" xfId="8" applyFont="1" applyFill="1" applyBorder="1"/>
    <xf numFmtId="0" fontId="18" fillId="3" borderId="67" xfId="8" applyFont="1" applyFill="1" applyBorder="1"/>
    <xf numFmtId="173" fontId="17" fillId="3" borderId="68" xfId="8" quotePrefix="1" applyNumberFormat="1" applyFont="1" applyFill="1" applyBorder="1" applyAlignment="1">
      <alignment horizontal="center"/>
    </xf>
    <xf numFmtId="0" fontId="18" fillId="0" borderId="134" xfId="10" applyFont="1" applyFill="1" applyBorder="1" applyAlignment="1" applyProtection="1">
      <alignment horizontal="center" vertical="top"/>
      <protection locked="0"/>
    </xf>
    <xf numFmtId="0" fontId="17" fillId="0" borderId="106" xfId="10" applyFont="1" applyFill="1" applyBorder="1" applyAlignment="1">
      <alignment horizontal="left" vertical="center"/>
    </xf>
    <xf numFmtId="0" fontId="17" fillId="3" borderId="78" xfId="8" quotePrefix="1" applyFont="1" applyFill="1" applyBorder="1" applyAlignment="1">
      <alignment horizontal="center"/>
    </xf>
    <xf numFmtId="0" fontId="18" fillId="3" borderId="133" xfId="8" applyFont="1" applyFill="1" applyBorder="1" applyAlignment="1" applyProtection="1">
      <alignment horizontal="center" vertical="center"/>
      <protection locked="0"/>
    </xf>
    <xf numFmtId="0" fontId="17" fillId="0" borderId="13" xfId="10" applyFont="1" applyFill="1" applyBorder="1" applyAlignment="1">
      <alignment horizontal="left" vertical="center"/>
    </xf>
    <xf numFmtId="0" fontId="18" fillId="3" borderId="128" xfId="8" applyFont="1" applyFill="1" applyBorder="1"/>
    <xf numFmtId="0" fontId="17" fillId="3" borderId="0" xfId="8" applyFont="1" applyFill="1"/>
    <xf numFmtId="0" fontId="18" fillId="3" borderId="43" xfId="8" applyFont="1" applyFill="1" applyBorder="1"/>
    <xf numFmtId="0" fontId="17" fillId="3" borderId="54" xfId="8" applyNumberFormat="1" applyFont="1" applyFill="1" applyBorder="1" applyAlignment="1">
      <alignment horizontal="center"/>
    </xf>
    <xf numFmtId="0" fontId="18" fillId="0" borderId="0" xfId="10" applyFont="1" applyFill="1" applyBorder="1" applyAlignment="1">
      <alignment horizontal="left" vertical="top"/>
    </xf>
    <xf numFmtId="0" fontId="21" fillId="6" borderId="43" xfId="8" applyFont="1" applyFill="1" applyBorder="1"/>
    <xf numFmtId="0" fontId="17" fillId="3" borderId="54" xfId="8" quotePrefix="1" applyNumberFormat="1" applyFont="1" applyFill="1" applyBorder="1" applyAlignment="1">
      <alignment horizontal="center"/>
    </xf>
    <xf numFmtId="0" fontId="17" fillId="7" borderId="43" xfId="8" applyFont="1" applyFill="1" applyBorder="1" applyAlignment="1">
      <alignment horizontal="center"/>
    </xf>
    <xf numFmtId="0" fontId="17" fillId="0" borderId="0" xfId="8" applyFont="1" applyAlignment="1">
      <alignment horizontal="center"/>
    </xf>
    <xf numFmtId="16" fontId="17" fillId="3" borderId="0" xfId="8" applyNumberFormat="1" applyFont="1" applyFill="1" applyBorder="1" applyAlignment="1">
      <alignment horizontal="center"/>
    </xf>
    <xf numFmtId="0" fontId="18" fillId="3" borderId="76" xfId="8" applyFont="1" applyFill="1" applyBorder="1"/>
    <xf numFmtId="0" fontId="17" fillId="3" borderId="0" xfId="8" quotePrefix="1" applyFont="1" applyFill="1" applyBorder="1" applyAlignment="1">
      <alignment horizontal="center"/>
    </xf>
    <xf numFmtId="0" fontId="17" fillId="3" borderId="0" xfId="8" applyFont="1" applyFill="1" applyBorder="1" applyAlignment="1">
      <alignment horizontal="right"/>
    </xf>
    <xf numFmtId="0" fontId="18" fillId="6" borderId="128" xfId="8" applyFont="1" applyFill="1" applyBorder="1"/>
    <xf numFmtId="0" fontId="18" fillId="6" borderId="131" xfId="8" quotePrefix="1" applyFont="1" applyFill="1" applyBorder="1" applyAlignment="1">
      <alignment horizontal="center"/>
    </xf>
    <xf numFmtId="0" fontId="18" fillId="3" borderId="130" xfId="8" applyFont="1" applyFill="1" applyBorder="1" applyAlignment="1" applyProtection="1">
      <alignment horizontal="center" vertical="center"/>
      <protection locked="0"/>
    </xf>
    <xf numFmtId="0" fontId="17" fillId="0" borderId="114" xfId="10" applyFont="1" applyFill="1" applyBorder="1" applyAlignment="1">
      <alignment horizontal="left" vertical="center"/>
    </xf>
    <xf numFmtId="0" fontId="18" fillId="3" borderId="129" xfId="8" applyFont="1" applyFill="1" applyBorder="1" applyAlignment="1" applyProtection="1">
      <alignment horizontal="center" vertical="center"/>
      <protection locked="0"/>
    </xf>
    <xf numFmtId="0" fontId="17" fillId="0" borderId="111" xfId="10" applyFont="1" applyFill="1" applyBorder="1" applyAlignment="1">
      <alignment horizontal="left" vertical="center"/>
    </xf>
    <xf numFmtId="173" fontId="17" fillId="3" borderId="68" xfId="8" quotePrefix="1" applyNumberFormat="1" applyFont="1" applyFill="1" applyBorder="1" applyAlignment="1" applyProtection="1">
      <alignment horizontal="center"/>
    </xf>
    <xf numFmtId="0" fontId="17" fillId="6" borderId="17" xfId="8" applyFont="1" applyFill="1" applyBorder="1" applyProtection="1">
      <protection locked="0"/>
    </xf>
    <xf numFmtId="0" fontId="18" fillId="3" borderId="99" xfId="8" applyFont="1" applyFill="1" applyBorder="1"/>
    <xf numFmtId="0" fontId="17" fillId="7" borderId="127" xfId="8" applyFont="1" applyFill="1" applyBorder="1" applyAlignment="1" applyProtection="1">
      <alignment horizontal="center" vertical="center"/>
      <protection locked="0"/>
    </xf>
    <xf numFmtId="0" fontId="18" fillId="6" borderId="126" xfId="10" applyFont="1" applyFill="1" applyBorder="1" applyAlignment="1">
      <alignment vertical="center"/>
    </xf>
    <xf numFmtId="14" fontId="17" fillId="7" borderId="65" xfId="8" applyNumberFormat="1" applyFont="1" applyFill="1" applyBorder="1" applyAlignment="1" applyProtection="1">
      <alignment horizontal="center"/>
      <protection locked="0"/>
    </xf>
    <xf numFmtId="0" fontId="17" fillId="0" borderId="0" xfId="8" applyFont="1" applyBorder="1"/>
    <xf numFmtId="0" fontId="18" fillId="6" borderId="125" xfId="10" applyFont="1" applyFill="1" applyBorder="1" applyAlignment="1">
      <alignment vertical="center"/>
    </xf>
    <xf numFmtId="14" fontId="17" fillId="7" borderId="78" xfId="8" applyNumberFormat="1" applyFont="1" applyFill="1" applyBorder="1" applyAlignment="1" applyProtection="1">
      <alignment horizontal="center"/>
      <protection locked="0"/>
    </xf>
    <xf numFmtId="0" fontId="18" fillId="6" borderId="126" xfId="10" applyFont="1" applyFill="1" applyBorder="1" applyAlignment="1"/>
    <xf numFmtId="0" fontId="17" fillId="6" borderId="117" xfId="10" applyFont="1" applyFill="1" applyBorder="1" applyAlignment="1"/>
    <xf numFmtId="0" fontId="17" fillId="7" borderId="65" xfId="8" applyFont="1" applyFill="1" applyBorder="1" applyAlignment="1" applyProtection="1">
      <alignment horizontal="center"/>
      <protection locked="0"/>
    </xf>
    <xf numFmtId="0" fontId="17" fillId="3" borderId="0" xfId="8" applyFont="1" applyFill="1" applyBorder="1" applyAlignment="1"/>
    <xf numFmtId="0" fontId="17" fillId="3" borderId="99" xfId="10" applyFont="1" applyFill="1" applyBorder="1" applyAlignment="1"/>
    <xf numFmtId="0" fontId="17" fillId="3" borderId="0" xfId="10" applyFont="1" applyFill="1" applyBorder="1" applyAlignment="1"/>
    <xf numFmtId="0" fontId="17" fillId="3" borderId="29" xfId="8" applyFont="1" applyFill="1" applyBorder="1" applyAlignment="1"/>
    <xf numFmtId="0" fontId="18" fillId="6" borderId="96" xfId="10" applyFont="1" applyFill="1" applyBorder="1" applyAlignment="1">
      <alignment vertical="center"/>
    </xf>
    <xf numFmtId="0" fontId="18" fillId="6" borderId="105" xfId="10" applyFont="1" applyFill="1" applyBorder="1" applyAlignment="1">
      <alignment vertical="top"/>
    </xf>
    <xf numFmtId="0" fontId="17" fillId="6" borderId="92" xfId="10" applyFont="1" applyFill="1" applyBorder="1" applyAlignment="1">
      <alignment vertical="top"/>
    </xf>
    <xf numFmtId="0" fontId="17" fillId="7" borderId="68" xfId="8" applyFont="1" applyFill="1" applyBorder="1" applyAlignment="1" applyProtection="1">
      <alignment horizontal="right"/>
      <protection locked="0"/>
    </xf>
    <xf numFmtId="0" fontId="18" fillId="6" borderId="99" xfId="10" applyFont="1" applyFill="1" applyBorder="1" applyAlignment="1">
      <alignment vertical="center"/>
    </xf>
    <xf numFmtId="0" fontId="17" fillId="6" borderId="29" xfId="8" applyFont="1" applyFill="1" applyBorder="1"/>
    <xf numFmtId="0" fontId="17" fillId="3" borderId="125" xfId="8" applyFont="1" applyFill="1" applyBorder="1" applyAlignment="1">
      <alignment vertical="center"/>
    </xf>
    <xf numFmtId="0" fontId="17" fillId="3" borderId="78" xfId="8" applyFont="1" applyFill="1" applyBorder="1" applyAlignment="1" applyProtection="1">
      <alignment horizontal="center"/>
      <protection locked="0"/>
    </xf>
    <xf numFmtId="0" fontId="17" fillId="6" borderId="92" xfId="8" applyFont="1" applyFill="1" applyBorder="1"/>
    <xf numFmtId="49" fontId="17" fillId="7" borderId="68" xfId="8" applyNumberFormat="1" applyFont="1" applyFill="1" applyBorder="1" applyAlignment="1" applyProtection="1">
      <alignment horizontal="center"/>
      <protection locked="0"/>
    </xf>
    <xf numFmtId="0" fontId="17" fillId="3" borderId="0" xfId="8" applyFont="1" applyFill="1" applyBorder="1" applyAlignment="1">
      <alignment vertical="center"/>
    </xf>
    <xf numFmtId="0" fontId="17" fillId="3" borderId="0" xfId="10" applyFont="1" applyFill="1" applyBorder="1" applyAlignment="1">
      <alignment vertical="top"/>
    </xf>
    <xf numFmtId="0" fontId="18" fillId="6" borderId="125" xfId="8" applyFont="1" applyFill="1" applyBorder="1" applyAlignment="1">
      <alignment vertical="center"/>
    </xf>
    <xf numFmtId="0" fontId="17" fillId="6" borderId="113" xfId="8" applyFont="1" applyFill="1" applyBorder="1"/>
    <xf numFmtId="0" fontId="17" fillId="7" borderId="78" xfId="8" applyFont="1" applyFill="1" applyBorder="1" applyAlignment="1" applyProtection="1">
      <alignment horizontal="center"/>
      <protection locked="0"/>
    </xf>
    <xf numFmtId="0" fontId="18" fillId="6" borderId="126" xfId="10" applyFont="1" applyFill="1" applyBorder="1" applyAlignment="1">
      <alignment vertical="top"/>
    </xf>
    <xf numFmtId="0" fontId="17" fillId="6" borderId="117" xfId="8" applyFont="1" applyFill="1" applyBorder="1"/>
    <xf numFmtId="0" fontId="17" fillId="7" borderId="65" xfId="8" quotePrefix="1" applyFont="1" applyFill="1" applyBorder="1" applyAlignment="1" applyProtection="1">
      <alignment horizontal="center"/>
      <protection locked="0"/>
    </xf>
    <xf numFmtId="0" fontId="17" fillId="3" borderId="0" xfId="8" quotePrefix="1" applyFont="1" applyFill="1" applyBorder="1" applyAlignment="1">
      <alignment horizontal="right"/>
    </xf>
    <xf numFmtId="0" fontId="18" fillId="6" borderId="105" xfId="10" applyFont="1" applyFill="1" applyBorder="1" applyAlignment="1">
      <alignment vertical="center"/>
    </xf>
    <xf numFmtId="0" fontId="17" fillId="7" borderId="68" xfId="8" quotePrefix="1" applyFont="1" applyFill="1" applyBorder="1" applyAlignment="1" applyProtection="1">
      <alignment horizontal="center"/>
      <protection locked="0"/>
    </xf>
    <xf numFmtId="0" fontId="18" fillId="3" borderId="100" xfId="8" applyFont="1" applyFill="1" applyBorder="1"/>
    <xf numFmtId="0" fontId="17" fillId="3" borderId="101" xfId="10" applyFont="1" applyFill="1" applyBorder="1" applyAlignment="1">
      <alignment vertical="center"/>
    </xf>
    <xf numFmtId="0" fontId="17" fillId="3" borderId="13" xfId="8" applyFont="1" applyFill="1" applyBorder="1"/>
    <xf numFmtId="0" fontId="18" fillId="6" borderId="100" xfId="10" applyFont="1" applyFill="1" applyBorder="1" applyAlignment="1">
      <alignment vertical="center"/>
    </xf>
    <xf numFmtId="0" fontId="17" fillId="6" borderId="101" xfId="8" applyFont="1" applyFill="1" applyBorder="1"/>
    <xf numFmtId="0" fontId="17" fillId="7" borderId="58" xfId="8" applyFont="1" applyFill="1" applyBorder="1" applyAlignment="1" applyProtection="1">
      <alignment horizontal="center"/>
      <protection locked="0"/>
    </xf>
    <xf numFmtId="0" fontId="17" fillId="3" borderId="0" xfId="10" applyFont="1" applyFill="1" applyBorder="1" applyAlignment="1">
      <alignment vertical="center"/>
    </xf>
    <xf numFmtId="0" fontId="18" fillId="6" borderId="94" xfId="10" applyFont="1" applyFill="1" applyBorder="1" applyAlignment="1">
      <alignment vertical="center"/>
    </xf>
    <xf numFmtId="0" fontId="17" fillId="3" borderId="101" xfId="8" applyFont="1" applyFill="1" applyBorder="1"/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left"/>
    </xf>
    <xf numFmtId="0" fontId="75" fillId="0" borderId="0" xfId="0" applyFont="1" applyFill="1"/>
    <xf numFmtId="0" fontId="75" fillId="0" borderId="81" xfId="0" applyFont="1" applyBorder="1"/>
    <xf numFmtId="0" fontId="75" fillId="0" borderId="79" xfId="0" applyFont="1" applyBorder="1"/>
    <xf numFmtId="0" fontId="75" fillId="0" borderId="88" xfId="0" applyFont="1" applyBorder="1"/>
    <xf numFmtId="0" fontId="75" fillId="0" borderId="103" xfId="0" applyFont="1" applyBorder="1"/>
    <xf numFmtId="0" fontId="75" fillId="0" borderId="89" xfId="0" applyFont="1" applyBorder="1"/>
    <xf numFmtId="0" fontId="75" fillId="0" borderId="119" xfId="0" applyFont="1" applyBorder="1"/>
    <xf numFmtId="0" fontId="75" fillId="0" borderId="123" xfId="0" applyFont="1" applyBorder="1"/>
    <xf numFmtId="0" fontId="75" fillId="0" borderId="122" xfId="0" applyFont="1" applyBorder="1"/>
    <xf numFmtId="49" fontId="17" fillId="7" borderId="127" xfId="8" applyNumberFormat="1" applyFont="1" applyFill="1" applyBorder="1" applyAlignment="1" applyProtection="1">
      <alignment horizontal="center" vertical="center"/>
    </xf>
    <xf numFmtId="49" fontId="17" fillId="0" borderId="0" xfId="8" applyNumberFormat="1" applyFont="1"/>
    <xf numFmtId="168" fontId="31" fillId="7" borderId="43" xfId="5" applyNumberFormat="1" applyFont="1" applyFill="1" applyBorder="1" applyAlignment="1">
      <alignment horizontal="right" vertical="center"/>
    </xf>
    <xf numFmtId="168" fontId="31" fillId="7" borderId="68" xfId="5" applyNumberFormat="1" applyFont="1" applyFill="1" applyBorder="1" applyAlignment="1">
      <alignment horizontal="right" vertical="center"/>
    </xf>
    <xf numFmtId="168" fontId="35" fillId="7" borderId="43" xfId="5" applyNumberFormat="1" applyFont="1" applyFill="1" applyBorder="1" applyAlignment="1">
      <alignment horizontal="right" vertical="center"/>
    </xf>
    <xf numFmtId="168" fontId="35" fillId="7" borderId="68" xfId="5" applyNumberFormat="1" applyFont="1" applyFill="1" applyBorder="1" applyAlignment="1">
      <alignment horizontal="right" vertical="center"/>
    </xf>
    <xf numFmtId="168" fontId="35" fillId="7" borderId="77" xfId="5" applyNumberFormat="1" applyFont="1" applyFill="1" applyBorder="1" applyAlignment="1">
      <alignment horizontal="right" vertical="center"/>
    </xf>
    <xf numFmtId="168" fontId="35" fillId="7" borderId="78" xfId="5" applyNumberFormat="1" applyFont="1" applyFill="1" applyBorder="1" applyAlignment="1">
      <alignment horizontal="right" vertical="center"/>
    </xf>
    <xf numFmtId="174" fontId="17" fillId="7" borderId="65" xfId="8" applyNumberFormat="1" applyFont="1" applyFill="1" applyBorder="1" applyAlignment="1" applyProtection="1">
      <alignment horizontal="center"/>
      <protection locked="0"/>
    </xf>
    <xf numFmtId="171" fontId="67" fillId="0" borderId="91" xfId="8" applyNumberFormat="1" applyFont="1" applyFill="1" applyBorder="1" applyAlignment="1">
      <alignment horizontal="right" vertical="center"/>
    </xf>
    <xf numFmtId="0" fontId="69" fillId="0" borderId="91" xfId="8" applyFont="1" applyFill="1" applyBorder="1" applyAlignment="1">
      <alignment horizontal="center" vertical="center" wrapText="1"/>
    </xf>
    <xf numFmtId="0" fontId="70" fillId="0" borderId="72" xfId="8" applyFont="1" applyFill="1" applyBorder="1" applyAlignment="1">
      <alignment horizontal="center" vertical="center" wrapText="1"/>
    </xf>
    <xf numFmtId="0" fontId="70" fillId="0" borderId="67" xfId="8" applyFont="1" applyFill="1" applyBorder="1" applyAlignment="1">
      <alignment horizontal="center" vertical="center" wrapText="1"/>
    </xf>
    <xf numFmtId="0" fontId="68" fillId="0" borderId="67" xfId="8" applyFont="1" applyFill="1" applyBorder="1" applyAlignment="1">
      <alignment horizontal="right" vertical="top" wrapText="1"/>
    </xf>
    <xf numFmtId="49" fontId="68" fillId="0" borderId="73" xfId="8" applyNumberFormat="1" applyFont="1" applyFill="1" applyBorder="1" applyAlignment="1">
      <alignment horizontal="center" vertical="top"/>
    </xf>
    <xf numFmtId="49" fontId="68" fillId="0" borderId="43" xfId="8" applyNumberFormat="1" applyFont="1" applyFill="1" applyBorder="1" applyAlignment="1">
      <alignment horizontal="center" vertical="top"/>
    </xf>
    <xf numFmtId="0" fontId="69" fillId="0" borderId="43" xfId="8" applyFont="1" applyFill="1" applyBorder="1" applyAlignment="1">
      <alignment horizontal="center" vertical="center" wrapText="1"/>
    </xf>
    <xf numFmtId="0" fontId="70" fillId="0" borderId="73" xfId="8" applyFont="1" applyFill="1" applyBorder="1" applyAlignment="1">
      <alignment horizontal="center" vertical="center" wrapText="1"/>
    </xf>
    <xf numFmtId="0" fontId="70" fillId="0" borderId="43" xfId="8" applyFont="1" applyFill="1" applyBorder="1" applyAlignment="1">
      <alignment horizontal="center" vertical="center" wrapText="1"/>
    </xf>
    <xf numFmtId="171" fontId="67" fillId="0" borderId="43" xfId="8" applyNumberFormat="1" applyFont="1" applyFill="1" applyBorder="1" applyAlignment="1">
      <alignment horizontal="right" vertical="center"/>
    </xf>
    <xf numFmtId="0" fontId="68" fillId="0" borderId="67" xfId="8" applyFont="1" applyFill="1" applyBorder="1" applyAlignment="1">
      <alignment horizontal="left" vertical="top" wrapText="1"/>
    </xf>
    <xf numFmtId="49" fontId="69" fillId="0" borderId="43" xfId="8" applyNumberFormat="1" applyFont="1" applyFill="1" applyBorder="1" applyAlignment="1">
      <alignment horizontal="center" vertical="top"/>
    </xf>
    <xf numFmtId="0" fontId="69" fillId="0" borderId="67" xfId="8" applyFont="1" applyFill="1" applyBorder="1" applyAlignment="1">
      <alignment horizontal="left" vertical="top" wrapText="1"/>
    </xf>
    <xf numFmtId="0" fontId="68" fillId="0" borderId="67" xfId="8" quotePrefix="1" applyFont="1" applyFill="1" applyBorder="1" applyAlignment="1">
      <alignment horizontal="lef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49" fontId="69" fillId="0" borderId="73" xfId="8" applyNumberFormat="1" applyFont="1" applyFill="1" applyBorder="1" applyAlignment="1">
      <alignment horizontal="center" vertical="top"/>
    </xf>
    <xf numFmtId="171" fontId="67" fillId="0" borderId="91" xfId="8" applyNumberFormat="1" applyFont="1" applyFill="1" applyBorder="1" applyAlignment="1">
      <alignment horizontal="right" vertical="center"/>
    </xf>
    <xf numFmtId="171" fontId="67" fillId="0" borderId="43" xfId="8" applyNumberFormat="1" applyFont="1" applyFill="1" applyBorder="1" applyAlignment="1">
      <alignment horizontal="right" vertical="center"/>
    </xf>
    <xf numFmtId="0" fontId="69" fillId="0" borderId="91" xfId="8" applyFont="1" applyFill="1" applyBorder="1" applyAlignment="1">
      <alignment horizontal="center" vertical="center" wrapText="1"/>
    </xf>
    <xf numFmtId="0" fontId="69" fillId="0" borderId="43" xfId="8" applyFont="1" applyFill="1" applyBorder="1" applyAlignment="1">
      <alignment horizontal="center" vertical="center" wrapText="1"/>
    </xf>
    <xf numFmtId="49" fontId="68" fillId="0" borderId="43" xfId="8" applyNumberFormat="1" applyFont="1" applyFill="1" applyBorder="1" applyAlignment="1">
      <alignment horizontal="center" vertical="top"/>
    </xf>
    <xf numFmtId="0" fontId="68" fillId="0" borderId="67" xfId="8" applyFont="1" applyFill="1" applyBorder="1" applyAlignment="1">
      <alignment horizontal="right" vertical="top" wrapText="1"/>
    </xf>
    <xf numFmtId="0" fontId="68" fillId="0" borderId="67" xfId="8" quotePrefix="1" applyFont="1" applyFill="1" applyBorder="1" applyAlignment="1">
      <alignment horizontal="left" vertical="top" wrapText="1"/>
    </xf>
    <xf numFmtId="49" fontId="68" fillId="0" borderId="73" xfId="8" applyNumberFormat="1" applyFont="1" applyFill="1" applyBorder="1" applyAlignment="1">
      <alignment horizontal="center" vertical="top"/>
    </xf>
    <xf numFmtId="0" fontId="69" fillId="0" borderId="67" xfId="8" applyFont="1" applyFill="1" applyBorder="1" applyAlignment="1">
      <alignment horizontal="left" vertical="top" wrapText="1"/>
    </xf>
    <xf numFmtId="49" fontId="69" fillId="0" borderId="43" xfId="8" applyNumberFormat="1" applyFont="1" applyFill="1" applyBorder="1" applyAlignment="1">
      <alignment horizontal="center" vertical="top"/>
    </xf>
    <xf numFmtId="0" fontId="70" fillId="0" borderId="67" xfId="8" applyFont="1" applyFill="1" applyBorder="1" applyAlignment="1">
      <alignment horizontal="center" vertical="center" wrapText="1"/>
    </xf>
    <xf numFmtId="0" fontId="70" fillId="0" borderId="43" xfId="8" applyFont="1" applyFill="1" applyBorder="1" applyAlignment="1">
      <alignment horizontal="center" vertical="center" wrapText="1"/>
    </xf>
    <xf numFmtId="0" fontId="69" fillId="0" borderId="67" xfId="8" quotePrefix="1" applyFont="1" applyFill="1" applyBorder="1" applyAlignment="1">
      <alignment horizontal="left" vertical="top" wrapText="1"/>
    </xf>
    <xf numFmtId="49" fontId="69" fillId="0" borderId="73" xfId="8" applyNumberFormat="1" applyFont="1" applyFill="1" applyBorder="1" applyAlignment="1">
      <alignment horizontal="center" vertical="top"/>
    </xf>
    <xf numFmtId="0" fontId="68" fillId="0" borderId="67" xfId="8" applyFont="1" applyFill="1" applyBorder="1" applyAlignment="1">
      <alignment horizontal="left" vertical="top" wrapText="1"/>
    </xf>
    <xf numFmtId="0" fontId="51" fillId="0" borderId="0" xfId="8" applyFont="1" applyFill="1" applyAlignment="1">
      <alignment horizontal="left" vertical="center"/>
    </xf>
    <xf numFmtId="0" fontId="20" fillId="0" borderId="0" xfId="8" applyFill="1" applyAlignment="1">
      <alignment vertical="center"/>
    </xf>
    <xf numFmtId="0" fontId="20" fillId="0" borderId="94" xfId="8" applyFont="1" applyFill="1" applyBorder="1" applyAlignment="1">
      <alignment horizontal="left" vertical="center"/>
    </xf>
    <xf numFmtId="0" fontId="52" fillId="0" borderId="95" xfId="8" applyFont="1" applyFill="1" applyBorder="1" applyAlignment="1">
      <alignment horizontal="left" vertical="center"/>
    </xf>
    <xf numFmtId="0" fontId="20" fillId="0" borderId="17" xfId="8" applyFont="1" applyFill="1" applyBorder="1" applyAlignment="1">
      <alignment horizontal="left" vertical="center"/>
    </xf>
    <xf numFmtId="0" fontId="52" fillId="0" borderId="17" xfId="8" applyFont="1" applyFill="1" applyBorder="1" applyAlignment="1">
      <alignment horizontal="left" vertical="center"/>
    </xf>
    <xf numFmtId="0" fontId="20" fillId="0" borderId="0" xfId="8" applyFill="1" applyBorder="1" applyAlignment="1">
      <alignment vertical="center"/>
    </xf>
    <xf numFmtId="0" fontId="52" fillId="0" borderId="95" xfId="8" applyFont="1" applyFill="1" applyBorder="1" applyAlignment="1">
      <alignment vertical="center"/>
    </xf>
    <xf numFmtId="0" fontId="58" fillId="0" borderId="88" xfId="8" applyFont="1" applyFill="1" applyBorder="1" applyAlignment="1">
      <alignment horizontal="left"/>
    </xf>
    <xf numFmtId="0" fontId="58" fillId="0" borderId="103" xfId="8" applyFont="1" applyFill="1" applyBorder="1" applyAlignment="1">
      <alignment horizontal="left" vertical="center"/>
    </xf>
    <xf numFmtId="0" fontId="55" fillId="0" borderId="103" xfId="8" applyFont="1" applyFill="1" applyBorder="1" applyAlignment="1">
      <alignment horizontal="left"/>
    </xf>
    <xf numFmtId="0" fontId="59" fillId="0" borderId="103" xfId="8" applyFont="1" applyFill="1" applyBorder="1" applyAlignment="1">
      <alignment horizontal="center" vertical="center"/>
    </xf>
    <xf numFmtId="0" fontId="58" fillId="0" borderId="104" xfId="8" applyFont="1" applyFill="1" applyBorder="1" applyAlignment="1">
      <alignment horizontal="left" vertical="center"/>
    </xf>
    <xf numFmtId="0" fontId="54" fillId="0" borderId="99" xfId="8" applyFont="1" applyFill="1" applyBorder="1" applyAlignment="1">
      <alignment horizontal="center" vertical="center"/>
    </xf>
    <xf numFmtId="0" fontId="54" fillId="0" borderId="29" xfId="8" applyFont="1" applyFill="1" applyBorder="1" applyAlignment="1">
      <alignment horizontal="center" vertical="center"/>
    </xf>
    <xf numFmtId="0" fontId="64" fillId="0" borderId="97" xfId="8" applyFont="1" applyFill="1" applyBorder="1" applyAlignment="1">
      <alignment horizontal="left" vertical="center"/>
    </xf>
    <xf numFmtId="0" fontId="54" fillId="0" borderId="0" xfId="8" applyFont="1" applyFill="1" applyBorder="1" applyAlignment="1">
      <alignment horizontal="center" vertical="center" wrapText="1"/>
    </xf>
    <xf numFmtId="0" fontId="55" fillId="0" borderId="103" xfId="8" applyFont="1" applyFill="1" applyBorder="1" applyAlignment="1">
      <alignment vertical="center" wrapText="1"/>
    </xf>
    <xf numFmtId="0" fontId="55" fillId="0" borderId="122" xfId="8" applyFont="1" applyFill="1" applyBorder="1" applyAlignment="1">
      <alignment vertical="center" wrapText="1"/>
    </xf>
    <xf numFmtId="0" fontId="83" fillId="0" borderId="0" xfId="8" applyFont="1" applyFill="1" applyBorder="1" applyAlignment="1">
      <alignment horizontal="center" vertical="center"/>
    </xf>
    <xf numFmtId="0" fontId="67" fillId="0" borderId="91" xfId="8" applyFont="1" applyFill="1" applyBorder="1" applyAlignment="1">
      <alignment horizontal="left" vertical="center"/>
    </xf>
    <xf numFmtId="0" fontId="69" fillId="0" borderId="93" xfId="8" applyFont="1" applyFill="1" applyBorder="1" applyAlignment="1">
      <alignment horizontal="center" vertical="center" wrapText="1"/>
    </xf>
    <xf numFmtId="0" fontId="69" fillId="0" borderId="72" xfId="8" applyFont="1" applyFill="1" applyBorder="1" applyAlignment="1">
      <alignment horizontal="left" vertical="top" wrapText="1"/>
    </xf>
    <xf numFmtId="0" fontId="67" fillId="0" borderId="124" xfId="8" applyFont="1" applyFill="1" applyBorder="1" applyAlignment="1">
      <alignment horizontal="right" vertical="center" wrapText="1"/>
    </xf>
    <xf numFmtId="0" fontId="67" fillId="0" borderId="118" xfId="8" applyFont="1" applyFill="1" applyBorder="1" applyAlignment="1">
      <alignment horizontal="right" vertical="center"/>
    </xf>
    <xf numFmtId="171" fontId="67" fillId="0" borderId="80" xfId="8" applyNumberFormat="1" applyFont="1" applyFill="1" applyBorder="1" applyAlignment="1">
      <alignment horizontal="right" vertical="center"/>
    </xf>
    <xf numFmtId="171" fontId="67" fillId="0" borderId="73" xfId="8" applyNumberFormat="1" applyFont="1" applyFill="1" applyBorder="1" applyAlignment="1">
      <alignment horizontal="right" vertical="center"/>
    </xf>
    <xf numFmtId="171" fontId="67" fillId="0" borderId="79" xfId="8" applyNumberFormat="1" applyFont="1" applyFill="1" applyBorder="1" applyAlignment="1">
      <alignment horizontal="right" vertical="center"/>
    </xf>
    <xf numFmtId="0" fontId="68" fillId="0" borderId="72" xfId="8" applyFont="1" applyFill="1" applyBorder="1" applyAlignment="1">
      <alignment horizontal="left" vertical="top" wrapText="1"/>
    </xf>
    <xf numFmtId="0" fontId="69" fillId="0" borderId="91" xfId="8" applyFont="1" applyFill="1" applyBorder="1" applyAlignment="1">
      <alignment horizontal="left" vertical="top" wrapText="1"/>
    </xf>
    <xf numFmtId="0" fontId="69" fillId="0" borderId="93" xfId="8" applyFont="1" applyFill="1" applyBorder="1" applyAlignment="1">
      <alignment horizontal="left" vertical="top" wrapText="1"/>
    </xf>
    <xf numFmtId="0" fontId="68" fillId="0" borderId="91" xfId="8" applyFont="1" applyFill="1" applyBorder="1" applyAlignment="1">
      <alignment horizontal="left" vertical="top" wrapText="1"/>
    </xf>
    <xf numFmtId="0" fontId="68" fillId="0" borderId="93" xfId="8" applyFont="1" applyFill="1" applyBorder="1" applyAlignment="1">
      <alignment horizontal="left" vertical="top" wrapText="1"/>
    </xf>
    <xf numFmtId="0" fontId="68" fillId="0" borderId="112" xfId="8" applyFont="1" applyFill="1" applyBorder="1" applyAlignment="1">
      <alignment horizontal="left" vertical="top" wrapText="1"/>
    </xf>
    <xf numFmtId="0" fontId="68" fillId="0" borderId="113" xfId="8" applyFont="1" applyFill="1" applyBorder="1" applyAlignment="1">
      <alignment horizontal="left" vertical="top" wrapText="1"/>
    </xf>
    <xf numFmtId="0" fontId="59" fillId="0" borderId="107" xfId="8" applyFont="1" applyFill="1" applyBorder="1" applyAlignment="1">
      <alignment horizontal="left" vertical="center"/>
    </xf>
    <xf numFmtId="0" fontId="58" fillId="0" borderId="107" xfId="8" applyFont="1" applyFill="1" applyBorder="1" applyAlignment="1">
      <alignment horizontal="left" vertical="center"/>
    </xf>
    <xf numFmtId="0" fontId="59" fillId="0" borderId="81" xfId="8" applyFont="1" applyFill="1" applyBorder="1" applyAlignment="1">
      <alignment horizontal="center" vertical="center"/>
    </xf>
    <xf numFmtId="0" fontId="59" fillId="0" borderId="79" xfId="8" applyFont="1" applyFill="1" applyBorder="1" applyAlignment="1">
      <alignment horizontal="left" vertical="center"/>
    </xf>
    <xf numFmtId="0" fontId="58" fillId="0" borderId="81" xfId="8" applyFont="1" applyFill="1" applyBorder="1" applyAlignment="1">
      <alignment horizontal="left" vertical="center"/>
    </xf>
    <xf numFmtId="169" fontId="59" fillId="0" borderId="101" xfId="8" applyNumberFormat="1" applyFont="1" applyFill="1" applyBorder="1" applyAlignment="1">
      <alignment horizontal="center" vertical="center"/>
    </xf>
    <xf numFmtId="0" fontId="59" fillId="0" borderId="109" xfId="8" applyFont="1" applyFill="1" applyBorder="1" applyAlignment="1">
      <alignment horizontal="left" vertical="center"/>
    </xf>
    <xf numFmtId="0" fontId="59" fillId="0" borderId="110" xfId="8" applyFont="1" applyFill="1" applyBorder="1" applyAlignment="1">
      <alignment horizontal="left" vertical="center"/>
    </xf>
    <xf numFmtId="0" fontId="58" fillId="0" borderId="109" xfId="8" applyFont="1" applyFill="1" applyBorder="1" applyAlignment="1">
      <alignment horizontal="left" vertical="center"/>
    </xf>
    <xf numFmtId="0" fontId="55" fillId="0" borderId="0" xfId="8" applyFont="1" applyFill="1" applyBorder="1" applyAlignment="1">
      <alignment horizontal="center" vertical="center"/>
    </xf>
    <xf numFmtId="0" fontId="54" fillId="0" borderId="43" xfId="8" applyFont="1" applyFill="1" applyBorder="1" applyAlignment="1">
      <alignment horizontal="right" vertical="center"/>
    </xf>
    <xf numFmtId="0" fontId="67" fillId="0" borderId="43" xfId="8" applyFont="1" applyFill="1" applyBorder="1" applyAlignment="1">
      <alignment horizontal="center" vertical="center"/>
    </xf>
    <xf numFmtId="171" fontId="67" fillId="0" borderId="77" xfId="8" applyNumberFormat="1" applyFont="1" applyFill="1" applyBorder="1" applyAlignment="1">
      <alignment horizontal="right" vertical="center"/>
    </xf>
    <xf numFmtId="171" fontId="67" fillId="0" borderId="78" xfId="8" applyNumberFormat="1" applyFont="1" applyFill="1" applyBorder="1" applyAlignment="1">
      <alignment horizontal="right" vertical="center"/>
    </xf>
    <xf numFmtId="171" fontId="67" fillId="0" borderId="54" xfId="8" applyNumberFormat="1" applyFont="1" applyFill="1" applyBorder="1" applyAlignment="1">
      <alignment horizontal="right" vertical="center"/>
    </xf>
    <xf numFmtId="0" fontId="23" fillId="0" borderId="94" xfId="8" applyFont="1" applyFill="1" applyBorder="1" applyAlignment="1">
      <alignment vertical="center"/>
    </xf>
    <xf numFmtId="0" fontId="56" fillId="0" borderId="99" xfId="8" applyFont="1" applyFill="1" applyBorder="1" applyAlignment="1">
      <alignment horizontal="left" vertical="center"/>
    </xf>
    <xf numFmtId="0" fontId="56" fillId="0" borderId="0" xfId="8" applyFont="1" applyFill="1" applyBorder="1" applyAlignment="1">
      <alignment horizontal="left" vertical="center"/>
    </xf>
    <xf numFmtId="0" fontId="56" fillId="0" borderId="29" xfId="8" applyFont="1" applyFill="1" applyBorder="1" applyAlignment="1">
      <alignment horizontal="left" vertical="center"/>
    </xf>
    <xf numFmtId="0" fontId="23" fillId="0" borderId="99" xfId="8" applyFont="1" applyFill="1" applyBorder="1" applyAlignment="1">
      <alignment horizontal="left" vertical="center"/>
    </xf>
    <xf numFmtId="0" fontId="23" fillId="0" borderId="0" xfId="8" applyFont="1" applyFill="1" applyBorder="1" applyAlignment="1">
      <alignment horizontal="left" vertical="center"/>
    </xf>
    <xf numFmtId="0" fontId="23" fillId="0" borderId="29" xfId="8" applyFont="1" applyFill="1" applyBorder="1" applyAlignment="1">
      <alignment horizontal="left" vertical="center"/>
    </xf>
    <xf numFmtId="0" fontId="23" fillId="0" borderId="0" xfId="8" applyFont="1" applyFill="1" applyAlignment="1">
      <alignment horizontal="left" vertical="center"/>
    </xf>
    <xf numFmtId="0" fontId="54" fillId="0" borderId="99" xfId="8" applyFont="1" applyFill="1" applyBorder="1" applyAlignment="1" applyProtection="1">
      <alignment horizontal="center" vertical="center"/>
      <protection locked="0"/>
    </xf>
    <xf numFmtId="0" fontId="84" fillId="0" borderId="0" xfId="8" applyFont="1" applyFill="1" applyBorder="1" applyAlignment="1">
      <alignment horizontal="left"/>
    </xf>
    <xf numFmtId="0" fontId="58" fillId="0" borderId="90" xfId="8" applyFont="1" applyFill="1" applyBorder="1" applyAlignment="1">
      <alignment horizontal="left" vertical="center"/>
    </xf>
    <xf numFmtId="0" fontId="62" fillId="0" borderId="29" xfId="8" applyFont="1" applyFill="1" applyBorder="1" applyAlignment="1">
      <alignment vertical="center"/>
    </xf>
    <xf numFmtId="0" fontId="56" fillId="0" borderId="102" xfId="8" applyFont="1" applyFill="1" applyBorder="1" applyAlignment="1">
      <alignment vertical="center"/>
    </xf>
    <xf numFmtId="0" fontId="56" fillId="0" borderId="103" xfId="8" applyFont="1" applyFill="1" applyBorder="1" applyAlignment="1">
      <alignment vertical="center"/>
    </xf>
    <xf numFmtId="0" fontId="56" fillId="0" borderId="104" xfId="8" applyFont="1" applyFill="1" applyBorder="1" applyAlignment="1">
      <alignment vertical="center"/>
    </xf>
    <xf numFmtId="0" fontId="20" fillId="0" borderId="29" xfId="8" applyFill="1" applyBorder="1" applyAlignment="1">
      <alignment vertical="center"/>
    </xf>
    <xf numFmtId="0" fontId="62" fillId="0" borderId="13" xfId="8" applyFont="1" applyFill="1" applyBorder="1" applyAlignment="1">
      <alignment vertical="center"/>
    </xf>
    <xf numFmtId="0" fontId="59" fillId="0" borderId="0" xfId="8" applyFont="1" applyFill="1" applyBorder="1" applyAlignment="1">
      <alignment horizontal="center" vertical="center" wrapText="1"/>
    </xf>
    <xf numFmtId="0" fontId="20" fillId="0" borderId="0" xfId="8" applyFill="1" applyBorder="1" applyAlignment="1">
      <alignment wrapText="1"/>
    </xf>
    <xf numFmtId="171" fontId="54" fillId="0" borderId="43" xfId="8" applyNumberFormat="1" applyFont="1" applyFill="1" applyBorder="1" applyAlignment="1">
      <alignment horizontal="center" vertical="center"/>
    </xf>
    <xf numFmtId="0" fontId="52" fillId="0" borderId="94" xfId="8" applyFont="1" applyFill="1" applyBorder="1" applyAlignment="1">
      <alignment horizontal="left" vertical="center"/>
    </xf>
    <xf numFmtId="171" fontId="54" fillId="0" borderId="43" xfId="8" applyNumberFormat="1" applyFont="1" applyFill="1" applyBorder="1" applyAlignment="1">
      <alignment horizontal="right" vertical="center"/>
    </xf>
    <xf numFmtId="3" fontId="18" fillId="2" borderId="62" xfId="0" applyNumberFormat="1" applyFont="1" applyFill="1" applyBorder="1" applyAlignment="1" applyProtection="1">
      <alignment vertical="center"/>
    </xf>
    <xf numFmtId="3" fontId="17" fillId="0" borderId="62" xfId="0" applyNumberFormat="1" applyFont="1" applyBorder="1" applyAlignment="1" applyProtection="1">
      <alignment vertical="center"/>
    </xf>
    <xf numFmtId="3" fontId="23" fillId="0" borderId="62" xfId="0" applyNumberFormat="1" applyFont="1" applyFill="1" applyBorder="1" applyAlignment="1" applyProtection="1">
      <alignment vertical="center"/>
    </xf>
    <xf numFmtId="3" fontId="17" fillId="0" borderId="62" xfId="0" applyNumberFormat="1" applyFont="1" applyFill="1" applyBorder="1" applyAlignment="1" applyProtection="1">
      <alignment vertical="center"/>
    </xf>
    <xf numFmtId="3" fontId="17" fillId="3" borderId="62" xfId="0" applyNumberFormat="1" applyFont="1" applyFill="1" applyBorder="1" applyAlignment="1" applyProtection="1">
      <alignment vertical="center"/>
    </xf>
    <xf numFmtId="3" fontId="17" fillId="4" borderId="62" xfId="0" applyNumberFormat="1" applyFont="1" applyFill="1" applyBorder="1" applyAlignment="1" applyProtection="1">
      <alignment vertical="center"/>
    </xf>
    <xf numFmtId="3" fontId="17" fillId="4" borderId="62" xfId="0" applyNumberFormat="1" applyFont="1" applyFill="1" applyBorder="1" applyAlignment="1">
      <alignment vertical="center"/>
    </xf>
    <xf numFmtId="3" fontId="23" fillId="0" borderId="62" xfId="0" applyNumberFormat="1" applyFont="1" applyBorder="1" applyAlignment="1" applyProtection="1">
      <alignment vertical="center"/>
    </xf>
    <xf numFmtId="3" fontId="18" fillId="0" borderId="62" xfId="0" applyNumberFormat="1" applyFont="1" applyBorder="1" applyAlignment="1" applyProtection="1">
      <alignment vertical="center"/>
    </xf>
    <xf numFmtId="3" fontId="17" fillId="2" borderId="62" xfId="0" applyNumberFormat="1" applyFont="1" applyFill="1" applyBorder="1" applyAlignment="1" applyProtection="1">
      <alignment vertical="center"/>
    </xf>
    <xf numFmtId="0" fontId="17" fillId="0" borderId="0" xfId="0" applyFont="1" applyAlignment="1">
      <alignment vertical="center"/>
    </xf>
    <xf numFmtId="3" fontId="18" fillId="5" borderId="62" xfId="0" applyNumberFormat="1" applyFont="1" applyFill="1" applyBorder="1" applyAlignment="1" applyProtection="1">
      <alignment vertical="center"/>
    </xf>
    <xf numFmtId="3" fontId="21" fillId="2" borderId="62" xfId="0" applyNumberFormat="1" applyFont="1" applyFill="1" applyBorder="1" applyAlignment="1" applyProtection="1">
      <alignment vertical="center"/>
    </xf>
    <xf numFmtId="3" fontId="17" fillId="0" borderId="62" xfId="0" applyNumberFormat="1" applyFont="1" applyFill="1" applyBorder="1" applyAlignment="1">
      <alignment vertical="center"/>
    </xf>
    <xf numFmtId="3" fontId="17" fillId="0" borderId="62" xfId="0" applyNumberFormat="1" applyFont="1" applyBorder="1" applyAlignment="1">
      <alignment vertical="center"/>
    </xf>
    <xf numFmtId="3" fontId="17" fillId="0" borderId="0" xfId="0" applyNumberFormat="1" applyFont="1" applyFill="1" applyAlignment="1">
      <alignment vertical="center"/>
    </xf>
    <xf numFmtId="3" fontId="17" fillId="0" borderId="62" xfId="0" applyNumberFormat="1" applyFont="1" applyBorder="1"/>
    <xf numFmtId="3" fontId="28" fillId="2" borderId="62" xfId="0" applyNumberFormat="1" applyFont="1" applyFill="1" applyBorder="1" applyAlignment="1">
      <alignment vertical="center"/>
    </xf>
    <xf numFmtId="3" fontId="18" fillId="2" borderId="62" xfId="0" applyNumberFormat="1" applyFont="1" applyFill="1" applyBorder="1" applyAlignment="1">
      <alignment vertical="center"/>
    </xf>
    <xf numFmtId="3" fontId="17" fillId="2" borderId="62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3" fontId="28" fillId="5" borderId="62" xfId="0" applyNumberFormat="1" applyFont="1" applyFill="1" applyBorder="1" applyAlignment="1">
      <alignment vertical="center"/>
    </xf>
    <xf numFmtId="0" fontId="20" fillId="0" borderId="0" xfId="8" applyFill="1" applyAlignment="1">
      <alignment vertical="center"/>
    </xf>
    <xf numFmtId="0" fontId="20" fillId="0" borderId="0" xfId="8" applyFill="1" applyBorder="1" applyAlignment="1">
      <alignment vertical="center"/>
    </xf>
    <xf numFmtId="0" fontId="52" fillId="0" borderId="94" xfId="8" applyFont="1" applyFill="1" applyBorder="1" applyAlignment="1">
      <alignment vertical="center"/>
    </xf>
    <xf numFmtId="0" fontId="20" fillId="0" borderId="95" xfId="8" applyFill="1" applyBorder="1" applyAlignment="1">
      <alignment vertical="center"/>
    </xf>
    <xf numFmtId="0" fontId="54" fillId="0" borderId="0" xfId="8" applyFont="1" applyFill="1" applyAlignment="1">
      <alignment vertical="center"/>
    </xf>
    <xf numFmtId="0" fontId="59" fillId="0" borderId="102" xfId="8" applyFont="1" applyFill="1" applyBorder="1" applyAlignment="1">
      <alignment horizontal="left" vertical="center"/>
    </xf>
    <xf numFmtId="0" fontId="19" fillId="0" borderId="103" xfId="8" applyFont="1" applyFill="1" applyBorder="1" applyAlignment="1">
      <alignment horizontal="left"/>
    </xf>
    <xf numFmtId="0" fontId="19" fillId="0" borderId="101" xfId="8" applyFont="1" applyFill="1" applyBorder="1" applyAlignment="1">
      <alignment horizontal="left"/>
    </xf>
    <xf numFmtId="0" fontId="5" fillId="0" borderId="0" xfId="0" applyFont="1" applyAlignment="1"/>
    <xf numFmtId="0" fontId="49" fillId="4" borderId="0" xfId="0" applyFont="1" applyFill="1" applyAlignment="1"/>
    <xf numFmtId="0" fontId="75" fillId="4" borderId="0" xfId="0" applyFont="1" applyFill="1"/>
    <xf numFmtId="3" fontId="12" fillId="4" borderId="0" xfId="0" applyNumberFormat="1" applyFont="1" applyFill="1" applyBorder="1" applyAlignment="1">
      <alignment horizontal="right" vertical="center"/>
    </xf>
    <xf numFmtId="168" fontId="31" fillId="4" borderId="43" xfId="7" applyNumberFormat="1" applyFont="1" applyFill="1" applyBorder="1" applyAlignment="1">
      <alignment horizontal="right"/>
    </xf>
    <xf numFmtId="168" fontId="31" fillId="0" borderId="43" xfId="5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2" fillId="4" borderId="0" xfId="0" applyFont="1" applyFill="1" applyBorder="1" applyAlignment="1">
      <alignment horizontal="left" vertical="center"/>
    </xf>
    <xf numFmtId="0" fontId="5" fillId="4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justify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justify" vertical="top" wrapText="1"/>
    </xf>
    <xf numFmtId="0" fontId="12" fillId="0" borderId="2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09" xfId="0" applyFont="1" applyBorder="1" applyAlignment="1">
      <alignment horizontal="center"/>
    </xf>
    <xf numFmtId="0" fontId="4" fillId="0" borderId="101" xfId="0" applyFont="1" applyBorder="1"/>
    <xf numFmtId="0" fontId="4" fillId="0" borderId="139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38" xfId="0" applyFont="1" applyBorder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19" xfId="0" applyFont="1" applyBorder="1"/>
    <xf numFmtId="0" fontId="4" fillId="0" borderId="123" xfId="0" applyFont="1" applyBorder="1"/>
    <xf numFmtId="0" fontId="4" fillId="0" borderId="122" xfId="0" applyFont="1" applyBorder="1"/>
    <xf numFmtId="0" fontId="4" fillId="0" borderId="79" xfId="0" applyFont="1" applyBorder="1"/>
    <xf numFmtId="3" fontId="4" fillId="0" borderId="81" xfId="0" applyNumberFormat="1" applyFont="1" applyBorder="1"/>
    <xf numFmtId="3" fontId="4" fillId="0" borderId="79" xfId="0" applyNumberFormat="1" applyFont="1" applyBorder="1"/>
    <xf numFmtId="3" fontId="4" fillId="0" borderId="0" xfId="0" applyNumberFormat="1" applyFont="1" applyBorder="1"/>
    <xf numFmtId="0" fontId="4" fillId="0" borderId="81" xfId="0" applyFont="1" applyBorder="1"/>
    <xf numFmtId="3" fontId="4" fillId="0" borderId="88" xfId="0" applyNumberFormat="1" applyFont="1" applyBorder="1"/>
    <xf numFmtId="3" fontId="4" fillId="0" borderId="103" xfId="0" applyNumberFormat="1" applyFont="1" applyBorder="1"/>
    <xf numFmtId="3" fontId="4" fillId="0" borderId="89" xfId="0" applyNumberFormat="1" applyFont="1" applyBorder="1"/>
    <xf numFmtId="0" fontId="4" fillId="0" borderId="88" xfId="0" applyFont="1" applyBorder="1"/>
    <xf numFmtId="0" fontId="4" fillId="0" borderId="103" xfId="0" applyFont="1" applyBorder="1"/>
    <xf numFmtId="0" fontId="4" fillId="0" borderId="89" xfId="0" applyFont="1" applyBorder="1"/>
    <xf numFmtId="3" fontId="4" fillId="2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justify" vertical="top" wrapText="1"/>
    </xf>
    <xf numFmtId="0" fontId="4" fillId="0" borderId="0" xfId="0" applyFont="1" applyFill="1"/>
    <xf numFmtId="0" fontId="0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22" xfId="0" applyNumberFormat="1" applyFont="1" applyBorder="1"/>
    <xf numFmtId="3" fontId="4" fillId="0" borderId="80" xfId="0" applyNumberFormat="1" applyFont="1" applyBorder="1"/>
    <xf numFmtId="3" fontId="4" fillId="7" borderId="80" xfId="0" applyNumberFormat="1" applyFont="1" applyFill="1" applyBorder="1"/>
    <xf numFmtId="3" fontId="4" fillId="0" borderId="73" xfId="0" applyNumberFormat="1" applyFont="1" applyBorder="1"/>
    <xf numFmtId="3" fontId="4" fillId="0" borderId="120" xfId="0" applyNumberFormat="1" applyFont="1" applyBorder="1"/>
    <xf numFmtId="3" fontId="4" fillId="0" borderId="119" xfId="0" applyNumberFormat="1" applyFont="1" applyBorder="1"/>
    <xf numFmtId="0" fontId="4" fillId="0" borderId="0" xfId="0" applyFont="1" applyAlignment="1">
      <alignment horizontal="center" wrapText="1"/>
    </xf>
    <xf numFmtId="0" fontId="0" fillId="0" borderId="80" xfId="0" applyFont="1" applyBorder="1"/>
    <xf numFmtId="0" fontId="0" fillId="0" borderId="120" xfId="0" applyFont="1" applyBorder="1"/>
    <xf numFmtId="0" fontId="4" fillId="0" borderId="80" xfId="0" applyFont="1" applyBorder="1"/>
    <xf numFmtId="0" fontId="4" fillId="0" borderId="119" xfId="0" applyFont="1" applyBorder="1" applyAlignment="1">
      <alignment vertical="center"/>
    </xf>
    <xf numFmtId="0" fontId="4" fillId="0" borderId="120" xfId="0" applyFont="1" applyBorder="1" applyAlignment="1">
      <alignment vertical="center"/>
    </xf>
    <xf numFmtId="3" fontId="4" fillId="0" borderId="120" xfId="0" applyNumberFormat="1" applyFont="1" applyBorder="1" applyAlignment="1">
      <alignment vertical="center"/>
    </xf>
    <xf numFmtId="0" fontId="4" fillId="0" borderId="79" xfId="0" applyFont="1" applyBorder="1" applyAlignment="1">
      <alignment vertical="center"/>
    </xf>
    <xf numFmtId="0" fontId="4" fillId="0" borderId="80" xfId="0" applyFont="1" applyBorder="1" applyAlignment="1">
      <alignment vertical="center"/>
    </xf>
    <xf numFmtId="3" fontId="4" fillId="0" borderId="80" xfId="0" applyNumberFormat="1" applyFont="1" applyBorder="1" applyAlignment="1">
      <alignment vertical="center"/>
    </xf>
    <xf numFmtId="0" fontId="4" fillId="0" borderId="88" xfId="0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4" fillId="0" borderId="73" xfId="0" applyFont="1" applyBorder="1"/>
    <xf numFmtId="3" fontId="0" fillId="0" borderId="0" xfId="0" applyNumberFormat="1" applyFont="1" applyBorder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3" fontId="4" fillId="4" borderId="0" xfId="0" applyNumberFormat="1" applyFont="1" applyFill="1" applyBorder="1"/>
    <xf numFmtId="0" fontId="4" fillId="7" borderId="79" xfId="0" applyFont="1" applyFill="1" applyBorder="1"/>
    <xf numFmtId="0" fontId="4" fillId="7" borderId="81" xfId="0" applyFont="1" applyFill="1" applyBorder="1"/>
    <xf numFmtId="0" fontId="4" fillId="0" borderId="0" xfId="0" applyFont="1" applyBorder="1" applyAlignment="1">
      <alignment vertical="center" wrapText="1"/>
    </xf>
    <xf numFmtId="0" fontId="4" fillId="0" borderId="122" xfId="0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3" fontId="4" fillId="0" borderId="88" xfId="0" applyNumberFormat="1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3" fontId="4" fillId="7" borderId="88" xfId="0" applyNumberFormat="1" applyFont="1" applyFill="1" applyBorder="1"/>
    <xf numFmtId="3" fontId="4" fillId="7" borderId="89" xfId="0" applyNumberFormat="1" applyFont="1" applyFill="1" applyBorder="1"/>
    <xf numFmtId="3" fontId="4" fillId="0" borderId="79" xfId="0" applyNumberFormat="1" applyFont="1" applyFill="1" applyBorder="1"/>
    <xf numFmtId="3" fontId="4" fillId="0" borderId="81" xfId="0" applyNumberFormat="1" applyFont="1" applyFill="1" applyBorder="1"/>
    <xf numFmtId="0" fontId="4" fillId="0" borderId="79" xfId="0" applyFont="1" applyFill="1" applyBorder="1"/>
    <xf numFmtId="0" fontId="4" fillId="0" borderId="81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/>
    </xf>
    <xf numFmtId="0" fontId="4" fillId="0" borderId="122" xfId="0" applyFont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3" fontId="4" fillId="4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7" borderId="80" xfId="0" applyFont="1" applyFill="1" applyBorder="1" applyAlignment="1">
      <alignment vertical="center"/>
    </xf>
    <xf numFmtId="0" fontId="4" fillId="7" borderId="73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168" fontId="31" fillId="4" borderId="106" xfId="5" applyNumberFormat="1" applyFont="1" applyFill="1" applyBorder="1" applyAlignment="1">
      <alignment horizontal="right" vertical="center"/>
    </xf>
    <xf numFmtId="168" fontId="31" fillId="4" borderId="43" xfId="5" applyNumberFormat="1" applyFont="1" applyFill="1" applyBorder="1" applyAlignment="1">
      <alignment horizontal="right" vertical="center"/>
    </xf>
    <xf numFmtId="168" fontId="31" fillId="7" borderId="106" xfId="5" applyNumberFormat="1" applyFont="1" applyFill="1" applyBorder="1" applyAlignment="1">
      <alignment horizontal="right" vertical="center"/>
    </xf>
    <xf numFmtId="0" fontId="82" fillId="0" borderId="91" xfId="15" applyBorder="1" applyAlignment="1" applyProtection="1"/>
    <xf numFmtId="0" fontId="23" fillId="0" borderId="93" xfId="8" applyFont="1" applyBorder="1"/>
    <xf numFmtId="0" fontId="80" fillId="0" borderId="0" xfId="9" applyFont="1" applyFill="1" applyBorder="1" applyAlignment="1" applyProtection="1">
      <alignment horizontal="left" vertical="center" wrapText="1" indent="1"/>
      <protection hidden="1"/>
    </xf>
    <xf numFmtId="0" fontId="18" fillId="6" borderId="94" xfId="8" applyFont="1" applyFill="1" applyBorder="1" applyAlignment="1">
      <alignment horizontal="center" vertical="center" wrapText="1"/>
    </xf>
    <xf numFmtId="0" fontId="18" fillId="6" borderId="95" xfId="8" applyFont="1" applyFill="1" applyBorder="1" applyAlignment="1">
      <alignment horizontal="center" vertical="center" wrapText="1"/>
    </xf>
    <xf numFmtId="0" fontId="55" fillId="0" borderId="108" xfId="8" applyFont="1" applyFill="1" applyBorder="1" applyAlignment="1">
      <alignment horizontal="left" vertical="top" wrapText="1"/>
    </xf>
    <xf numFmtId="0" fontId="55" fillId="0" borderId="97" xfId="8" applyFont="1" applyFill="1" applyBorder="1" applyAlignment="1">
      <alignment horizontal="left" vertical="top" wrapText="1"/>
    </xf>
    <xf numFmtId="0" fontId="55" fillId="0" borderId="107" xfId="8" applyFont="1" applyFill="1" applyBorder="1" applyAlignment="1">
      <alignment horizontal="left" vertical="top" wrapText="1"/>
    </xf>
    <xf numFmtId="0" fontId="55" fillId="0" borderId="79" xfId="8" applyFont="1" applyFill="1" applyBorder="1" applyAlignment="1">
      <alignment horizontal="left" vertical="top" wrapText="1"/>
    </xf>
    <xf numFmtId="0" fontId="55" fillId="0" borderId="0" xfId="8" applyFont="1" applyFill="1" applyBorder="1" applyAlignment="1">
      <alignment horizontal="left" vertical="top" wrapText="1"/>
    </xf>
    <xf numFmtId="0" fontId="55" fillId="0" borderId="81" xfId="8" applyFont="1" applyFill="1" applyBorder="1" applyAlignment="1">
      <alignment horizontal="left" vertical="top" wrapText="1"/>
    </xf>
    <xf numFmtId="0" fontId="55" fillId="0" borderId="98" xfId="8" applyFont="1" applyFill="1" applyBorder="1" applyAlignment="1">
      <alignment horizontal="left" vertical="top" wrapText="1"/>
    </xf>
    <xf numFmtId="0" fontId="55" fillId="0" borderId="29" xfId="8" applyFont="1" applyFill="1" applyBorder="1" applyAlignment="1">
      <alignment horizontal="left" vertical="top" wrapText="1"/>
    </xf>
    <xf numFmtId="0" fontId="23" fillId="0" borderId="110" xfId="8" applyFont="1" applyBorder="1" applyAlignment="1">
      <alignment horizontal="center" vertical="top"/>
    </xf>
    <xf numFmtId="0" fontId="23" fillId="0" borderId="101" xfId="8" applyFont="1" applyBorder="1" applyAlignment="1">
      <alignment horizontal="center" vertical="top"/>
    </xf>
    <xf numFmtId="0" fontId="23" fillId="0" borderId="109" xfId="8" applyFont="1" applyBorder="1" applyAlignment="1">
      <alignment horizontal="center" vertical="top"/>
    </xf>
    <xf numFmtId="0" fontId="23" fillId="0" borderId="110" xfId="8" applyFont="1" applyFill="1" applyBorder="1" applyAlignment="1">
      <alignment horizontal="center" vertical="top"/>
    </xf>
    <xf numFmtId="0" fontId="23" fillId="0" borderId="13" xfId="8" applyFont="1" applyBorder="1" applyAlignment="1">
      <alignment horizontal="center" vertical="top"/>
    </xf>
    <xf numFmtId="3" fontId="4" fillId="4" borderId="130" xfId="0" applyNumberFormat="1" applyFont="1" applyFill="1" applyBorder="1" applyAlignment="1">
      <alignment horizontal="right" vertical="center"/>
    </xf>
    <xf numFmtId="0" fontId="12" fillId="0" borderId="130" xfId="0" applyFont="1" applyBorder="1" applyAlignment="1">
      <alignment horizontal="left" vertical="center" wrapText="1"/>
    </xf>
    <xf numFmtId="3" fontId="4" fillId="0" borderId="134" xfId="0" applyNumberFormat="1" applyFont="1" applyBorder="1" applyAlignment="1">
      <alignment horizontal="right" vertical="center"/>
    </xf>
    <xf numFmtId="3" fontId="4" fillId="0" borderId="105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1" fontId="4" fillId="0" borderId="106" xfId="0" applyNumberFormat="1" applyFont="1" applyBorder="1" applyAlignment="1">
      <alignment horizontal="right" vertical="center"/>
    </xf>
    <xf numFmtId="1" fontId="4" fillId="0" borderId="134" xfId="0" applyNumberFormat="1" applyFont="1" applyBorder="1" applyAlignment="1">
      <alignment horizontal="right" vertical="center"/>
    </xf>
    <xf numFmtId="3" fontId="4" fillId="4" borderId="134" xfId="0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2" fillId="4" borderId="94" xfId="0" applyFont="1" applyFill="1" applyBorder="1" applyAlignment="1">
      <alignment horizontal="center" vertical="center"/>
    </xf>
    <xf numFmtId="0" fontId="12" fillId="4" borderId="95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96" xfId="0" applyFont="1" applyFill="1" applyBorder="1" applyAlignment="1">
      <alignment horizontal="center" vertical="center" wrapText="1"/>
    </xf>
    <xf numFmtId="0" fontId="12" fillId="4" borderId="97" xfId="0" applyFont="1" applyFill="1" applyBorder="1" applyAlignment="1">
      <alignment horizontal="center" vertical="center" wrapText="1"/>
    </xf>
    <xf numFmtId="0" fontId="12" fillId="4" borderId="100" xfId="0" applyFont="1" applyFill="1" applyBorder="1" applyAlignment="1">
      <alignment horizontal="center" vertical="center" wrapText="1"/>
    </xf>
    <xf numFmtId="0" fontId="12" fillId="4" borderId="101" xfId="0" applyFont="1" applyFill="1" applyBorder="1" applyAlignment="1">
      <alignment horizontal="center" vertical="center" wrapText="1"/>
    </xf>
    <xf numFmtId="3" fontId="4" fillId="0" borderId="92" xfId="0" applyNumberFormat="1" applyFont="1" applyBorder="1" applyAlignment="1">
      <alignment horizontal="right" vertical="center"/>
    </xf>
    <xf numFmtId="3" fontId="4" fillId="0" borderId="93" xfId="0" applyNumberFormat="1" applyFont="1" applyBorder="1" applyAlignment="1">
      <alignment horizontal="right" vertical="center"/>
    </xf>
    <xf numFmtId="3" fontId="4" fillId="0" borderId="141" xfId="0" applyNumberFormat="1" applyFont="1" applyBorder="1" applyAlignment="1">
      <alignment horizontal="right" vertical="center"/>
    </xf>
    <xf numFmtId="3" fontId="4" fillId="2" borderId="141" xfId="0" applyNumberFormat="1" applyFont="1" applyFill="1" applyBorder="1" applyAlignment="1">
      <alignment horizontal="right" vertical="center"/>
    </xf>
    <xf numFmtId="3" fontId="4" fillId="2" borderId="127" xfId="0" applyNumberFormat="1" applyFont="1" applyFill="1" applyBorder="1" applyAlignment="1">
      <alignment horizontal="right" vertical="center"/>
    </xf>
    <xf numFmtId="0" fontId="4" fillId="0" borderId="126" xfId="0" applyFont="1" applyBorder="1" applyAlignment="1">
      <alignment horizontal="left" vertical="center" wrapText="1"/>
    </xf>
    <xf numFmtId="0" fontId="4" fillId="0" borderId="117" xfId="0" applyFont="1" applyBorder="1" applyAlignment="1">
      <alignment horizontal="left" vertical="center" wrapText="1"/>
    </xf>
    <xf numFmtId="0" fontId="4" fillId="0" borderId="114" xfId="0" applyFont="1" applyBorder="1" applyAlignment="1">
      <alignment horizontal="left" vertical="center" wrapText="1"/>
    </xf>
    <xf numFmtId="0" fontId="4" fillId="4" borderId="134" xfId="0" applyFont="1" applyFill="1" applyBorder="1" applyAlignment="1">
      <alignment horizontal="left" vertical="center" wrapText="1"/>
    </xf>
    <xf numFmtId="0" fontId="4" fillId="0" borderId="105" xfId="0" applyFont="1" applyBorder="1" applyAlignment="1">
      <alignment horizontal="left" vertical="center" wrapText="1"/>
    </xf>
    <xf numFmtId="0" fontId="4" fillId="0" borderId="92" xfId="0" applyFont="1" applyBorder="1" applyAlignment="1">
      <alignment horizontal="left" vertical="center" wrapText="1"/>
    </xf>
    <xf numFmtId="0" fontId="4" fillId="0" borderId="106" xfId="0" applyFont="1" applyBorder="1" applyAlignment="1">
      <alignment horizontal="left" vertical="center" wrapText="1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2" borderId="64" xfId="0" applyNumberFormat="1" applyFont="1" applyFill="1" applyBorder="1" applyAlignment="1">
      <alignment horizontal="right" vertical="center"/>
    </xf>
    <xf numFmtId="3" fontId="4" fillId="2" borderId="65" xfId="0" applyNumberFormat="1" applyFont="1" applyFill="1" applyBorder="1" applyAlignment="1">
      <alignment horizontal="right" vertical="center"/>
    </xf>
    <xf numFmtId="0" fontId="12" fillId="0" borderId="94" xfId="0" applyFont="1" applyBorder="1" applyAlignment="1">
      <alignment horizontal="left" vertical="center" wrapText="1"/>
    </xf>
    <xf numFmtId="0" fontId="12" fillId="0" borderId="9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3" fontId="4" fillId="0" borderId="135" xfId="0" applyNumberFormat="1" applyFont="1" applyBorder="1" applyAlignment="1">
      <alignment horizontal="right" vertical="center"/>
    </xf>
    <xf numFmtId="0" fontId="12" fillId="4" borderId="100" xfId="0" applyFont="1" applyFill="1" applyBorder="1" applyAlignment="1">
      <alignment horizontal="left" vertical="center" wrapText="1"/>
    </xf>
    <xf numFmtId="0" fontId="12" fillId="4" borderId="101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2" fillId="4" borderId="134" xfId="0" applyFont="1" applyFill="1" applyBorder="1" applyAlignment="1">
      <alignment horizontal="left" vertical="center" wrapText="1"/>
    </xf>
    <xf numFmtId="0" fontId="12" fillId="4" borderId="96" xfId="0" applyFont="1" applyFill="1" applyBorder="1" applyAlignment="1">
      <alignment horizontal="left" vertical="center" wrapText="1"/>
    </xf>
    <xf numFmtId="0" fontId="12" fillId="4" borderId="97" xfId="0" applyFont="1" applyFill="1" applyBorder="1" applyAlignment="1">
      <alignment horizontal="left" vertical="center" wrapText="1"/>
    </xf>
    <xf numFmtId="0" fontId="12" fillId="4" borderId="98" xfId="0" applyFont="1" applyFill="1" applyBorder="1" applyAlignment="1">
      <alignment horizontal="left" vertical="center" wrapText="1"/>
    </xf>
    <xf numFmtId="3" fontId="4" fillId="0" borderId="91" xfId="0" applyNumberFormat="1" applyFont="1" applyBorder="1" applyAlignment="1">
      <alignment horizontal="right" vertical="center" wrapText="1"/>
    </xf>
    <xf numFmtId="3" fontId="4" fillId="0" borderId="92" xfId="0" applyNumberFormat="1" applyFont="1" applyBorder="1" applyAlignment="1">
      <alignment horizontal="right" vertical="center" wrapText="1"/>
    </xf>
    <xf numFmtId="3" fontId="4" fillId="0" borderId="93" xfId="0" applyNumberFormat="1" applyFont="1" applyBorder="1" applyAlignment="1">
      <alignment horizontal="right" vertical="center" wrapText="1"/>
    </xf>
    <xf numFmtId="3" fontId="4" fillId="0" borderId="91" xfId="0" applyNumberFormat="1" applyFont="1" applyBorder="1" applyAlignment="1">
      <alignment horizontal="right" vertical="center"/>
    </xf>
    <xf numFmtId="3" fontId="4" fillId="0" borderId="91" xfId="0" applyNumberFormat="1" applyFont="1" applyBorder="1" applyAlignment="1">
      <alignment horizontal="center" vertical="center"/>
    </xf>
    <xf numFmtId="3" fontId="4" fillId="0" borderId="92" xfId="0" applyNumberFormat="1" applyFont="1" applyBorder="1" applyAlignment="1">
      <alignment horizontal="center" vertical="center"/>
    </xf>
    <xf numFmtId="3" fontId="4" fillId="0" borderId="93" xfId="0" applyNumberFormat="1" applyFont="1" applyBorder="1" applyAlignment="1">
      <alignment horizontal="center" vertical="center"/>
    </xf>
    <xf numFmtId="3" fontId="4" fillId="2" borderId="43" xfId="0" applyNumberFormat="1" applyFont="1" applyFill="1" applyBorder="1" applyAlignment="1">
      <alignment horizontal="right" vertical="center"/>
    </xf>
    <xf numFmtId="3" fontId="4" fillId="2" borderId="68" xfId="0" applyNumberFormat="1" applyFont="1" applyFill="1" applyBorder="1" applyAlignment="1">
      <alignment horizontal="right" vertical="center"/>
    </xf>
    <xf numFmtId="3" fontId="4" fillId="2" borderId="73" xfId="0" applyNumberFormat="1" applyFont="1" applyFill="1" applyBorder="1" applyAlignment="1">
      <alignment horizontal="right" vertical="center"/>
    </xf>
    <xf numFmtId="3" fontId="4" fillId="2" borderId="54" xfId="0" applyNumberFormat="1" applyFont="1" applyFill="1" applyBorder="1" applyAlignment="1">
      <alignment horizontal="right" vertical="center"/>
    </xf>
    <xf numFmtId="0" fontId="12" fillId="4" borderId="98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3" fontId="12" fillId="4" borderId="132" xfId="0" applyNumberFormat="1" applyFont="1" applyFill="1" applyBorder="1" applyAlignment="1">
      <alignment horizontal="right" vertical="center" wrapText="1"/>
    </xf>
    <xf numFmtId="3" fontId="4" fillId="4" borderId="0" xfId="0" applyNumberFormat="1" applyFont="1" applyFill="1" applyBorder="1" applyAlignment="1">
      <alignment horizontal="right" vertical="center"/>
    </xf>
    <xf numFmtId="3" fontId="12" fillId="0" borderId="134" xfId="0" applyNumberFormat="1" applyFont="1" applyFill="1" applyBorder="1" applyAlignment="1">
      <alignment horizontal="right" vertical="center"/>
    </xf>
    <xf numFmtId="3" fontId="4" fillId="0" borderId="134" xfId="0" applyNumberFormat="1" applyFont="1" applyFill="1" applyBorder="1" applyAlignment="1">
      <alignment horizontal="right" vertical="center"/>
    </xf>
    <xf numFmtId="0" fontId="4" fillId="0" borderId="134" xfId="0" applyFont="1" applyBorder="1" applyAlignment="1">
      <alignment horizontal="left" vertical="center"/>
    </xf>
    <xf numFmtId="3" fontId="12" fillId="0" borderId="134" xfId="0" applyNumberFormat="1" applyFont="1" applyFill="1" applyBorder="1" applyAlignment="1">
      <alignment horizontal="right" vertical="center" wrapText="1"/>
    </xf>
    <xf numFmtId="0" fontId="12" fillId="0" borderId="133" xfId="0" applyFont="1" applyBorder="1" applyAlignment="1">
      <alignment horizontal="left" vertical="center" wrapText="1"/>
    </xf>
    <xf numFmtId="3" fontId="4" fillId="2" borderId="13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9" borderId="94" xfId="0" applyFont="1" applyFill="1" applyBorder="1" applyAlignment="1">
      <alignment horizontal="left" vertical="center"/>
    </xf>
    <xf numFmtId="0" fontId="4" fillId="9" borderId="95" xfId="0" applyFont="1" applyFill="1" applyBorder="1" applyAlignment="1">
      <alignment horizontal="left" vertical="center"/>
    </xf>
    <xf numFmtId="0" fontId="4" fillId="9" borderId="17" xfId="0" applyFont="1" applyFill="1" applyBorder="1" applyAlignment="1">
      <alignment horizontal="left" vertical="center"/>
    </xf>
    <xf numFmtId="3" fontId="12" fillId="9" borderId="134" xfId="0" applyNumberFormat="1" applyFont="1" applyFill="1" applyBorder="1" applyAlignment="1">
      <alignment horizontal="right" vertical="center"/>
    </xf>
    <xf numFmtId="3" fontId="4" fillId="2" borderId="130" xfId="0" applyNumberFormat="1" applyFont="1" applyFill="1" applyBorder="1" applyAlignment="1">
      <alignment horizontal="right" vertical="center" wrapText="1"/>
    </xf>
    <xf numFmtId="3" fontId="12" fillId="4" borderId="13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top" wrapText="1"/>
    </xf>
    <xf numFmtId="0" fontId="12" fillId="4" borderId="133" xfId="0" applyFont="1" applyFill="1" applyBorder="1" applyAlignment="1">
      <alignment horizontal="left"/>
    </xf>
    <xf numFmtId="0" fontId="4" fillId="4" borderId="134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left" vertical="center"/>
    </xf>
    <xf numFmtId="0" fontId="4" fillId="0" borderId="9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2" borderId="100" xfId="0" applyNumberFormat="1" applyFont="1" applyFill="1" applyBorder="1" applyAlignment="1">
      <alignment horizontal="right" vertical="center" wrapText="1"/>
    </xf>
    <xf numFmtId="3" fontId="4" fillId="0" borderId="132" xfId="0" applyNumberFormat="1" applyFont="1" applyFill="1" applyBorder="1" applyAlignment="1">
      <alignment horizontal="right" vertical="center"/>
    </xf>
    <xf numFmtId="3" fontId="4" fillId="4" borderId="133" xfId="0" applyNumberFormat="1" applyFont="1" applyFill="1" applyBorder="1" applyAlignment="1">
      <alignment horizontal="right" vertical="center" wrapText="1"/>
    </xf>
    <xf numFmtId="3" fontId="12" fillId="4" borderId="134" xfId="0" applyNumberFormat="1" applyFont="1" applyFill="1" applyBorder="1" applyAlignment="1">
      <alignment horizontal="right" vertical="center"/>
    </xf>
    <xf numFmtId="3" fontId="4" fillId="4" borderId="134" xfId="0" applyNumberFormat="1" applyFont="1" applyFill="1" applyBorder="1" applyAlignment="1">
      <alignment horizontal="right" vertical="center"/>
    </xf>
    <xf numFmtId="3" fontId="4" fillId="4" borderId="100" xfId="0" applyNumberFormat="1" applyFont="1" applyFill="1" applyBorder="1" applyAlignment="1">
      <alignment horizontal="right" vertical="center" wrapText="1"/>
    </xf>
    <xf numFmtId="0" fontId="4" fillId="9" borderId="134" xfId="0" applyFont="1" applyFill="1" applyBorder="1" applyAlignment="1">
      <alignment horizontal="left" vertical="center"/>
    </xf>
    <xf numFmtId="3" fontId="12" fillId="9" borderId="134" xfId="0" applyNumberFormat="1" applyFont="1" applyFill="1" applyBorder="1" applyAlignment="1">
      <alignment horizontal="right" vertical="center" wrapText="1"/>
    </xf>
    <xf numFmtId="0" fontId="12" fillId="0" borderId="96" xfId="0" applyFont="1" applyBorder="1" applyAlignment="1">
      <alignment horizontal="center" vertical="center" wrapText="1"/>
    </xf>
    <xf numFmtId="0" fontId="12" fillId="0" borderId="97" xfId="0" applyFont="1" applyBorder="1" applyAlignment="1">
      <alignment horizontal="center" vertical="center" wrapText="1"/>
    </xf>
    <xf numFmtId="0" fontId="12" fillId="0" borderId="98" xfId="0" applyFont="1" applyBorder="1" applyAlignment="1">
      <alignment horizontal="center" vertical="center" wrapText="1"/>
    </xf>
    <xf numFmtId="0" fontId="12" fillId="0" borderId="100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3" fontId="4" fillId="2" borderId="134" xfId="0" applyNumberFormat="1" applyFont="1" applyFill="1" applyBorder="1" applyAlignment="1">
      <alignment horizontal="right" vertical="center"/>
    </xf>
    <xf numFmtId="3" fontId="4" fillId="2" borderId="105" xfId="0" applyNumberFormat="1" applyFont="1" applyFill="1" applyBorder="1" applyAlignment="1">
      <alignment horizontal="right" vertical="center"/>
    </xf>
    <xf numFmtId="0" fontId="4" fillId="4" borderId="134" xfId="0" applyFont="1" applyFill="1" applyBorder="1" applyAlignment="1">
      <alignment horizontal="left" vertical="center"/>
    </xf>
    <xf numFmtId="0" fontId="12" fillId="0" borderId="132" xfId="0" applyFont="1" applyBorder="1" applyAlignment="1">
      <alignment horizontal="left" vertical="center" wrapText="1"/>
    </xf>
    <xf numFmtId="3" fontId="4" fillId="0" borderId="132" xfId="0" applyNumberFormat="1" applyFont="1" applyFill="1" applyBorder="1" applyAlignment="1">
      <alignment horizontal="right" vertical="center" wrapText="1"/>
    </xf>
    <xf numFmtId="0" fontId="12" fillId="4" borderId="133" xfId="0" applyFont="1" applyFill="1" applyBorder="1" applyAlignment="1">
      <alignment horizontal="left" vertical="center" wrapText="1"/>
    </xf>
    <xf numFmtId="3" fontId="4" fillId="9" borderId="134" xfId="0" applyNumberFormat="1" applyFont="1" applyFill="1" applyBorder="1" applyAlignment="1">
      <alignment horizontal="right" vertical="center"/>
    </xf>
    <xf numFmtId="3" fontId="4" fillId="9" borderId="105" xfId="0" applyNumberFormat="1" applyFont="1" applyFill="1" applyBorder="1" applyAlignment="1">
      <alignment horizontal="right" vertical="center"/>
    </xf>
    <xf numFmtId="3" fontId="4" fillId="2" borderId="132" xfId="0" applyNumberFormat="1" applyFont="1" applyFill="1" applyBorder="1" applyAlignment="1">
      <alignment horizontal="right" vertical="center"/>
    </xf>
    <xf numFmtId="3" fontId="4" fillId="2" borderId="96" xfId="0" applyNumberFormat="1" applyFont="1" applyFill="1" applyBorder="1" applyAlignment="1">
      <alignment horizontal="right" vertical="center"/>
    </xf>
    <xf numFmtId="0" fontId="4" fillId="4" borderId="94" xfId="0" applyFont="1" applyFill="1" applyBorder="1" applyAlignment="1">
      <alignment horizontal="left" vertical="center"/>
    </xf>
    <xf numFmtId="0" fontId="4" fillId="4" borderId="95" xfId="0" applyFont="1" applyFill="1" applyBorder="1" applyAlignment="1">
      <alignment horizontal="left" vertical="center"/>
    </xf>
    <xf numFmtId="0" fontId="12" fillId="4" borderId="132" xfId="0" applyFont="1" applyFill="1" applyBorder="1" applyAlignment="1">
      <alignment horizontal="left" vertical="center" wrapText="1"/>
    </xf>
    <xf numFmtId="3" fontId="4" fillId="4" borderId="132" xfId="0" applyNumberFormat="1" applyFont="1" applyFill="1" applyBorder="1" applyAlignment="1">
      <alignment horizontal="right" vertical="center" wrapText="1"/>
    </xf>
    <xf numFmtId="3" fontId="4" fillId="4" borderId="132" xfId="0" applyNumberFormat="1" applyFont="1" applyFill="1" applyBorder="1" applyAlignment="1">
      <alignment horizontal="right" vertical="center"/>
    </xf>
    <xf numFmtId="3" fontId="4" fillId="4" borderId="96" xfId="0" applyNumberFormat="1" applyFont="1" applyFill="1" applyBorder="1" applyAlignment="1">
      <alignment horizontal="right" vertical="center"/>
    </xf>
    <xf numFmtId="3" fontId="4" fillId="4" borderId="105" xfId="0" applyNumberFormat="1" applyFont="1" applyFill="1" applyBorder="1" applyAlignment="1">
      <alignment horizontal="right" vertical="center"/>
    </xf>
    <xf numFmtId="3" fontId="4" fillId="0" borderId="134" xfId="0" applyNumberFormat="1" applyFont="1" applyFill="1" applyBorder="1" applyAlignment="1">
      <alignment horizontal="right" vertical="center" wrapText="1"/>
    </xf>
    <xf numFmtId="3" fontId="4" fillId="2" borderId="126" xfId="0" applyNumberFormat="1" applyFont="1" applyFill="1" applyBorder="1" applyAlignment="1">
      <alignment horizontal="right" vertical="center" wrapText="1"/>
    </xf>
    <xf numFmtId="0" fontId="4" fillId="0" borderId="37" xfId="0" applyFont="1" applyBorder="1" applyAlignment="1">
      <alignment horizontal="left" vertical="center"/>
    </xf>
    <xf numFmtId="3" fontId="4" fillId="2" borderId="130" xfId="0" applyNumberFormat="1" applyFont="1" applyFill="1" applyBorder="1" applyAlignment="1">
      <alignment horizontal="right" vertical="center"/>
    </xf>
    <xf numFmtId="3" fontId="4" fillId="2" borderId="133" xfId="0" applyNumberFormat="1" applyFont="1" applyFill="1" applyBorder="1" applyAlignment="1">
      <alignment horizontal="right" vertical="center"/>
    </xf>
    <xf numFmtId="0" fontId="12" fillId="0" borderId="125" xfId="0" applyFont="1" applyBorder="1" applyAlignment="1">
      <alignment horizontal="left" vertical="center" wrapText="1"/>
    </xf>
    <xf numFmtId="0" fontId="12" fillId="0" borderId="139" xfId="0" applyFont="1" applyBorder="1" applyAlignment="1">
      <alignment horizontal="left" vertical="center" wrapText="1"/>
    </xf>
    <xf numFmtId="0" fontId="12" fillId="0" borderId="111" xfId="0" applyFont="1" applyBorder="1" applyAlignment="1">
      <alignment horizontal="left" vertical="center" wrapText="1"/>
    </xf>
    <xf numFmtId="0" fontId="12" fillId="0" borderId="126" xfId="0" applyFont="1" applyBorder="1" applyAlignment="1">
      <alignment horizontal="left" vertical="center" wrapText="1"/>
    </xf>
    <xf numFmtId="0" fontId="12" fillId="0" borderId="117" xfId="0" applyFont="1" applyBorder="1" applyAlignment="1">
      <alignment horizontal="left" vertical="center" wrapText="1"/>
    </xf>
    <xf numFmtId="0" fontId="12" fillId="0" borderId="114" xfId="0" applyFont="1" applyBorder="1" applyAlignment="1">
      <alignment horizontal="left" vertical="center" wrapText="1"/>
    </xf>
    <xf numFmtId="3" fontId="4" fillId="0" borderId="13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3" fontId="4" fillId="0" borderId="134" xfId="0" applyNumberFormat="1" applyFont="1" applyBorder="1" applyAlignment="1">
      <alignment horizontal="right" vertical="center" wrapText="1"/>
    </xf>
    <xf numFmtId="3" fontId="4" fillId="2" borderId="129" xfId="0" applyNumberFormat="1" applyFont="1" applyFill="1" applyBorder="1" applyAlignment="1">
      <alignment horizontal="right" vertical="center" wrapText="1"/>
    </xf>
    <xf numFmtId="3" fontId="4" fillId="4" borderId="133" xfId="0" applyNumberFormat="1" applyFont="1" applyFill="1" applyBorder="1" applyAlignment="1">
      <alignment horizontal="right" vertical="center"/>
    </xf>
    <xf numFmtId="3" fontId="4" fillId="4" borderId="13" xfId="0" applyNumberFormat="1" applyFont="1" applyFill="1" applyBorder="1" applyAlignment="1">
      <alignment horizontal="right" vertical="center" wrapText="1"/>
    </xf>
    <xf numFmtId="0" fontId="12" fillId="0" borderId="94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" fillId="0" borderId="96" xfId="0" applyFont="1" applyBorder="1" applyAlignment="1">
      <alignment horizontal="left" vertical="center" wrapText="1"/>
    </xf>
    <xf numFmtId="0" fontId="4" fillId="0" borderId="97" xfId="0" applyFont="1" applyBorder="1" applyAlignment="1">
      <alignment horizontal="left" vertical="center" wrapText="1"/>
    </xf>
    <xf numFmtId="0" fontId="4" fillId="0" borderId="98" xfId="0" applyFont="1" applyBorder="1" applyAlignment="1">
      <alignment horizontal="left" vertical="center" wrapText="1"/>
    </xf>
    <xf numFmtId="3" fontId="12" fillId="0" borderId="132" xfId="0" applyNumberFormat="1" applyFont="1" applyBorder="1" applyAlignment="1">
      <alignment horizontal="right" vertical="center" wrapText="1"/>
    </xf>
    <xf numFmtId="0" fontId="12" fillId="0" borderId="100" xfId="0" applyFont="1" applyBorder="1" applyAlignment="1">
      <alignment horizontal="left" vertical="center" wrapText="1"/>
    </xf>
    <xf numFmtId="0" fontId="12" fillId="0" borderId="10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top"/>
    </xf>
    <xf numFmtId="0" fontId="4" fillId="0" borderId="134" xfId="0" applyFont="1" applyBorder="1" applyAlignment="1">
      <alignment horizontal="left" vertical="center" wrapText="1"/>
    </xf>
    <xf numFmtId="0" fontId="12" fillId="0" borderId="133" xfId="0" applyFont="1" applyBorder="1" applyAlignment="1">
      <alignment horizontal="left" vertical="center"/>
    </xf>
    <xf numFmtId="3" fontId="12" fillId="2" borderId="133" xfId="0" applyNumberFormat="1" applyFont="1" applyFill="1" applyBorder="1" applyAlignment="1">
      <alignment horizontal="right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4" fillId="4" borderId="132" xfId="0" applyFont="1" applyFill="1" applyBorder="1" applyAlignment="1">
      <alignment horizontal="left"/>
    </xf>
    <xf numFmtId="0" fontId="4" fillId="4" borderId="134" xfId="0" applyFont="1" applyFill="1" applyBorder="1" applyAlignment="1">
      <alignment horizontal="left"/>
    </xf>
    <xf numFmtId="0" fontId="4" fillId="0" borderId="132" xfId="0" applyFont="1" applyBorder="1" applyAlignment="1">
      <alignment horizontal="left" vertical="center"/>
    </xf>
    <xf numFmtId="3" fontId="12" fillId="0" borderId="134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left" vertical="center"/>
    </xf>
    <xf numFmtId="0" fontId="4" fillId="0" borderId="92" xfId="0" applyFont="1" applyBorder="1" applyAlignment="1">
      <alignment horizontal="left" vertical="center"/>
    </xf>
    <xf numFmtId="0" fontId="4" fillId="0" borderId="106" xfId="0" applyFont="1" applyBorder="1" applyAlignment="1">
      <alignment horizontal="left" vertical="center"/>
    </xf>
    <xf numFmtId="3" fontId="4" fillId="0" borderId="106" xfId="0" applyNumberFormat="1" applyFont="1" applyBorder="1" applyAlignment="1">
      <alignment horizontal="right" vertical="center"/>
    </xf>
    <xf numFmtId="0" fontId="12" fillId="0" borderId="105" xfId="0" applyFont="1" applyBorder="1" applyAlignment="1">
      <alignment horizontal="left" vertical="center"/>
    </xf>
    <xf numFmtId="0" fontId="12" fillId="0" borderId="92" xfId="0" applyFont="1" applyBorder="1" applyAlignment="1">
      <alignment horizontal="left" vertical="center"/>
    </xf>
    <xf numFmtId="0" fontId="12" fillId="0" borderId="106" xfId="0" applyFont="1" applyBorder="1" applyAlignment="1">
      <alignment horizontal="left" vertical="center"/>
    </xf>
    <xf numFmtId="3" fontId="4" fillId="2" borderId="106" xfId="0" applyNumberFormat="1" applyFont="1" applyFill="1" applyBorder="1" applyAlignment="1">
      <alignment horizontal="right" vertical="center"/>
    </xf>
    <xf numFmtId="3" fontId="4" fillId="0" borderId="133" xfId="0" applyNumberFormat="1" applyFont="1" applyBorder="1" applyAlignment="1">
      <alignment horizontal="right" vertical="center"/>
    </xf>
    <xf numFmtId="0" fontId="12" fillId="0" borderId="125" xfId="0" applyFont="1" applyBorder="1" applyAlignment="1">
      <alignment horizontal="left" vertical="center"/>
    </xf>
    <xf numFmtId="0" fontId="12" fillId="0" borderId="139" xfId="0" applyFont="1" applyBorder="1" applyAlignment="1">
      <alignment horizontal="left" vertical="center"/>
    </xf>
    <xf numFmtId="0" fontId="12" fillId="0" borderId="111" xfId="0" applyFont="1" applyBorder="1" applyAlignment="1">
      <alignment horizontal="left" vertical="center"/>
    </xf>
    <xf numFmtId="3" fontId="12" fillId="2" borderId="13" xfId="0" applyNumberFormat="1" applyFont="1" applyFill="1" applyBorder="1" applyAlignment="1">
      <alignment horizontal="right" vertical="center"/>
    </xf>
    <xf numFmtId="0" fontId="49" fillId="4" borderId="0" xfId="0" applyFont="1" applyFill="1" applyAlignment="1">
      <alignment horizontal="left" vertical="top"/>
    </xf>
    <xf numFmtId="0" fontId="12" fillId="0" borderId="94" xfId="0" applyFont="1" applyBorder="1" applyAlignment="1">
      <alignment horizontal="center" vertical="center" wrapText="1"/>
    </xf>
    <xf numFmtId="0" fontId="12" fillId="0" borderId="9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6" xfId="0" applyFont="1" applyBorder="1" applyAlignment="1">
      <alignment horizontal="left" vertical="center"/>
    </xf>
    <xf numFmtId="0" fontId="12" fillId="0" borderId="117" xfId="0" applyFont="1" applyBorder="1" applyAlignment="1">
      <alignment horizontal="left" vertical="center"/>
    </xf>
    <xf numFmtId="0" fontId="12" fillId="0" borderId="114" xfId="0" applyFont="1" applyBorder="1" applyAlignment="1">
      <alignment horizontal="left" vertical="center"/>
    </xf>
    <xf numFmtId="3" fontId="4" fillId="0" borderId="104" xfId="0" applyNumberFormat="1" applyFont="1" applyBorder="1" applyAlignment="1">
      <alignment horizontal="right" vertical="center"/>
    </xf>
    <xf numFmtId="3" fontId="4" fillId="0" borderId="142" xfId="0" applyNumberFormat="1" applyFont="1" applyBorder="1" applyAlignment="1">
      <alignment horizontal="right" vertical="center"/>
    </xf>
    <xf numFmtId="0" fontId="4" fillId="0" borderId="133" xfId="0" applyFont="1" applyBorder="1" applyAlignment="1">
      <alignment horizontal="left" vertical="center" wrapText="1"/>
    </xf>
    <xf numFmtId="0" fontId="12" fillId="0" borderId="134" xfId="0" applyFont="1" applyBorder="1" applyAlignment="1">
      <alignment horizontal="left" vertical="center" wrapText="1"/>
    </xf>
    <xf numFmtId="3" fontId="12" fillId="0" borderId="132" xfId="0" applyNumberFormat="1" applyFont="1" applyBorder="1" applyAlignment="1">
      <alignment horizontal="right" vertical="center"/>
    </xf>
    <xf numFmtId="0" fontId="12" fillId="4" borderId="125" xfId="0" applyFont="1" applyFill="1" applyBorder="1" applyAlignment="1">
      <alignment horizontal="left" vertical="center" wrapText="1"/>
    </xf>
    <xf numFmtId="0" fontId="12" fillId="4" borderId="139" xfId="0" applyFont="1" applyFill="1" applyBorder="1" applyAlignment="1">
      <alignment horizontal="left" vertical="center" wrapText="1"/>
    </xf>
    <xf numFmtId="0" fontId="12" fillId="4" borderId="111" xfId="0" applyFont="1" applyFill="1" applyBorder="1" applyAlignment="1">
      <alignment horizontal="left" vertical="center" wrapText="1"/>
    </xf>
    <xf numFmtId="0" fontId="4" fillId="4" borderId="102" xfId="0" applyFont="1" applyFill="1" applyBorder="1" applyAlignment="1">
      <alignment horizontal="left" vertical="center" wrapText="1"/>
    </xf>
    <xf numFmtId="0" fontId="4" fillId="4" borderId="103" xfId="0" applyFont="1" applyFill="1" applyBorder="1" applyAlignment="1">
      <alignment horizontal="left" vertical="center" wrapText="1"/>
    </xf>
    <xf numFmtId="0" fontId="4" fillId="4" borderId="104" xfId="0" applyFont="1" applyFill="1" applyBorder="1" applyAlignment="1">
      <alignment horizontal="left" vertical="center" wrapText="1"/>
    </xf>
    <xf numFmtId="0" fontId="4" fillId="4" borderId="125" xfId="0" applyFont="1" applyFill="1" applyBorder="1" applyAlignment="1">
      <alignment horizontal="left" vertical="center" wrapText="1"/>
    </xf>
    <xf numFmtId="0" fontId="4" fillId="4" borderId="139" xfId="0" applyFont="1" applyFill="1" applyBorder="1" applyAlignment="1">
      <alignment horizontal="left" vertical="center" wrapText="1"/>
    </xf>
    <xf numFmtId="0" fontId="4" fillId="4" borderId="111" xfId="0" applyFont="1" applyFill="1" applyBorder="1" applyAlignment="1">
      <alignment horizontal="left" vertical="center" wrapText="1"/>
    </xf>
    <xf numFmtId="3" fontId="4" fillId="0" borderId="111" xfId="0" applyNumberFormat="1" applyFont="1" applyBorder="1" applyAlignment="1">
      <alignment horizontal="right" vertical="center"/>
    </xf>
    <xf numFmtId="3" fontId="4" fillId="0" borderId="129" xfId="0" applyNumberFormat="1" applyFont="1" applyBorder="1" applyAlignment="1">
      <alignment horizontal="right" vertical="center"/>
    </xf>
    <xf numFmtId="0" fontId="4" fillId="4" borderId="105" xfId="0" applyFont="1" applyFill="1" applyBorder="1" applyAlignment="1">
      <alignment horizontal="left" vertical="center" wrapText="1"/>
    </xf>
    <xf numFmtId="0" fontId="4" fillId="4" borderId="92" xfId="0" applyFont="1" applyFill="1" applyBorder="1" applyAlignment="1">
      <alignment horizontal="left" vertical="center" wrapText="1"/>
    </xf>
    <xf numFmtId="0" fontId="4" fillId="4" borderId="106" xfId="0" applyFont="1" applyFill="1" applyBorder="1" applyAlignment="1">
      <alignment horizontal="left" vertical="center" wrapText="1"/>
    </xf>
    <xf numFmtId="3" fontId="75" fillId="0" borderId="134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left" vertical="top"/>
    </xf>
    <xf numFmtId="3" fontId="4" fillId="0" borderId="43" xfId="0" applyNumberFormat="1" applyFont="1" applyBorder="1" applyAlignment="1">
      <alignment horizontal="right" vertical="center"/>
    </xf>
    <xf numFmtId="3" fontId="4" fillId="0" borderId="76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12" fillId="0" borderId="77" xfId="0" applyNumberFormat="1" applyFont="1" applyBorder="1" applyAlignment="1">
      <alignment horizontal="right" vertical="center"/>
    </xf>
    <xf numFmtId="3" fontId="4" fillId="2" borderId="70" xfId="0" applyNumberFormat="1" applyFont="1" applyFill="1" applyBorder="1" applyAlignment="1">
      <alignment horizontal="right" vertical="center"/>
    </xf>
    <xf numFmtId="3" fontId="4" fillId="2" borderId="58" xfId="0" applyNumberFormat="1" applyFont="1" applyFill="1" applyBorder="1" applyAlignment="1">
      <alignment horizontal="right" vertical="center"/>
    </xf>
    <xf numFmtId="3" fontId="12" fillId="0" borderId="125" xfId="0" applyNumberFormat="1" applyFont="1" applyBorder="1" applyAlignment="1">
      <alignment horizontal="right" vertical="center"/>
    </xf>
    <xf numFmtId="3" fontId="12" fillId="0" borderId="139" xfId="0" applyNumberFormat="1" applyFont="1" applyBorder="1" applyAlignment="1">
      <alignment horizontal="right" vertical="center"/>
    </xf>
    <xf numFmtId="3" fontId="12" fillId="0" borderId="113" xfId="0" applyNumberFormat="1" applyFont="1" applyBorder="1" applyAlignment="1">
      <alignment horizontal="right" vertical="center"/>
    </xf>
    <xf numFmtId="3" fontId="4" fillId="0" borderId="126" xfId="0" applyNumberFormat="1" applyFont="1" applyBorder="1" applyAlignment="1">
      <alignment horizontal="right" vertical="center"/>
    </xf>
    <xf numFmtId="3" fontId="4" fillId="0" borderId="117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0" fontId="4" fillId="0" borderId="129" xfId="0" applyFont="1" applyBorder="1" applyAlignment="1">
      <alignment horizontal="left" vertical="center" wrapText="1"/>
    </xf>
    <xf numFmtId="3" fontId="4" fillId="2" borderId="129" xfId="0" applyNumberFormat="1" applyFont="1" applyFill="1" applyBorder="1" applyAlignment="1">
      <alignment horizontal="right" vertical="center"/>
    </xf>
    <xf numFmtId="0" fontId="4" fillId="0" borderId="130" xfId="0" applyFont="1" applyBorder="1" applyAlignment="1">
      <alignment horizontal="left" vertical="center" wrapText="1"/>
    </xf>
    <xf numFmtId="3" fontId="4" fillId="0" borderId="130" xfId="0" applyNumberFormat="1" applyFont="1" applyBorder="1" applyAlignment="1">
      <alignment horizontal="right" vertical="center"/>
    </xf>
    <xf numFmtId="0" fontId="12" fillId="0" borderId="125" xfId="0" applyFont="1" applyBorder="1" applyAlignment="1">
      <alignment horizontal="left"/>
    </xf>
    <xf numFmtId="0" fontId="12" fillId="0" borderId="139" xfId="0" applyFont="1" applyBorder="1" applyAlignment="1">
      <alignment horizontal="left"/>
    </xf>
    <xf numFmtId="0" fontId="12" fillId="0" borderId="111" xfId="0" applyFont="1" applyBorder="1" applyAlignment="1">
      <alignment horizontal="left"/>
    </xf>
    <xf numFmtId="0" fontId="4" fillId="0" borderId="105" xfId="0" applyFont="1" applyBorder="1" applyAlignment="1">
      <alignment horizontal="left"/>
    </xf>
    <xf numFmtId="0" fontId="4" fillId="0" borderId="92" xfId="0" applyFont="1" applyBorder="1" applyAlignment="1">
      <alignment horizontal="left"/>
    </xf>
    <xf numFmtId="0" fontId="4" fillId="0" borderId="106" xfId="0" applyFont="1" applyBorder="1" applyAlignment="1">
      <alignment horizontal="left"/>
    </xf>
    <xf numFmtId="0" fontId="12" fillId="4" borderId="126" xfId="0" applyFont="1" applyFill="1" applyBorder="1" applyAlignment="1">
      <alignment horizontal="left" vertical="center" wrapText="1"/>
    </xf>
    <xf numFmtId="0" fontId="12" fillId="4" borderId="117" xfId="0" applyFont="1" applyFill="1" applyBorder="1" applyAlignment="1">
      <alignment horizontal="left" vertical="center" wrapText="1"/>
    </xf>
    <xf numFmtId="0" fontId="12" fillId="4" borderId="114" xfId="0" applyFont="1" applyFill="1" applyBorder="1" applyAlignment="1">
      <alignment horizontal="left" vertical="center" wrapText="1"/>
    </xf>
    <xf numFmtId="0" fontId="4" fillId="0" borderId="126" xfId="0" applyFont="1" applyBorder="1" applyAlignment="1">
      <alignment horizontal="left"/>
    </xf>
    <xf numFmtId="0" fontId="4" fillId="0" borderId="117" xfId="0" applyFont="1" applyBorder="1" applyAlignment="1">
      <alignment horizontal="left"/>
    </xf>
    <xf numFmtId="0" fontId="4" fillId="0" borderId="114" xfId="0" applyFont="1" applyBorder="1" applyAlignment="1">
      <alignment horizontal="left"/>
    </xf>
    <xf numFmtId="0" fontId="12" fillId="0" borderId="94" xfId="0" applyFont="1" applyBorder="1" applyAlignment="1">
      <alignment horizontal="left"/>
    </xf>
    <xf numFmtId="0" fontId="12" fillId="0" borderId="95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94" xfId="0" applyFont="1" applyBorder="1" applyAlignment="1">
      <alignment horizontal="center"/>
    </xf>
    <xf numFmtId="0" fontId="12" fillId="0" borderId="95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3" fontId="4" fillId="2" borderId="125" xfId="0" applyNumberFormat="1" applyFont="1" applyFill="1" applyBorder="1" applyAlignment="1">
      <alignment horizontal="right" vertical="center"/>
    </xf>
    <xf numFmtId="3" fontId="4" fillId="2" borderId="139" xfId="0" applyNumberFormat="1" applyFont="1" applyFill="1" applyBorder="1" applyAlignment="1">
      <alignment horizontal="right" vertical="center"/>
    </xf>
    <xf numFmtId="3" fontId="4" fillId="2" borderId="111" xfId="0" applyNumberFormat="1" applyFont="1" applyFill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9" xfId="0" applyFont="1" applyBorder="1" applyAlignment="1">
      <alignment horizontal="left" vertical="center"/>
    </xf>
    <xf numFmtId="0" fontId="4" fillId="0" borderId="130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3" fontId="4" fillId="0" borderId="94" xfId="0" applyNumberFormat="1" applyFont="1" applyBorder="1" applyAlignment="1">
      <alignment horizontal="right" vertical="center"/>
    </xf>
    <xf numFmtId="3" fontId="4" fillId="0" borderId="9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4" fillId="4" borderId="129" xfId="0" applyFont="1" applyFill="1" applyBorder="1" applyAlignment="1">
      <alignment horizontal="left" vertical="center" wrapText="1"/>
    </xf>
    <xf numFmtId="3" fontId="4" fillId="4" borderId="129" xfId="0" applyNumberFormat="1" applyFont="1" applyFill="1" applyBorder="1" applyAlignment="1">
      <alignment horizontal="center"/>
    </xf>
    <xf numFmtId="3" fontId="4" fillId="4" borderId="76" xfId="0" applyNumberFormat="1" applyFont="1" applyFill="1" applyBorder="1" applyAlignment="1">
      <alignment horizontal="center"/>
    </xf>
    <xf numFmtId="3" fontId="4" fillId="4" borderId="111" xfId="0" applyNumberFormat="1" applyFont="1" applyFill="1" applyBorder="1" applyAlignment="1">
      <alignment horizontal="center"/>
    </xf>
    <xf numFmtId="0" fontId="4" fillId="4" borderId="142" xfId="0" applyFont="1" applyFill="1" applyBorder="1" applyAlignment="1">
      <alignment horizontal="left" vertical="center" wrapText="1"/>
    </xf>
    <xf numFmtId="3" fontId="4" fillId="4" borderId="142" xfId="0" applyNumberFormat="1" applyFont="1" applyFill="1" applyBorder="1" applyAlignment="1">
      <alignment horizontal="center"/>
    </xf>
    <xf numFmtId="3" fontId="4" fillId="4" borderId="72" xfId="0" applyNumberFormat="1" applyFont="1" applyFill="1" applyBorder="1" applyAlignment="1">
      <alignment horizontal="center"/>
    </xf>
    <xf numFmtId="3" fontId="4" fillId="4" borderId="104" xfId="0" applyNumberFormat="1" applyFont="1" applyFill="1" applyBorder="1" applyAlignment="1">
      <alignment horizontal="center"/>
    </xf>
    <xf numFmtId="0" fontId="12" fillId="4" borderId="37" xfId="0" applyFont="1" applyFill="1" applyBorder="1" applyAlignment="1">
      <alignment horizontal="left" vertical="center" wrapText="1"/>
    </xf>
    <xf numFmtId="3" fontId="12" fillId="4" borderId="37" xfId="0" applyNumberFormat="1" applyFont="1" applyFill="1" applyBorder="1" applyAlignment="1">
      <alignment horizontal="right" vertical="center"/>
    </xf>
    <xf numFmtId="3" fontId="12" fillId="4" borderId="135" xfId="0" applyNumberFormat="1" applyFont="1" applyFill="1" applyBorder="1" applyAlignment="1">
      <alignment horizontal="right" vertical="center"/>
    </xf>
    <xf numFmtId="3" fontId="12" fillId="4" borderId="17" xfId="0" applyNumberFormat="1" applyFont="1" applyFill="1" applyBorder="1" applyAlignment="1">
      <alignment horizontal="right" vertical="center"/>
    </xf>
    <xf numFmtId="0" fontId="12" fillId="4" borderId="132" xfId="0" applyFont="1" applyFill="1" applyBorder="1" applyAlignment="1">
      <alignment horizontal="center" vertical="center" wrapText="1"/>
    </xf>
    <xf numFmtId="0" fontId="4" fillId="0" borderId="126" xfId="0" applyFont="1" applyBorder="1" applyAlignment="1">
      <alignment horizontal="left" vertical="center"/>
    </xf>
    <xf numFmtId="0" fontId="4" fillId="0" borderId="117" xfId="0" applyFont="1" applyBorder="1" applyAlignment="1">
      <alignment horizontal="left" vertical="center"/>
    </xf>
    <xf numFmtId="0" fontId="4" fillId="0" borderId="114" xfId="0" applyFont="1" applyBorder="1" applyAlignment="1">
      <alignment horizontal="left" vertical="center"/>
    </xf>
    <xf numFmtId="0" fontId="4" fillId="2" borderId="125" xfId="0" applyFont="1" applyFill="1" applyBorder="1" applyAlignment="1">
      <alignment horizontal="center" vertical="center"/>
    </xf>
    <xf numFmtId="0" fontId="4" fillId="2" borderId="139" xfId="0" applyFont="1" applyFill="1" applyBorder="1" applyAlignment="1">
      <alignment horizontal="center" vertical="center"/>
    </xf>
    <xf numFmtId="0" fontId="4" fillId="0" borderId="105" xfId="0" applyFont="1" applyBorder="1" applyAlignment="1">
      <alignment horizontal="right" vertical="center"/>
    </xf>
    <xf numFmtId="0" fontId="4" fillId="0" borderId="92" xfId="0" applyFont="1" applyBorder="1" applyAlignment="1">
      <alignment horizontal="right" vertical="center"/>
    </xf>
    <xf numFmtId="0" fontId="4" fillId="0" borderId="126" xfId="0" applyFont="1" applyBorder="1" applyAlignment="1">
      <alignment horizontal="right" vertical="center"/>
    </xf>
    <xf numFmtId="0" fontId="4" fillId="0" borderId="117" xfId="0" applyFont="1" applyBorder="1" applyAlignment="1">
      <alignment horizontal="right" vertical="center"/>
    </xf>
    <xf numFmtId="3" fontId="12" fillId="2" borderId="112" xfId="0" applyNumberFormat="1" applyFont="1" applyFill="1" applyBorder="1" applyAlignment="1">
      <alignment horizontal="right" vertical="center"/>
    </xf>
    <xf numFmtId="3" fontId="12" fillId="2" borderId="139" xfId="0" applyNumberFormat="1" applyFont="1" applyFill="1" applyBorder="1" applyAlignment="1">
      <alignment horizontal="right" vertical="center"/>
    </xf>
    <xf numFmtId="3" fontId="12" fillId="2" borderId="113" xfId="0" applyNumberFormat="1" applyFont="1" applyFill="1" applyBorder="1" applyAlignment="1">
      <alignment horizontal="right" vertical="center"/>
    </xf>
    <xf numFmtId="3" fontId="4" fillId="0" borderId="115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81" xfId="0" applyNumberFormat="1" applyFont="1" applyBorder="1" applyAlignment="1">
      <alignment horizontal="right" vertical="center"/>
    </xf>
    <xf numFmtId="3" fontId="12" fillId="2" borderId="125" xfId="0" applyNumberFormat="1" applyFont="1" applyFill="1" applyBorder="1" applyAlignment="1">
      <alignment horizontal="right" vertical="center" wrapText="1"/>
    </xf>
    <xf numFmtId="3" fontId="12" fillId="2" borderId="139" xfId="0" applyNumberFormat="1" applyFont="1" applyFill="1" applyBorder="1" applyAlignment="1">
      <alignment horizontal="right" vertical="center" wrapText="1"/>
    </xf>
    <xf numFmtId="3" fontId="12" fillId="2" borderId="111" xfId="0" applyNumberFormat="1" applyFont="1" applyFill="1" applyBorder="1" applyAlignment="1">
      <alignment horizontal="right" vertical="center" wrapText="1"/>
    </xf>
    <xf numFmtId="3" fontId="4" fillId="0" borderId="132" xfId="0" applyNumberFormat="1" applyFont="1" applyBorder="1" applyAlignment="1">
      <alignment horizontal="right" vertical="center" wrapText="1"/>
    </xf>
    <xf numFmtId="0" fontId="4" fillId="4" borderId="133" xfId="0" applyFont="1" applyFill="1" applyBorder="1" applyAlignment="1">
      <alignment horizontal="left" vertical="center" wrapText="1"/>
    </xf>
    <xf numFmtId="3" fontId="12" fillId="0" borderId="96" xfId="0" applyNumberFormat="1" applyFont="1" applyBorder="1" applyAlignment="1">
      <alignment horizontal="right" vertical="center" wrapText="1"/>
    </xf>
    <xf numFmtId="3" fontId="12" fillId="0" borderId="97" xfId="0" applyNumberFormat="1" applyFont="1" applyBorder="1" applyAlignment="1">
      <alignment horizontal="right" vertical="center" wrapText="1"/>
    </xf>
    <xf numFmtId="3" fontId="12" fillId="0" borderId="98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left" vertical="center" wrapText="1"/>
    </xf>
    <xf numFmtId="3" fontId="4" fillId="0" borderId="105" xfId="0" applyNumberFormat="1" applyFont="1" applyBorder="1" applyAlignment="1">
      <alignment horizontal="right" vertical="center" wrapText="1"/>
    </xf>
    <xf numFmtId="3" fontId="4" fillId="0" borderId="106" xfId="0" applyNumberFormat="1" applyFont="1" applyBorder="1" applyAlignment="1">
      <alignment horizontal="right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33" xfId="0" applyFont="1" applyFill="1" applyBorder="1" applyAlignment="1">
      <alignment horizontal="center" vertical="center"/>
    </xf>
    <xf numFmtId="0" fontId="4" fillId="0" borderId="102" xfId="0" applyFont="1" applyBorder="1" applyAlignment="1">
      <alignment horizontal="left" vertical="center" wrapText="1"/>
    </xf>
    <xf numFmtId="0" fontId="4" fillId="0" borderId="103" xfId="0" applyFont="1" applyBorder="1" applyAlignment="1">
      <alignment horizontal="left" vertical="center" wrapText="1"/>
    </xf>
    <xf numFmtId="0" fontId="4" fillId="0" borderId="104" xfId="0" applyFont="1" applyBorder="1" applyAlignment="1">
      <alignment horizontal="left" vertical="center" wrapText="1"/>
    </xf>
    <xf numFmtId="3" fontId="4" fillId="0" borderId="126" xfId="0" applyNumberFormat="1" applyFont="1" applyBorder="1" applyAlignment="1">
      <alignment horizontal="center" vertical="center"/>
    </xf>
    <xf numFmtId="3" fontId="4" fillId="0" borderId="117" xfId="0" applyNumberFormat="1" applyFont="1" applyBorder="1" applyAlignment="1">
      <alignment horizontal="center" vertical="center"/>
    </xf>
    <xf numFmtId="3" fontId="4" fillId="0" borderId="114" xfId="0" applyNumberFormat="1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4" fillId="0" borderId="134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 wrapText="1"/>
    </xf>
    <xf numFmtId="3" fontId="12" fillId="2" borderId="76" xfId="0" applyNumberFormat="1" applyFont="1" applyFill="1" applyBorder="1" applyAlignment="1">
      <alignment horizontal="right" vertical="center"/>
    </xf>
    <xf numFmtId="3" fontId="12" fillId="2" borderId="77" xfId="0" applyNumberFormat="1" applyFont="1" applyFill="1" applyBorder="1" applyAlignment="1">
      <alignment horizontal="right" vertical="center"/>
    </xf>
    <xf numFmtId="3" fontId="12" fillId="2" borderId="78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125" xfId="0" applyFont="1" applyBorder="1" applyAlignment="1">
      <alignment horizontal="left" vertical="center" wrapText="1"/>
    </xf>
    <xf numFmtId="0" fontId="4" fillId="0" borderId="139" xfId="0" applyFont="1" applyBorder="1" applyAlignment="1">
      <alignment horizontal="left" vertical="center" wrapText="1"/>
    </xf>
    <xf numFmtId="0" fontId="4" fillId="0" borderId="111" xfId="0" applyFont="1" applyBorder="1" applyAlignment="1">
      <alignment horizontal="left" vertical="center" wrapText="1"/>
    </xf>
    <xf numFmtId="0" fontId="12" fillId="0" borderId="132" xfId="0" applyFont="1" applyBorder="1" applyAlignment="1">
      <alignment horizontal="center" vertical="center" wrapText="1"/>
    </xf>
    <xf numFmtId="3" fontId="4" fillId="0" borderId="98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4" fillId="0" borderId="133" xfId="0" applyFont="1" applyBorder="1" applyAlignment="1">
      <alignment horizontal="left" vertical="center"/>
    </xf>
    <xf numFmtId="3" fontId="12" fillId="2" borderId="125" xfId="0" applyNumberFormat="1" applyFont="1" applyFill="1" applyBorder="1" applyAlignment="1">
      <alignment horizontal="center" vertical="center"/>
    </xf>
    <xf numFmtId="3" fontId="12" fillId="2" borderId="139" xfId="0" applyNumberFormat="1" applyFont="1" applyFill="1" applyBorder="1" applyAlignment="1">
      <alignment horizontal="center" vertical="center"/>
    </xf>
    <xf numFmtId="3" fontId="12" fillId="2" borderId="111" xfId="0" applyNumberFormat="1" applyFont="1" applyFill="1" applyBorder="1" applyAlignment="1">
      <alignment horizontal="center" vertical="center"/>
    </xf>
    <xf numFmtId="0" fontId="0" fillId="0" borderId="139" xfId="0" applyFont="1" applyBorder="1"/>
    <xf numFmtId="0" fontId="0" fillId="0" borderId="111" xfId="0" applyFont="1" applyBorder="1"/>
    <xf numFmtId="0" fontId="4" fillId="0" borderId="37" xfId="0" applyFont="1" applyBorder="1" applyAlignment="1">
      <alignment horizontal="left" vertical="center" wrapText="1"/>
    </xf>
    <xf numFmtId="0" fontId="4" fillId="0" borderId="133" xfId="0" applyFont="1" applyFill="1" applyBorder="1" applyAlignment="1">
      <alignment horizontal="left" vertical="center" wrapText="1"/>
    </xf>
    <xf numFmtId="3" fontId="4" fillId="0" borderId="133" xfId="0" applyNumberFormat="1" applyFont="1" applyFill="1" applyBorder="1" applyAlignment="1">
      <alignment horizontal="right" vertical="center"/>
    </xf>
    <xf numFmtId="0" fontId="4" fillId="9" borderId="37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justify" vertical="top" wrapText="1"/>
    </xf>
    <xf numFmtId="0" fontId="4" fillId="4" borderId="134" xfId="0" applyFont="1" applyFill="1" applyBorder="1" applyAlignment="1">
      <alignment horizontal="center" vertical="center" wrapText="1"/>
    </xf>
    <xf numFmtId="0" fontId="4" fillId="4" borderId="126" xfId="0" applyFont="1" applyFill="1" applyBorder="1" applyAlignment="1">
      <alignment horizontal="left" vertical="center" wrapText="1"/>
    </xf>
    <xf numFmtId="0" fontId="4" fillId="4" borderId="117" xfId="0" applyFont="1" applyFill="1" applyBorder="1" applyAlignment="1">
      <alignment horizontal="left" vertical="center" wrapText="1"/>
    </xf>
    <xf numFmtId="0" fontId="4" fillId="4" borderId="114" xfId="0" applyFont="1" applyFill="1" applyBorder="1" applyAlignment="1">
      <alignment horizontal="left" vertical="center" wrapText="1"/>
    </xf>
    <xf numFmtId="3" fontId="4" fillId="0" borderId="133" xfId="0" applyNumberFormat="1" applyFont="1" applyBorder="1" applyAlignment="1">
      <alignment horizontal="right" vertical="center" wrapText="1"/>
    </xf>
    <xf numFmtId="0" fontId="12" fillId="0" borderId="37" xfId="0" applyNumberFormat="1" applyFont="1" applyBorder="1" applyAlignment="1">
      <alignment horizontal="center" vertical="center" wrapText="1"/>
    </xf>
    <xf numFmtId="0" fontId="4" fillId="0" borderId="133" xfId="0" applyNumberFormat="1" applyFont="1" applyBorder="1" applyAlignment="1">
      <alignment horizontal="left" vertical="center" wrapText="1"/>
    </xf>
    <xf numFmtId="0" fontId="4" fillId="0" borderId="134" xfId="0" applyNumberFormat="1" applyFont="1" applyBorder="1" applyAlignment="1">
      <alignment horizontal="left" vertical="center" wrapText="1"/>
    </xf>
    <xf numFmtId="0" fontId="4" fillId="0" borderId="132" xfId="0" applyNumberFormat="1" applyFont="1" applyBorder="1" applyAlignment="1">
      <alignment horizontal="left" vertical="center" wrapText="1"/>
    </xf>
    <xf numFmtId="175" fontId="4" fillId="4" borderId="133" xfId="0" applyNumberFormat="1" applyFont="1" applyFill="1" applyBorder="1" applyAlignment="1">
      <alignment horizontal="right" vertical="center"/>
    </xf>
    <xf numFmtId="175" fontId="4" fillId="4" borderId="134" xfId="0" applyNumberFormat="1" applyFont="1" applyFill="1" applyBorder="1" applyAlignment="1">
      <alignment horizontal="right" vertical="center"/>
    </xf>
    <xf numFmtId="10" fontId="4" fillId="4" borderId="132" xfId="0" applyNumberFormat="1" applyFont="1" applyFill="1" applyBorder="1" applyAlignment="1">
      <alignment horizontal="right" vertical="center"/>
    </xf>
    <xf numFmtId="9" fontId="4" fillId="4" borderId="125" xfId="1" applyFont="1" applyFill="1" applyBorder="1" applyAlignment="1">
      <alignment horizontal="right" vertical="center"/>
    </xf>
    <xf numFmtId="9" fontId="4" fillId="4" borderId="139" xfId="1" applyFont="1" applyFill="1" applyBorder="1" applyAlignment="1">
      <alignment horizontal="right" vertical="center"/>
    </xf>
    <xf numFmtId="9" fontId="4" fillId="4" borderId="111" xfId="1" applyFont="1" applyFill="1" applyBorder="1" applyAlignment="1">
      <alignment horizontal="right" vertical="center"/>
    </xf>
    <xf numFmtId="0" fontId="4" fillId="4" borderId="134" xfId="0" applyFont="1" applyFill="1" applyBorder="1" applyAlignment="1">
      <alignment horizontal="right" vertical="center"/>
    </xf>
    <xf numFmtId="175" fontId="4" fillId="4" borderId="13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101" xfId="0" applyFont="1" applyBorder="1" applyAlignment="1">
      <alignment horizontal="center" wrapText="1"/>
    </xf>
    <xf numFmtId="0" fontId="4" fillId="0" borderId="11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0" borderId="114" xfId="0" applyNumberFormat="1" applyFont="1" applyBorder="1" applyAlignment="1">
      <alignment horizontal="right" vertical="center"/>
    </xf>
    <xf numFmtId="3" fontId="4" fillId="4" borderId="125" xfId="0" applyNumberFormat="1" applyFont="1" applyFill="1" applyBorder="1" applyAlignment="1">
      <alignment horizontal="right" vertical="center"/>
    </xf>
    <xf numFmtId="3" fontId="4" fillId="4" borderId="139" xfId="0" applyNumberFormat="1" applyFont="1" applyFill="1" applyBorder="1" applyAlignment="1">
      <alignment horizontal="right" vertical="center"/>
    </xf>
    <xf numFmtId="3" fontId="4" fillId="4" borderId="111" xfId="0" applyNumberFormat="1" applyFont="1" applyFill="1" applyBorder="1" applyAlignment="1">
      <alignment horizontal="right" vertical="center"/>
    </xf>
    <xf numFmtId="0" fontId="12" fillId="0" borderId="37" xfId="0" applyFont="1" applyBorder="1" applyAlignment="1">
      <alignment horizontal="left"/>
    </xf>
    <xf numFmtId="0" fontId="4" fillId="0" borderId="69" xfId="0" applyFont="1" applyBorder="1" applyAlignment="1">
      <alignment horizontal="left"/>
    </xf>
    <xf numFmtId="0" fontId="4" fillId="0" borderId="70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67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68" xfId="0" applyFont="1" applyBorder="1" applyAlignment="1">
      <alignment horizontal="left"/>
    </xf>
    <xf numFmtId="0" fontId="4" fillId="0" borderId="128" xfId="0" applyFont="1" applyBorder="1" applyAlignment="1">
      <alignment horizontal="left"/>
    </xf>
    <xf numFmtId="0" fontId="4" fillId="0" borderId="140" xfId="0" applyFont="1" applyBorder="1" applyAlignment="1">
      <alignment horizontal="left"/>
    </xf>
    <xf numFmtId="0" fontId="4" fillId="0" borderId="131" xfId="0" applyFont="1" applyBorder="1" applyAlignment="1">
      <alignment horizontal="left"/>
    </xf>
    <xf numFmtId="0" fontId="4" fillId="0" borderId="109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4" fillId="0" borderId="93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07" xfId="0" applyFont="1" applyBorder="1" applyAlignment="1">
      <alignment horizontal="center"/>
    </xf>
    <xf numFmtId="0" fontId="4" fillId="0" borderId="140" xfId="0" applyFont="1" applyBorder="1" applyAlignment="1">
      <alignment horizontal="center"/>
    </xf>
    <xf numFmtId="3" fontId="4" fillId="0" borderId="43" xfId="0" applyNumberFormat="1" applyFont="1" applyBorder="1" applyAlignment="1">
      <alignment horizontal="center"/>
    </xf>
    <xf numFmtId="3" fontId="4" fillId="0" borderId="68" xfId="0" applyNumberFormat="1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140" xfId="0" applyNumberFormat="1" applyFont="1" applyBorder="1" applyAlignment="1">
      <alignment horizontal="center"/>
    </xf>
    <xf numFmtId="3" fontId="4" fillId="0" borderId="131" xfId="0" applyNumberFormat="1" applyFont="1" applyBorder="1" applyAlignment="1">
      <alignment horizontal="center"/>
    </xf>
    <xf numFmtId="0" fontId="12" fillId="0" borderId="135" xfId="0" applyFont="1" applyBorder="1" applyAlignment="1">
      <alignment horizontal="left"/>
    </xf>
    <xf numFmtId="0" fontId="12" fillId="0" borderId="141" xfId="0" applyFont="1" applyBorder="1" applyAlignment="1">
      <alignment horizontal="left"/>
    </xf>
    <xf numFmtId="0" fontId="12" fillId="0" borderId="127" xfId="0" applyFont="1" applyBorder="1" applyAlignment="1">
      <alignment horizontal="left"/>
    </xf>
    <xf numFmtId="0" fontId="12" fillId="9" borderId="135" xfId="0" applyFont="1" applyFill="1" applyBorder="1" applyAlignment="1">
      <alignment horizontal="left" vertical="center" wrapText="1"/>
    </xf>
    <xf numFmtId="0" fontId="12" fillId="9" borderId="141" xfId="0" applyFont="1" applyFill="1" applyBorder="1" applyAlignment="1">
      <alignment horizontal="left" vertical="center" wrapText="1"/>
    </xf>
    <xf numFmtId="0" fontId="12" fillId="9" borderId="127" xfId="0" applyFont="1" applyFill="1" applyBorder="1" applyAlignment="1">
      <alignment horizontal="left" vertical="center" wrapText="1"/>
    </xf>
    <xf numFmtId="0" fontId="4" fillId="2" borderId="137" xfId="0" applyFont="1" applyFill="1" applyBorder="1" applyAlignment="1">
      <alignment horizontal="center" vertical="center"/>
    </xf>
    <xf numFmtId="0" fontId="4" fillId="2" borderId="141" xfId="0" applyFont="1" applyFill="1" applyBorder="1" applyAlignment="1">
      <alignment horizontal="center" vertical="center"/>
    </xf>
    <xf numFmtId="3" fontId="4" fillId="2" borderId="136" xfId="0" applyNumberFormat="1" applyFont="1" applyFill="1" applyBorder="1" applyAlignment="1">
      <alignment horizontal="right" vertical="center"/>
    </xf>
    <xf numFmtId="3" fontId="4" fillId="2" borderId="95" xfId="0" applyNumberFormat="1" applyFont="1" applyFill="1" applyBorder="1" applyAlignment="1">
      <alignment horizontal="right" vertical="center"/>
    </xf>
    <xf numFmtId="3" fontId="4" fillId="2" borderId="17" xfId="0" applyNumberFormat="1" applyFont="1" applyFill="1" applyBorder="1" applyAlignment="1">
      <alignment horizontal="right" vertical="center"/>
    </xf>
    <xf numFmtId="0" fontId="4" fillId="0" borderId="76" xfId="0" applyFont="1" applyBorder="1" applyAlignment="1">
      <alignment horizontal="left"/>
    </xf>
    <xf numFmtId="0" fontId="4" fillId="0" borderId="77" xfId="0" applyFont="1" applyBorder="1" applyAlignment="1">
      <alignment horizontal="left"/>
    </xf>
    <xf numFmtId="0" fontId="4" fillId="0" borderId="78" xfId="0" applyFont="1" applyBorder="1" applyAlignment="1">
      <alignment horizontal="left"/>
    </xf>
    <xf numFmtId="0" fontId="4" fillId="0" borderId="113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0" borderId="78" xfId="0" applyNumberFormat="1" applyFont="1" applyBorder="1" applyAlignment="1">
      <alignment horizontal="center"/>
    </xf>
    <xf numFmtId="0" fontId="12" fillId="4" borderId="105" xfId="0" applyFont="1" applyFill="1" applyBorder="1" applyAlignment="1">
      <alignment horizontal="left" vertical="center" wrapText="1"/>
    </xf>
    <xf numFmtId="0" fontId="12" fillId="4" borderId="92" xfId="0" applyFont="1" applyFill="1" applyBorder="1" applyAlignment="1">
      <alignment horizontal="left" vertical="center" wrapText="1"/>
    </xf>
    <xf numFmtId="0" fontId="12" fillId="4" borderId="106" xfId="0" applyFont="1" applyFill="1" applyBorder="1" applyAlignment="1">
      <alignment horizontal="left" vertical="center" wrapText="1"/>
    </xf>
    <xf numFmtId="3" fontId="4" fillId="0" borderId="96" xfId="0" applyNumberFormat="1" applyFont="1" applyBorder="1" applyAlignment="1">
      <alignment horizontal="right" vertical="center"/>
    </xf>
    <xf numFmtId="0" fontId="4" fillId="0" borderId="131" xfId="0" applyFont="1" applyBorder="1" applyAlignment="1">
      <alignment horizontal="center" vertical="center"/>
    </xf>
    <xf numFmtId="0" fontId="4" fillId="0" borderId="132" xfId="0" applyFont="1" applyBorder="1" applyAlignment="1">
      <alignment horizontal="center" vertical="center"/>
    </xf>
    <xf numFmtId="0" fontId="4" fillId="0" borderId="128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106" xfId="0" applyFont="1" applyBorder="1" applyAlignment="1">
      <alignment horizontal="right" vertical="center"/>
    </xf>
    <xf numFmtId="0" fontId="4" fillId="0" borderId="134" xfId="0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99" xfId="0" applyNumberFormat="1" applyFont="1" applyBorder="1" applyAlignment="1">
      <alignment horizontal="right" vertical="center"/>
    </xf>
    <xf numFmtId="3" fontId="4" fillId="0" borderId="118" xfId="0" applyNumberFormat="1" applyFont="1" applyBorder="1" applyAlignment="1">
      <alignment horizontal="right" vertical="center"/>
    </xf>
    <xf numFmtId="3" fontId="4" fillId="0" borderId="146" xfId="0" applyNumberFormat="1" applyFont="1" applyBorder="1" applyAlignment="1">
      <alignment horizontal="right" vertical="center"/>
    </xf>
    <xf numFmtId="1" fontId="4" fillId="0" borderId="29" xfId="0" applyNumberFormat="1" applyFont="1" applyBorder="1" applyAlignment="1">
      <alignment horizontal="right" vertical="center"/>
    </xf>
    <xf numFmtId="1" fontId="4" fillId="0" borderId="44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left" vertical="top" wrapText="1"/>
    </xf>
    <xf numFmtId="0" fontId="4" fillId="4" borderId="130" xfId="0" applyFont="1" applyFill="1" applyBorder="1" applyAlignment="1">
      <alignment horizontal="left" vertical="center"/>
    </xf>
    <xf numFmtId="0" fontId="4" fillId="4" borderId="132" xfId="0" applyFont="1" applyFill="1" applyBorder="1" applyAlignment="1">
      <alignment horizontal="center" vertical="center"/>
    </xf>
    <xf numFmtId="3" fontId="4" fillId="4" borderId="97" xfId="0" applyNumberFormat="1" applyFont="1" applyFill="1" applyBorder="1" applyAlignment="1">
      <alignment horizontal="right" vertical="center"/>
    </xf>
    <xf numFmtId="3" fontId="4" fillId="4" borderId="98" xfId="0" applyNumberFormat="1" applyFont="1" applyFill="1" applyBorder="1" applyAlignment="1">
      <alignment horizontal="right" vertical="center"/>
    </xf>
    <xf numFmtId="0" fontId="4" fillId="4" borderId="134" xfId="0" applyFont="1" applyFill="1" applyBorder="1" applyAlignment="1">
      <alignment horizontal="center" vertical="center"/>
    </xf>
    <xf numFmtId="3" fontId="4" fillId="4" borderId="92" xfId="0" applyNumberFormat="1" applyFont="1" applyFill="1" applyBorder="1" applyAlignment="1">
      <alignment horizontal="right" vertical="center"/>
    </xf>
    <xf numFmtId="3" fontId="4" fillId="4" borderId="106" xfId="0" applyNumberFormat="1" applyFont="1" applyFill="1" applyBorder="1" applyAlignment="1">
      <alignment horizontal="right" vertical="center"/>
    </xf>
    <xf numFmtId="0" fontId="4" fillId="0" borderId="129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3" fontId="4" fillId="2" borderId="78" xfId="0" applyNumberFormat="1" applyFont="1" applyFill="1" applyBorder="1" applyAlignment="1">
      <alignment horizontal="right" vertical="center"/>
    </xf>
    <xf numFmtId="3" fontId="4" fillId="2" borderId="76" xfId="0" applyNumberFormat="1" applyFont="1" applyFill="1" applyBorder="1" applyAlignment="1">
      <alignment horizontal="right" vertical="center"/>
    </xf>
    <xf numFmtId="0" fontId="4" fillId="0" borderId="111" xfId="0" applyFont="1" applyBorder="1" applyAlignment="1">
      <alignment horizontal="right" vertical="center"/>
    </xf>
    <xf numFmtId="0" fontId="4" fillId="0" borderId="129" xfId="0" applyFont="1" applyBorder="1" applyAlignment="1">
      <alignment horizontal="right" vertical="center"/>
    </xf>
    <xf numFmtId="1" fontId="4" fillId="0" borderId="111" xfId="0" applyNumberFormat="1" applyFont="1" applyBorder="1" applyAlignment="1">
      <alignment horizontal="right" vertical="center"/>
    </xf>
    <xf numFmtId="1" fontId="4" fillId="0" borderId="129" xfId="0" applyNumberFormat="1" applyFont="1" applyBorder="1" applyAlignment="1">
      <alignment horizontal="right" vertical="center"/>
    </xf>
    <xf numFmtId="0" fontId="4" fillId="4" borderId="44" xfId="0" applyFont="1" applyFill="1" applyBorder="1" applyAlignment="1">
      <alignment horizontal="left" vertical="center"/>
    </xf>
    <xf numFmtId="0" fontId="4" fillId="4" borderId="105" xfId="0" applyFont="1" applyFill="1" applyBorder="1" applyAlignment="1">
      <alignment horizontal="center" vertical="center"/>
    </xf>
    <xf numFmtId="0" fontId="4" fillId="4" borderId="92" xfId="0" applyFont="1" applyFill="1" applyBorder="1" applyAlignment="1">
      <alignment horizontal="center" vertical="center"/>
    </xf>
    <xf numFmtId="0" fontId="4" fillId="4" borderId="106" xfId="0" applyFont="1" applyFill="1" applyBorder="1" applyAlignment="1">
      <alignment horizontal="center" vertical="center"/>
    </xf>
    <xf numFmtId="0" fontId="12" fillId="0" borderId="110" xfId="0" applyFont="1" applyBorder="1" applyAlignment="1">
      <alignment horizontal="center"/>
    </xf>
    <xf numFmtId="0" fontId="12" fillId="0" borderId="101" xfId="0" applyFont="1" applyBorder="1" applyAlignment="1">
      <alignment horizontal="center"/>
    </xf>
    <xf numFmtId="0" fontId="12" fillId="0" borderId="109" xfId="0" applyFont="1" applyBorder="1" applyAlignment="1">
      <alignment horizontal="center"/>
    </xf>
    <xf numFmtId="49" fontId="4" fillId="2" borderId="110" xfId="0" applyNumberFormat="1" applyFont="1" applyFill="1" applyBorder="1" applyAlignment="1">
      <alignment horizontal="center"/>
    </xf>
    <xf numFmtId="49" fontId="4" fillId="2" borderId="101" xfId="0" applyNumberFormat="1" applyFont="1" applyFill="1" applyBorder="1" applyAlignment="1">
      <alignment horizontal="center"/>
    </xf>
    <xf numFmtId="49" fontId="4" fillId="2" borderId="109" xfId="0" applyNumberFormat="1" applyFont="1" applyFill="1" applyBorder="1" applyAlignment="1">
      <alignment horizontal="center"/>
    </xf>
    <xf numFmtId="0" fontId="3" fillId="4" borderId="133" xfId="0" applyFont="1" applyFill="1" applyBorder="1" applyAlignment="1">
      <alignment horizontal="center" vertical="center"/>
    </xf>
    <xf numFmtId="3" fontId="2" fillId="0" borderId="134" xfId="0" applyNumberFormat="1" applyFont="1" applyFill="1" applyBorder="1" applyAlignment="1">
      <alignment horizontal="right" vertical="center"/>
    </xf>
    <xf numFmtId="0" fontId="4" fillId="4" borderId="129" xfId="0" applyFont="1" applyFill="1" applyBorder="1" applyAlignment="1">
      <alignment horizontal="left" vertical="center"/>
    </xf>
    <xf numFmtId="0" fontId="4" fillId="4" borderId="129" xfId="0" applyFont="1" applyFill="1" applyBorder="1" applyAlignment="1">
      <alignment horizontal="center" vertical="center"/>
    </xf>
    <xf numFmtId="3" fontId="4" fillId="4" borderId="129" xfId="0" applyNumberFormat="1" applyFont="1" applyFill="1" applyBorder="1" applyAlignment="1">
      <alignment horizontal="right" vertical="center"/>
    </xf>
    <xf numFmtId="0" fontId="12" fillId="0" borderId="76" xfId="0" applyFont="1" applyBorder="1" applyAlignment="1">
      <alignment horizontal="left"/>
    </xf>
    <xf numFmtId="0" fontId="12" fillId="0" borderId="77" xfId="0" applyFont="1" applyBorder="1" applyAlignment="1">
      <alignment horizontal="left"/>
    </xf>
    <xf numFmtId="0" fontId="4" fillId="4" borderId="67" xfId="0" applyFont="1" applyFill="1" applyBorder="1" applyAlignment="1">
      <alignment horizontal="left" vertical="center"/>
    </xf>
    <xf numFmtId="0" fontId="4" fillId="4" borderId="43" xfId="0" applyFont="1" applyFill="1" applyBorder="1" applyAlignment="1">
      <alignment horizontal="left" vertical="center"/>
    </xf>
    <xf numFmtId="3" fontId="4" fillId="0" borderId="43" xfId="0" applyNumberFormat="1" applyFont="1" applyBorder="1" applyAlignment="1">
      <alignment horizontal="right"/>
    </xf>
    <xf numFmtId="3" fontId="4" fillId="0" borderId="68" xfId="0" applyNumberFormat="1" applyFont="1" applyBorder="1" applyAlignment="1">
      <alignment horizontal="right"/>
    </xf>
    <xf numFmtId="3" fontId="12" fillId="0" borderId="77" xfId="0" applyNumberFormat="1" applyFont="1" applyBorder="1" applyAlignment="1">
      <alignment horizontal="right"/>
    </xf>
    <xf numFmtId="3" fontId="12" fillId="0" borderId="78" xfId="0" applyNumberFormat="1" applyFont="1" applyBorder="1" applyAlignment="1">
      <alignment horizontal="right"/>
    </xf>
    <xf numFmtId="0" fontId="5" fillId="4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12" fillId="0" borderId="63" xfId="0" applyFont="1" applyBorder="1" applyAlignment="1">
      <alignment horizontal="left"/>
    </xf>
    <xf numFmtId="0" fontId="12" fillId="0" borderId="64" xfId="0" applyFont="1" applyBorder="1" applyAlignment="1">
      <alignment horizontal="left"/>
    </xf>
    <xf numFmtId="0" fontId="12" fillId="0" borderId="67" xfId="0" applyFont="1" applyBorder="1" applyAlignment="1">
      <alignment horizontal="left"/>
    </xf>
    <xf numFmtId="0" fontId="12" fillId="0" borderId="43" xfId="0" applyFont="1" applyBorder="1" applyAlignment="1">
      <alignment horizontal="left"/>
    </xf>
    <xf numFmtId="0" fontId="12" fillId="0" borderId="64" xfId="0" applyFont="1" applyBorder="1" applyAlignment="1">
      <alignment horizontal="right"/>
    </xf>
    <xf numFmtId="0" fontId="12" fillId="0" borderId="65" xfId="0" applyFont="1" applyBorder="1" applyAlignment="1">
      <alignment horizontal="right"/>
    </xf>
    <xf numFmtId="3" fontId="12" fillId="0" borderId="43" xfId="0" applyNumberFormat="1" applyFont="1" applyBorder="1" applyAlignment="1">
      <alignment horizontal="right"/>
    </xf>
    <xf numFmtId="3" fontId="12" fillId="0" borderId="68" xfId="0" applyNumberFormat="1" applyFont="1" applyBorder="1" applyAlignment="1">
      <alignment horizontal="right"/>
    </xf>
    <xf numFmtId="0" fontId="4" fillId="4" borderId="130" xfId="0" applyFont="1" applyFill="1" applyBorder="1" applyAlignment="1">
      <alignment horizontal="center" vertical="center"/>
    </xf>
    <xf numFmtId="0" fontId="3" fillId="4" borderId="130" xfId="0" applyFont="1" applyFill="1" applyBorder="1" applyAlignment="1">
      <alignment horizontal="center" vertical="center"/>
    </xf>
    <xf numFmtId="3" fontId="22" fillId="0" borderId="0" xfId="2" applyNumberFormat="1" applyFont="1" applyAlignment="1">
      <alignment horizontal="left" vertical="center" wrapText="1"/>
    </xf>
    <xf numFmtId="3" fontId="22" fillId="0" borderId="0" xfId="2" applyNumberFormat="1" applyFont="1" applyAlignment="1">
      <alignment vertical="center" wrapText="1"/>
    </xf>
    <xf numFmtId="0" fontId="31" fillId="5" borderId="64" xfId="7" applyFont="1" applyFill="1" applyBorder="1" applyAlignment="1">
      <alignment horizontal="center" vertical="center"/>
    </xf>
    <xf numFmtId="0" fontId="31" fillId="5" borderId="65" xfId="7" applyFont="1" applyFill="1" applyBorder="1" applyAlignment="1">
      <alignment horizontal="center" vertical="center"/>
    </xf>
    <xf numFmtId="0" fontId="31" fillId="5" borderId="43" xfId="7" applyFont="1" applyFill="1" applyBorder="1" applyAlignment="1">
      <alignment horizontal="center" vertical="center"/>
    </xf>
    <xf numFmtId="0" fontId="31" fillId="5" borderId="68" xfId="7" applyFont="1" applyFill="1" applyBorder="1" applyAlignment="1">
      <alignment horizontal="center" vertical="center"/>
    </xf>
    <xf numFmtId="3" fontId="44" fillId="0" borderId="0" xfId="7" applyNumberFormat="1" applyFont="1" applyFill="1" applyAlignment="1">
      <alignment horizontal="center"/>
    </xf>
    <xf numFmtId="0" fontId="12" fillId="0" borderId="79" xfId="0" applyFont="1" applyBorder="1" applyAlignment="1">
      <alignment horizontal="center"/>
    </xf>
    <xf numFmtId="0" fontId="12" fillId="0" borderId="81" xfId="0" applyFont="1" applyBorder="1" applyAlignment="1">
      <alignment horizontal="center"/>
    </xf>
    <xf numFmtId="0" fontId="11" fillId="0" borderId="7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81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85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45" fillId="0" borderId="86" xfId="0" applyNumberFormat="1" applyFont="1" applyBorder="1" applyAlignment="1">
      <alignment horizontal="center"/>
    </xf>
    <xf numFmtId="0" fontId="46" fillId="0" borderId="85" xfId="0" applyNumberFormat="1" applyFont="1" applyBorder="1" applyAlignment="1">
      <alignment horizontal="center"/>
    </xf>
    <xf numFmtId="0" fontId="11" fillId="0" borderId="88" xfId="0" applyFont="1" applyBorder="1" applyAlignment="1">
      <alignment horizontal="center"/>
    </xf>
    <xf numFmtId="0" fontId="11" fillId="0" borderId="89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55" fillId="0" borderId="108" xfId="8" applyFont="1" applyFill="1" applyBorder="1" applyAlignment="1">
      <alignment horizontal="center" vertical="top" wrapText="1"/>
    </xf>
    <xf numFmtId="0" fontId="55" fillId="0" borderId="97" xfId="8" applyFont="1" applyFill="1" applyBorder="1" applyAlignment="1">
      <alignment horizontal="center" vertical="top" wrapText="1"/>
    </xf>
    <xf numFmtId="0" fontId="55" fillId="0" borderId="98" xfId="8" applyFont="1" applyFill="1" applyBorder="1" applyAlignment="1">
      <alignment horizontal="center" vertical="top" wrapText="1"/>
    </xf>
    <xf numFmtId="0" fontId="55" fillId="0" borderId="79" xfId="8" applyFont="1" applyFill="1" applyBorder="1" applyAlignment="1">
      <alignment horizontal="center" vertical="top" wrapText="1"/>
    </xf>
    <xf numFmtId="0" fontId="55" fillId="0" borderId="0" xfId="8" applyFont="1" applyFill="1" applyBorder="1" applyAlignment="1">
      <alignment horizontal="center" vertical="top" wrapText="1"/>
    </xf>
    <xf numFmtId="0" fontId="55" fillId="0" borderId="29" xfId="8" applyFont="1" applyFill="1" applyBorder="1" applyAlignment="1">
      <alignment horizontal="center" vertical="top" wrapText="1"/>
    </xf>
    <xf numFmtId="0" fontId="55" fillId="0" borderId="107" xfId="8" applyFont="1" applyFill="1" applyBorder="1" applyAlignment="1">
      <alignment horizontal="center" vertical="top" wrapText="1"/>
    </xf>
    <xf numFmtId="0" fontId="55" fillId="0" borderId="81" xfId="8" applyFont="1" applyFill="1" applyBorder="1" applyAlignment="1">
      <alignment horizontal="center" vertical="top" wrapText="1"/>
    </xf>
    <xf numFmtId="171" fontId="67" fillId="0" borderId="91" xfId="8" applyNumberFormat="1" applyFont="1" applyFill="1" applyBorder="1" applyAlignment="1">
      <alignment horizontal="right" vertical="center"/>
    </xf>
    <xf numFmtId="171" fontId="67" fillId="0" borderId="106" xfId="8" applyNumberFormat="1" applyFont="1" applyFill="1" applyBorder="1" applyAlignment="1">
      <alignment horizontal="right" vertical="center"/>
    </xf>
    <xf numFmtId="0" fontId="69" fillId="0" borderId="115" xfId="8" applyFont="1" applyFill="1" applyBorder="1" applyAlignment="1">
      <alignment horizontal="center" vertical="center" wrapText="1"/>
    </xf>
    <xf numFmtId="0" fontId="69" fillId="0" borderId="114" xfId="8" applyFont="1" applyFill="1" applyBorder="1" applyAlignment="1">
      <alignment horizontal="center" vertical="center" wrapText="1"/>
    </xf>
    <xf numFmtId="171" fontId="67" fillId="0" borderId="93" xfId="8" applyNumberFormat="1" applyFont="1" applyFill="1" applyBorder="1" applyAlignment="1">
      <alignment horizontal="right" vertical="center"/>
    </xf>
    <xf numFmtId="0" fontId="69" fillId="0" borderId="88" xfId="8" applyFont="1" applyFill="1" applyBorder="1" applyAlignment="1">
      <alignment horizontal="center" vertical="center" wrapText="1"/>
    </xf>
    <xf numFmtId="0" fontId="69" fillId="0" borderId="104" xfId="8" applyFont="1" applyFill="1" applyBorder="1" applyAlignment="1">
      <alignment horizontal="center" vertical="center" wrapText="1"/>
    </xf>
    <xf numFmtId="0" fontId="69" fillId="0" borderId="116" xfId="8" applyFont="1" applyFill="1" applyBorder="1" applyAlignment="1">
      <alignment horizontal="center" vertical="center" wrapText="1"/>
    </xf>
    <xf numFmtId="0" fontId="69" fillId="0" borderId="89" xfId="8" applyFont="1" applyFill="1" applyBorder="1" applyAlignment="1">
      <alignment horizontal="center" vertical="center" wrapText="1"/>
    </xf>
    <xf numFmtId="171" fontId="67" fillId="0" borderId="92" xfId="8" applyNumberFormat="1" applyFont="1" applyFill="1" applyBorder="1" applyAlignment="1">
      <alignment horizontal="right" vertical="center"/>
    </xf>
    <xf numFmtId="0" fontId="69" fillId="0" borderId="79" xfId="8" applyFont="1" applyFill="1" applyBorder="1" applyAlignment="1">
      <alignment horizontal="center" vertical="center" wrapText="1"/>
    </xf>
    <xf numFmtId="0" fontId="69" fillId="0" borderId="29" xfId="8" applyFont="1" applyFill="1" applyBorder="1" applyAlignment="1">
      <alignment horizontal="center" vertical="center" wrapText="1"/>
    </xf>
    <xf numFmtId="0" fontId="69" fillId="0" borderId="88" xfId="8" applyFont="1" applyFill="1" applyBorder="1" applyAlignment="1">
      <alignment horizontal="center" wrapText="1"/>
    </xf>
    <xf numFmtId="0" fontId="69" fillId="0" borderId="89" xfId="8" applyFont="1" applyFill="1" applyBorder="1" applyAlignment="1">
      <alignment horizontal="center" wrapText="1"/>
    </xf>
    <xf numFmtId="0" fontId="69" fillId="0" borderId="91" xfId="8" applyFont="1" applyFill="1" applyBorder="1" applyAlignment="1">
      <alignment horizontal="center" vertical="center" wrapText="1"/>
    </xf>
    <xf numFmtId="0" fontId="69" fillId="0" borderId="106" xfId="8" applyFont="1" applyFill="1" applyBorder="1" applyAlignment="1">
      <alignment horizontal="center" vertical="center" wrapText="1"/>
    </xf>
    <xf numFmtId="0" fontId="70" fillId="0" borderId="72" xfId="8" applyFont="1" applyFill="1" applyBorder="1" applyAlignment="1">
      <alignment horizontal="center" vertical="center" wrapText="1"/>
    </xf>
    <xf numFmtId="0" fontId="70" fillId="0" borderId="67" xfId="8" applyFont="1" applyFill="1" applyBorder="1" applyAlignment="1">
      <alignment horizontal="center" vertical="center" wrapText="1"/>
    </xf>
    <xf numFmtId="0" fontId="68" fillId="0" borderId="72" xfId="8" applyFont="1" applyFill="1" applyBorder="1" applyAlignment="1">
      <alignment horizontal="right" vertical="top" wrapText="1"/>
    </xf>
    <xf numFmtId="0" fontId="68" fillId="0" borderId="67" xfId="8" applyFont="1" applyFill="1" applyBorder="1" applyAlignment="1">
      <alignment horizontal="right" vertical="top" wrapText="1"/>
    </xf>
    <xf numFmtId="0" fontId="68" fillId="0" borderId="73" xfId="8" applyFont="1" applyFill="1" applyBorder="1" applyAlignment="1">
      <alignment horizontal="left" vertical="top" wrapText="1"/>
    </xf>
    <xf numFmtId="0" fontId="68" fillId="0" borderId="43" xfId="8" applyFont="1" applyFill="1" applyBorder="1" applyAlignment="1">
      <alignment horizontal="left" vertical="top" wrapText="1"/>
    </xf>
    <xf numFmtId="49" fontId="68" fillId="0" borderId="73" xfId="8" applyNumberFormat="1" applyFont="1" applyFill="1" applyBorder="1" applyAlignment="1">
      <alignment horizontal="center" vertical="top"/>
    </xf>
    <xf numFmtId="49" fontId="68" fillId="0" borderId="43" xfId="8" applyNumberFormat="1" applyFont="1" applyFill="1" applyBorder="1" applyAlignment="1">
      <alignment horizontal="center" vertical="top"/>
    </xf>
    <xf numFmtId="0" fontId="69" fillId="0" borderId="73" xfId="8" applyFont="1" applyFill="1" applyBorder="1" applyAlignment="1">
      <alignment horizontal="center" vertical="center" wrapText="1"/>
    </xf>
    <xf numFmtId="0" fontId="69" fillId="0" borderId="43" xfId="8" applyFont="1" applyFill="1" applyBorder="1" applyAlignment="1">
      <alignment horizontal="center" vertical="center" wrapText="1"/>
    </xf>
    <xf numFmtId="0" fontId="70" fillId="0" borderId="73" xfId="8" applyFont="1" applyFill="1" applyBorder="1" applyAlignment="1">
      <alignment horizontal="center" vertical="center" wrapText="1"/>
    </xf>
    <xf numFmtId="0" fontId="70" fillId="0" borderId="43" xfId="8" applyFont="1" applyFill="1" applyBorder="1" applyAlignment="1">
      <alignment horizontal="center" vertical="center" wrapText="1"/>
    </xf>
    <xf numFmtId="171" fontId="67" fillId="0" borderId="43" xfId="8" applyNumberFormat="1" applyFont="1" applyFill="1" applyBorder="1" applyAlignment="1">
      <alignment horizontal="right" vertical="center"/>
    </xf>
    <xf numFmtId="1" fontId="69" fillId="0" borderId="43" xfId="8" applyNumberFormat="1" applyFont="1" applyFill="1" applyBorder="1" applyAlignment="1">
      <alignment horizontal="center" vertical="center"/>
    </xf>
    <xf numFmtId="0" fontId="68" fillId="0" borderId="67" xfId="8" applyFont="1" applyFill="1" applyBorder="1" applyAlignment="1">
      <alignment horizontal="left" vertical="top" wrapText="1"/>
    </xf>
    <xf numFmtId="0" fontId="69" fillId="0" borderId="72" xfId="8" quotePrefix="1" applyFont="1" applyFill="1" applyBorder="1" applyAlignment="1">
      <alignment horizontal="right" vertical="top" wrapText="1"/>
    </xf>
    <xf numFmtId="0" fontId="69" fillId="0" borderId="67" xfId="8" applyFont="1" applyFill="1" applyBorder="1" applyAlignment="1">
      <alignment horizontal="right" vertical="top" wrapText="1"/>
    </xf>
    <xf numFmtId="0" fontId="69" fillId="0" borderId="43" xfId="8" applyFont="1" applyFill="1" applyBorder="1" applyAlignment="1">
      <alignment horizontal="left" vertical="top" wrapText="1"/>
    </xf>
    <xf numFmtId="49" fontId="69" fillId="0" borderId="43" xfId="8" applyNumberFormat="1" applyFont="1" applyFill="1" applyBorder="1" applyAlignment="1">
      <alignment horizontal="center" vertical="top"/>
    </xf>
    <xf numFmtId="0" fontId="69" fillId="0" borderId="67" xfId="8" applyFont="1" applyFill="1" applyBorder="1" applyAlignment="1">
      <alignment horizontal="left" vertical="top" wrapText="1"/>
    </xf>
    <xf numFmtId="0" fontId="69" fillId="0" borderId="103" xfId="8" applyFont="1" applyFill="1" applyBorder="1" applyAlignment="1">
      <alignment horizontal="center" vertical="center" wrapText="1"/>
    </xf>
    <xf numFmtId="0" fontId="69" fillId="0" borderId="73" xfId="8" quotePrefix="1" applyFont="1" applyFill="1" applyBorder="1" applyAlignment="1">
      <alignment horizontal="left" vertical="top" wrapText="1"/>
    </xf>
    <xf numFmtId="0" fontId="68" fillId="0" borderId="67" xfId="8" applyFont="1" applyFill="1" applyBorder="1" applyAlignment="1">
      <alignment horizontal="center" vertical="top" wrapText="1"/>
    </xf>
    <xf numFmtId="0" fontId="69" fillId="0" borderId="67" xfId="8" quotePrefix="1" applyFont="1" applyFill="1" applyBorder="1" applyAlignment="1">
      <alignment horizontal="right" vertical="top" wrapText="1"/>
    </xf>
    <xf numFmtId="0" fontId="69" fillId="0" borderId="43" xfId="8" quotePrefix="1" applyFont="1" applyFill="1" applyBorder="1" applyAlignment="1">
      <alignment horizontal="left" vertical="top" wrapText="1"/>
    </xf>
    <xf numFmtId="0" fontId="69" fillId="0" borderId="119" xfId="8" applyFont="1" applyFill="1" applyBorder="1" applyAlignment="1">
      <alignment horizontal="center" vertical="center" wrapText="1"/>
    </xf>
    <xf numFmtId="0" fontId="69" fillId="0" borderId="120" xfId="8" applyFont="1" applyFill="1" applyBorder="1" applyAlignment="1">
      <alignment horizontal="center" vertical="center" wrapText="1"/>
    </xf>
    <xf numFmtId="0" fontId="69" fillId="0" borderId="79" xfId="8" applyFont="1" applyFill="1" applyBorder="1" applyAlignment="1">
      <alignment horizontal="center" wrapText="1"/>
    </xf>
    <xf numFmtId="0" fontId="69" fillId="0" borderId="81" xfId="8" applyFont="1" applyFill="1" applyBorder="1" applyAlignment="1">
      <alignment horizontal="center" wrapText="1"/>
    </xf>
    <xf numFmtId="0" fontId="68" fillId="0" borderId="67" xfId="8" quotePrefix="1" applyFont="1" applyFill="1" applyBorder="1" applyAlignment="1">
      <alignment horizontal="lef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0" fontId="70" fillId="0" borderId="121" xfId="8" applyFont="1" applyFill="1" applyBorder="1" applyAlignment="1">
      <alignment horizontal="center" vertical="center" wrapText="1"/>
    </xf>
    <xf numFmtId="0" fontId="68" fillId="0" borderId="67" xfId="8" quotePrefix="1" applyFont="1" applyFill="1" applyBorder="1" applyAlignment="1">
      <alignment horizontal="center" vertical="top" wrapText="1"/>
    </xf>
    <xf numFmtId="49" fontId="68" fillId="0" borderId="120" xfId="8" applyNumberFormat="1" applyFont="1" applyFill="1" applyBorder="1" applyAlignment="1">
      <alignment horizontal="center" vertical="top"/>
    </xf>
    <xf numFmtId="49" fontId="69" fillId="0" borderId="120" xfId="8" applyNumberFormat="1" applyFont="1" applyFill="1" applyBorder="1" applyAlignment="1">
      <alignment horizontal="center" vertical="top"/>
    </xf>
    <xf numFmtId="49" fontId="69" fillId="0" borderId="73" xfId="8" applyNumberFormat="1" applyFont="1" applyFill="1" applyBorder="1" applyAlignment="1">
      <alignment horizontal="center" vertical="top"/>
    </xf>
    <xf numFmtId="0" fontId="68" fillId="0" borderId="67" xfId="8" applyFont="1" applyFill="1" applyBorder="1"/>
    <xf numFmtId="0" fontId="70" fillId="0" borderId="63" xfId="8" applyFont="1" applyFill="1" applyBorder="1" applyAlignment="1">
      <alignment horizontal="center" vertical="center" wrapText="1"/>
    </xf>
    <xf numFmtId="0" fontId="69" fillId="0" borderId="64" xfId="8" applyFont="1" applyFill="1" applyBorder="1" applyAlignment="1">
      <alignment horizontal="center" vertical="center" wrapText="1"/>
    </xf>
    <xf numFmtId="0" fontId="69" fillId="0" borderId="67" xfId="8" applyFont="1" applyFill="1" applyBorder="1" applyAlignment="1">
      <alignment horizontal="left" vertical="center"/>
    </xf>
    <xf numFmtId="0" fontId="70" fillId="0" borderId="64" xfId="8" applyFont="1" applyFill="1" applyBorder="1" applyAlignment="1">
      <alignment horizontal="center" vertical="center" wrapText="1"/>
    </xf>
    <xf numFmtId="0" fontId="20" fillId="0" borderId="43" xfId="8" applyFont="1" applyFill="1" applyBorder="1" applyAlignment="1">
      <alignment horizontal="left" vertical="top" wrapText="1"/>
    </xf>
    <xf numFmtId="1" fontId="69" fillId="0" borderId="120" xfId="8" applyNumberFormat="1" applyFont="1" applyFill="1" applyBorder="1" applyAlignment="1">
      <alignment horizontal="center" vertical="center"/>
    </xf>
    <xf numFmtId="0" fontId="20" fillId="0" borderId="43" xfId="8" applyFill="1" applyBorder="1" applyAlignment="1">
      <alignment horizontal="left" vertical="top" wrapText="1"/>
    </xf>
    <xf numFmtId="0" fontId="69" fillId="0" borderId="77" xfId="8" applyFont="1" applyFill="1" applyBorder="1" applyAlignment="1">
      <alignment horizontal="left" vertical="top" wrapText="1"/>
    </xf>
    <xf numFmtId="0" fontId="20" fillId="0" borderId="77" xfId="8" applyFill="1" applyBorder="1" applyAlignment="1">
      <alignment horizontal="left" vertical="top" wrapText="1"/>
    </xf>
    <xf numFmtId="0" fontId="68" fillId="0" borderId="77" xfId="8" applyFont="1" applyFill="1" applyBorder="1" applyAlignment="1">
      <alignment horizontal="left" vertical="top" wrapText="1"/>
    </xf>
    <xf numFmtId="0" fontId="20" fillId="0" borderId="77" xfId="8" applyFont="1" applyFill="1" applyBorder="1" applyAlignment="1">
      <alignment horizontal="left" vertical="top" wrapText="1"/>
    </xf>
    <xf numFmtId="0" fontId="20" fillId="0" borderId="117" xfId="8" applyFill="1" applyBorder="1" applyAlignment="1">
      <alignment horizontal="center" vertical="center" wrapText="1"/>
    </xf>
    <xf numFmtId="0" fontId="20" fillId="0" borderId="116" xfId="8" applyFill="1" applyBorder="1" applyAlignment="1">
      <alignment horizontal="center" vertical="center" wrapText="1"/>
    </xf>
    <xf numFmtId="0" fontId="69" fillId="0" borderId="108" xfId="8" applyFont="1" applyFill="1" applyBorder="1" applyAlignment="1">
      <alignment horizontal="center" vertical="center" wrapText="1"/>
    </xf>
    <xf numFmtId="0" fontId="69" fillId="0" borderId="98" xfId="8" applyFont="1" applyFill="1" applyBorder="1" applyAlignment="1">
      <alignment horizontal="center" vertical="center" wrapText="1"/>
    </xf>
    <xf numFmtId="0" fontId="69" fillId="0" borderId="117" xfId="8" applyFont="1" applyFill="1" applyBorder="1" applyAlignment="1">
      <alignment horizontal="center" vertical="center" wrapText="1"/>
    </xf>
    <xf numFmtId="0" fontId="69" fillId="0" borderId="91" xfId="8" applyFont="1" applyFill="1" applyBorder="1" applyAlignment="1">
      <alignment horizontal="center" wrapText="1"/>
    </xf>
    <xf numFmtId="0" fontId="69" fillId="0" borderId="93" xfId="8" applyFont="1" applyFill="1" applyBorder="1" applyAlignment="1">
      <alignment horizontal="center" wrapText="1"/>
    </xf>
    <xf numFmtId="0" fontId="53" fillId="0" borderId="0" xfId="8" applyFont="1" applyFill="1" applyAlignment="1">
      <alignment horizontal="center" vertical="center" wrapText="1"/>
    </xf>
    <xf numFmtId="0" fontId="53" fillId="0" borderId="101" xfId="8" applyFont="1" applyFill="1" applyBorder="1" applyAlignment="1">
      <alignment horizontal="center" vertical="center" wrapText="1"/>
    </xf>
    <xf numFmtId="0" fontId="69" fillId="0" borderId="65" xfId="8" applyFont="1" applyFill="1" applyBorder="1" applyAlignment="1">
      <alignment horizontal="center" vertical="center" wrapText="1"/>
    </xf>
    <xf numFmtId="0" fontId="20" fillId="0" borderId="0" xfId="8" applyFill="1" applyAlignment="1">
      <alignment vertical="center"/>
    </xf>
    <xf numFmtId="0" fontId="53" fillId="0" borderId="0" xfId="8" applyFont="1" applyFill="1" applyBorder="1" applyAlignment="1">
      <alignment horizontal="center" vertical="center" wrapText="1"/>
    </xf>
    <xf numFmtId="0" fontId="20" fillId="0" borderId="0" xfId="8" applyFill="1" applyBorder="1" applyAlignment="1">
      <alignment vertical="center"/>
    </xf>
    <xf numFmtId="0" fontId="52" fillId="0" borderId="94" xfId="8" applyFont="1" applyFill="1" applyBorder="1" applyAlignment="1">
      <alignment vertical="center"/>
    </xf>
    <xf numFmtId="0" fontId="52" fillId="0" borderId="95" xfId="8" applyFont="1" applyFill="1" applyBorder="1" applyAlignment="1">
      <alignment vertical="center"/>
    </xf>
    <xf numFmtId="0" fontId="55" fillId="0" borderId="143" xfId="8" applyFont="1" applyFill="1" applyBorder="1" applyAlignment="1">
      <alignment horizontal="left" wrapText="1"/>
    </xf>
    <xf numFmtId="0" fontId="55" fillId="0" borderId="123" xfId="8" applyFont="1" applyFill="1" applyBorder="1" applyAlignment="1">
      <alignment horizontal="left" wrapText="1"/>
    </xf>
    <xf numFmtId="0" fontId="55" fillId="0" borderId="99" xfId="8" applyFont="1" applyFill="1" applyBorder="1" applyAlignment="1">
      <alignment horizontal="left" wrapText="1"/>
    </xf>
    <xf numFmtId="0" fontId="55" fillId="0" borderId="0" xfId="8" applyFont="1" applyFill="1" applyBorder="1" applyAlignment="1">
      <alignment horizontal="left" wrapText="1"/>
    </xf>
    <xf numFmtId="0" fontId="55" fillId="0" borderId="100" xfId="8" applyFont="1" applyFill="1" applyBorder="1" applyAlignment="1">
      <alignment horizontal="left" wrapText="1"/>
    </xf>
    <xf numFmtId="0" fontId="55" fillId="0" borderId="101" xfId="8" applyFont="1" applyFill="1" applyBorder="1" applyAlignment="1">
      <alignment horizontal="left" wrapText="1"/>
    </xf>
    <xf numFmtId="0" fontId="68" fillId="0" borderId="91" xfId="8" applyFont="1" applyFill="1" applyBorder="1" applyAlignment="1">
      <alignment horizontal="left" vertical="top" wrapText="1"/>
    </xf>
    <xf numFmtId="0" fontId="68" fillId="0" borderId="92" xfId="8" applyFont="1" applyFill="1" applyBorder="1" applyAlignment="1">
      <alignment horizontal="left" vertical="top" wrapText="1"/>
    </xf>
    <xf numFmtId="0" fontId="68" fillId="0" borderId="93" xfId="8" applyFont="1" applyFill="1" applyBorder="1" applyAlignment="1">
      <alignment horizontal="left" vertical="top" wrapText="1"/>
    </xf>
    <xf numFmtId="0" fontId="68" fillId="0" borderId="112" xfId="8" applyFont="1" applyFill="1" applyBorder="1" applyAlignment="1">
      <alignment horizontal="left" vertical="top" wrapText="1"/>
    </xf>
    <xf numFmtId="0" fontId="68" fillId="0" borderId="139" xfId="8" applyFont="1" applyFill="1" applyBorder="1" applyAlignment="1">
      <alignment horizontal="left" vertical="top" wrapText="1"/>
    </xf>
    <xf numFmtId="0" fontId="68" fillId="0" borderId="113" xfId="8" applyFont="1" applyFill="1" applyBorder="1" applyAlignment="1">
      <alignment horizontal="left" vertical="top" wrapText="1"/>
    </xf>
    <xf numFmtId="171" fontId="67" fillId="0" borderId="112" xfId="8" applyNumberFormat="1" applyFont="1" applyFill="1" applyBorder="1" applyAlignment="1">
      <alignment horizontal="right" vertical="center"/>
    </xf>
    <xf numFmtId="171" fontId="67" fillId="0" borderId="113" xfId="8" applyNumberFormat="1" applyFont="1" applyFill="1" applyBorder="1" applyAlignment="1">
      <alignment horizontal="right" vertical="center"/>
    </xf>
    <xf numFmtId="171" fontId="67" fillId="0" borderId="111" xfId="8" applyNumberFormat="1" applyFont="1" applyFill="1" applyBorder="1" applyAlignment="1">
      <alignment horizontal="right" vertical="center"/>
    </xf>
    <xf numFmtId="0" fontId="69" fillId="0" borderId="91" xfId="8" applyFont="1" applyFill="1" applyBorder="1" applyAlignment="1">
      <alignment horizontal="left" vertical="top" wrapText="1"/>
    </xf>
    <xf numFmtId="0" fontId="69" fillId="0" borderId="92" xfId="8" applyFont="1" applyFill="1" applyBorder="1" applyAlignment="1">
      <alignment horizontal="left" vertical="top" wrapText="1"/>
    </xf>
    <xf numFmtId="0" fontId="69" fillId="0" borderId="93" xfId="8" applyFont="1" applyFill="1" applyBorder="1" applyAlignment="1">
      <alignment horizontal="left" vertical="top" wrapText="1"/>
    </xf>
    <xf numFmtId="0" fontId="69" fillId="0" borderId="88" xfId="8" applyFont="1" applyFill="1" applyBorder="1" applyAlignment="1">
      <alignment horizontal="center" vertical="top" wrapText="1"/>
    </xf>
    <xf numFmtId="0" fontId="69" fillId="0" borderId="103" xfId="8" applyFont="1" applyFill="1" applyBorder="1" applyAlignment="1">
      <alignment horizontal="center" vertical="top" wrapText="1"/>
    </xf>
    <xf numFmtId="0" fontId="69" fillId="0" borderId="89" xfId="8" applyFont="1" applyFill="1" applyBorder="1" applyAlignment="1">
      <alignment horizontal="center" vertical="top" wrapText="1"/>
    </xf>
    <xf numFmtId="0" fontId="68" fillId="0" borderId="121" xfId="8" applyFont="1" applyFill="1" applyBorder="1" applyAlignment="1">
      <alignment horizontal="right" vertical="top" wrapText="1"/>
    </xf>
    <xf numFmtId="0" fontId="68" fillId="0" borderId="43" xfId="8" quotePrefix="1" applyFont="1" applyFill="1" applyBorder="1" applyAlignment="1">
      <alignment horizontal="left" vertical="top" wrapText="1"/>
    </xf>
    <xf numFmtId="0" fontId="68" fillId="0" borderId="121" xfId="8" applyFont="1" applyFill="1" applyBorder="1" applyAlignment="1">
      <alignment horizontal="left" vertical="top" wrapText="1"/>
    </xf>
    <xf numFmtId="0" fontId="68" fillId="0" borderId="72" xfId="8" applyFont="1" applyFill="1" applyBorder="1" applyAlignment="1">
      <alignment horizontal="left" vertical="top" wrapText="1"/>
    </xf>
    <xf numFmtId="0" fontId="69" fillId="0" borderId="121" xfId="8" applyFont="1" applyFill="1" applyBorder="1" applyAlignment="1">
      <alignment horizontal="left" vertical="top" wrapText="1"/>
    </xf>
    <xf numFmtId="0" fontId="69" fillId="0" borderId="72" xfId="8" applyFont="1" applyFill="1" applyBorder="1" applyAlignment="1">
      <alignment horizontal="left" vertical="top" wrapText="1"/>
    </xf>
    <xf numFmtId="0" fontId="70" fillId="0" borderId="146" xfId="8" applyFont="1" applyFill="1" applyBorder="1" applyAlignment="1">
      <alignment horizontal="center" vertical="center" wrapText="1"/>
    </xf>
    <xf numFmtId="0" fontId="69" fillId="0" borderId="80" xfId="8" applyFont="1" applyFill="1" applyBorder="1" applyAlignment="1">
      <alignment horizontal="center" vertical="center" wrapText="1"/>
    </xf>
    <xf numFmtId="0" fontId="70" fillId="0" borderId="80" xfId="8" applyFont="1" applyFill="1" applyBorder="1" applyAlignment="1">
      <alignment horizontal="center" vertical="center" wrapText="1"/>
    </xf>
    <xf numFmtId="1" fontId="69" fillId="0" borderId="73" xfId="8" applyNumberFormat="1" applyFont="1" applyFill="1" applyBorder="1" applyAlignment="1">
      <alignment horizontal="center" vertical="center"/>
    </xf>
    <xf numFmtId="0" fontId="69" fillId="0" borderId="93" xfId="8" applyFont="1" applyFill="1" applyBorder="1" applyAlignment="1">
      <alignment horizontal="center" vertical="center" wrapText="1"/>
    </xf>
    <xf numFmtId="0" fontId="69" fillId="0" borderId="121" xfId="8" quotePrefix="1" applyFont="1" applyFill="1" applyBorder="1" applyAlignment="1">
      <alignment horizontal="right" vertical="top" wrapText="1"/>
    </xf>
    <xf numFmtId="171" fontId="67" fillId="0" borderId="73" xfId="8" applyNumberFormat="1" applyFont="1" applyFill="1" applyBorder="1" applyAlignment="1">
      <alignment horizontal="right" vertical="center"/>
    </xf>
    <xf numFmtId="0" fontId="68" fillId="0" borderId="120" xfId="8" applyFont="1" applyFill="1" applyBorder="1" applyAlignment="1">
      <alignment horizontal="left" vertical="top" wrapText="1"/>
    </xf>
    <xf numFmtId="0" fontId="68" fillId="0" borderId="121" xfId="8" applyFont="1" applyFill="1" applyBorder="1" applyAlignment="1">
      <alignment horizontal="center" vertical="top" wrapText="1"/>
    </xf>
    <xf numFmtId="0" fontId="68" fillId="0" borderId="72" xfId="8" applyFont="1" applyFill="1" applyBorder="1" applyAlignment="1">
      <alignment horizontal="center" vertical="top" wrapText="1"/>
    </xf>
    <xf numFmtId="0" fontId="68" fillId="0" borderId="80" xfId="8" applyFont="1" applyFill="1" applyBorder="1" applyAlignment="1">
      <alignment horizontal="left" vertical="top" wrapText="1"/>
    </xf>
    <xf numFmtId="0" fontId="68" fillId="0" borderId="121" xfId="8" quotePrefix="1" applyFont="1" applyFill="1" applyBorder="1" applyAlignment="1">
      <alignment horizontal="left" vertical="top" wrapText="1"/>
    </xf>
    <xf numFmtId="0" fontId="68" fillId="0" borderId="72" xfId="8" quotePrefix="1" applyFont="1" applyFill="1" applyBorder="1" applyAlignment="1">
      <alignment horizontal="left" vertical="top" wrapText="1"/>
    </xf>
    <xf numFmtId="0" fontId="69" fillId="0" borderId="121" xfId="8" quotePrefix="1" applyFont="1" applyFill="1" applyBorder="1" applyAlignment="1">
      <alignment horizontal="left" vertical="top" wrapText="1"/>
    </xf>
    <xf numFmtId="0" fontId="69" fillId="0" borderId="72" xfId="8" quotePrefix="1" applyFont="1" applyFill="1" applyBorder="1" applyAlignment="1">
      <alignment horizontal="left" vertical="top" wrapText="1"/>
    </xf>
    <xf numFmtId="0" fontId="68" fillId="0" borderId="121" xfId="8" quotePrefix="1" applyFont="1" applyFill="1" applyBorder="1" applyAlignment="1">
      <alignment horizontal="center" vertical="top" wrapText="1"/>
    </xf>
    <xf numFmtId="0" fontId="68" fillId="0" borderId="72" xfId="8" quotePrefix="1" applyFont="1" applyFill="1" applyBorder="1" applyAlignment="1">
      <alignment horizontal="center" vertical="top" wrapText="1"/>
    </xf>
    <xf numFmtId="171" fontId="67" fillId="0" borderId="88" xfId="8" applyNumberFormat="1" applyFont="1" applyFill="1" applyBorder="1" applyAlignment="1">
      <alignment horizontal="right" vertical="center"/>
    </xf>
    <xf numFmtId="171" fontId="67" fillId="0" borderId="103" xfId="8" applyNumberFormat="1" applyFont="1" applyFill="1" applyBorder="1" applyAlignment="1">
      <alignment horizontal="right" vertical="center"/>
    </xf>
    <xf numFmtId="171" fontId="67" fillId="0" borderId="89" xfId="8" applyNumberFormat="1" applyFont="1" applyFill="1" applyBorder="1" applyAlignment="1">
      <alignment horizontal="right" vertical="center"/>
    </xf>
    <xf numFmtId="171" fontId="67" fillId="0" borderId="119" xfId="8" applyNumberFormat="1" applyFont="1" applyFill="1" applyBorder="1" applyAlignment="1">
      <alignment horizontal="right" vertical="center"/>
    </xf>
    <xf numFmtId="171" fontId="67" fillId="0" borderId="123" xfId="8" applyNumberFormat="1" applyFont="1" applyFill="1" applyBorder="1" applyAlignment="1">
      <alignment horizontal="right" vertical="center"/>
    </xf>
    <xf numFmtId="171" fontId="67" fillId="0" borderId="122" xfId="8" applyNumberFormat="1" applyFont="1" applyFill="1" applyBorder="1" applyAlignment="1">
      <alignment horizontal="right" vertical="center"/>
    </xf>
    <xf numFmtId="0" fontId="69" fillId="0" borderId="121" xfId="8" applyFont="1" applyFill="1" applyBorder="1" applyAlignment="1">
      <alignment horizontal="left" vertical="center"/>
    </xf>
    <xf numFmtId="0" fontId="69" fillId="0" borderId="72" xfId="8" applyFont="1" applyFill="1" applyBorder="1" applyAlignment="1">
      <alignment horizontal="left" vertical="center"/>
    </xf>
    <xf numFmtId="0" fontId="69" fillId="0" borderId="73" xfId="8" applyFont="1" applyFill="1" applyBorder="1" applyAlignment="1">
      <alignment horizontal="left" vertical="top" wrapText="1"/>
    </xf>
    <xf numFmtId="0" fontId="55" fillId="0" borderId="91" xfId="8" applyFont="1" applyFill="1" applyBorder="1" applyAlignment="1">
      <alignment horizontal="center" vertical="center"/>
    </xf>
    <xf numFmtId="0" fontId="55" fillId="0" borderId="93" xfId="8" applyFont="1" applyFill="1" applyBorder="1" applyAlignment="1">
      <alignment horizontal="center" vertical="center"/>
    </xf>
    <xf numFmtId="0" fontId="67" fillId="0" borderId="91" xfId="8" applyFont="1" applyFill="1" applyBorder="1" applyAlignment="1">
      <alignment horizontal="left" vertical="center"/>
    </xf>
    <xf numFmtId="0" fontId="20" fillId="0" borderId="92" xfId="8" applyBorder="1" applyAlignment="1">
      <alignment horizontal="left" vertical="center"/>
    </xf>
    <xf numFmtId="0" fontId="20" fillId="0" borderId="93" xfId="8" applyBorder="1" applyAlignment="1">
      <alignment horizontal="left" vertical="center"/>
    </xf>
    <xf numFmtId="0" fontId="70" fillId="0" borderId="128" xfId="8" applyFont="1" applyFill="1" applyBorder="1" applyAlignment="1">
      <alignment horizontal="center" vertical="center" wrapText="1"/>
    </xf>
    <xf numFmtId="0" fontId="69" fillId="0" borderId="140" xfId="8" applyFont="1" applyFill="1" applyBorder="1" applyAlignment="1">
      <alignment horizontal="center" vertical="center" wrapText="1"/>
    </xf>
    <xf numFmtId="0" fontId="70" fillId="0" borderId="140" xfId="8" applyFont="1" applyFill="1" applyBorder="1" applyAlignment="1">
      <alignment horizontal="center" vertical="center" wrapText="1"/>
    </xf>
    <xf numFmtId="0" fontId="20" fillId="0" borderId="101" xfId="8" applyFill="1" applyBorder="1" applyAlignment="1">
      <alignment vertical="center"/>
    </xf>
    <xf numFmtId="0" fontId="20" fillId="0" borderId="95" xfId="8" applyFill="1" applyBorder="1" applyAlignment="1">
      <alignment vertical="center"/>
    </xf>
    <xf numFmtId="0" fontId="55" fillId="0" borderId="119" xfId="8" applyFont="1" applyFill="1" applyBorder="1" applyAlignment="1">
      <alignment horizontal="left" wrapText="1"/>
    </xf>
    <xf numFmtId="0" fontId="55" fillId="0" borderId="79" xfId="8" applyFont="1" applyFill="1" applyBorder="1" applyAlignment="1">
      <alignment horizontal="left" wrapText="1"/>
    </xf>
    <xf numFmtId="0" fontId="55" fillId="0" borderId="110" xfId="8" applyFont="1" applyFill="1" applyBorder="1" applyAlignment="1">
      <alignment horizontal="left" wrapText="1"/>
    </xf>
    <xf numFmtId="0" fontId="20" fillId="0" borderId="95" xfId="8" applyFont="1" applyFill="1" applyBorder="1" applyAlignment="1">
      <alignment horizontal="center" vertical="center"/>
    </xf>
    <xf numFmtId="0" fontId="20" fillId="0" borderId="95" xfId="8" applyFill="1" applyBorder="1" applyAlignment="1">
      <alignment horizontal="center" vertical="center"/>
    </xf>
    <xf numFmtId="0" fontId="20" fillId="0" borderId="17" xfId="8" applyFill="1" applyBorder="1" applyAlignment="1">
      <alignment horizontal="center" vertical="center"/>
    </xf>
    <xf numFmtId="0" fontId="69" fillId="0" borderId="120" xfId="8" applyFont="1" applyFill="1" applyBorder="1" applyAlignment="1">
      <alignment horizontal="left" vertical="top" wrapText="1"/>
    </xf>
    <xf numFmtId="0" fontId="69" fillId="0" borderId="119" xfId="8" applyFont="1" applyFill="1" applyBorder="1" applyAlignment="1">
      <alignment horizontal="center" vertical="center"/>
    </xf>
    <xf numFmtId="0" fontId="69" fillId="0" borderId="122" xfId="8" applyFont="1" applyFill="1" applyBorder="1" applyAlignment="1">
      <alignment horizontal="center" vertical="center"/>
    </xf>
    <xf numFmtId="0" fontId="69" fillId="0" borderId="88" xfId="8" applyFont="1" applyFill="1" applyBorder="1" applyAlignment="1">
      <alignment horizontal="center" vertical="center"/>
    </xf>
    <xf numFmtId="0" fontId="69" fillId="0" borderId="89" xfId="8" applyFont="1" applyFill="1" applyBorder="1" applyAlignment="1">
      <alignment horizontal="center" vertical="center"/>
    </xf>
    <xf numFmtId="0" fontId="69" fillId="0" borderId="120" xfId="8" quotePrefix="1" applyFont="1" applyFill="1" applyBorder="1" applyAlignment="1">
      <alignment horizontal="left" vertical="top" wrapText="1"/>
    </xf>
    <xf numFmtId="0" fontId="69" fillId="0" borderId="92" xfId="8" applyFont="1" applyFill="1" applyBorder="1" applyAlignment="1">
      <alignment horizontal="center" vertical="center" wrapText="1"/>
    </xf>
    <xf numFmtId="0" fontId="69" fillId="0" borderId="112" xfId="8" applyFont="1" applyFill="1" applyBorder="1" applyAlignment="1">
      <alignment horizontal="left" vertical="top" wrapText="1"/>
    </xf>
    <xf numFmtId="0" fontId="69" fillId="0" borderId="139" xfId="8" applyFont="1" applyFill="1" applyBorder="1" applyAlignment="1">
      <alignment horizontal="left" vertical="top" wrapText="1"/>
    </xf>
    <xf numFmtId="0" fontId="69" fillId="0" borderId="113" xfId="8" applyFont="1" applyFill="1" applyBorder="1" applyAlignment="1">
      <alignment horizontal="left" vertical="top" wrapText="1"/>
    </xf>
  </cellXfs>
  <cellStyles count="16">
    <cellStyle name="Comma 2" xfId="13"/>
    <cellStyle name="Hyperlink" xfId="15" builtinId="8"/>
    <cellStyle name="Hyperlink 2" xfId="11"/>
    <cellStyle name="Normal" xfId="0" builtinId="0"/>
    <cellStyle name="Normal 2" xfId="2"/>
    <cellStyle name="Normal 3" xfId="8"/>
    <cellStyle name="Normal 4" xfId="4"/>
    <cellStyle name="Normal 5" xfId="12"/>
    <cellStyle name="Normal_Coffee Exporter FR1" xfId="9"/>
    <cellStyle name="Normal_FS Conoco Slovakia final 2001-rounding" xfId="5"/>
    <cellStyle name="Normal_Notes to FS1234" xfId="6"/>
    <cellStyle name="Normal_Slovak statutory FS2004(Slovak)" xfId="7"/>
    <cellStyle name="Normal_TSS report template v4" xfId="10"/>
    <cellStyle name="normální_cashflow96" xfId="14"/>
    <cellStyle name="Percent" xfId="1" builtinId="5"/>
    <cellStyle name="Percent 2" xfId="3"/>
  </cellStyles>
  <dxfs count="276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9"/>
  </sheetPr>
  <dimension ref="A1:M42"/>
  <sheetViews>
    <sheetView showGridLines="0" workbookViewId="0">
      <selection activeCell="C33" sqref="C33"/>
    </sheetView>
  </sheetViews>
  <sheetFormatPr defaultRowHeight="11.25" x14ac:dyDescent="0.2"/>
  <cols>
    <col min="1" max="1" width="19.85546875" style="673" customWidth="1"/>
    <col min="2" max="2" width="10.140625" style="673" bestFit="1" customWidth="1"/>
    <col min="3" max="3" width="14.140625" style="673" customWidth="1"/>
    <col min="4" max="4" width="2.85546875" style="673" customWidth="1"/>
    <col min="5" max="5" width="18.5703125" style="673" customWidth="1"/>
    <col min="6" max="6" width="27.7109375" style="673" customWidth="1"/>
    <col min="7" max="7" width="2.28515625" style="673" bestFit="1" customWidth="1"/>
    <col min="8" max="8" width="5" style="673" customWidth="1"/>
    <col min="9" max="16384" width="9.140625" style="673"/>
  </cols>
  <sheetData>
    <row r="1" spans="1:13" ht="12" thickBot="1" x14ac:dyDescent="0.25">
      <c r="A1" s="669" t="s">
        <v>1421</v>
      </c>
      <c r="B1" s="670"/>
      <c r="C1" s="671"/>
      <c r="D1" s="671"/>
      <c r="E1" s="671"/>
      <c r="F1" s="671"/>
      <c r="G1" s="672"/>
    </row>
    <row r="2" spans="1:13" ht="12" thickBot="1" x14ac:dyDescent="0.25">
      <c r="A2" s="674" t="s">
        <v>1523</v>
      </c>
      <c r="B2" s="675"/>
      <c r="C2" s="675"/>
      <c r="D2" s="675"/>
      <c r="E2" s="675"/>
      <c r="F2" s="675"/>
      <c r="G2" s="676"/>
      <c r="H2" s="677"/>
    </row>
    <row r="3" spans="1:13" ht="25.5" customHeight="1" thickBot="1" x14ac:dyDescent="0.25">
      <c r="A3" s="1028" t="s">
        <v>1524</v>
      </c>
      <c r="B3" s="1029"/>
      <c r="C3" s="1029"/>
      <c r="D3" s="678"/>
      <c r="E3" s="679" t="s">
        <v>1420</v>
      </c>
      <c r="F3" s="680" t="s">
        <v>1987</v>
      </c>
      <c r="G3" s="681"/>
    </row>
    <row r="4" spans="1:13" x14ac:dyDescent="0.2">
      <c r="A4" s="682"/>
      <c r="B4" s="683"/>
      <c r="C4" s="683"/>
      <c r="D4" s="683"/>
      <c r="E4" s="683"/>
      <c r="F4" s="683"/>
      <c r="G4" s="684"/>
    </row>
    <row r="5" spans="1:13" ht="12" thickBot="1" x14ac:dyDescent="0.25">
      <c r="A5" s="682"/>
      <c r="B5" s="683"/>
      <c r="C5" s="683"/>
      <c r="D5" s="683"/>
      <c r="E5" s="683"/>
      <c r="F5" s="683"/>
      <c r="G5" s="684"/>
      <c r="L5" s="1027"/>
      <c r="M5" s="1027"/>
    </row>
    <row r="6" spans="1:13" ht="12" thickBot="1" x14ac:dyDescent="0.25">
      <c r="A6" s="685" t="s">
        <v>1419</v>
      </c>
      <c r="B6" s="686">
        <f>YEAR(B7)</f>
        <v>2013</v>
      </c>
      <c r="C6" s="683"/>
      <c r="D6" s="687" t="s">
        <v>1413</v>
      </c>
      <c r="E6" s="688"/>
      <c r="F6" s="683"/>
      <c r="G6" s="684"/>
      <c r="L6" s="1027"/>
      <c r="M6" s="1027"/>
    </row>
    <row r="7" spans="1:13" x14ac:dyDescent="0.2">
      <c r="A7" s="689" t="s">
        <v>1410</v>
      </c>
      <c r="B7" s="786">
        <v>41275</v>
      </c>
      <c r="C7" s="683"/>
      <c r="D7" s="690" t="s">
        <v>18</v>
      </c>
      <c r="E7" s="691" t="s">
        <v>1418</v>
      </c>
      <c r="F7" s="683"/>
      <c r="G7" s="684"/>
      <c r="L7" s="692"/>
      <c r="M7" s="693"/>
    </row>
    <row r="8" spans="1:13" x14ac:dyDescent="0.2">
      <c r="A8" s="694" t="s">
        <v>1406</v>
      </c>
      <c r="B8" s="695" t="str">
        <f>CHOOSE(LEN(MONTH(B7)),"0"&amp;MONTH(B7),MONTH(B7))</f>
        <v>01</v>
      </c>
      <c r="C8" s="683"/>
      <c r="D8" s="696"/>
      <c r="E8" s="697" t="s">
        <v>1417</v>
      </c>
      <c r="F8" s="683"/>
      <c r="G8" s="684"/>
    </row>
    <row r="9" spans="1:13" ht="12" thickBot="1" x14ac:dyDescent="0.25">
      <c r="A9" s="694" t="s">
        <v>1416</v>
      </c>
      <c r="B9" s="698">
        <f>YEAR(B7)</f>
        <v>2013</v>
      </c>
      <c r="C9" s="683"/>
      <c r="D9" s="699"/>
      <c r="E9" s="700"/>
      <c r="F9" s="683"/>
      <c r="G9" s="684"/>
    </row>
    <row r="10" spans="1:13" x14ac:dyDescent="0.2">
      <c r="A10" s="701" t="s">
        <v>1408</v>
      </c>
      <c r="B10" s="786">
        <v>41639</v>
      </c>
      <c r="C10" s="683"/>
      <c r="D10" s="702"/>
      <c r="E10" s="702"/>
      <c r="F10" s="683"/>
      <c r="G10" s="684"/>
    </row>
    <row r="11" spans="1:13" x14ac:dyDescent="0.2">
      <c r="A11" s="703" t="s">
        <v>1415</v>
      </c>
      <c r="B11" s="704" t="str">
        <f>DAY(B10)&amp;"."&amp;MONTH(B10)&amp;"."</f>
        <v>31.12.</v>
      </c>
      <c r="C11" s="683"/>
      <c r="D11" s="705"/>
      <c r="E11" s="706" t="s">
        <v>1165</v>
      </c>
      <c r="F11" s="683"/>
      <c r="G11" s="684"/>
    </row>
    <row r="12" spans="1:13" x14ac:dyDescent="0.2">
      <c r="A12" s="703" t="s">
        <v>1414</v>
      </c>
      <c r="B12" s="707" t="str">
        <f>RIGHT(YEAR(B10),2)</f>
        <v>13</v>
      </c>
      <c r="C12" s="683"/>
      <c r="D12" s="683"/>
      <c r="E12" s="708">
        <v>73110</v>
      </c>
      <c r="F12" s="683"/>
      <c r="G12" s="684"/>
      <c r="K12" s="709"/>
    </row>
    <row r="13" spans="1:13" x14ac:dyDescent="0.2">
      <c r="A13" s="694" t="s">
        <v>1406</v>
      </c>
      <c r="B13" s="695">
        <f>CHOOSE(LEN(MONTH(B10)),"0"&amp;MONTH(B10),MONTH(B10))</f>
        <v>12</v>
      </c>
      <c r="C13" s="710"/>
      <c r="D13" s="683"/>
      <c r="E13" s="683"/>
      <c r="F13" s="683"/>
      <c r="G13" s="684"/>
      <c r="H13" s="677"/>
    </row>
    <row r="14" spans="1:13" ht="12" thickBot="1" x14ac:dyDescent="0.25">
      <c r="A14" s="711" t="s">
        <v>1405</v>
      </c>
      <c r="B14" s="698">
        <f>YEAR(B10)</f>
        <v>2013</v>
      </c>
      <c r="C14" s="712"/>
      <c r="D14" s="683"/>
      <c r="E14" s="683"/>
      <c r="F14" s="683"/>
      <c r="G14" s="684"/>
      <c r="H14" s="677"/>
    </row>
    <row r="15" spans="1:13" ht="12" thickBot="1" x14ac:dyDescent="0.25">
      <c r="A15" s="682"/>
      <c r="B15" s="713"/>
      <c r="C15" s="683"/>
      <c r="D15" s="687" t="s">
        <v>1413</v>
      </c>
      <c r="E15" s="688"/>
      <c r="F15" s="683"/>
      <c r="G15" s="684"/>
    </row>
    <row r="16" spans="1:13" ht="12" thickBot="1" x14ac:dyDescent="0.25">
      <c r="A16" s="714" t="s">
        <v>1412</v>
      </c>
      <c r="B16" s="715">
        <f>YEAR(B17)</f>
        <v>2012</v>
      </c>
      <c r="C16" s="683"/>
      <c r="D16" s="716" t="s">
        <v>18</v>
      </c>
      <c r="E16" s="717" t="s">
        <v>1411</v>
      </c>
      <c r="F16" s="683"/>
      <c r="G16" s="684"/>
    </row>
    <row r="17" spans="1:9" ht="12" thickBot="1" x14ac:dyDescent="0.25">
      <c r="A17" s="689" t="s">
        <v>1410</v>
      </c>
      <c r="B17" s="786">
        <v>40909</v>
      </c>
      <c r="C17" s="683"/>
      <c r="D17" s="718"/>
      <c r="E17" s="719" t="s">
        <v>1409</v>
      </c>
      <c r="F17" s="683"/>
      <c r="G17" s="684"/>
    </row>
    <row r="18" spans="1:9" x14ac:dyDescent="0.2">
      <c r="A18" s="694" t="s">
        <v>1406</v>
      </c>
      <c r="B18" s="720" t="str">
        <f>CHOOSE(LEN(MONTH(B17)),"0"&amp;MONTH(B17),MONTH(B17))</f>
        <v>01</v>
      </c>
      <c r="C18" s="683"/>
      <c r="D18" s="683"/>
      <c r="E18" s="683"/>
      <c r="F18" s="683"/>
      <c r="G18" s="684"/>
    </row>
    <row r="19" spans="1:9" ht="12" thickBot="1" x14ac:dyDescent="0.25">
      <c r="A19" s="711" t="s">
        <v>1405</v>
      </c>
      <c r="B19" s="698">
        <f>YEAR(B17)</f>
        <v>2012</v>
      </c>
      <c r="C19" s="683"/>
      <c r="D19" s="683"/>
      <c r="E19" s="683"/>
      <c r="F19" s="683"/>
      <c r="G19" s="684"/>
    </row>
    <row r="20" spans="1:9" ht="12" thickBot="1" x14ac:dyDescent="0.25">
      <c r="A20" s="701" t="s">
        <v>1408</v>
      </c>
      <c r="B20" s="786">
        <v>41274</v>
      </c>
      <c r="C20" s="683"/>
      <c r="D20" s="683"/>
      <c r="E20" s="669" t="s">
        <v>1407</v>
      </c>
      <c r="F20" s="721"/>
      <c r="G20" s="684"/>
    </row>
    <row r="21" spans="1:9" x14ac:dyDescent="0.2">
      <c r="A21" s="694" t="s">
        <v>1406</v>
      </c>
      <c r="B21" s="695">
        <f>CHOOSE(LEN(MONTH(B20)),"0"&amp;MONTH(B20),MONTH(B20))</f>
        <v>12</v>
      </c>
      <c r="C21" s="683"/>
      <c r="D21" s="683"/>
      <c r="E21" s="683"/>
      <c r="F21" s="683"/>
      <c r="G21" s="684"/>
    </row>
    <row r="22" spans="1:9" ht="12" thickBot="1" x14ac:dyDescent="0.25">
      <c r="A22" s="711" t="s">
        <v>1405</v>
      </c>
      <c r="B22" s="698">
        <f>YEAR(B20)</f>
        <v>2012</v>
      </c>
      <c r="C22" s="683"/>
      <c r="D22" s="683"/>
      <c r="E22" s="683"/>
      <c r="F22" s="683"/>
      <c r="G22" s="684"/>
    </row>
    <row r="23" spans="1:9" ht="12" thickBot="1" x14ac:dyDescent="0.25">
      <c r="A23" s="722"/>
      <c r="B23" s="712"/>
      <c r="C23" s="683"/>
      <c r="D23" s="683"/>
      <c r="E23" s="683"/>
      <c r="F23" s="683"/>
      <c r="G23" s="684"/>
      <c r="I23" s="779"/>
    </row>
    <row r="24" spans="1:9" ht="12" thickBot="1" x14ac:dyDescent="0.25">
      <c r="A24" s="669" t="s">
        <v>1404</v>
      </c>
      <c r="B24" s="671"/>
      <c r="C24" s="723">
        <v>2022304152</v>
      </c>
      <c r="D24" s="683"/>
      <c r="E24" s="683"/>
      <c r="F24" s="683"/>
      <c r="G24" s="684"/>
    </row>
    <row r="25" spans="1:9" ht="12" thickBot="1" x14ac:dyDescent="0.25">
      <c r="A25" s="682"/>
      <c r="B25" s="683"/>
      <c r="C25" s="683"/>
      <c r="D25" s="683"/>
      <c r="E25" s="724" t="s">
        <v>1403</v>
      </c>
      <c r="F25" s="725">
        <v>41803</v>
      </c>
      <c r="G25" s="684"/>
    </row>
    <row r="26" spans="1:9" ht="12" thickBot="1" x14ac:dyDescent="0.25">
      <c r="A26" s="669" t="s">
        <v>1402</v>
      </c>
      <c r="B26" s="671"/>
      <c r="C26" s="778" t="s">
        <v>1932</v>
      </c>
      <c r="D26" s="683"/>
      <c r="E26" s="722"/>
      <c r="F26" s="684"/>
      <c r="G26" s="684"/>
    </row>
    <row r="27" spans="1:9" ht="12" thickBot="1" x14ac:dyDescent="0.25">
      <c r="A27" s="682"/>
      <c r="B27" s="683"/>
      <c r="C27" s="683"/>
      <c r="D27" s="726"/>
      <c r="E27" s="727" t="s">
        <v>1401</v>
      </c>
      <c r="F27" s="728"/>
      <c r="G27" s="684"/>
    </row>
    <row r="28" spans="1:9" ht="12" thickBot="1" x14ac:dyDescent="0.25">
      <c r="A28" s="729" t="s">
        <v>1400</v>
      </c>
      <c r="B28" s="730"/>
      <c r="C28" s="731" t="s">
        <v>1933</v>
      </c>
      <c r="D28" s="732"/>
      <c r="E28" s="683"/>
      <c r="F28" s="683"/>
      <c r="G28" s="684"/>
    </row>
    <row r="29" spans="1:9" x14ac:dyDescent="0.2">
      <c r="A29" s="733"/>
      <c r="B29" s="734"/>
      <c r="C29" s="735"/>
      <c r="D29" s="732"/>
      <c r="E29" s="736" t="s">
        <v>1396</v>
      </c>
      <c r="F29" s="688"/>
      <c r="G29" s="684"/>
    </row>
    <row r="30" spans="1:9" x14ac:dyDescent="0.2">
      <c r="A30" s="737" t="s">
        <v>1399</v>
      </c>
      <c r="B30" s="738"/>
      <c r="C30" s="739">
        <v>20</v>
      </c>
      <c r="D30" s="683"/>
      <c r="E30" s="740" t="s">
        <v>1398</v>
      </c>
      <c r="F30" s="741"/>
      <c r="G30" s="684"/>
    </row>
    <row r="31" spans="1:9" ht="12" thickBot="1" x14ac:dyDescent="0.25">
      <c r="A31" s="682"/>
      <c r="B31" s="683"/>
      <c r="C31" s="684"/>
      <c r="D31" s="683"/>
      <c r="E31" s="742" t="s">
        <v>1389</v>
      </c>
      <c r="F31" s="743"/>
      <c r="G31" s="684"/>
    </row>
    <row r="32" spans="1:9" ht="12" thickBot="1" x14ac:dyDescent="0.25">
      <c r="A32" s="737" t="s">
        <v>1397</v>
      </c>
      <c r="B32" s="744"/>
      <c r="C32" s="745" t="s">
        <v>1988</v>
      </c>
      <c r="D32" s="683"/>
      <c r="E32" s="683"/>
      <c r="F32" s="746"/>
      <c r="G32" s="684"/>
    </row>
    <row r="33" spans="1:7" x14ac:dyDescent="0.2">
      <c r="A33" s="682"/>
      <c r="B33" s="747"/>
      <c r="C33" s="684"/>
      <c r="D33" s="683"/>
      <c r="E33" s="736" t="s">
        <v>1396</v>
      </c>
      <c r="F33" s="688"/>
      <c r="G33" s="684"/>
    </row>
    <row r="34" spans="1:7" ht="12" thickBot="1" x14ac:dyDescent="0.25">
      <c r="A34" s="748" t="s">
        <v>1395</v>
      </c>
      <c r="B34" s="749"/>
      <c r="C34" s="750" t="s">
        <v>1934</v>
      </c>
      <c r="D34" s="683"/>
      <c r="E34" s="740" t="s">
        <v>1394</v>
      </c>
      <c r="F34" s="741"/>
      <c r="G34" s="684"/>
    </row>
    <row r="35" spans="1:7" ht="12" thickBot="1" x14ac:dyDescent="0.25">
      <c r="A35" s="682"/>
      <c r="B35" s="746"/>
      <c r="C35" s="683"/>
      <c r="D35" s="683"/>
      <c r="E35" s="742" t="s">
        <v>1389</v>
      </c>
      <c r="F35" s="743"/>
      <c r="G35" s="684"/>
    </row>
    <row r="36" spans="1:7" ht="12" thickBot="1" x14ac:dyDescent="0.25">
      <c r="A36" s="751" t="s">
        <v>1393</v>
      </c>
      <c r="B36" s="752"/>
      <c r="C36" s="753">
        <v>2</v>
      </c>
      <c r="D36" s="754"/>
      <c r="E36" s="726"/>
      <c r="F36" s="726"/>
      <c r="G36" s="684"/>
    </row>
    <row r="37" spans="1:7" x14ac:dyDescent="0.2">
      <c r="A37" s="722"/>
      <c r="B37" s="747"/>
      <c r="C37" s="684"/>
      <c r="D37" s="683"/>
      <c r="E37" s="736" t="s">
        <v>1392</v>
      </c>
      <c r="F37" s="688"/>
      <c r="G37" s="684"/>
    </row>
    <row r="38" spans="1:7" x14ac:dyDescent="0.2">
      <c r="A38" s="755" t="s">
        <v>1391</v>
      </c>
      <c r="B38" s="744"/>
      <c r="C38" s="756">
        <v>49300513</v>
      </c>
      <c r="D38" s="683"/>
      <c r="E38" s="740" t="s">
        <v>1390</v>
      </c>
      <c r="F38" s="741"/>
      <c r="G38" s="684"/>
    </row>
    <row r="39" spans="1:7" ht="12" thickBot="1" x14ac:dyDescent="0.25">
      <c r="A39" s="757"/>
      <c r="B39" s="758"/>
      <c r="C39" s="759"/>
      <c r="D39" s="683"/>
      <c r="E39" s="742" t="s">
        <v>1389</v>
      </c>
      <c r="F39" s="743"/>
      <c r="G39" s="684"/>
    </row>
    <row r="40" spans="1:7" ht="12" thickBot="1" x14ac:dyDescent="0.25">
      <c r="A40" s="760" t="s">
        <v>1388</v>
      </c>
      <c r="B40" s="761"/>
      <c r="C40" s="762">
        <v>49300550</v>
      </c>
      <c r="D40" s="683"/>
      <c r="E40" s="683"/>
      <c r="F40" s="683"/>
      <c r="G40" s="684"/>
    </row>
    <row r="41" spans="1:7" ht="12" thickBot="1" x14ac:dyDescent="0.25">
      <c r="A41" s="682"/>
      <c r="B41" s="763"/>
      <c r="C41" s="683"/>
      <c r="D41" s="683"/>
      <c r="E41" s="683"/>
      <c r="F41" s="683"/>
      <c r="G41" s="684"/>
    </row>
    <row r="42" spans="1:7" ht="15.75" thickBot="1" x14ac:dyDescent="0.3">
      <c r="A42" s="764" t="s">
        <v>1387</v>
      </c>
      <c r="B42" s="1025"/>
      <c r="C42" s="1026"/>
      <c r="D42" s="765"/>
      <c r="E42" s="765"/>
      <c r="F42" s="765"/>
      <c r="G42" s="759"/>
    </row>
  </sheetData>
  <mergeCells count="3">
    <mergeCell ref="B42:C42"/>
    <mergeCell ref="L5:M6"/>
    <mergeCell ref="A3:C3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9" customFormat="1" ht="16.5" x14ac:dyDescent="0.3">
      <c r="A1" s="1" t="s">
        <v>7</v>
      </c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15.75" thickBot="1" x14ac:dyDescent="0.3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 x14ac:dyDescent="0.3">
      <c r="A4" s="1197" t="s">
        <v>16</v>
      </c>
      <c r="B4" s="1199"/>
      <c r="C4" s="1197" t="s">
        <v>10</v>
      </c>
      <c r="D4" s="1199"/>
      <c r="E4" s="1328" t="s">
        <v>11</v>
      </c>
      <c r="F4" s="1328" t="s">
        <v>454</v>
      </c>
      <c r="G4" s="20"/>
    </row>
    <row r="5" spans="1:7" ht="27" customHeight="1" thickTop="1" thickBot="1" x14ac:dyDescent="0.3">
      <c r="A5" s="438" t="s">
        <v>9</v>
      </c>
      <c r="B5" s="21" t="s">
        <v>17</v>
      </c>
      <c r="C5" s="21" t="s">
        <v>13</v>
      </c>
      <c r="D5" s="21" t="s">
        <v>12</v>
      </c>
      <c r="E5" s="1330"/>
      <c r="F5" s="1330"/>
      <c r="G5" s="20"/>
    </row>
    <row r="6" spans="1:7" ht="16.5" thickTop="1" thickBot="1" x14ac:dyDescent="0.3">
      <c r="A6" s="14"/>
      <c r="B6" s="31"/>
      <c r="C6" s="22"/>
      <c r="D6" s="32"/>
      <c r="E6" s="32"/>
      <c r="F6" s="33"/>
      <c r="G6" s="20"/>
    </row>
    <row r="7" spans="1:7" ht="15.75" thickBot="1" x14ac:dyDescent="0.3">
      <c r="A7" s="14"/>
      <c r="B7" s="31"/>
      <c r="C7" s="22"/>
      <c r="D7" s="32"/>
      <c r="E7" s="32"/>
      <c r="F7" s="33"/>
      <c r="G7" s="20"/>
    </row>
    <row r="8" spans="1:7" ht="15.75" thickBot="1" x14ac:dyDescent="0.3">
      <c r="A8" s="14"/>
      <c r="B8" s="31"/>
      <c r="C8" s="22"/>
      <c r="D8" s="32"/>
      <c r="E8" s="32"/>
      <c r="F8" s="33"/>
      <c r="G8" s="20"/>
    </row>
    <row r="9" spans="1:7" ht="15.75" thickBot="1" x14ac:dyDescent="0.3">
      <c r="A9" s="25" t="s">
        <v>14</v>
      </c>
      <c r="B9" s="34" t="s">
        <v>18</v>
      </c>
      <c r="C9" s="26">
        <f>SUM(C6:C8)</f>
        <v>0</v>
      </c>
      <c r="D9" s="35">
        <f>SUM(D6:D8)</f>
        <v>0</v>
      </c>
      <c r="E9" s="35">
        <f t="shared" ref="E9:F9" si="0">SUM(E6:E8)</f>
        <v>0</v>
      </c>
      <c r="F9" s="36">
        <f t="shared" si="0"/>
        <v>0</v>
      </c>
      <c r="G9" s="20"/>
    </row>
    <row r="10" spans="1:7" ht="15.75" thickTop="1" x14ac:dyDescent="0.25">
      <c r="A10" s="37"/>
      <c r="B10" s="37"/>
      <c r="C10" s="37"/>
      <c r="D10" s="37"/>
      <c r="E10" s="37"/>
      <c r="F10" s="37"/>
      <c r="G10" s="37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389"/>
    <col min="11" max="11" width="9.140625" style="645" customWidth="1" outlineLevel="1"/>
    <col min="12" max="17" width="9.140625" style="646" customWidth="1" outlineLevel="1"/>
    <col min="18" max="18" width="18.28515625" style="648" customWidth="1"/>
    <col min="19" max="19" width="9.140625" style="656"/>
    <col min="20" max="20" width="9.140625" style="646" customWidth="1" outlineLevel="1"/>
    <col min="21" max="26" width="9.140625" style="18" customWidth="1" outlineLevel="1"/>
    <col min="27" max="27" width="26.85546875" style="648" customWidth="1"/>
    <col min="28" max="28" width="9.140625" style="648"/>
    <col min="29" max="29" width="9.140625" style="645" customWidth="1" outlineLevel="1"/>
    <col min="30" max="35" width="9.140625" style="18" customWidth="1" outlineLevel="1"/>
    <col min="36" max="36" width="26.7109375" style="648" customWidth="1"/>
  </cols>
  <sheetData>
    <row r="1" spans="1:36" ht="16.5" x14ac:dyDescent="0.3">
      <c r="A1" s="1" t="s">
        <v>19</v>
      </c>
      <c r="K1" s="1507" t="s">
        <v>1138</v>
      </c>
      <c r="L1" s="1119"/>
      <c r="M1" s="1119"/>
      <c r="N1" s="1119"/>
      <c r="O1" s="1119"/>
      <c r="P1" s="1119"/>
      <c r="Q1" s="1119"/>
      <c r="R1" s="1508"/>
      <c r="T1" s="1507" t="s">
        <v>1139</v>
      </c>
      <c r="U1" s="1119"/>
      <c r="V1" s="1119"/>
      <c r="W1" s="1119"/>
      <c r="X1" s="1119"/>
      <c r="Y1" s="1119"/>
      <c r="Z1" s="1119"/>
      <c r="AA1" s="1508"/>
      <c r="AC1" s="1507" t="s">
        <v>1140</v>
      </c>
      <c r="AD1" s="1119"/>
      <c r="AE1" s="1119"/>
      <c r="AF1" s="1119"/>
      <c r="AG1" s="1119"/>
      <c r="AH1" s="1119"/>
      <c r="AI1" s="1119"/>
      <c r="AJ1" s="1508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1328" t="s">
        <v>20</v>
      </c>
      <c r="B3" s="1197" t="s">
        <v>2</v>
      </c>
      <c r="C3" s="1198"/>
      <c r="D3" s="1198"/>
      <c r="E3" s="1198"/>
      <c r="F3" s="1198"/>
      <c r="G3" s="1198"/>
      <c r="H3" s="1198"/>
      <c r="I3" s="1199"/>
    </row>
    <row r="4" spans="1:36" ht="35.25" customHeight="1" thickTop="1" thickBot="1" x14ac:dyDescent="0.3">
      <c r="A4" s="1329"/>
      <c r="B4" s="40" t="s">
        <v>441</v>
      </c>
      <c r="C4" s="11" t="s">
        <v>21</v>
      </c>
      <c r="D4" s="11" t="s">
        <v>442</v>
      </c>
      <c r="E4" s="10" t="s">
        <v>22</v>
      </c>
      <c r="F4" s="40" t="s">
        <v>23</v>
      </c>
      <c r="G4" s="11" t="s">
        <v>443</v>
      </c>
      <c r="H4" s="11" t="s">
        <v>24</v>
      </c>
      <c r="I4" s="11" t="s">
        <v>14</v>
      </c>
      <c r="J4" s="434"/>
      <c r="K4" s="59" t="s">
        <v>441</v>
      </c>
      <c r="L4" s="766" t="s">
        <v>21</v>
      </c>
      <c r="M4" s="766" t="s">
        <v>442</v>
      </c>
      <c r="N4" s="59" t="s">
        <v>22</v>
      </c>
      <c r="O4" s="766" t="s">
        <v>23</v>
      </c>
      <c r="P4" s="766" t="s">
        <v>443</v>
      </c>
      <c r="Q4" s="766" t="s">
        <v>24</v>
      </c>
      <c r="R4" s="766" t="s">
        <v>14</v>
      </c>
      <c r="S4" s="646"/>
      <c r="T4" s="59" t="s">
        <v>441</v>
      </c>
      <c r="U4" s="766" t="s">
        <v>21</v>
      </c>
      <c r="V4" s="766" t="s">
        <v>442</v>
      </c>
      <c r="W4" s="59" t="s">
        <v>22</v>
      </c>
      <c r="X4" s="766" t="s">
        <v>23</v>
      </c>
      <c r="Y4" s="766" t="s">
        <v>443</v>
      </c>
      <c r="Z4" s="766" t="s">
        <v>24</v>
      </c>
      <c r="AA4" s="766" t="s">
        <v>14</v>
      </c>
      <c r="AB4" s="646"/>
      <c r="AC4" s="59" t="s">
        <v>441</v>
      </c>
      <c r="AD4" s="766" t="s">
        <v>21</v>
      </c>
      <c r="AE4" s="766" t="s">
        <v>442</v>
      </c>
      <c r="AF4" s="59" t="s">
        <v>22</v>
      </c>
      <c r="AG4" s="766" t="s">
        <v>23</v>
      </c>
      <c r="AH4" s="766" t="s">
        <v>443</v>
      </c>
      <c r="AI4" s="766" t="s">
        <v>24</v>
      </c>
      <c r="AJ4" s="766" t="s">
        <v>14</v>
      </c>
    </row>
    <row r="5" spans="1:36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3"/>
    </row>
    <row r="6" spans="1:36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15">
        <f>SUM(B6:H6)</f>
        <v>0</v>
      </c>
      <c r="R6" s="647">
        <f>SUM(B6:H6)-I6</f>
        <v>0</v>
      </c>
      <c r="T6" s="663">
        <f>B6-B35</f>
        <v>0</v>
      </c>
      <c r="U6" s="667">
        <f t="shared" ref="U6:AA6" si="0">C6-C35</f>
        <v>0</v>
      </c>
      <c r="V6" s="667">
        <f t="shared" si="0"/>
        <v>0</v>
      </c>
      <c r="W6" s="667">
        <f t="shared" si="0"/>
        <v>0</v>
      </c>
      <c r="X6" s="667">
        <f t="shared" si="0"/>
        <v>0</v>
      </c>
      <c r="Y6" s="667">
        <f t="shared" si="0"/>
        <v>0</v>
      </c>
      <c r="Z6" s="667">
        <f t="shared" si="0"/>
        <v>0</v>
      </c>
      <c r="AA6" s="647">
        <f t="shared" si="0"/>
        <v>0</v>
      </c>
    </row>
    <row r="7" spans="1:36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15">
        <f>SUM(B7:H7)</f>
        <v>0</v>
      </c>
      <c r="R7" s="647">
        <f t="shared" ref="R7:R22" si="1">SUM(B7:H7)-I7</f>
        <v>0</v>
      </c>
    </row>
    <row r="8" spans="1:36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15">
        <f t="shared" ref="I8:I9" si="2">SUM(B8:H8)</f>
        <v>0</v>
      </c>
      <c r="R8" s="647">
        <f t="shared" si="1"/>
        <v>0</v>
      </c>
    </row>
    <row r="9" spans="1:36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15">
        <f t="shared" si="2"/>
        <v>0</v>
      </c>
      <c r="R9" s="647">
        <f t="shared" si="1"/>
        <v>0</v>
      </c>
    </row>
    <row r="10" spans="1:36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17">
        <f>I6+I7-I8+I9</f>
        <v>0</v>
      </c>
      <c r="K10" s="649">
        <f>B6+B7-B8+B9-B10</f>
        <v>0</v>
      </c>
      <c r="L10" s="663">
        <f t="shared" ref="L10:R10" si="4">C6+C7-C8+C9-C10</f>
        <v>0</v>
      </c>
      <c r="M10" s="663">
        <f t="shared" si="4"/>
        <v>0</v>
      </c>
      <c r="N10" s="663">
        <f t="shared" si="4"/>
        <v>0</v>
      </c>
      <c r="O10" s="663">
        <f t="shared" si="4"/>
        <v>0</v>
      </c>
      <c r="P10" s="663">
        <f t="shared" si="4"/>
        <v>0</v>
      </c>
      <c r="Q10" s="663">
        <f t="shared" si="4"/>
        <v>0</v>
      </c>
      <c r="R10" s="663">
        <f t="shared" si="4"/>
        <v>0</v>
      </c>
      <c r="AC10" s="649">
        <f>B10-BS!$D$13</f>
        <v>0</v>
      </c>
      <c r="AD10" s="667">
        <f>C10-BS!$D$14</f>
        <v>-2068</v>
      </c>
      <c r="AE10" s="667">
        <f>D10-BS!$D$15</f>
        <v>0</v>
      </c>
      <c r="AF10" s="667">
        <f>E10-BS!$D$16</f>
        <v>0</v>
      </c>
      <c r="AG10" s="667">
        <f>F10-BS!$D$17</f>
        <v>0</v>
      </c>
      <c r="AH10" s="667">
        <f>G10-BS!$D$18</f>
        <v>0</v>
      </c>
      <c r="AI10" s="667">
        <f>H10-BS!$D$19</f>
        <v>0</v>
      </c>
      <c r="AJ10" s="647">
        <f>I10-BS!$D$12</f>
        <v>-2068</v>
      </c>
    </row>
    <row r="11" spans="1:36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3"/>
      <c r="R11" s="647"/>
    </row>
    <row r="12" spans="1:36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15">
        <f>SUM(B12:H12)</f>
        <v>0</v>
      </c>
      <c r="R12" s="647">
        <f t="shared" si="1"/>
        <v>0</v>
      </c>
      <c r="T12" s="663">
        <f>B12-B40</f>
        <v>0</v>
      </c>
      <c r="U12" s="667">
        <f t="shared" ref="U12:AA12" si="5">C12-C40</f>
        <v>0</v>
      </c>
      <c r="V12" s="667">
        <f t="shared" si="5"/>
        <v>0</v>
      </c>
      <c r="W12" s="667">
        <f t="shared" si="5"/>
        <v>0</v>
      </c>
      <c r="X12" s="667">
        <f t="shared" si="5"/>
        <v>0</v>
      </c>
      <c r="Y12" s="667">
        <f t="shared" si="5"/>
        <v>0</v>
      </c>
      <c r="Z12" s="667">
        <f t="shared" si="5"/>
        <v>0</v>
      </c>
      <c r="AA12" s="647">
        <f t="shared" si="5"/>
        <v>0</v>
      </c>
    </row>
    <row r="13" spans="1:36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15">
        <f t="shared" ref="I13:I14" si="6">SUM(B13:H13)</f>
        <v>0</v>
      </c>
      <c r="R13" s="647">
        <f t="shared" si="1"/>
        <v>0</v>
      </c>
    </row>
    <row r="14" spans="1:36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15">
        <f t="shared" si="6"/>
        <v>0</v>
      </c>
      <c r="R14" s="647">
        <f t="shared" si="1"/>
        <v>0</v>
      </c>
      <c r="AC14" s="668" t="s">
        <v>1141</v>
      </c>
    </row>
    <row r="15" spans="1:36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H15" si="7">D12+D13-D14</f>
        <v>0</v>
      </c>
      <c r="E15" s="26">
        <f t="shared" si="7"/>
        <v>0</v>
      </c>
      <c r="F15" s="26">
        <f t="shared" si="7"/>
        <v>0</v>
      </c>
      <c r="G15" s="26">
        <f t="shared" si="7"/>
        <v>0</v>
      </c>
      <c r="H15" s="26">
        <f t="shared" si="7"/>
        <v>0</v>
      </c>
      <c r="I15" s="17">
        <f>I12+I13-I14</f>
        <v>0</v>
      </c>
      <c r="K15" s="649">
        <f>B12+B13-B14-B15</f>
        <v>0</v>
      </c>
      <c r="L15" s="663">
        <f>C12+C13-C14-C15</f>
        <v>0</v>
      </c>
      <c r="M15" s="663">
        <f t="shared" ref="M15:R15" si="8">D12+D13-D14-D15</f>
        <v>0</v>
      </c>
      <c r="N15" s="663">
        <f t="shared" si="8"/>
        <v>0</v>
      </c>
      <c r="O15" s="663">
        <f t="shared" si="8"/>
        <v>0</v>
      </c>
      <c r="P15" s="663">
        <f t="shared" si="8"/>
        <v>0</v>
      </c>
      <c r="Q15" s="663">
        <f t="shared" si="8"/>
        <v>0</v>
      </c>
      <c r="R15" s="663">
        <f t="shared" si="8"/>
        <v>0</v>
      </c>
      <c r="AC15" s="649">
        <f>B15+B20-BS!$E$13</f>
        <v>0</v>
      </c>
      <c r="AD15" s="667">
        <f>C15+C20-BS!$E$14</f>
        <v>-2068</v>
      </c>
      <c r="AE15" s="667">
        <f>D15+D20-BS!$E$15</f>
        <v>0</v>
      </c>
      <c r="AF15" s="667">
        <f>E15+E20-BS!$E$16</f>
        <v>0</v>
      </c>
      <c r="AG15" s="667">
        <f>F15+F20-BS!$E$17</f>
        <v>0</v>
      </c>
      <c r="AH15" s="667">
        <f>G15+G20-BS!$E$18</f>
        <v>0</v>
      </c>
      <c r="AI15" s="667">
        <f>H15+H20-BS!$E$19</f>
        <v>0</v>
      </c>
      <c r="AJ15" s="647">
        <f>I15+I20-BS!$E$12</f>
        <v>-2068</v>
      </c>
    </row>
    <row r="16" spans="1:36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3"/>
      <c r="R16" s="647"/>
    </row>
    <row r="17" spans="1:36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15">
        <f>SUM(B17:H17)</f>
        <v>0</v>
      </c>
      <c r="R17" s="647">
        <f t="shared" si="1"/>
        <v>0</v>
      </c>
      <c r="T17" s="663">
        <f>B17-B45</f>
        <v>0</v>
      </c>
      <c r="U17" s="667">
        <f t="shared" ref="U17:AA17" si="9">C17-C45</f>
        <v>0</v>
      </c>
      <c r="V17" s="667">
        <f t="shared" si="9"/>
        <v>0</v>
      </c>
      <c r="W17" s="667">
        <f t="shared" si="9"/>
        <v>0</v>
      </c>
      <c r="X17" s="667">
        <f t="shared" si="9"/>
        <v>0</v>
      </c>
      <c r="Y17" s="667">
        <f t="shared" si="9"/>
        <v>0</v>
      </c>
      <c r="Z17" s="667">
        <f t="shared" si="9"/>
        <v>0</v>
      </c>
      <c r="AA17" s="647">
        <f t="shared" si="9"/>
        <v>0</v>
      </c>
    </row>
    <row r="18" spans="1:36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15">
        <f t="shared" ref="I18:I19" si="10">SUM(B18:H18)</f>
        <v>0</v>
      </c>
      <c r="R18" s="647">
        <f t="shared" si="1"/>
        <v>0</v>
      </c>
    </row>
    <row r="19" spans="1:36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15">
        <f t="shared" si="10"/>
        <v>0</v>
      </c>
      <c r="R19" s="647">
        <f t="shared" si="1"/>
        <v>0</v>
      </c>
    </row>
    <row r="20" spans="1:36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1">D17+D18-D19</f>
        <v>0</v>
      </c>
      <c r="E20" s="26">
        <f t="shared" ref="E20" si="12">E17+E18-E19</f>
        <v>0</v>
      </c>
      <c r="F20" s="26">
        <f t="shared" ref="F20" si="13">F17+F18-F19</f>
        <v>0</v>
      </c>
      <c r="G20" s="26">
        <f t="shared" ref="G20" si="14">G17+G18-G19</f>
        <v>0</v>
      </c>
      <c r="H20" s="26">
        <f t="shared" ref="H20" si="15">H17+H18-H19</f>
        <v>0</v>
      </c>
      <c r="I20" s="17">
        <f>I17+I18-I19</f>
        <v>0</v>
      </c>
      <c r="K20" s="649">
        <f>B17+B18-B19-B20</f>
        <v>0</v>
      </c>
      <c r="L20" s="663">
        <f>C17+C18-C19-C20</f>
        <v>0</v>
      </c>
      <c r="M20" s="663">
        <f t="shared" ref="M20:R20" si="16">D17+D18-D19-D20</f>
        <v>0</v>
      </c>
      <c r="N20" s="663">
        <f t="shared" si="16"/>
        <v>0</v>
      </c>
      <c r="O20" s="663">
        <f t="shared" si="16"/>
        <v>0</v>
      </c>
      <c r="P20" s="663">
        <f t="shared" si="16"/>
        <v>0</v>
      </c>
      <c r="Q20" s="663">
        <f t="shared" si="16"/>
        <v>0</v>
      </c>
      <c r="R20" s="663">
        <f t="shared" si="16"/>
        <v>0</v>
      </c>
    </row>
    <row r="21" spans="1:36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3"/>
      <c r="R21" s="647"/>
    </row>
    <row r="22" spans="1:36" ht="15" customHeight="1" thickTop="1" thickBot="1" x14ac:dyDescent="0.3">
      <c r="A22" s="44" t="s">
        <v>32</v>
      </c>
      <c r="B22" s="22">
        <f>B6-B12-B17</f>
        <v>0</v>
      </c>
      <c r="C22" s="22">
        <f t="shared" ref="C22:I22" si="17">C6-C12-C17</f>
        <v>0</v>
      </c>
      <c r="D22" s="22">
        <f t="shared" si="17"/>
        <v>0</v>
      </c>
      <c r="E22" s="22">
        <f t="shared" si="17"/>
        <v>0</v>
      </c>
      <c r="F22" s="22">
        <f t="shared" si="17"/>
        <v>0</v>
      </c>
      <c r="G22" s="22">
        <f t="shared" si="17"/>
        <v>0</v>
      </c>
      <c r="H22" s="22">
        <f t="shared" si="17"/>
        <v>0</v>
      </c>
      <c r="I22" s="15">
        <f t="shared" si="17"/>
        <v>0</v>
      </c>
      <c r="K22" s="649">
        <f>B6-B12-B17-B22</f>
        <v>0</v>
      </c>
      <c r="L22" s="663">
        <f t="shared" ref="L22:N22" si="18">C6-C12-C17-C22</f>
        <v>0</v>
      </c>
      <c r="M22" s="663">
        <f t="shared" si="18"/>
        <v>0</v>
      </c>
      <c r="N22" s="663">
        <f t="shared" si="18"/>
        <v>0</v>
      </c>
      <c r="O22" s="663">
        <f>F6-F12-F17-F22</f>
        <v>0</v>
      </c>
      <c r="P22" s="663">
        <f t="shared" ref="P22:Q22" si="19">G6-G12-G17-G22</f>
        <v>0</v>
      </c>
      <c r="Q22" s="663">
        <f t="shared" si="19"/>
        <v>0</v>
      </c>
      <c r="R22" s="647">
        <f t="shared" si="1"/>
        <v>0</v>
      </c>
      <c r="T22" s="663">
        <f>B22-B48</f>
        <v>0</v>
      </c>
      <c r="U22" s="667">
        <f t="shared" ref="U22:AA22" si="20">C22-C48</f>
        <v>0</v>
      </c>
      <c r="V22" s="667">
        <f t="shared" si="20"/>
        <v>0</v>
      </c>
      <c r="W22" s="667">
        <f t="shared" si="20"/>
        <v>0</v>
      </c>
      <c r="X22" s="667">
        <f t="shared" si="20"/>
        <v>0</v>
      </c>
      <c r="Y22" s="667">
        <f t="shared" si="20"/>
        <v>0</v>
      </c>
      <c r="Z22" s="667">
        <f t="shared" si="20"/>
        <v>0</v>
      </c>
      <c r="AA22" s="647">
        <f t="shared" si="20"/>
        <v>0</v>
      </c>
    </row>
    <row r="23" spans="1:36" ht="15" customHeight="1" thickBot="1" x14ac:dyDescent="0.3">
      <c r="A23" s="25" t="s">
        <v>30</v>
      </c>
      <c r="B23" s="26">
        <f>B10-B15-B20</f>
        <v>0</v>
      </c>
      <c r="C23" s="26">
        <f t="shared" ref="C23:I23" si="21">C10-C15-C20</f>
        <v>0</v>
      </c>
      <c r="D23" s="26">
        <f t="shared" si="21"/>
        <v>0</v>
      </c>
      <c r="E23" s="26">
        <f t="shared" si="21"/>
        <v>0</v>
      </c>
      <c r="F23" s="26">
        <f t="shared" si="21"/>
        <v>0</v>
      </c>
      <c r="G23" s="26">
        <f t="shared" si="21"/>
        <v>0</v>
      </c>
      <c r="H23" s="26">
        <f t="shared" si="21"/>
        <v>0</v>
      </c>
      <c r="I23" s="17">
        <f t="shared" si="21"/>
        <v>0</v>
      </c>
      <c r="K23" s="649">
        <f>B10-B15-B20-B23</f>
        <v>0</v>
      </c>
      <c r="L23" s="663">
        <f t="shared" ref="L23:N23" si="22">C10-C15-C20-C23</f>
        <v>0</v>
      </c>
      <c r="M23" s="663">
        <f t="shared" si="22"/>
        <v>0</v>
      </c>
      <c r="N23" s="663">
        <f t="shared" si="22"/>
        <v>0</v>
      </c>
      <c r="O23" s="663">
        <f>F10-F15-F20-F23</f>
        <v>0</v>
      </c>
      <c r="P23" s="663">
        <f t="shared" ref="P23:Q23" si="23">G10-G15-G20-G23</f>
        <v>0</v>
      </c>
      <c r="Q23" s="663">
        <f t="shared" si="23"/>
        <v>0</v>
      </c>
      <c r="R23" s="647">
        <f>SUM(B23:H23)-I23</f>
        <v>0</v>
      </c>
      <c r="AC23" s="649">
        <f>B23-BS!$F$13</f>
        <v>0</v>
      </c>
      <c r="AD23" s="667">
        <f>C23-BS!$F$14</f>
        <v>0</v>
      </c>
      <c r="AE23" s="667">
        <f>D23-BS!$F$15</f>
        <v>0</v>
      </c>
      <c r="AF23" s="667">
        <f>E23-BS!$F$16</f>
        <v>0</v>
      </c>
      <c r="AG23" s="667">
        <f>F23-BS!$F$17</f>
        <v>0</v>
      </c>
      <c r="AH23" s="667">
        <f>G23-BS!$F$18</f>
        <v>0</v>
      </c>
      <c r="AI23" s="667">
        <f>H23-BS!$F$19</f>
        <v>0</v>
      </c>
      <c r="AJ23" s="647">
        <f>I23-BS!$F$12</f>
        <v>0</v>
      </c>
    </row>
    <row r="24" spans="1:36" ht="15.75" thickTop="1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5" spans="1:36" x14ac:dyDescent="0.25">
      <c r="A25" s="49"/>
      <c r="B25" s="20"/>
      <c r="C25" s="20"/>
      <c r="D25" s="20"/>
      <c r="E25" s="20"/>
      <c r="F25" s="20"/>
      <c r="G25" s="20"/>
      <c r="H25" s="20"/>
      <c r="I25" s="20"/>
    </row>
    <row r="26" spans="1:36" x14ac:dyDescent="0.25">
      <c r="A26" s="49" t="s">
        <v>15</v>
      </c>
      <c r="B26" s="20"/>
      <c r="C26" s="20"/>
      <c r="D26" s="20"/>
      <c r="E26" s="20"/>
      <c r="F26" s="20"/>
      <c r="G26" s="20"/>
      <c r="H26" s="20"/>
      <c r="I26" s="20"/>
    </row>
    <row r="27" spans="1:36" ht="15.75" thickBot="1" x14ac:dyDescent="0.3">
      <c r="A27" s="48"/>
      <c r="B27" s="48"/>
      <c r="C27" s="48"/>
      <c r="D27" s="48"/>
      <c r="E27" s="48"/>
      <c r="F27" s="48"/>
      <c r="G27" s="48"/>
      <c r="H27" s="48"/>
      <c r="I27" s="20"/>
    </row>
    <row r="28" spans="1:36" ht="15" customHeight="1" thickTop="1" thickBot="1" x14ac:dyDescent="0.3">
      <c r="A28" s="1328" t="s">
        <v>20</v>
      </c>
      <c r="B28" s="1197" t="s">
        <v>3</v>
      </c>
      <c r="C28" s="1198"/>
      <c r="D28" s="1198"/>
      <c r="E28" s="1198"/>
      <c r="F28" s="1198"/>
      <c r="G28" s="1198"/>
      <c r="H28" s="1198"/>
      <c r="I28" s="1199"/>
    </row>
    <row r="29" spans="1:36" ht="35.25" thickTop="1" thickBot="1" x14ac:dyDescent="0.3">
      <c r="A29" s="1329"/>
      <c r="B29" s="40" t="s">
        <v>441</v>
      </c>
      <c r="C29" s="11" t="s">
        <v>21</v>
      </c>
      <c r="D29" s="11" t="s">
        <v>442</v>
      </c>
      <c r="E29" s="10" t="s">
        <v>22</v>
      </c>
      <c r="F29" s="40" t="s">
        <v>23</v>
      </c>
      <c r="G29" s="11" t="s">
        <v>443</v>
      </c>
      <c r="H29" s="11" t="s">
        <v>24</v>
      </c>
      <c r="I29" s="11" t="s">
        <v>14</v>
      </c>
    </row>
    <row r="30" spans="1:36" ht="15" customHeight="1" thickTop="1" thickBot="1" x14ac:dyDescent="0.3">
      <c r="A30" s="41" t="s">
        <v>25</v>
      </c>
      <c r="B30" s="42"/>
      <c r="C30" s="42"/>
      <c r="D30" s="42"/>
      <c r="E30" s="42"/>
      <c r="F30" s="42"/>
      <c r="G30" s="42"/>
      <c r="H30" s="42"/>
      <c r="I30" s="43"/>
    </row>
    <row r="31" spans="1:36" ht="15" customHeight="1" thickTop="1" thickBot="1" x14ac:dyDescent="0.3">
      <c r="A31" s="44" t="s">
        <v>26</v>
      </c>
      <c r="B31" s="22"/>
      <c r="C31" s="22"/>
      <c r="D31" s="22"/>
      <c r="E31" s="22"/>
      <c r="F31" s="45"/>
      <c r="G31" s="22"/>
      <c r="H31" s="22"/>
      <c r="I31" s="15">
        <f>SUM(B31:H31)</f>
        <v>0</v>
      </c>
      <c r="R31" s="647">
        <f>SUM(B31:H31)-I31</f>
        <v>0</v>
      </c>
    </row>
    <row r="32" spans="1:36" ht="15" customHeight="1" thickBot="1" x14ac:dyDescent="0.3">
      <c r="A32" s="14" t="s">
        <v>27</v>
      </c>
      <c r="B32" s="22"/>
      <c r="C32" s="22"/>
      <c r="D32" s="22"/>
      <c r="E32" s="22"/>
      <c r="F32" s="46"/>
      <c r="G32" s="22"/>
      <c r="H32" s="22"/>
      <c r="I32" s="15">
        <f t="shared" ref="I32:I34" si="24">SUM(B32:H32)</f>
        <v>0</v>
      </c>
      <c r="R32" s="647">
        <f t="shared" ref="R32:R34" si="25">SUM(B32:H32)-I32</f>
        <v>0</v>
      </c>
    </row>
    <row r="33" spans="1:37" ht="15" customHeight="1" thickBot="1" x14ac:dyDescent="0.3">
      <c r="A33" s="14" t="s">
        <v>28</v>
      </c>
      <c r="B33" s="22"/>
      <c r="C33" s="22"/>
      <c r="D33" s="22"/>
      <c r="E33" s="22"/>
      <c r="F33" s="46"/>
      <c r="G33" s="22"/>
      <c r="H33" s="22"/>
      <c r="I33" s="15">
        <f t="shared" si="24"/>
        <v>0</v>
      </c>
      <c r="R33" s="647">
        <f t="shared" si="25"/>
        <v>0</v>
      </c>
    </row>
    <row r="34" spans="1:37" ht="15" customHeight="1" thickBot="1" x14ac:dyDescent="0.3">
      <c r="A34" s="14" t="s">
        <v>29</v>
      </c>
      <c r="B34" s="22"/>
      <c r="C34" s="22"/>
      <c r="D34" s="22"/>
      <c r="E34" s="22"/>
      <c r="F34" s="46"/>
      <c r="G34" s="22"/>
      <c r="H34" s="22"/>
      <c r="I34" s="15">
        <f t="shared" si="24"/>
        <v>0</v>
      </c>
      <c r="R34" s="647">
        <f t="shared" si="25"/>
        <v>0</v>
      </c>
    </row>
    <row r="35" spans="1:37" ht="15" customHeight="1" thickBot="1" x14ac:dyDescent="0.3">
      <c r="A35" s="25" t="s">
        <v>30</v>
      </c>
      <c r="B35" s="26">
        <f>B31+B32-B33+B34</f>
        <v>0</v>
      </c>
      <c r="C35" s="26">
        <f>C31+C32-C33+C34</f>
        <v>0</v>
      </c>
      <c r="D35" s="26">
        <f>D31+D32-D33+D34</f>
        <v>0</v>
      </c>
      <c r="E35" s="26">
        <f t="shared" ref="E35:H35" si="26">E31+E32-E33+E34</f>
        <v>0</v>
      </c>
      <c r="F35" s="26">
        <f t="shared" si="26"/>
        <v>0</v>
      </c>
      <c r="G35" s="26">
        <f t="shared" si="26"/>
        <v>0</v>
      </c>
      <c r="H35" s="26">
        <f t="shared" si="26"/>
        <v>0</v>
      </c>
      <c r="I35" s="17">
        <f>I31+I32-I33+I34</f>
        <v>0</v>
      </c>
      <c r="K35" s="649">
        <f>B31+B32-B33+B34-B35</f>
        <v>0</v>
      </c>
      <c r="L35" s="663">
        <f t="shared" ref="L35:R35" si="27">C31+C32-C33+C34-C35</f>
        <v>0</v>
      </c>
      <c r="M35" s="663">
        <f t="shared" si="27"/>
        <v>0</v>
      </c>
      <c r="N35" s="663">
        <f t="shared" si="27"/>
        <v>0</v>
      </c>
      <c r="O35" s="663">
        <f t="shared" si="27"/>
        <v>0</v>
      </c>
      <c r="P35" s="663">
        <f t="shared" si="27"/>
        <v>0</v>
      </c>
      <c r="Q35" s="663">
        <f t="shared" si="27"/>
        <v>0</v>
      </c>
      <c r="R35" s="663">
        <f t="shared" si="27"/>
        <v>0</v>
      </c>
    </row>
    <row r="36" spans="1:37" ht="15" customHeight="1" thickTop="1" thickBot="1" x14ac:dyDescent="0.3">
      <c r="A36" s="41" t="s">
        <v>31</v>
      </c>
      <c r="B36" s="42"/>
      <c r="C36" s="42"/>
      <c r="D36" s="42"/>
      <c r="E36" s="42"/>
      <c r="F36" s="42"/>
      <c r="G36" s="42"/>
      <c r="H36" s="42"/>
      <c r="I36" s="43"/>
      <c r="R36" s="647"/>
    </row>
    <row r="37" spans="1:37" ht="15" customHeight="1" thickTop="1" thickBot="1" x14ac:dyDescent="0.3">
      <c r="A37" s="44" t="s">
        <v>32</v>
      </c>
      <c r="B37" s="22"/>
      <c r="C37" s="22"/>
      <c r="D37" s="22"/>
      <c r="E37" s="22"/>
      <c r="F37" s="22"/>
      <c r="G37" s="22"/>
      <c r="H37" s="22"/>
      <c r="I37" s="15">
        <f>SUM(B37:H37)</f>
        <v>0</v>
      </c>
      <c r="R37" s="647">
        <f t="shared" ref="R37:R39" si="28">SUM(B37:H37)-I37</f>
        <v>0</v>
      </c>
    </row>
    <row r="38" spans="1:37" ht="15" customHeight="1" thickBot="1" x14ac:dyDescent="0.3">
      <c r="A38" s="14" t="s">
        <v>27</v>
      </c>
      <c r="B38" s="22"/>
      <c r="C38" s="22"/>
      <c r="D38" s="22"/>
      <c r="E38" s="22"/>
      <c r="F38" s="22"/>
      <c r="G38" s="22"/>
      <c r="H38" s="22"/>
      <c r="I38" s="15">
        <f t="shared" ref="I38:I39" si="29">SUM(B38:H38)</f>
        <v>0</v>
      </c>
      <c r="R38" s="647">
        <f t="shared" si="28"/>
        <v>0</v>
      </c>
    </row>
    <row r="39" spans="1:37" ht="15" customHeight="1" thickBot="1" x14ac:dyDescent="0.3">
      <c r="A39" s="14" t="s">
        <v>28</v>
      </c>
      <c r="B39" s="22"/>
      <c r="C39" s="22"/>
      <c r="D39" s="22"/>
      <c r="E39" s="22"/>
      <c r="F39" s="22"/>
      <c r="G39" s="22"/>
      <c r="H39" s="22"/>
      <c r="I39" s="15">
        <f t="shared" si="29"/>
        <v>0</v>
      </c>
      <c r="R39" s="647">
        <f t="shared" si="28"/>
        <v>0</v>
      </c>
    </row>
    <row r="40" spans="1:37" ht="15" customHeight="1" thickBot="1" x14ac:dyDescent="0.3">
      <c r="A40" s="25" t="s">
        <v>30</v>
      </c>
      <c r="B40" s="26">
        <f>B37+B38-B39</f>
        <v>0</v>
      </c>
      <c r="C40" s="26">
        <f>C37+C38-C39</f>
        <v>0</v>
      </c>
      <c r="D40" s="26">
        <f t="shared" ref="D40:H40" si="30">D37+D38-D39</f>
        <v>0</v>
      </c>
      <c r="E40" s="26">
        <f t="shared" si="30"/>
        <v>0</v>
      </c>
      <c r="F40" s="26">
        <f t="shared" si="30"/>
        <v>0</v>
      </c>
      <c r="G40" s="26">
        <f t="shared" si="30"/>
        <v>0</v>
      </c>
      <c r="H40" s="26">
        <f t="shared" si="30"/>
        <v>0</v>
      </c>
      <c r="I40" s="17">
        <f>I37+I38-I39</f>
        <v>0</v>
      </c>
      <c r="K40" s="649">
        <f>B37+B38-B39-B40</f>
        <v>0</v>
      </c>
      <c r="L40" s="663">
        <f>C37+C38-C39-C40</f>
        <v>0</v>
      </c>
      <c r="M40" s="663">
        <f t="shared" ref="M40:R40" si="31">D37+D38-D39-D40</f>
        <v>0</v>
      </c>
      <c r="N40" s="663">
        <f t="shared" si="31"/>
        <v>0</v>
      </c>
      <c r="O40" s="663">
        <f t="shared" si="31"/>
        <v>0</v>
      </c>
      <c r="P40" s="663">
        <f t="shared" si="31"/>
        <v>0</v>
      </c>
      <c r="Q40" s="663">
        <f t="shared" si="31"/>
        <v>0</v>
      </c>
      <c r="R40" s="663">
        <f t="shared" si="31"/>
        <v>0</v>
      </c>
    </row>
    <row r="41" spans="1:37" ht="15" customHeight="1" thickTop="1" thickBot="1" x14ac:dyDescent="0.3">
      <c r="A41" s="41" t="s">
        <v>33</v>
      </c>
      <c r="B41" s="42"/>
      <c r="C41" s="42"/>
      <c r="D41" s="42"/>
      <c r="E41" s="42"/>
      <c r="F41" s="42"/>
      <c r="G41" s="42"/>
      <c r="H41" s="42"/>
      <c r="I41" s="43"/>
      <c r="R41" s="647"/>
    </row>
    <row r="42" spans="1:37" ht="15" customHeight="1" thickTop="1" thickBot="1" x14ac:dyDescent="0.3">
      <c r="A42" s="44" t="s">
        <v>32</v>
      </c>
      <c r="B42" s="22"/>
      <c r="C42" s="22"/>
      <c r="D42" s="22"/>
      <c r="E42" s="22"/>
      <c r="F42" s="22"/>
      <c r="G42" s="22"/>
      <c r="H42" s="22"/>
      <c r="I42" s="15">
        <f>SUM(B42:H42)</f>
        <v>0</v>
      </c>
      <c r="R42" s="647">
        <f t="shared" ref="R42:R44" si="32">SUM(B42:H42)-I42</f>
        <v>0</v>
      </c>
    </row>
    <row r="43" spans="1:37" ht="15" customHeight="1" thickBot="1" x14ac:dyDescent="0.3">
      <c r="A43" s="14" t="s">
        <v>27</v>
      </c>
      <c r="B43" s="22"/>
      <c r="C43" s="22"/>
      <c r="D43" s="22"/>
      <c r="E43" s="22"/>
      <c r="F43" s="22"/>
      <c r="G43" s="22"/>
      <c r="H43" s="22"/>
      <c r="I43" s="15">
        <f t="shared" ref="I43:I44" si="33">SUM(B43:H43)</f>
        <v>0</v>
      </c>
      <c r="R43" s="647">
        <f t="shared" si="32"/>
        <v>0</v>
      </c>
    </row>
    <row r="44" spans="1:37" ht="15" customHeight="1" thickBot="1" x14ac:dyDescent="0.3">
      <c r="A44" s="14" t="s">
        <v>28</v>
      </c>
      <c r="B44" s="22"/>
      <c r="C44" s="22"/>
      <c r="D44" s="22"/>
      <c r="E44" s="22"/>
      <c r="F44" s="22"/>
      <c r="G44" s="22"/>
      <c r="H44" s="22"/>
      <c r="I44" s="15">
        <f t="shared" si="33"/>
        <v>0</v>
      </c>
      <c r="R44" s="647">
        <f t="shared" si="32"/>
        <v>0</v>
      </c>
    </row>
    <row r="45" spans="1:37" ht="15" customHeight="1" thickBot="1" x14ac:dyDescent="0.3">
      <c r="A45" s="25" t="s">
        <v>30</v>
      </c>
      <c r="B45" s="26">
        <f>B42+B43-B44</f>
        <v>0</v>
      </c>
      <c r="C45" s="26">
        <f>C42+C43-C44</f>
        <v>0</v>
      </c>
      <c r="D45" s="26">
        <f t="shared" ref="D45:H45" si="34">D42+D43-D44</f>
        <v>0</v>
      </c>
      <c r="E45" s="26">
        <f t="shared" si="34"/>
        <v>0</v>
      </c>
      <c r="F45" s="26">
        <f t="shared" si="34"/>
        <v>0</v>
      </c>
      <c r="G45" s="26">
        <f t="shared" si="34"/>
        <v>0</v>
      </c>
      <c r="H45" s="26">
        <f t="shared" si="34"/>
        <v>0</v>
      </c>
      <c r="I45" s="17">
        <f>I42+I43-I44</f>
        <v>0</v>
      </c>
      <c r="K45" s="649">
        <f>B42+B43-B44-B45</f>
        <v>0</v>
      </c>
      <c r="L45" s="663">
        <f>C42+C43-C44-C45</f>
        <v>0</v>
      </c>
      <c r="M45" s="663">
        <f t="shared" ref="M45:R45" si="35">D42+D43-D44-D45</f>
        <v>0</v>
      </c>
      <c r="N45" s="663">
        <f t="shared" si="35"/>
        <v>0</v>
      </c>
      <c r="O45" s="663">
        <f t="shared" si="35"/>
        <v>0</v>
      </c>
      <c r="P45" s="663">
        <f t="shared" si="35"/>
        <v>0</v>
      </c>
      <c r="Q45" s="663">
        <f t="shared" si="35"/>
        <v>0</v>
      </c>
      <c r="R45" s="663">
        <f t="shared" si="35"/>
        <v>0</v>
      </c>
    </row>
    <row r="46" spans="1:37" ht="15" customHeight="1" thickTop="1" thickBot="1" x14ac:dyDescent="0.3">
      <c r="A46" s="41" t="s">
        <v>34</v>
      </c>
      <c r="B46" s="42"/>
      <c r="C46" s="42"/>
      <c r="D46" s="42"/>
      <c r="E46" s="42"/>
      <c r="F46" s="42"/>
      <c r="G46" s="42"/>
      <c r="H46" s="42"/>
      <c r="I46" s="43"/>
      <c r="R46" s="647"/>
    </row>
    <row r="47" spans="1:37" ht="15" customHeight="1" thickTop="1" thickBot="1" x14ac:dyDescent="0.3">
      <c r="A47" s="44" t="s">
        <v>32</v>
      </c>
      <c r="B47" s="22">
        <f>B31-B37-B42</f>
        <v>0</v>
      </c>
      <c r="C47" s="22">
        <f t="shared" ref="C47:I47" si="36">C31-C37-C42</f>
        <v>0</v>
      </c>
      <c r="D47" s="22">
        <f t="shared" si="36"/>
        <v>0</v>
      </c>
      <c r="E47" s="22">
        <f t="shared" si="36"/>
        <v>0</v>
      </c>
      <c r="F47" s="22">
        <f t="shared" si="36"/>
        <v>0</v>
      </c>
      <c r="G47" s="22">
        <f t="shared" si="36"/>
        <v>0</v>
      </c>
      <c r="H47" s="22">
        <f t="shared" si="36"/>
        <v>0</v>
      </c>
      <c r="I47" s="15">
        <f t="shared" si="36"/>
        <v>0</v>
      </c>
      <c r="K47" s="649">
        <f>B31-B37-B42-B47</f>
        <v>0</v>
      </c>
      <c r="L47" s="663">
        <f t="shared" ref="L47:N47" si="37">C31-C37-C42-C47</f>
        <v>0</v>
      </c>
      <c r="M47" s="663">
        <f t="shared" si="37"/>
        <v>0</v>
      </c>
      <c r="N47" s="663">
        <f t="shared" si="37"/>
        <v>0</v>
      </c>
      <c r="O47" s="663">
        <f>F31-F37-F42-F47</f>
        <v>0</v>
      </c>
      <c r="P47" s="663">
        <f t="shared" ref="P47:Q47" si="38">G31-G37-G42-G47</f>
        <v>0</v>
      </c>
      <c r="Q47" s="663">
        <f t="shared" si="38"/>
        <v>0</v>
      </c>
      <c r="R47" s="647">
        <f t="shared" ref="R47" si="39">SUM(B47:H47)-I47</f>
        <v>0</v>
      </c>
    </row>
    <row r="48" spans="1:37" ht="15" customHeight="1" thickBot="1" x14ac:dyDescent="0.3">
      <c r="A48" s="25" t="s">
        <v>30</v>
      </c>
      <c r="B48" s="26">
        <f t="shared" ref="B48:I48" si="40">B35-B40-B45</f>
        <v>0</v>
      </c>
      <c r="C48" s="26">
        <f t="shared" si="40"/>
        <v>0</v>
      </c>
      <c r="D48" s="26">
        <f t="shared" si="40"/>
        <v>0</v>
      </c>
      <c r="E48" s="26">
        <f t="shared" si="40"/>
        <v>0</v>
      </c>
      <c r="F48" s="26">
        <f t="shared" si="40"/>
        <v>0</v>
      </c>
      <c r="G48" s="26">
        <f t="shared" si="40"/>
        <v>0</v>
      </c>
      <c r="H48" s="26">
        <f t="shared" si="40"/>
        <v>0</v>
      </c>
      <c r="I48" s="17">
        <f t="shared" si="40"/>
        <v>0</v>
      </c>
      <c r="K48" s="649">
        <f>B35-B40-B45-B48</f>
        <v>0</v>
      </c>
      <c r="L48" s="663">
        <f t="shared" ref="L48:N48" si="41">C35-C40-C45-C48</f>
        <v>0</v>
      </c>
      <c r="M48" s="663">
        <f t="shared" si="41"/>
        <v>0</v>
      </c>
      <c r="N48" s="663">
        <f t="shared" si="41"/>
        <v>0</v>
      </c>
      <c r="O48" s="663">
        <f>F35-F40-F45-F48</f>
        <v>0</v>
      </c>
      <c r="P48" s="663">
        <f t="shared" ref="P48:Q48" si="42">G35-G40-G45-G48</f>
        <v>0</v>
      </c>
      <c r="Q48" s="663">
        <f t="shared" si="42"/>
        <v>0</v>
      </c>
      <c r="R48" s="647">
        <f>SUM(B48:H48)-I48</f>
        <v>0</v>
      </c>
      <c r="AC48" s="649">
        <f>B48-BS!$G$13</f>
        <v>0</v>
      </c>
      <c r="AD48" s="667">
        <f>C48-BS!$G$14</f>
        <v>0</v>
      </c>
      <c r="AE48" s="667">
        <f>D48-BS!$IB$15</f>
        <v>0</v>
      </c>
      <c r="AF48" s="667">
        <f>E48-BS!$G$16</f>
        <v>0</v>
      </c>
      <c r="AG48" s="667">
        <f>F48-BS!$G$17</f>
        <v>0</v>
      </c>
      <c r="AH48" s="667">
        <f>G48-BS!$G$18</f>
        <v>0</v>
      </c>
      <c r="AI48" s="667">
        <f>H48-BS!$G$19</f>
        <v>0</v>
      </c>
      <c r="AJ48" s="647">
        <f>I48-BS!$G$12</f>
        <v>0</v>
      </c>
      <c r="AK48" s="383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634" t="s">
        <v>20</v>
      </c>
      <c r="B2" s="635" t="s">
        <v>36</v>
      </c>
    </row>
    <row r="3" spans="1:2" ht="23.25" customHeight="1" thickTop="1" thickBot="1" x14ac:dyDescent="0.3">
      <c r="A3" s="12" t="s">
        <v>37</v>
      </c>
      <c r="B3" s="13"/>
    </row>
    <row r="4" spans="1:2" ht="23.25" customHeight="1" thickBot="1" x14ac:dyDescent="0.3">
      <c r="A4" s="16" t="s">
        <v>38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389"/>
    <col min="12" max="19" width="9.140625" style="646" customWidth="1" outlineLevel="1"/>
    <col min="20" max="20" width="18.28515625" style="648" customWidth="1"/>
    <col min="21" max="21" width="9.140625" style="656"/>
    <col min="22" max="22" width="9.140625" style="646" customWidth="1" outlineLevel="1"/>
    <col min="23" max="29" width="9.140625" style="18" customWidth="1" outlineLevel="1"/>
    <col min="30" max="30" width="26.85546875" style="648" customWidth="1"/>
    <col min="31" max="31" width="9.140625" style="648"/>
    <col min="32" max="32" width="9.140625" style="645" customWidth="1" outlineLevel="1"/>
    <col min="33" max="39" width="9.140625" style="18" customWidth="1" outlineLevel="1"/>
    <col min="40" max="40" width="26.7109375" style="648" customWidth="1"/>
  </cols>
  <sheetData>
    <row r="1" spans="1:40" ht="16.5" x14ac:dyDescent="0.3">
      <c r="A1" s="1" t="s">
        <v>39</v>
      </c>
      <c r="L1" s="1507" t="s">
        <v>1138</v>
      </c>
      <c r="M1" s="1119"/>
      <c r="N1" s="1119"/>
      <c r="O1" s="1119"/>
      <c r="P1" s="1119"/>
      <c r="Q1" s="1119"/>
      <c r="R1" s="1119"/>
      <c r="S1" s="1119"/>
      <c r="T1" s="1508"/>
      <c r="V1" s="1507" t="s">
        <v>1139</v>
      </c>
      <c r="W1" s="1119"/>
      <c r="X1" s="1119"/>
      <c r="Y1" s="1119"/>
      <c r="Z1" s="1119"/>
      <c r="AA1" s="1119"/>
      <c r="AB1" s="1119"/>
      <c r="AC1" s="1119"/>
      <c r="AD1" s="1508"/>
      <c r="AF1" s="1507" t="s">
        <v>1140</v>
      </c>
      <c r="AG1" s="1119"/>
      <c r="AH1" s="1119"/>
      <c r="AI1" s="1119"/>
      <c r="AJ1" s="1119"/>
      <c r="AK1" s="1119"/>
      <c r="AL1" s="1119"/>
      <c r="AM1" s="1119"/>
      <c r="AN1" s="1508"/>
    </row>
    <row r="2" spans="1:40" ht="17.25" thickBot="1" x14ac:dyDescent="0.35">
      <c r="A2" s="2" t="s">
        <v>8</v>
      </c>
    </row>
    <row r="3" spans="1:40" ht="16.5" thickTop="1" thickBot="1" x14ac:dyDescent="0.3">
      <c r="A3" s="1328" t="s">
        <v>40</v>
      </c>
      <c r="B3" s="1197" t="s">
        <v>2</v>
      </c>
      <c r="C3" s="1198"/>
      <c r="D3" s="1198"/>
      <c r="E3" s="1198"/>
      <c r="F3" s="1198"/>
      <c r="G3" s="1198"/>
      <c r="H3" s="1198"/>
      <c r="I3" s="1198"/>
      <c r="J3" s="1199"/>
      <c r="K3" s="393"/>
    </row>
    <row r="4" spans="1:40" ht="62.25" customHeight="1" thickTop="1" thickBot="1" x14ac:dyDescent="0.3">
      <c r="A4" s="1329"/>
      <c r="B4" s="10" t="s">
        <v>41</v>
      </c>
      <c r="C4" s="10" t="s">
        <v>42</v>
      </c>
      <c r="D4" s="10" t="s">
        <v>43</v>
      </c>
      <c r="E4" s="10" t="s">
        <v>444</v>
      </c>
      <c r="F4" s="10" t="s">
        <v>44</v>
      </c>
      <c r="G4" s="10" t="s">
        <v>45</v>
      </c>
      <c r="H4" s="10" t="s">
        <v>445</v>
      </c>
      <c r="I4" s="10" t="s">
        <v>46</v>
      </c>
      <c r="J4" s="10" t="s">
        <v>14</v>
      </c>
      <c r="K4" s="385"/>
      <c r="L4" s="59" t="s">
        <v>41</v>
      </c>
      <c r="M4" s="59" t="s">
        <v>42</v>
      </c>
      <c r="N4" s="59" t="s">
        <v>43</v>
      </c>
      <c r="O4" s="59" t="s">
        <v>444</v>
      </c>
      <c r="P4" s="59" t="s">
        <v>44</v>
      </c>
      <c r="Q4" s="59" t="s">
        <v>45</v>
      </c>
      <c r="R4" s="59" t="s">
        <v>445</v>
      </c>
      <c r="S4" s="59" t="s">
        <v>46</v>
      </c>
      <c r="T4" s="59" t="s">
        <v>14</v>
      </c>
      <c r="U4" s="646"/>
      <c r="V4" s="59" t="s">
        <v>41</v>
      </c>
      <c r="W4" s="59" t="s">
        <v>42</v>
      </c>
      <c r="X4" s="59" t="s">
        <v>43</v>
      </c>
      <c r="Y4" s="59" t="s">
        <v>444</v>
      </c>
      <c r="Z4" s="59" t="s">
        <v>44</v>
      </c>
      <c r="AA4" s="59" t="s">
        <v>45</v>
      </c>
      <c r="AB4" s="59" t="s">
        <v>445</v>
      </c>
      <c r="AC4" s="59" t="s">
        <v>46</v>
      </c>
      <c r="AD4" s="59" t="s">
        <v>14</v>
      </c>
      <c r="AF4" s="59" t="s">
        <v>41</v>
      </c>
      <c r="AG4" s="59" t="s">
        <v>42</v>
      </c>
      <c r="AH4" s="59" t="s">
        <v>43</v>
      </c>
      <c r="AI4" s="59" t="s">
        <v>444</v>
      </c>
      <c r="AJ4" s="59" t="s">
        <v>44</v>
      </c>
      <c r="AK4" s="59" t="s">
        <v>45</v>
      </c>
      <c r="AL4" s="59" t="s">
        <v>445</v>
      </c>
      <c r="AM4" s="59" t="s">
        <v>46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393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647">
        <f>SUM(B6:I6)-J6</f>
        <v>0</v>
      </c>
      <c r="V6" s="663">
        <f>B6-B34</f>
        <v>0</v>
      </c>
      <c r="W6" s="663">
        <f t="shared" ref="W6:AB6" si="0">C6-C34</f>
        <v>0</v>
      </c>
      <c r="X6" s="663">
        <f t="shared" si="0"/>
        <v>0</v>
      </c>
      <c r="Y6" s="663">
        <f t="shared" si="0"/>
        <v>0</v>
      </c>
      <c r="Z6" s="663">
        <f t="shared" si="0"/>
        <v>0</v>
      </c>
      <c r="AA6" s="663">
        <f t="shared" si="0"/>
        <v>0</v>
      </c>
      <c r="AB6" s="663">
        <f t="shared" si="0"/>
        <v>0</v>
      </c>
      <c r="AC6" s="663">
        <f>I6-I34</f>
        <v>0</v>
      </c>
      <c r="AD6" s="647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647">
        <f t="shared" ref="T7:T9" si="2">SUM(B7:I7)-J7</f>
        <v>0</v>
      </c>
      <c r="W7" s="646"/>
      <c r="X7" s="646"/>
      <c r="Y7" s="646"/>
      <c r="Z7" s="646"/>
      <c r="AA7" s="646"/>
      <c r="AB7" s="646"/>
      <c r="AC7" s="646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647">
        <f t="shared" si="2"/>
        <v>0</v>
      </c>
      <c r="W8" s="646"/>
      <c r="X8" s="646"/>
      <c r="Y8" s="646"/>
      <c r="Z8" s="646"/>
      <c r="AA8" s="646"/>
      <c r="AB8" s="646"/>
      <c r="AC8" s="646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647">
        <f t="shared" si="2"/>
        <v>0</v>
      </c>
      <c r="W9" s="646"/>
      <c r="X9" s="646"/>
      <c r="Y9" s="646"/>
      <c r="Z9" s="646"/>
      <c r="AA9" s="646"/>
      <c r="AB9" s="646"/>
      <c r="AC9" s="646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649">
        <f>B6+B7-B8+B9-B10</f>
        <v>0</v>
      </c>
      <c r="M10" s="663">
        <f t="shared" ref="M10:T10" si="4">C6+C7-C8+C9-C10</f>
        <v>0</v>
      </c>
      <c r="N10" s="663">
        <f t="shared" si="4"/>
        <v>0</v>
      </c>
      <c r="O10" s="663">
        <f t="shared" si="4"/>
        <v>0</v>
      </c>
      <c r="P10" s="663">
        <f t="shared" si="4"/>
        <v>0</v>
      </c>
      <c r="Q10" s="663">
        <f t="shared" si="4"/>
        <v>0</v>
      </c>
      <c r="R10" s="663">
        <f t="shared" si="4"/>
        <v>0</v>
      </c>
      <c r="S10" s="663">
        <f t="shared" si="4"/>
        <v>0</v>
      </c>
      <c r="T10" s="663">
        <f t="shared" si="4"/>
        <v>0</v>
      </c>
      <c r="W10" s="646"/>
      <c r="X10" s="646"/>
      <c r="Y10" s="646"/>
      <c r="Z10" s="646"/>
      <c r="AA10" s="646"/>
      <c r="AB10" s="646"/>
      <c r="AC10" s="646"/>
      <c r="AF10" s="649">
        <f>B10-BS!$D$21</f>
        <v>0</v>
      </c>
      <c r="AG10" s="663">
        <f>C10-BS!$D$22</f>
        <v>-18949</v>
      </c>
      <c r="AH10" s="663">
        <f>D10-BS!$D$23</f>
        <v>-191172</v>
      </c>
      <c r="AI10" s="663">
        <f>E10-BS!$D$24</f>
        <v>0</v>
      </c>
      <c r="AJ10" s="663">
        <f>F10-BS!$D$25</f>
        <v>0</v>
      </c>
      <c r="AK10" s="663">
        <f>G10-BS!$D$26</f>
        <v>0</v>
      </c>
      <c r="AL10" s="663">
        <f>H10-BS!$D$27</f>
        <v>0</v>
      </c>
      <c r="AM10" s="663">
        <f>I10-BS!$D$28</f>
        <v>0</v>
      </c>
      <c r="AN10" s="647">
        <f>J10-BS!$D$20</f>
        <v>-210121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645"/>
      <c r="T11" s="647"/>
      <c r="W11" s="646"/>
      <c r="X11" s="646"/>
      <c r="Y11" s="646"/>
      <c r="Z11" s="646"/>
      <c r="AA11" s="646"/>
      <c r="AB11" s="646"/>
      <c r="AC11" s="646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645"/>
      <c r="T12" s="647">
        <f t="shared" ref="T12:T14" si="5">SUM(B12:I12)-J12</f>
        <v>0</v>
      </c>
      <c r="V12" s="663">
        <f>B12-B39</f>
        <v>0</v>
      </c>
      <c r="W12" s="663">
        <f t="shared" ref="W12:AB12" si="6">C12-C39</f>
        <v>0</v>
      </c>
      <c r="X12" s="663">
        <f t="shared" si="6"/>
        <v>0</v>
      </c>
      <c r="Y12" s="663">
        <f t="shared" si="6"/>
        <v>0</v>
      </c>
      <c r="Z12" s="663">
        <f t="shared" si="6"/>
        <v>0</v>
      </c>
      <c r="AA12" s="663">
        <f t="shared" si="6"/>
        <v>0</v>
      </c>
      <c r="AB12" s="663">
        <f t="shared" si="6"/>
        <v>0</v>
      </c>
      <c r="AC12" s="663">
        <f>I12-I39</f>
        <v>0</v>
      </c>
      <c r="AD12" s="647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645"/>
      <c r="T13" s="647">
        <f t="shared" si="5"/>
        <v>0</v>
      </c>
      <c r="W13" s="646"/>
      <c r="X13" s="646"/>
      <c r="Y13" s="646"/>
      <c r="Z13" s="646"/>
      <c r="AA13" s="646"/>
      <c r="AB13" s="646"/>
      <c r="AC13" s="646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645"/>
      <c r="T14" s="647">
        <f t="shared" si="5"/>
        <v>0</v>
      </c>
      <c r="W14" s="646"/>
      <c r="X14" s="646"/>
      <c r="Y14" s="646"/>
      <c r="Z14" s="646"/>
      <c r="AA14" s="646"/>
      <c r="AB14" s="646"/>
      <c r="AC14" s="646"/>
      <c r="AF14" s="668" t="s">
        <v>1141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 t="shared" si="8"/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649">
        <f>B12+B13-B14-B15</f>
        <v>0</v>
      </c>
      <c r="M15" s="663">
        <f t="shared" ref="M15:T15" si="9">C12+C13-C14-C15</f>
        <v>0</v>
      </c>
      <c r="N15" s="663">
        <f t="shared" si="9"/>
        <v>0</v>
      </c>
      <c r="O15" s="663">
        <f t="shared" si="9"/>
        <v>0</v>
      </c>
      <c r="P15" s="663">
        <f t="shared" si="9"/>
        <v>0</v>
      </c>
      <c r="Q15" s="663">
        <f t="shared" si="9"/>
        <v>0</v>
      </c>
      <c r="R15" s="663">
        <f t="shared" si="9"/>
        <v>0</v>
      </c>
      <c r="S15" s="663">
        <f t="shared" si="9"/>
        <v>0</v>
      </c>
      <c r="T15" s="663">
        <f t="shared" si="9"/>
        <v>0</v>
      </c>
      <c r="W15" s="646"/>
      <c r="X15" s="646"/>
      <c r="Y15" s="646"/>
      <c r="Z15" s="646"/>
      <c r="AA15" s="646"/>
      <c r="AB15" s="646"/>
      <c r="AC15" s="646"/>
      <c r="AF15" s="649">
        <f>B15+B20-BS!$E$21</f>
        <v>0</v>
      </c>
      <c r="AG15" s="663">
        <f>C15+C20-BS!$E$22</f>
        <v>-3336</v>
      </c>
      <c r="AH15" s="663">
        <f>D15+D20-BS!$E$23</f>
        <v>-111230</v>
      </c>
      <c r="AI15" s="663">
        <f>E15+E20-BS!$E$24</f>
        <v>0</v>
      </c>
      <c r="AJ15" s="663">
        <f>F15+F20-BS!$E$25</f>
        <v>0</v>
      </c>
      <c r="AK15" s="663">
        <f>G15+G20-BS!$E$26</f>
        <v>0</v>
      </c>
      <c r="AL15" s="663">
        <f>H15+H20-BS!$E$27</f>
        <v>0</v>
      </c>
      <c r="AM15" s="663">
        <f>I15+I20-BS!$E$28</f>
        <v>0</v>
      </c>
      <c r="AN15" s="647">
        <f>J15+J20-BS!$E$20</f>
        <v>-114566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645"/>
      <c r="T16" s="647"/>
      <c r="W16" s="646"/>
      <c r="X16" s="646"/>
      <c r="Y16" s="646"/>
      <c r="Z16" s="646"/>
      <c r="AA16" s="646"/>
      <c r="AB16" s="646"/>
      <c r="AC16" s="646"/>
      <c r="AG16" s="646"/>
      <c r="AH16" s="646"/>
      <c r="AI16" s="646"/>
      <c r="AJ16" s="646"/>
      <c r="AK16" s="646"/>
      <c r="AL16" s="646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645"/>
      <c r="T17" s="647">
        <f t="shared" ref="T17:T19" si="10">SUM(B17:I17)-J17</f>
        <v>0</v>
      </c>
      <c r="V17" s="663">
        <f>B17-B44</f>
        <v>0</v>
      </c>
      <c r="W17" s="663">
        <f t="shared" ref="W17:AB17" si="11">C17-C44</f>
        <v>0</v>
      </c>
      <c r="X17" s="663">
        <f t="shared" si="11"/>
        <v>0</v>
      </c>
      <c r="Y17" s="663">
        <f t="shared" si="11"/>
        <v>0</v>
      </c>
      <c r="Z17" s="663">
        <f t="shared" si="11"/>
        <v>0</v>
      </c>
      <c r="AA17" s="663">
        <f t="shared" si="11"/>
        <v>0</v>
      </c>
      <c r="AB17" s="663">
        <f t="shared" si="11"/>
        <v>0</v>
      </c>
      <c r="AC17" s="663">
        <f>I17-I44</f>
        <v>0</v>
      </c>
      <c r="AD17" s="647">
        <f>J17-J44</f>
        <v>0</v>
      </c>
      <c r="AG17" s="646"/>
      <c r="AH17" s="646"/>
      <c r="AI17" s="646"/>
      <c r="AJ17" s="646"/>
      <c r="AK17" s="646"/>
      <c r="AL17" s="646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645"/>
      <c r="T18" s="647">
        <f t="shared" si="10"/>
        <v>0</v>
      </c>
      <c r="W18" s="646"/>
      <c r="X18" s="646"/>
      <c r="Y18" s="646"/>
      <c r="Z18" s="646"/>
      <c r="AA18" s="646"/>
      <c r="AB18" s="646"/>
      <c r="AC18" s="646"/>
      <c r="AG18" s="646"/>
      <c r="AH18" s="646"/>
      <c r="AI18" s="646"/>
      <c r="AJ18" s="646"/>
      <c r="AK18" s="646"/>
      <c r="AL18" s="646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645"/>
      <c r="T19" s="647">
        <f t="shared" si="10"/>
        <v>0</v>
      </c>
      <c r="W19" s="646"/>
      <c r="X19" s="646"/>
      <c r="Y19" s="646"/>
      <c r="Z19" s="646"/>
      <c r="AA19" s="646"/>
      <c r="AB19" s="646"/>
      <c r="AC19" s="646"/>
      <c r="AG19" s="646"/>
      <c r="AH19" s="646"/>
      <c r="AI19" s="646"/>
      <c r="AJ19" s="646"/>
      <c r="AK19" s="646"/>
      <c r="AL19" s="646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:I20" si="13">D17+D18-D19</f>
        <v>0</v>
      </c>
      <c r="E20" s="26">
        <f t="shared" si="13"/>
        <v>0</v>
      </c>
      <c r="F20" s="26">
        <f t="shared" si="13"/>
        <v>0</v>
      </c>
      <c r="G20" s="26">
        <f t="shared" si="13"/>
        <v>0</v>
      </c>
      <c r="H20" s="26">
        <f t="shared" si="13"/>
        <v>0</v>
      </c>
      <c r="I20" s="26">
        <f t="shared" si="13"/>
        <v>0</v>
      </c>
      <c r="J20" s="17">
        <f>J17+J18-J19</f>
        <v>0</v>
      </c>
      <c r="L20" s="649">
        <f>B17+B18-B19-B20</f>
        <v>0</v>
      </c>
      <c r="M20" s="663">
        <f t="shared" ref="M20:T20" si="14">C17+C18-C19-C20</f>
        <v>0</v>
      </c>
      <c r="N20" s="663">
        <f t="shared" si="14"/>
        <v>0</v>
      </c>
      <c r="O20" s="663">
        <f t="shared" si="14"/>
        <v>0</v>
      </c>
      <c r="P20" s="663">
        <f t="shared" si="14"/>
        <v>0</v>
      </c>
      <c r="Q20" s="663">
        <f t="shared" si="14"/>
        <v>0</v>
      </c>
      <c r="R20" s="663">
        <f t="shared" si="14"/>
        <v>0</v>
      </c>
      <c r="S20" s="663">
        <f t="shared" si="14"/>
        <v>0</v>
      </c>
      <c r="T20" s="663">
        <f t="shared" si="14"/>
        <v>0</v>
      </c>
      <c r="W20" s="646"/>
      <c r="X20" s="646"/>
      <c r="Y20" s="646"/>
      <c r="Z20" s="646"/>
      <c r="AA20" s="646"/>
      <c r="AB20" s="646"/>
      <c r="AC20" s="646"/>
      <c r="AG20" s="646"/>
      <c r="AH20" s="646"/>
      <c r="AI20" s="646"/>
      <c r="AJ20" s="646"/>
      <c r="AK20" s="646"/>
      <c r="AL20" s="646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645"/>
      <c r="T21" s="647"/>
      <c r="W21" s="646"/>
      <c r="X21" s="646"/>
      <c r="Y21" s="646"/>
      <c r="Z21" s="646"/>
      <c r="AA21" s="646"/>
      <c r="AB21" s="646"/>
      <c r="AC21" s="646"/>
      <c r="AG21" s="646"/>
      <c r="AH21" s="646"/>
      <c r="AI21" s="646"/>
      <c r="AJ21" s="646"/>
      <c r="AK21" s="646"/>
      <c r="AL21" s="646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>C6-C12-C17</f>
        <v>0</v>
      </c>
      <c r="D22" s="22">
        <f t="shared" ref="D22:J22" si="15">D6-D12-D17</f>
        <v>0</v>
      </c>
      <c r="E22" s="22">
        <f t="shared" si="15"/>
        <v>0</v>
      </c>
      <c r="F22" s="22">
        <f t="shared" si="15"/>
        <v>0</v>
      </c>
      <c r="G22" s="22">
        <f t="shared" si="15"/>
        <v>0</v>
      </c>
      <c r="H22" s="22">
        <f t="shared" si="15"/>
        <v>0</v>
      </c>
      <c r="I22" s="22">
        <f t="shared" ref="I22" si="16">I6-I12-I17</f>
        <v>0</v>
      </c>
      <c r="J22" s="15">
        <f t="shared" si="15"/>
        <v>0</v>
      </c>
      <c r="L22" s="649">
        <f>B6-B12-B17-B22</f>
        <v>0</v>
      </c>
      <c r="M22" s="663">
        <f t="shared" ref="M22:S22" si="17">C6-C12-C17-C22</f>
        <v>0</v>
      </c>
      <c r="N22" s="663">
        <f t="shared" si="17"/>
        <v>0</v>
      </c>
      <c r="O22" s="663">
        <f t="shared" si="17"/>
        <v>0</v>
      </c>
      <c r="P22" s="663">
        <f t="shared" si="17"/>
        <v>0</v>
      </c>
      <c r="Q22" s="663">
        <f t="shared" si="17"/>
        <v>0</v>
      </c>
      <c r="R22" s="663">
        <f t="shared" si="17"/>
        <v>0</v>
      </c>
      <c r="S22" s="663">
        <f t="shared" si="17"/>
        <v>0</v>
      </c>
      <c r="T22" s="647">
        <f t="shared" ref="T22:T23" si="18">SUM(B22:I22)-J22</f>
        <v>0</v>
      </c>
      <c r="V22" s="663">
        <f>B22-B47</f>
        <v>0</v>
      </c>
      <c r="W22" s="663">
        <f t="shared" ref="W22:AB22" si="19">C22-C47</f>
        <v>0</v>
      </c>
      <c r="X22" s="663">
        <f t="shared" si="19"/>
        <v>0</v>
      </c>
      <c r="Y22" s="663">
        <f t="shared" si="19"/>
        <v>0</v>
      </c>
      <c r="Z22" s="663">
        <f t="shared" si="19"/>
        <v>0</v>
      </c>
      <c r="AA22" s="663">
        <f t="shared" si="19"/>
        <v>0</v>
      </c>
      <c r="AB22" s="663">
        <f t="shared" si="19"/>
        <v>0</v>
      </c>
      <c r="AC22" s="663">
        <f>I22-I47</f>
        <v>0</v>
      </c>
      <c r="AD22" s="647">
        <f>J22-J47</f>
        <v>0</v>
      </c>
      <c r="AG22" s="646"/>
      <c r="AH22" s="646"/>
      <c r="AI22" s="646"/>
      <c r="AJ22" s="646"/>
      <c r="AK22" s="646"/>
      <c r="AL22" s="646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>C10-C15-C20</f>
        <v>0</v>
      </c>
      <c r="D23" s="26">
        <f t="shared" ref="D23:J23" si="20">D10-D15-D20</f>
        <v>0</v>
      </c>
      <c r="E23" s="26">
        <f t="shared" si="20"/>
        <v>0</v>
      </c>
      <c r="F23" s="26">
        <f t="shared" si="20"/>
        <v>0</v>
      </c>
      <c r="G23" s="26">
        <f t="shared" si="20"/>
        <v>0</v>
      </c>
      <c r="H23" s="26">
        <f t="shared" si="20"/>
        <v>0</v>
      </c>
      <c r="I23" s="26">
        <f t="shared" ref="I23" si="21">I10-I15-I20</f>
        <v>0</v>
      </c>
      <c r="J23" s="17">
        <f t="shared" si="20"/>
        <v>0</v>
      </c>
      <c r="L23" s="649">
        <f>B10-B15-B20-B23</f>
        <v>0</v>
      </c>
      <c r="M23" s="663">
        <f t="shared" ref="M23:S23" si="22">C10-C15-C20-C23</f>
        <v>0</v>
      </c>
      <c r="N23" s="663">
        <f t="shared" si="22"/>
        <v>0</v>
      </c>
      <c r="O23" s="663">
        <f t="shared" si="22"/>
        <v>0</v>
      </c>
      <c r="P23" s="663">
        <f t="shared" si="22"/>
        <v>0</v>
      </c>
      <c r="Q23" s="663">
        <f t="shared" si="22"/>
        <v>0</v>
      </c>
      <c r="R23" s="663">
        <f t="shared" si="22"/>
        <v>0</v>
      </c>
      <c r="S23" s="663">
        <f t="shared" si="22"/>
        <v>0</v>
      </c>
      <c r="T23" s="647">
        <f t="shared" si="18"/>
        <v>0</v>
      </c>
      <c r="AF23" s="649">
        <f>B23-BS!$F$21</f>
        <v>0</v>
      </c>
      <c r="AG23" s="663">
        <f>C23-BS!$F$22</f>
        <v>-15613</v>
      </c>
      <c r="AH23" s="663">
        <f>D23-BS!$F$23</f>
        <v>-79942</v>
      </c>
      <c r="AI23" s="663">
        <f>E23-BS!$F$24</f>
        <v>0</v>
      </c>
      <c r="AJ23" s="663">
        <f>F23-BS!$F$25</f>
        <v>0</v>
      </c>
      <c r="AK23" s="663">
        <f>G23-BS!$F$26</f>
        <v>0</v>
      </c>
      <c r="AL23" s="663">
        <f>H23-BS!$F$27</f>
        <v>0</v>
      </c>
      <c r="AM23" s="663">
        <f>I23-BS!$F$28</f>
        <v>0</v>
      </c>
      <c r="AN23" s="647">
        <f>J23-BS!$F$20</f>
        <v>-95555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customHeight="1" thickTop="1" thickBot="1" x14ac:dyDescent="0.3">
      <c r="A27" s="1328" t="s">
        <v>40</v>
      </c>
      <c r="B27" s="1194" t="s">
        <v>3</v>
      </c>
      <c r="C27" s="1195"/>
      <c r="D27" s="1195"/>
      <c r="E27" s="1195"/>
      <c r="F27" s="1195"/>
      <c r="G27" s="1195"/>
      <c r="H27" s="1195"/>
      <c r="I27" s="1195"/>
      <c r="J27" s="1196"/>
      <c r="K27" s="393"/>
    </row>
    <row r="28" spans="1:40" ht="62.25" customHeight="1" thickTop="1" thickBot="1" x14ac:dyDescent="0.3">
      <c r="A28" s="1330"/>
      <c r="B28" s="10" t="s">
        <v>41</v>
      </c>
      <c r="C28" s="10" t="s">
        <v>42</v>
      </c>
      <c r="D28" s="10" t="s">
        <v>43</v>
      </c>
      <c r="E28" s="10" t="s">
        <v>444</v>
      </c>
      <c r="F28" s="10" t="s">
        <v>44</v>
      </c>
      <c r="G28" s="10" t="s">
        <v>45</v>
      </c>
      <c r="H28" s="10" t="s">
        <v>445</v>
      </c>
      <c r="I28" s="10" t="s">
        <v>46</v>
      </c>
      <c r="J28" s="10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393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647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3">SUM(B31:H31)</f>
        <v>0</v>
      </c>
      <c r="T31" s="647">
        <f t="shared" ref="T31:T33" si="24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3"/>
        <v>0</v>
      </c>
      <c r="T32" s="647">
        <f t="shared" si="24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3"/>
        <v>0</v>
      </c>
      <c r="T33" s="647">
        <f t="shared" si="24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5">E30+E31-E32+E33</f>
        <v>0</v>
      </c>
      <c r="F34" s="26">
        <f t="shared" si="25"/>
        <v>0</v>
      </c>
      <c r="G34" s="26">
        <f t="shared" si="25"/>
        <v>0</v>
      </c>
      <c r="H34" s="26">
        <f t="shared" si="25"/>
        <v>0</v>
      </c>
      <c r="I34" s="26">
        <f>I30+I31-I32+I33</f>
        <v>0</v>
      </c>
      <c r="J34" s="17">
        <f>J30+J31-J32+J33</f>
        <v>0</v>
      </c>
      <c r="L34" s="649">
        <f>B30+B31-B32+B33-B34</f>
        <v>0</v>
      </c>
      <c r="M34" s="663">
        <f t="shared" ref="M34:T34" si="26">C30+C31-C32+C33-C34</f>
        <v>0</v>
      </c>
      <c r="N34" s="663">
        <f t="shared" si="26"/>
        <v>0</v>
      </c>
      <c r="O34" s="663">
        <f t="shared" si="26"/>
        <v>0</v>
      </c>
      <c r="P34" s="663">
        <f t="shared" si="26"/>
        <v>0</v>
      </c>
      <c r="Q34" s="663">
        <f t="shared" si="26"/>
        <v>0</v>
      </c>
      <c r="R34" s="663">
        <f t="shared" si="26"/>
        <v>0</v>
      </c>
      <c r="S34" s="663">
        <f t="shared" si="26"/>
        <v>0</v>
      </c>
      <c r="T34" s="663">
        <f t="shared" si="26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645"/>
      <c r="T35" s="647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645"/>
      <c r="T36" s="647">
        <f t="shared" ref="T36:T38" si="27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28">SUM(B37:H37)</f>
        <v>0</v>
      </c>
      <c r="L37" s="645"/>
      <c r="T37" s="647">
        <f t="shared" si="27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28"/>
        <v>0</v>
      </c>
      <c r="L38" s="645"/>
      <c r="T38" s="647">
        <f t="shared" si="27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29">D36+D37-D38</f>
        <v>0</v>
      </c>
      <c r="E39" s="26">
        <f t="shared" si="29"/>
        <v>0</v>
      </c>
      <c r="F39" s="26">
        <f t="shared" si="29"/>
        <v>0</v>
      </c>
      <c r="G39" s="26">
        <f t="shared" si="29"/>
        <v>0</v>
      </c>
      <c r="H39" s="26">
        <f t="shared" si="29"/>
        <v>0</v>
      </c>
      <c r="I39" s="26">
        <f t="shared" si="29"/>
        <v>0</v>
      </c>
      <c r="J39" s="17">
        <f>J36+J37-J38</f>
        <v>0</v>
      </c>
      <c r="L39" s="649">
        <f>B36+B37-B38-B39</f>
        <v>0</v>
      </c>
      <c r="M39" s="663">
        <f t="shared" ref="M39:T39" si="30">C36+C37-C38-C39</f>
        <v>0</v>
      </c>
      <c r="N39" s="663">
        <f t="shared" si="30"/>
        <v>0</v>
      </c>
      <c r="O39" s="663">
        <f t="shared" si="30"/>
        <v>0</v>
      </c>
      <c r="P39" s="663">
        <f t="shared" si="30"/>
        <v>0</v>
      </c>
      <c r="Q39" s="663">
        <f t="shared" si="30"/>
        <v>0</v>
      </c>
      <c r="R39" s="663">
        <f t="shared" si="30"/>
        <v>0</v>
      </c>
      <c r="S39" s="663">
        <f t="shared" si="30"/>
        <v>0</v>
      </c>
      <c r="T39" s="663">
        <f t="shared" si="30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645"/>
      <c r="T40" s="647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645"/>
      <c r="T41" s="647">
        <f t="shared" ref="T41:T43" si="31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2">SUM(B42:H42)</f>
        <v>0</v>
      </c>
      <c r="L42" s="645"/>
      <c r="T42" s="647">
        <f t="shared" si="31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2"/>
        <v>0</v>
      </c>
      <c r="L43" s="645"/>
      <c r="T43" s="647">
        <f t="shared" si="31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3">D41+D42-D43</f>
        <v>0</v>
      </c>
      <c r="E44" s="26">
        <f t="shared" si="33"/>
        <v>0</v>
      </c>
      <c r="F44" s="26">
        <f t="shared" si="33"/>
        <v>0</v>
      </c>
      <c r="G44" s="26">
        <f t="shared" si="33"/>
        <v>0</v>
      </c>
      <c r="H44" s="26">
        <f t="shared" si="33"/>
        <v>0</v>
      </c>
      <c r="I44" s="26">
        <f t="shared" si="33"/>
        <v>0</v>
      </c>
      <c r="J44" s="17">
        <f>J41+J42-J43</f>
        <v>0</v>
      </c>
      <c r="L44" s="649">
        <f>B41+B42-B43-B44</f>
        <v>0</v>
      </c>
      <c r="M44" s="663">
        <f t="shared" ref="M44:T44" si="34">C41+C42-C43-C44</f>
        <v>0</v>
      </c>
      <c r="N44" s="663">
        <f t="shared" si="34"/>
        <v>0</v>
      </c>
      <c r="O44" s="663">
        <f t="shared" si="34"/>
        <v>0</v>
      </c>
      <c r="P44" s="663">
        <f t="shared" si="34"/>
        <v>0</v>
      </c>
      <c r="Q44" s="663">
        <f t="shared" si="34"/>
        <v>0</v>
      </c>
      <c r="R44" s="663">
        <f t="shared" si="34"/>
        <v>0</v>
      </c>
      <c r="S44" s="663">
        <f t="shared" si="34"/>
        <v>0</v>
      </c>
      <c r="T44" s="663">
        <f t="shared" si="34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645"/>
      <c r="T45" s="647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5">C30-C36-C41</f>
        <v>0</v>
      </c>
      <c r="D46" s="22">
        <f t="shared" si="35"/>
        <v>0</v>
      </c>
      <c r="E46" s="22">
        <f t="shared" si="35"/>
        <v>0</v>
      </c>
      <c r="F46" s="22">
        <f t="shared" si="35"/>
        <v>0</v>
      </c>
      <c r="G46" s="22">
        <f t="shared" si="35"/>
        <v>0</v>
      </c>
      <c r="H46" s="22">
        <f t="shared" si="35"/>
        <v>0</v>
      </c>
      <c r="I46" s="22">
        <f t="shared" si="35"/>
        <v>0</v>
      </c>
      <c r="J46" s="15">
        <f t="shared" si="35"/>
        <v>0</v>
      </c>
      <c r="L46" s="649">
        <f>B30-B36-B41-B46</f>
        <v>0</v>
      </c>
      <c r="M46" s="663">
        <f t="shared" ref="M46:S46" si="36">C30-C36-C41-C46</f>
        <v>0</v>
      </c>
      <c r="N46" s="663">
        <f t="shared" si="36"/>
        <v>0</v>
      </c>
      <c r="O46" s="663">
        <f t="shared" si="36"/>
        <v>0</v>
      </c>
      <c r="P46" s="663">
        <f t="shared" si="36"/>
        <v>0</v>
      </c>
      <c r="Q46" s="663">
        <f t="shared" si="36"/>
        <v>0</v>
      </c>
      <c r="R46" s="663">
        <f t="shared" si="36"/>
        <v>0</v>
      </c>
      <c r="S46" s="663">
        <f t="shared" si="36"/>
        <v>0</v>
      </c>
      <c r="T46" s="647">
        <f t="shared" ref="T46:T47" si="37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38">C34-C39-C44</f>
        <v>0</v>
      </c>
      <c r="D47" s="26">
        <f t="shared" si="38"/>
        <v>0</v>
      </c>
      <c r="E47" s="26">
        <f t="shared" si="38"/>
        <v>0</v>
      </c>
      <c r="F47" s="26">
        <f t="shared" si="38"/>
        <v>0</v>
      </c>
      <c r="G47" s="26">
        <f t="shared" si="38"/>
        <v>0</v>
      </c>
      <c r="H47" s="26">
        <f t="shared" si="38"/>
        <v>0</v>
      </c>
      <c r="I47" s="26">
        <f t="shared" si="38"/>
        <v>0</v>
      </c>
      <c r="J47" s="17">
        <f t="shared" si="38"/>
        <v>0</v>
      </c>
      <c r="L47" s="649">
        <f>B34-B39-B44-B47</f>
        <v>0</v>
      </c>
      <c r="M47" s="663">
        <f t="shared" ref="M47:S47" si="39">C34-C39-C44-C47</f>
        <v>0</v>
      </c>
      <c r="N47" s="663">
        <f t="shared" si="39"/>
        <v>0</v>
      </c>
      <c r="O47" s="663">
        <f t="shared" si="39"/>
        <v>0</v>
      </c>
      <c r="P47" s="663">
        <f t="shared" si="39"/>
        <v>0</v>
      </c>
      <c r="Q47" s="663">
        <f t="shared" si="39"/>
        <v>0</v>
      </c>
      <c r="R47" s="663">
        <f t="shared" si="39"/>
        <v>0</v>
      </c>
      <c r="S47" s="663">
        <f t="shared" si="39"/>
        <v>0</v>
      </c>
      <c r="T47" s="647">
        <f t="shared" si="37"/>
        <v>0</v>
      </c>
      <c r="AF47" s="649">
        <f>B47-BS!$G$21</f>
        <v>0</v>
      </c>
      <c r="AG47" s="663">
        <f>C47-BS!$G$22</f>
        <v>-16993</v>
      </c>
      <c r="AH47" s="663">
        <f>D47-BS!$G$23</f>
        <v>-49017</v>
      </c>
      <c r="AI47" s="663">
        <f>E47-BS!$G$24</f>
        <v>0</v>
      </c>
      <c r="AJ47" s="663">
        <f>F47-BS!$G$25</f>
        <v>0</v>
      </c>
      <c r="AK47" s="663">
        <f>G47-BS!$G$26</f>
        <v>0</v>
      </c>
      <c r="AL47" s="663">
        <f>H47-BS!$G$27</f>
        <v>-48074</v>
      </c>
      <c r="AM47" s="663">
        <f>I47-BS!$G$28</f>
        <v>0</v>
      </c>
      <c r="AN47" s="647">
        <f>J47-BS!$G$20</f>
        <v>-114084</v>
      </c>
    </row>
    <row r="48" spans="1:40" ht="15.75" thickTop="1" x14ac:dyDescent="0.25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10" t="s">
        <v>40</v>
      </c>
      <c r="B2" s="11" t="s">
        <v>36</v>
      </c>
    </row>
    <row r="3" spans="1:2" ht="23.25" customHeight="1" thickTop="1" thickBot="1" x14ac:dyDescent="0.3">
      <c r="A3" s="12" t="s">
        <v>48</v>
      </c>
      <c r="B3" s="13"/>
    </row>
    <row r="4" spans="1:2" ht="23.25" customHeight="1" thickBot="1" x14ac:dyDescent="0.3">
      <c r="A4" s="16" t="s">
        <v>49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389"/>
    <col min="12" max="19" width="9.140625" style="385" customWidth="1" outlineLevel="1"/>
    <col min="20" max="20" width="18.28515625" style="389" customWidth="1"/>
    <col min="21" max="21" width="9.140625" style="391"/>
    <col min="22" max="22" width="9.140625" style="385" customWidth="1" outlineLevel="1"/>
    <col min="23" max="29" width="9.140625" customWidth="1" outlineLevel="1"/>
    <col min="30" max="30" width="26.85546875" style="389" customWidth="1"/>
    <col min="31" max="31" width="9.140625" style="389"/>
    <col min="32" max="32" width="9.140625" style="384" customWidth="1" outlineLevel="1"/>
    <col min="33" max="39" width="9.140625" customWidth="1" outlineLevel="1"/>
    <col min="40" max="40" width="26.7109375" style="389" customWidth="1"/>
  </cols>
  <sheetData>
    <row r="1" spans="1:40" ht="16.5" x14ac:dyDescent="0.3">
      <c r="A1" s="1" t="s">
        <v>50</v>
      </c>
      <c r="L1" s="1509" t="s">
        <v>1138</v>
      </c>
      <c r="M1" s="1510"/>
      <c r="N1" s="1510"/>
      <c r="O1" s="1510"/>
      <c r="P1" s="1510"/>
      <c r="Q1" s="1510"/>
      <c r="R1" s="1510"/>
      <c r="S1" s="1510"/>
      <c r="T1" s="1511"/>
      <c r="V1" s="1509" t="s">
        <v>1139</v>
      </c>
      <c r="W1" s="1510"/>
      <c r="X1" s="1510"/>
      <c r="Y1" s="1510"/>
      <c r="Z1" s="1510"/>
      <c r="AA1" s="1510"/>
      <c r="AB1" s="1510"/>
      <c r="AC1" s="1510"/>
      <c r="AD1" s="1511"/>
      <c r="AF1" s="1509" t="s">
        <v>1140</v>
      </c>
      <c r="AG1" s="1510"/>
      <c r="AH1" s="1510"/>
      <c r="AI1" s="1510"/>
      <c r="AJ1" s="1510"/>
      <c r="AK1" s="1510"/>
      <c r="AL1" s="1510"/>
      <c r="AM1" s="1510"/>
      <c r="AN1" s="1511"/>
    </row>
    <row r="2" spans="1:40" ht="17.25" thickBot="1" x14ac:dyDescent="0.35">
      <c r="A2" s="2" t="s">
        <v>8</v>
      </c>
    </row>
    <row r="3" spans="1:40" ht="16.5" thickTop="1" thickBot="1" x14ac:dyDescent="0.3">
      <c r="A3" s="1328" t="s">
        <v>55</v>
      </c>
      <c r="B3" s="1197" t="s">
        <v>2</v>
      </c>
      <c r="C3" s="1198"/>
      <c r="D3" s="1198"/>
      <c r="E3" s="1198"/>
      <c r="F3" s="1198"/>
      <c r="G3" s="1198"/>
      <c r="H3" s="1198"/>
      <c r="I3" s="1198"/>
      <c r="J3" s="1199"/>
      <c r="K3" s="393"/>
    </row>
    <row r="4" spans="1:40" ht="60.75" customHeight="1" thickTop="1" thickBot="1" x14ac:dyDescent="0.3">
      <c r="A4" s="1329"/>
      <c r="B4" s="10" t="s">
        <v>51</v>
      </c>
      <c r="C4" s="137" t="s">
        <v>495</v>
      </c>
      <c r="D4" s="10" t="s">
        <v>52</v>
      </c>
      <c r="E4" s="137" t="s">
        <v>494</v>
      </c>
      <c r="F4" s="10" t="s">
        <v>53</v>
      </c>
      <c r="G4" s="10" t="s">
        <v>54</v>
      </c>
      <c r="H4" s="11" t="s">
        <v>446</v>
      </c>
      <c r="I4" s="10" t="s">
        <v>447</v>
      </c>
      <c r="J4" s="10" t="s">
        <v>14</v>
      </c>
      <c r="K4" s="385"/>
      <c r="L4" s="59" t="s">
        <v>51</v>
      </c>
      <c r="M4" s="436" t="s">
        <v>495</v>
      </c>
      <c r="N4" s="59" t="s">
        <v>52</v>
      </c>
      <c r="O4" s="436" t="s">
        <v>494</v>
      </c>
      <c r="P4" s="59" t="s">
        <v>53</v>
      </c>
      <c r="Q4" s="59" t="s">
        <v>54</v>
      </c>
      <c r="R4" s="436" t="s">
        <v>446</v>
      </c>
      <c r="S4" s="59" t="s">
        <v>447</v>
      </c>
      <c r="T4" s="59" t="s">
        <v>14</v>
      </c>
      <c r="U4" s="385"/>
      <c r="V4" s="59" t="s">
        <v>51</v>
      </c>
      <c r="W4" s="436" t="s">
        <v>495</v>
      </c>
      <c r="X4" s="59" t="s">
        <v>52</v>
      </c>
      <c r="Y4" s="436" t="s">
        <v>494</v>
      </c>
      <c r="Z4" s="59" t="s">
        <v>53</v>
      </c>
      <c r="AA4" s="59" t="s">
        <v>54</v>
      </c>
      <c r="AB4" s="436" t="s">
        <v>446</v>
      </c>
      <c r="AC4" s="59" t="s">
        <v>447</v>
      </c>
      <c r="AD4" s="59" t="s">
        <v>14</v>
      </c>
      <c r="AE4" s="385"/>
      <c r="AF4" s="59" t="s">
        <v>51</v>
      </c>
      <c r="AG4" s="436" t="s">
        <v>495</v>
      </c>
      <c r="AH4" s="59" t="s">
        <v>52</v>
      </c>
      <c r="AI4" s="436" t="s">
        <v>494</v>
      </c>
      <c r="AJ4" s="59" t="s">
        <v>53</v>
      </c>
      <c r="AK4" s="59" t="s">
        <v>54</v>
      </c>
      <c r="AL4" s="436" t="s">
        <v>446</v>
      </c>
      <c r="AM4" s="59" t="s">
        <v>447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393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390">
        <f>SUM(B6:I6)-J6</f>
        <v>0</v>
      </c>
      <c r="V6" s="386">
        <f>B6-B34</f>
        <v>0</v>
      </c>
      <c r="W6" s="386">
        <f t="shared" ref="W6:AB6" si="0">C6-C34</f>
        <v>0</v>
      </c>
      <c r="X6" s="386">
        <f t="shared" si="0"/>
        <v>0</v>
      </c>
      <c r="Y6" s="386">
        <f t="shared" si="0"/>
        <v>0</v>
      </c>
      <c r="Z6" s="386">
        <f t="shared" si="0"/>
        <v>0</v>
      </c>
      <c r="AA6" s="386">
        <f t="shared" si="0"/>
        <v>0</v>
      </c>
      <c r="AB6" s="386">
        <f t="shared" si="0"/>
        <v>0</v>
      </c>
      <c r="AC6" s="386">
        <f>I6-I34</f>
        <v>0</v>
      </c>
      <c r="AD6" s="390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390">
        <f t="shared" ref="T7:T9" si="2">SUM(B7:I7)-J7</f>
        <v>0</v>
      </c>
      <c r="W7" s="385"/>
      <c r="X7" s="385"/>
      <c r="Y7" s="385"/>
      <c r="Z7" s="385"/>
      <c r="AA7" s="385"/>
      <c r="AB7" s="385"/>
      <c r="AC7" s="385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390">
        <f t="shared" si="2"/>
        <v>0</v>
      </c>
      <c r="W8" s="385"/>
      <c r="X8" s="385"/>
      <c r="Y8" s="385"/>
      <c r="Z8" s="385"/>
      <c r="AA8" s="385"/>
      <c r="AB8" s="385"/>
      <c r="AC8" s="385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390">
        <f t="shared" si="2"/>
        <v>0</v>
      </c>
      <c r="W9" s="385"/>
      <c r="X9" s="385"/>
      <c r="Y9" s="385"/>
      <c r="Z9" s="385"/>
      <c r="AA9" s="385"/>
      <c r="AB9" s="385"/>
      <c r="AC9" s="385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387">
        <f>B6+B7-B8+B9-B10</f>
        <v>0</v>
      </c>
      <c r="M10" s="386">
        <f t="shared" ref="M10:T10" si="4">C6+C7-C8+C9-C10</f>
        <v>0</v>
      </c>
      <c r="N10" s="386">
        <f t="shared" si="4"/>
        <v>0</v>
      </c>
      <c r="O10" s="386">
        <f t="shared" si="4"/>
        <v>0</v>
      </c>
      <c r="P10" s="386">
        <f t="shared" si="4"/>
        <v>0</v>
      </c>
      <c r="Q10" s="386">
        <f t="shared" si="4"/>
        <v>0</v>
      </c>
      <c r="R10" s="386">
        <f t="shared" si="4"/>
        <v>0</v>
      </c>
      <c r="S10" s="386">
        <f t="shared" si="4"/>
        <v>0</v>
      </c>
      <c r="T10" s="386">
        <f t="shared" si="4"/>
        <v>0</v>
      </c>
      <c r="W10" s="385"/>
      <c r="X10" s="385"/>
      <c r="Y10" s="385"/>
      <c r="Z10" s="385"/>
      <c r="AA10" s="385"/>
      <c r="AB10" s="385"/>
      <c r="AC10" s="385"/>
      <c r="AF10" s="387">
        <f>B10-BS!$D$31</f>
        <v>0</v>
      </c>
      <c r="AG10" s="386">
        <f>C10-BS!$D$32</f>
        <v>0</v>
      </c>
      <c r="AH10" s="386">
        <f>D10-BS!$D$33</f>
        <v>0</v>
      </c>
      <c r="AI10" s="386">
        <f>E10-BS!$D$34</f>
        <v>0</v>
      </c>
      <c r="AJ10" s="386">
        <f>F10-BS!$D$35</f>
        <v>0</v>
      </c>
      <c r="AK10" s="386">
        <f>G10-BS!$D$36</f>
        <v>0</v>
      </c>
      <c r="AL10" s="386">
        <f>H10-BS!$D$37</f>
        <v>0</v>
      </c>
      <c r="AM10" s="386">
        <f>I10-BS!$D$38</f>
        <v>0</v>
      </c>
      <c r="AN10" s="390">
        <f>J10-BS!$D$30</f>
        <v>0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384"/>
      <c r="T11" s="390"/>
      <c r="W11" s="385"/>
      <c r="X11" s="385"/>
      <c r="Y11" s="385"/>
      <c r="Z11" s="385"/>
      <c r="AA11" s="385"/>
      <c r="AB11" s="385"/>
      <c r="AC11" s="385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384"/>
      <c r="T12" s="390">
        <f t="shared" ref="T12:T14" si="5">SUM(B12:I12)-J12</f>
        <v>0</v>
      </c>
      <c r="V12" s="386">
        <f>B12-B39</f>
        <v>0</v>
      </c>
      <c r="W12" s="386">
        <f t="shared" ref="W12:AB12" si="6">C12-C39</f>
        <v>0</v>
      </c>
      <c r="X12" s="386">
        <f t="shared" si="6"/>
        <v>0</v>
      </c>
      <c r="Y12" s="386">
        <f t="shared" si="6"/>
        <v>0</v>
      </c>
      <c r="Z12" s="386">
        <f>F12-F39</f>
        <v>0</v>
      </c>
      <c r="AA12" s="386">
        <f t="shared" si="6"/>
        <v>0</v>
      </c>
      <c r="AB12" s="386">
        <f t="shared" si="6"/>
        <v>0</v>
      </c>
      <c r="AC12" s="386">
        <f>I12-I39</f>
        <v>0</v>
      </c>
      <c r="AD12" s="390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384"/>
      <c r="T13" s="390">
        <f t="shared" si="5"/>
        <v>0</v>
      </c>
      <c r="W13" s="385"/>
      <c r="X13" s="385"/>
      <c r="Y13" s="385"/>
      <c r="Z13" s="385"/>
      <c r="AA13" s="385"/>
      <c r="AB13" s="385"/>
      <c r="AC13" s="385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384"/>
      <c r="T14" s="390">
        <f t="shared" si="5"/>
        <v>0</v>
      </c>
      <c r="W14" s="385"/>
      <c r="X14" s="385"/>
      <c r="Y14" s="385"/>
      <c r="Z14" s="385"/>
      <c r="AA14" s="385"/>
      <c r="AB14" s="385"/>
      <c r="AC14" s="385"/>
      <c r="AF14" s="392" t="s">
        <v>1141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>G12+G13-G14</f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387">
        <f>B12+B13-B14-B15</f>
        <v>0</v>
      </c>
      <c r="M15" s="386">
        <f t="shared" ref="M15:T15" si="9">C12+C13-C14-C15</f>
        <v>0</v>
      </c>
      <c r="N15" s="386">
        <f t="shared" si="9"/>
        <v>0</v>
      </c>
      <c r="O15" s="386">
        <f t="shared" si="9"/>
        <v>0</v>
      </c>
      <c r="P15" s="386">
        <f t="shared" si="9"/>
        <v>0</v>
      </c>
      <c r="Q15" s="386">
        <f t="shared" si="9"/>
        <v>0</v>
      </c>
      <c r="R15" s="386">
        <f t="shared" si="9"/>
        <v>0</v>
      </c>
      <c r="S15" s="386">
        <f t="shared" si="9"/>
        <v>0</v>
      </c>
      <c r="T15" s="386">
        <f t="shared" si="9"/>
        <v>0</v>
      </c>
      <c r="W15" s="385"/>
      <c r="X15" s="385"/>
      <c r="Y15" s="385"/>
      <c r="Z15" s="385"/>
      <c r="AA15" s="385"/>
      <c r="AB15" s="385"/>
      <c r="AC15" s="385"/>
      <c r="AF15" s="387">
        <f>B15+B20-BS!$E$31</f>
        <v>0</v>
      </c>
      <c r="AG15" s="386">
        <f>C15+C20-BS!$E$32</f>
        <v>0</v>
      </c>
      <c r="AH15" s="386">
        <f>D15+D20-BS!$E$33</f>
        <v>0</v>
      </c>
      <c r="AI15" s="386">
        <f>E15+E20-BS!$E$34</f>
        <v>0</v>
      </c>
      <c r="AJ15" s="386">
        <f>F15+F20-BS!$E$35</f>
        <v>0</v>
      </c>
      <c r="AK15" s="386">
        <f>G15+G20-BS!$E$36</f>
        <v>0</v>
      </c>
      <c r="AL15" s="386">
        <f>H15+H20-BS!$E$37</f>
        <v>0</v>
      </c>
      <c r="AM15" s="386">
        <f>I15+I20-BS!$E$38</f>
        <v>0</v>
      </c>
      <c r="AN15" s="390">
        <f>J15+J20-BS!$E$30</f>
        <v>0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384"/>
      <c r="T16" s="390"/>
      <c r="W16" s="385"/>
      <c r="X16" s="385"/>
      <c r="Y16" s="385"/>
      <c r="Z16" s="385"/>
      <c r="AA16" s="385"/>
      <c r="AB16" s="385"/>
      <c r="AC16" s="385"/>
      <c r="AG16" s="385"/>
      <c r="AH16" s="385"/>
      <c r="AI16" s="385"/>
      <c r="AJ16" s="385"/>
      <c r="AK16" s="385"/>
      <c r="AL16" s="385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384"/>
      <c r="T17" s="390">
        <f t="shared" ref="T17:T19" si="10">SUM(B17:I17)-J17</f>
        <v>0</v>
      </c>
      <c r="V17" s="386">
        <f>B17-B44</f>
        <v>0</v>
      </c>
      <c r="W17" s="386">
        <f t="shared" ref="W17:AB17" si="11">C17-C44</f>
        <v>0</v>
      </c>
      <c r="X17" s="386">
        <f t="shared" si="11"/>
        <v>0</v>
      </c>
      <c r="Y17" s="386">
        <f t="shared" si="11"/>
        <v>0</v>
      </c>
      <c r="Z17" s="386">
        <f t="shared" si="11"/>
        <v>0</v>
      </c>
      <c r="AA17" s="386">
        <f t="shared" si="11"/>
        <v>0</v>
      </c>
      <c r="AB17" s="386">
        <f t="shared" si="11"/>
        <v>0</v>
      </c>
      <c r="AC17" s="386">
        <f>I17-I44</f>
        <v>0</v>
      </c>
      <c r="AD17" s="390">
        <f>J17-J44</f>
        <v>0</v>
      </c>
      <c r="AG17" s="385"/>
      <c r="AH17" s="385"/>
      <c r="AI17" s="385"/>
      <c r="AJ17" s="385"/>
      <c r="AK17" s="385"/>
      <c r="AL17" s="385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384"/>
      <c r="T18" s="390">
        <f t="shared" si="10"/>
        <v>0</v>
      </c>
      <c r="W18" s="385"/>
      <c r="X18" s="385"/>
      <c r="Y18" s="385"/>
      <c r="Z18" s="385"/>
      <c r="AA18" s="385"/>
      <c r="AB18" s="385"/>
      <c r="AC18" s="385"/>
      <c r="AG18" s="385"/>
      <c r="AH18" s="385"/>
      <c r="AI18" s="385"/>
      <c r="AJ18" s="385"/>
      <c r="AK18" s="385"/>
      <c r="AL18" s="385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384"/>
      <c r="T19" s="390">
        <f t="shared" si="10"/>
        <v>0</v>
      </c>
      <c r="W19" s="385"/>
      <c r="X19" s="385"/>
      <c r="Y19" s="385"/>
      <c r="Z19" s="385"/>
      <c r="AA19" s="385"/>
      <c r="AB19" s="385"/>
      <c r="AC19" s="385"/>
      <c r="AG19" s="385"/>
      <c r="AH19" s="385"/>
      <c r="AI19" s="385"/>
      <c r="AJ19" s="385"/>
      <c r="AK19" s="385"/>
      <c r="AL19" s="385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3">D17+D18-D19</f>
        <v>0</v>
      </c>
      <c r="E20" s="26">
        <f t="shared" ref="E20" si="14">E17+E18-E19</f>
        <v>0</v>
      </c>
      <c r="F20" s="26">
        <f t="shared" ref="F20" si="15">F17+F18-F19</f>
        <v>0</v>
      </c>
      <c r="G20" s="26">
        <f t="shared" ref="G20" si="16">G17+G18-G19</f>
        <v>0</v>
      </c>
      <c r="H20" s="26">
        <f t="shared" ref="H20" si="17">H17+H18-H19</f>
        <v>0</v>
      </c>
      <c r="I20" s="26">
        <f t="shared" ref="I20" si="18">I17+I18-I19</f>
        <v>0</v>
      </c>
      <c r="J20" s="17">
        <f>J17+J18-J19</f>
        <v>0</v>
      </c>
      <c r="L20" s="387">
        <f>B17+B18-B19-B20</f>
        <v>0</v>
      </c>
      <c r="M20" s="386">
        <f t="shared" ref="M20:T20" si="19">C17+C18-C19-C20</f>
        <v>0</v>
      </c>
      <c r="N20" s="386">
        <f t="shared" si="19"/>
        <v>0</v>
      </c>
      <c r="O20" s="386">
        <f t="shared" si="19"/>
        <v>0</v>
      </c>
      <c r="P20" s="386">
        <f t="shared" si="19"/>
        <v>0</v>
      </c>
      <c r="Q20" s="386">
        <f t="shared" si="19"/>
        <v>0</v>
      </c>
      <c r="R20" s="386">
        <f t="shared" si="19"/>
        <v>0</v>
      </c>
      <c r="S20" s="386">
        <f t="shared" si="19"/>
        <v>0</v>
      </c>
      <c r="T20" s="386">
        <f t="shared" si="19"/>
        <v>0</v>
      </c>
      <c r="W20" s="385"/>
      <c r="X20" s="385"/>
      <c r="Y20" s="385"/>
      <c r="Z20" s="385"/>
      <c r="AA20" s="385"/>
      <c r="AB20" s="385"/>
      <c r="AC20" s="385"/>
      <c r="AG20" s="385"/>
      <c r="AH20" s="385"/>
      <c r="AI20" s="385"/>
      <c r="AJ20" s="385"/>
      <c r="AK20" s="385"/>
      <c r="AL20" s="385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384"/>
      <c r="T21" s="390"/>
      <c r="W21" s="385"/>
      <c r="X21" s="385"/>
      <c r="Y21" s="385"/>
      <c r="Z21" s="385"/>
      <c r="AA21" s="385"/>
      <c r="AB21" s="385"/>
      <c r="AC21" s="385"/>
      <c r="AG21" s="385"/>
      <c r="AH21" s="385"/>
      <c r="AI21" s="385"/>
      <c r="AJ21" s="385"/>
      <c r="AK21" s="385"/>
      <c r="AL21" s="385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 t="shared" ref="C22:J22" si="20">C6-C12-C17</f>
        <v>0</v>
      </c>
      <c r="D22" s="22">
        <f t="shared" si="20"/>
        <v>0</v>
      </c>
      <c r="E22" s="22">
        <f t="shared" si="20"/>
        <v>0</v>
      </c>
      <c r="F22" s="22">
        <f t="shared" si="20"/>
        <v>0</v>
      </c>
      <c r="G22" s="22">
        <f t="shared" si="20"/>
        <v>0</v>
      </c>
      <c r="H22" s="22">
        <f t="shared" si="20"/>
        <v>0</v>
      </c>
      <c r="I22" s="22">
        <f t="shared" si="20"/>
        <v>0</v>
      </c>
      <c r="J22" s="15">
        <f t="shared" si="20"/>
        <v>0</v>
      </c>
      <c r="L22" s="387">
        <f>B6-B12-B17-B22</f>
        <v>0</v>
      </c>
      <c r="M22" s="386">
        <f t="shared" ref="M22:S22" si="21">C6-C12-C17-C22</f>
        <v>0</v>
      </c>
      <c r="N22" s="386">
        <f t="shared" si="21"/>
        <v>0</v>
      </c>
      <c r="O22" s="386">
        <f t="shared" si="21"/>
        <v>0</v>
      </c>
      <c r="P22" s="386">
        <f t="shared" si="21"/>
        <v>0</v>
      </c>
      <c r="Q22" s="386">
        <f t="shared" si="21"/>
        <v>0</v>
      </c>
      <c r="R22" s="386">
        <f t="shared" si="21"/>
        <v>0</v>
      </c>
      <c r="S22" s="386">
        <f t="shared" si="21"/>
        <v>0</v>
      </c>
      <c r="T22" s="390">
        <f t="shared" ref="T22:T23" si="22">SUM(B22:I22)-J22</f>
        <v>0</v>
      </c>
      <c r="V22" s="386">
        <f>B22-B47</f>
        <v>0</v>
      </c>
      <c r="W22" s="386">
        <f t="shared" ref="W22:AB22" si="23">C22-C47</f>
        <v>0</v>
      </c>
      <c r="X22" s="386">
        <f t="shared" si="23"/>
        <v>0</v>
      </c>
      <c r="Y22" s="386">
        <f t="shared" si="23"/>
        <v>0</v>
      </c>
      <c r="Z22" s="386">
        <f t="shared" si="23"/>
        <v>0</v>
      </c>
      <c r="AA22" s="386">
        <f t="shared" si="23"/>
        <v>0</v>
      </c>
      <c r="AB22" s="386">
        <f t="shared" si="23"/>
        <v>0</v>
      </c>
      <c r="AC22" s="386">
        <f>I22-I47</f>
        <v>0</v>
      </c>
      <c r="AD22" s="390">
        <f>J22-J47</f>
        <v>0</v>
      </c>
      <c r="AG22" s="385"/>
      <c r="AH22" s="385"/>
      <c r="AI22" s="385"/>
      <c r="AJ22" s="385"/>
      <c r="AK22" s="385"/>
      <c r="AL22" s="385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 t="shared" ref="C23:J23" si="24">C10-C15-C20</f>
        <v>0</v>
      </c>
      <c r="D23" s="26">
        <f t="shared" si="24"/>
        <v>0</v>
      </c>
      <c r="E23" s="26">
        <f t="shared" si="24"/>
        <v>0</v>
      </c>
      <c r="F23" s="26">
        <f t="shared" si="24"/>
        <v>0</v>
      </c>
      <c r="G23" s="26">
        <f t="shared" si="24"/>
        <v>0</v>
      </c>
      <c r="H23" s="26">
        <f t="shared" si="24"/>
        <v>0</v>
      </c>
      <c r="I23" s="26">
        <f t="shared" si="24"/>
        <v>0</v>
      </c>
      <c r="J23" s="17">
        <f t="shared" si="24"/>
        <v>0</v>
      </c>
      <c r="L23" s="387">
        <f>B10-B15-B20-B23</f>
        <v>0</v>
      </c>
      <c r="M23" s="386">
        <f t="shared" ref="M23:S23" si="25">C10-C15-C20-C23</f>
        <v>0</v>
      </c>
      <c r="N23" s="386">
        <f t="shared" si="25"/>
        <v>0</v>
      </c>
      <c r="O23" s="386">
        <f t="shared" si="25"/>
        <v>0</v>
      </c>
      <c r="P23" s="386">
        <f t="shared" si="25"/>
        <v>0</v>
      </c>
      <c r="Q23" s="386">
        <f t="shared" si="25"/>
        <v>0</v>
      </c>
      <c r="R23" s="386">
        <f t="shared" si="25"/>
        <v>0</v>
      </c>
      <c r="S23" s="386">
        <f t="shared" si="25"/>
        <v>0</v>
      </c>
      <c r="T23" s="390">
        <f t="shared" si="22"/>
        <v>0</v>
      </c>
      <c r="AF23" s="387">
        <f>B23-BS!$F$31</f>
        <v>0</v>
      </c>
      <c r="AG23" s="386">
        <f>C23-BS!$F$32</f>
        <v>0</v>
      </c>
      <c r="AH23" s="386">
        <f>D23-BS!$F$33</f>
        <v>0</v>
      </c>
      <c r="AI23" s="386">
        <f>E23-BS!$F$34</f>
        <v>0</v>
      </c>
      <c r="AJ23" s="386">
        <f>F23-BS!$F$35</f>
        <v>0</v>
      </c>
      <c r="AK23" s="386">
        <f>G23-BS!$F$36</f>
        <v>0</v>
      </c>
      <c r="AL23" s="386">
        <f>H23-BS!$F$37</f>
        <v>0</v>
      </c>
      <c r="AM23" s="386">
        <f>I23-BS!$F$38</f>
        <v>0</v>
      </c>
      <c r="AN23" s="390">
        <f>J23-BS!$F$30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328" t="s">
        <v>55</v>
      </c>
      <c r="B27" s="1197" t="s">
        <v>3</v>
      </c>
      <c r="C27" s="1198"/>
      <c r="D27" s="1198"/>
      <c r="E27" s="1198"/>
      <c r="F27" s="1198"/>
      <c r="G27" s="1198"/>
      <c r="H27" s="1198"/>
      <c r="I27" s="1198"/>
      <c r="J27" s="1199"/>
      <c r="K27" s="393"/>
    </row>
    <row r="28" spans="1:40" ht="60.75" customHeight="1" thickTop="1" thickBot="1" x14ac:dyDescent="0.3">
      <c r="A28" s="1329"/>
      <c r="B28" s="136" t="s">
        <v>51</v>
      </c>
      <c r="C28" s="137" t="s">
        <v>495</v>
      </c>
      <c r="D28" s="136" t="s">
        <v>52</v>
      </c>
      <c r="E28" s="137" t="s">
        <v>494</v>
      </c>
      <c r="F28" s="136" t="s">
        <v>53</v>
      </c>
      <c r="G28" s="136" t="s">
        <v>54</v>
      </c>
      <c r="H28" s="137" t="s">
        <v>446</v>
      </c>
      <c r="I28" s="136" t="s">
        <v>447</v>
      </c>
      <c r="J28" s="136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393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390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6">SUM(B31:H31)</f>
        <v>0</v>
      </c>
      <c r="T31" s="390">
        <f t="shared" ref="T31:T33" si="27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6"/>
        <v>0</v>
      </c>
      <c r="T32" s="390">
        <f t="shared" si="27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6"/>
        <v>0</v>
      </c>
      <c r="T33" s="390">
        <f t="shared" si="27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8">E30+E31-E32+E33</f>
        <v>0</v>
      </c>
      <c r="F34" s="26">
        <f t="shared" si="28"/>
        <v>0</v>
      </c>
      <c r="G34" s="26">
        <f t="shared" si="28"/>
        <v>0</v>
      </c>
      <c r="H34" s="26">
        <f t="shared" si="28"/>
        <v>0</v>
      </c>
      <c r="I34" s="26">
        <f>I30+I31-I32+I33</f>
        <v>0</v>
      </c>
      <c r="J34" s="17">
        <f>J30+J31-J32+J33</f>
        <v>0</v>
      </c>
      <c r="L34" s="387">
        <f>B30+B31-B32+B33-B34</f>
        <v>0</v>
      </c>
      <c r="M34" s="386">
        <f t="shared" ref="M34:T34" si="29">C30+C31-C32+C33-C34</f>
        <v>0</v>
      </c>
      <c r="N34" s="386">
        <f t="shared" si="29"/>
        <v>0</v>
      </c>
      <c r="O34" s="386">
        <f t="shared" si="29"/>
        <v>0</v>
      </c>
      <c r="P34" s="386">
        <f t="shared" si="29"/>
        <v>0</v>
      </c>
      <c r="Q34" s="386">
        <f t="shared" si="29"/>
        <v>0</v>
      </c>
      <c r="R34" s="386">
        <f t="shared" si="29"/>
        <v>0</v>
      </c>
      <c r="S34" s="386">
        <f t="shared" si="29"/>
        <v>0</v>
      </c>
      <c r="T34" s="386">
        <f t="shared" si="29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384"/>
      <c r="T35" s="390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384"/>
      <c r="T36" s="390">
        <f t="shared" ref="T36:T38" si="30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31">SUM(B37:H37)</f>
        <v>0</v>
      </c>
      <c r="L37" s="384"/>
      <c r="T37" s="390">
        <f t="shared" si="30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31"/>
        <v>0</v>
      </c>
      <c r="L38" s="384"/>
      <c r="T38" s="390">
        <f t="shared" si="30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32">D36+D37-D38</f>
        <v>0</v>
      </c>
      <c r="E39" s="26">
        <f t="shared" si="32"/>
        <v>0</v>
      </c>
      <c r="F39" s="26">
        <f t="shared" si="32"/>
        <v>0</v>
      </c>
      <c r="G39" s="26">
        <f t="shared" si="32"/>
        <v>0</v>
      </c>
      <c r="H39" s="26">
        <f t="shared" si="32"/>
        <v>0</v>
      </c>
      <c r="I39" s="26">
        <f t="shared" si="32"/>
        <v>0</v>
      </c>
      <c r="J39" s="17">
        <f>J36+J37-J38</f>
        <v>0</v>
      </c>
      <c r="L39" s="387">
        <f>B36+B37-B38-B39</f>
        <v>0</v>
      </c>
      <c r="M39" s="386">
        <f t="shared" ref="M39:T39" si="33">C36+C37-C38-C39</f>
        <v>0</v>
      </c>
      <c r="N39" s="386">
        <f t="shared" si="33"/>
        <v>0</v>
      </c>
      <c r="O39" s="386">
        <f t="shared" si="33"/>
        <v>0</v>
      </c>
      <c r="P39" s="386">
        <f t="shared" si="33"/>
        <v>0</v>
      </c>
      <c r="Q39" s="386">
        <f t="shared" si="33"/>
        <v>0</v>
      </c>
      <c r="R39" s="386">
        <f t="shared" si="33"/>
        <v>0</v>
      </c>
      <c r="S39" s="386">
        <f t="shared" si="33"/>
        <v>0</v>
      </c>
      <c r="T39" s="386">
        <f t="shared" si="33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384"/>
      <c r="T40" s="390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384"/>
      <c r="T41" s="390">
        <f t="shared" ref="T41:T43" si="34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5">SUM(B42:H42)</f>
        <v>0</v>
      </c>
      <c r="L42" s="384"/>
      <c r="T42" s="390">
        <f t="shared" si="34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5"/>
        <v>0</v>
      </c>
      <c r="L43" s="384"/>
      <c r="T43" s="390">
        <f t="shared" si="34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6">D41+D42-D43</f>
        <v>0</v>
      </c>
      <c r="E44" s="26">
        <f t="shared" si="36"/>
        <v>0</v>
      </c>
      <c r="F44" s="26">
        <f t="shared" si="36"/>
        <v>0</v>
      </c>
      <c r="G44" s="26">
        <f t="shared" si="36"/>
        <v>0</v>
      </c>
      <c r="H44" s="26">
        <f t="shared" si="36"/>
        <v>0</v>
      </c>
      <c r="I44" s="26">
        <f t="shared" si="36"/>
        <v>0</v>
      </c>
      <c r="J44" s="17">
        <f>J41+J42-J43</f>
        <v>0</v>
      </c>
      <c r="L44" s="387">
        <f>B41+B42-B43-B44</f>
        <v>0</v>
      </c>
      <c r="M44" s="386">
        <f t="shared" ref="M44:T44" si="37">C41+C42-C43-C44</f>
        <v>0</v>
      </c>
      <c r="N44" s="386">
        <f t="shared" si="37"/>
        <v>0</v>
      </c>
      <c r="O44" s="386">
        <f t="shared" si="37"/>
        <v>0</v>
      </c>
      <c r="P44" s="386">
        <f t="shared" si="37"/>
        <v>0</v>
      </c>
      <c r="Q44" s="386">
        <f t="shared" si="37"/>
        <v>0</v>
      </c>
      <c r="R44" s="386">
        <f t="shared" si="37"/>
        <v>0</v>
      </c>
      <c r="S44" s="386">
        <f t="shared" si="37"/>
        <v>0</v>
      </c>
      <c r="T44" s="386">
        <f t="shared" si="37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384"/>
      <c r="T45" s="390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8">C30-C36-C41</f>
        <v>0</v>
      </c>
      <c r="D46" s="22">
        <f t="shared" si="38"/>
        <v>0</v>
      </c>
      <c r="E46" s="22">
        <f t="shared" si="38"/>
        <v>0</v>
      </c>
      <c r="F46" s="22">
        <f t="shared" si="38"/>
        <v>0</v>
      </c>
      <c r="G46" s="22">
        <f t="shared" si="38"/>
        <v>0</v>
      </c>
      <c r="H46" s="22">
        <f t="shared" si="38"/>
        <v>0</v>
      </c>
      <c r="I46" s="22">
        <f t="shared" si="38"/>
        <v>0</v>
      </c>
      <c r="J46" s="15">
        <f t="shared" si="38"/>
        <v>0</v>
      </c>
      <c r="L46" s="387">
        <f>B30-B36-B41-B46</f>
        <v>0</v>
      </c>
      <c r="M46" s="386">
        <f t="shared" ref="M46:S46" si="39">C30-C36-C41-C46</f>
        <v>0</v>
      </c>
      <c r="N46" s="386">
        <f t="shared" si="39"/>
        <v>0</v>
      </c>
      <c r="O46" s="386">
        <f t="shared" si="39"/>
        <v>0</v>
      </c>
      <c r="P46" s="386">
        <f t="shared" si="39"/>
        <v>0</v>
      </c>
      <c r="Q46" s="386">
        <f t="shared" si="39"/>
        <v>0</v>
      </c>
      <c r="R46" s="386">
        <f t="shared" si="39"/>
        <v>0</v>
      </c>
      <c r="S46" s="386">
        <f t="shared" si="39"/>
        <v>0</v>
      </c>
      <c r="T46" s="390">
        <f t="shared" ref="T46:T47" si="40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41">C34-C39-C44</f>
        <v>0</v>
      </c>
      <c r="D47" s="26">
        <f t="shared" si="41"/>
        <v>0</v>
      </c>
      <c r="E47" s="26">
        <f t="shared" si="41"/>
        <v>0</v>
      </c>
      <c r="F47" s="26">
        <f t="shared" si="41"/>
        <v>0</v>
      </c>
      <c r="G47" s="26">
        <f t="shared" si="41"/>
        <v>0</v>
      </c>
      <c r="H47" s="26">
        <f t="shared" si="41"/>
        <v>0</v>
      </c>
      <c r="I47" s="26">
        <f t="shared" si="41"/>
        <v>0</v>
      </c>
      <c r="J47" s="17">
        <f t="shared" si="41"/>
        <v>0</v>
      </c>
      <c r="L47" s="387">
        <f>B34-B39-B44-B47</f>
        <v>0</v>
      </c>
      <c r="M47" s="386">
        <f t="shared" ref="M47:S47" si="42">C34-C39-C44-C47</f>
        <v>0</v>
      </c>
      <c r="N47" s="386">
        <f t="shared" si="42"/>
        <v>0</v>
      </c>
      <c r="O47" s="386">
        <f t="shared" si="42"/>
        <v>0</v>
      </c>
      <c r="P47" s="386">
        <f t="shared" si="42"/>
        <v>0</v>
      </c>
      <c r="Q47" s="386">
        <f t="shared" si="42"/>
        <v>0</v>
      </c>
      <c r="R47" s="386">
        <f t="shared" si="42"/>
        <v>0</v>
      </c>
      <c r="S47" s="386">
        <f t="shared" si="42"/>
        <v>0</v>
      </c>
      <c r="T47" s="390">
        <f t="shared" si="40"/>
        <v>0</v>
      </c>
      <c r="AF47" s="387">
        <f>B47-BS!$G$31</f>
        <v>0</v>
      </c>
      <c r="AG47" s="386">
        <f>C47-BS!$G$32</f>
        <v>0</v>
      </c>
      <c r="AH47" s="386">
        <f>D47-BS!$G$33</f>
        <v>0</v>
      </c>
      <c r="AI47" s="386">
        <f>E47-BS!$G$34</f>
        <v>0</v>
      </c>
      <c r="AJ47" s="386">
        <f>F47-BS!$G$35</f>
        <v>0</v>
      </c>
      <c r="AK47" s="386">
        <f>G47-BS!$G$36</f>
        <v>0</v>
      </c>
      <c r="AL47" s="386">
        <f>H47-BS!$G$37</f>
        <v>0</v>
      </c>
      <c r="AM47" s="386">
        <f>I47-BS!$G$38</f>
        <v>0</v>
      </c>
      <c r="AN47" s="390">
        <f>J47-BS!$G$30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634" t="s">
        <v>55</v>
      </c>
      <c r="B2" s="11" t="s">
        <v>36</v>
      </c>
    </row>
    <row r="3" spans="1:2" ht="23.25" customHeight="1" thickTop="1" thickBot="1" x14ac:dyDescent="0.3">
      <c r="A3" s="12" t="s">
        <v>57</v>
      </c>
      <c r="B3" s="13"/>
    </row>
    <row r="4" spans="1:2" ht="23.25" customHeight="1" thickBot="1" x14ac:dyDescent="0.3">
      <c r="A4" s="16" t="s">
        <v>58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1328" t="s">
        <v>60</v>
      </c>
      <c r="B2" s="1512" t="s">
        <v>2</v>
      </c>
      <c r="C2" s="1513"/>
      <c r="D2" s="1513"/>
      <c r="E2" s="1513"/>
      <c r="F2" s="1514"/>
    </row>
    <row r="3" spans="1:6" ht="70.5" customHeight="1" thickBot="1" x14ac:dyDescent="0.3">
      <c r="A3" s="1329"/>
      <c r="B3" s="57" t="s">
        <v>61</v>
      </c>
      <c r="C3" s="57" t="s">
        <v>62</v>
      </c>
      <c r="D3" s="40" t="s">
        <v>448</v>
      </c>
      <c r="E3" s="57" t="s">
        <v>449</v>
      </c>
      <c r="F3" s="57" t="s">
        <v>64</v>
      </c>
    </row>
    <row r="4" spans="1:6" ht="16.5" thickTop="1" thickBot="1" x14ac:dyDescent="0.3">
      <c r="A4" s="138" t="s">
        <v>65</v>
      </c>
      <c r="B4" s="53"/>
      <c r="C4" s="53"/>
      <c r="D4" s="53"/>
      <c r="E4" s="53"/>
      <c r="F4" s="54"/>
    </row>
    <row r="5" spans="1:6" ht="16.5" thickTop="1" thickBot="1" x14ac:dyDescent="0.3">
      <c r="A5" s="139"/>
      <c r="B5" s="55"/>
      <c r="C5" s="55"/>
      <c r="D5" s="22"/>
      <c r="E5" s="22"/>
      <c r="F5" s="15"/>
    </row>
    <row r="6" spans="1:6" ht="15.75" thickBot="1" x14ac:dyDescent="0.3">
      <c r="A6" s="139"/>
      <c r="B6" s="55"/>
      <c r="C6" s="55"/>
      <c r="D6" s="22"/>
      <c r="E6" s="22"/>
      <c r="F6" s="15"/>
    </row>
    <row r="7" spans="1:6" ht="15.75" thickBot="1" x14ac:dyDescent="0.3">
      <c r="A7" s="140"/>
      <c r="B7" s="56"/>
      <c r="C7" s="56"/>
      <c r="D7" s="26"/>
      <c r="E7" s="26"/>
      <c r="F7" s="17"/>
    </row>
    <row r="8" spans="1:6" ht="16.5" thickTop="1" thickBot="1" x14ac:dyDescent="0.3">
      <c r="A8" s="138" t="s">
        <v>66</v>
      </c>
      <c r="B8" s="53"/>
      <c r="C8" s="53"/>
      <c r="D8" s="53"/>
      <c r="E8" s="53"/>
      <c r="F8" s="54"/>
    </row>
    <row r="9" spans="1:6" ht="16.5" thickTop="1" thickBot="1" x14ac:dyDescent="0.3">
      <c r="A9" s="139"/>
      <c r="B9" s="55"/>
      <c r="C9" s="55"/>
      <c r="D9" s="22"/>
      <c r="E9" s="22"/>
      <c r="F9" s="15"/>
    </row>
    <row r="10" spans="1:6" ht="15.75" thickBot="1" x14ac:dyDescent="0.3">
      <c r="A10" s="139"/>
      <c r="B10" s="55"/>
      <c r="C10" s="55"/>
      <c r="D10" s="22"/>
      <c r="E10" s="22"/>
      <c r="F10" s="15"/>
    </row>
    <row r="11" spans="1:6" ht="15.75" thickBot="1" x14ac:dyDescent="0.3">
      <c r="A11" s="140"/>
      <c r="B11" s="56"/>
      <c r="C11" s="56"/>
      <c r="D11" s="26"/>
      <c r="E11" s="26"/>
      <c r="F11" s="17"/>
    </row>
    <row r="12" spans="1:6" ht="16.5" thickTop="1" thickBot="1" x14ac:dyDescent="0.3">
      <c r="A12" s="138" t="s">
        <v>67</v>
      </c>
      <c r="B12" s="53"/>
      <c r="C12" s="53"/>
      <c r="D12" s="53"/>
      <c r="E12" s="53"/>
      <c r="F12" s="54"/>
    </row>
    <row r="13" spans="1:6" ht="16.5" thickTop="1" thickBot="1" x14ac:dyDescent="0.3">
      <c r="A13" s="139"/>
      <c r="B13" s="55"/>
      <c r="C13" s="55"/>
      <c r="D13" s="22"/>
      <c r="E13" s="22"/>
      <c r="F13" s="15"/>
    </row>
    <row r="14" spans="1:6" ht="15.75" thickBot="1" x14ac:dyDescent="0.3">
      <c r="A14" s="139"/>
      <c r="B14" s="55"/>
      <c r="C14" s="55"/>
      <c r="D14" s="22"/>
      <c r="E14" s="22"/>
      <c r="F14" s="15"/>
    </row>
    <row r="15" spans="1:6" ht="15.75" thickBot="1" x14ac:dyDescent="0.3">
      <c r="A15" s="140"/>
      <c r="B15" s="56"/>
      <c r="C15" s="56"/>
      <c r="D15" s="26"/>
      <c r="E15" s="26"/>
      <c r="F15" s="17"/>
    </row>
    <row r="16" spans="1:6" ht="16.5" thickTop="1" thickBot="1" x14ac:dyDescent="0.3">
      <c r="A16" s="138" t="s">
        <v>68</v>
      </c>
      <c r="B16" s="53"/>
      <c r="C16" s="53"/>
      <c r="D16" s="53"/>
      <c r="E16" s="53"/>
      <c r="F16" s="54"/>
    </row>
    <row r="17" spans="1:6" ht="16.5" thickTop="1" thickBot="1" x14ac:dyDescent="0.3">
      <c r="A17" s="141"/>
      <c r="B17" s="55"/>
      <c r="C17" s="55"/>
      <c r="D17" s="22"/>
      <c r="E17" s="22"/>
      <c r="F17" s="15"/>
    </row>
    <row r="18" spans="1:6" ht="15.75" thickBot="1" x14ac:dyDescent="0.3">
      <c r="A18" s="86"/>
      <c r="B18" s="56"/>
      <c r="C18" s="56"/>
      <c r="D18" s="173"/>
      <c r="E18" s="47"/>
      <c r="F18" s="174"/>
    </row>
    <row r="19" spans="1:6" ht="24" thickTop="1" thickBot="1" x14ac:dyDescent="0.3">
      <c r="A19" s="25" t="s">
        <v>69</v>
      </c>
      <c r="B19" s="34" t="s">
        <v>18</v>
      </c>
      <c r="C19" s="34" t="s">
        <v>18</v>
      </c>
      <c r="D19" s="34" t="s">
        <v>18</v>
      </c>
      <c r="E19" s="34" t="s">
        <v>18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389"/>
    <col min="9" max="9" width="9.140625" style="384" customWidth="1" outlineLevel="1"/>
    <col min="10" max="11" width="9.140625" customWidth="1" outlineLevel="1"/>
    <col min="12" max="12" width="17" customWidth="1" outlineLevel="1"/>
    <col min="13" max="13" width="19.7109375" style="389" customWidth="1"/>
  </cols>
  <sheetData>
    <row r="1" spans="1:13" ht="17.25" thickBot="1" x14ac:dyDescent="0.35">
      <c r="A1" s="1" t="s">
        <v>70</v>
      </c>
      <c r="I1" s="1515" t="s">
        <v>1138</v>
      </c>
      <c r="J1" s="1516"/>
      <c r="K1" s="1516"/>
      <c r="L1" s="1516"/>
      <c r="M1" s="1517"/>
    </row>
    <row r="2" spans="1:13" ht="74.25" customHeight="1" thickTop="1" thickBot="1" x14ac:dyDescent="0.3">
      <c r="A2" s="59" t="s">
        <v>452</v>
      </c>
      <c r="B2" s="59" t="s">
        <v>71</v>
      </c>
      <c r="C2" s="38" t="s">
        <v>450</v>
      </c>
      <c r="D2" s="59" t="s">
        <v>72</v>
      </c>
      <c r="E2" s="59" t="s">
        <v>73</v>
      </c>
      <c r="F2" s="38" t="s">
        <v>451</v>
      </c>
      <c r="G2" s="59" t="s">
        <v>79</v>
      </c>
      <c r="H2" s="385"/>
      <c r="I2" s="59" t="s">
        <v>450</v>
      </c>
      <c r="J2" s="59" t="s">
        <v>72</v>
      </c>
      <c r="K2" s="59" t="s">
        <v>73</v>
      </c>
      <c r="L2" s="177" t="s">
        <v>451</v>
      </c>
      <c r="M2" s="59" t="s">
        <v>79</v>
      </c>
    </row>
    <row r="3" spans="1:13" ht="27" customHeight="1" thickTop="1" thickBot="1" x14ac:dyDescent="0.3">
      <c r="A3" s="14" t="s">
        <v>74</v>
      </c>
      <c r="B3" s="62"/>
      <c r="C3" s="22"/>
      <c r="D3" s="22"/>
      <c r="E3" s="22"/>
      <c r="F3" s="22"/>
      <c r="G3" s="15">
        <f>SUM(C3:F3)</f>
        <v>0</v>
      </c>
      <c r="J3" s="385"/>
      <c r="K3" s="385"/>
      <c r="L3" s="385"/>
      <c r="M3" s="390">
        <f>SUM(C3:F3)-G3</f>
        <v>0</v>
      </c>
    </row>
    <row r="4" spans="1:13" ht="27" customHeight="1" thickBot="1" x14ac:dyDescent="0.3">
      <c r="A4" s="14" t="s">
        <v>75</v>
      </c>
      <c r="B4" s="62"/>
      <c r="C4" s="22"/>
      <c r="D4" s="22"/>
      <c r="E4" s="22"/>
      <c r="F4" s="22"/>
      <c r="G4" s="15">
        <f>SUM(C4:F4)</f>
        <v>0</v>
      </c>
      <c r="J4" s="385"/>
      <c r="K4" s="385"/>
      <c r="L4" s="385"/>
      <c r="M4" s="390">
        <f t="shared" ref="M4" si="0">SUM(C4:F4)-G4</f>
        <v>0</v>
      </c>
    </row>
    <row r="5" spans="1:13" ht="27" customHeight="1" thickBot="1" x14ac:dyDescent="0.3">
      <c r="A5" s="14" t="s">
        <v>76</v>
      </c>
      <c r="B5" s="62"/>
      <c r="C5" s="22"/>
      <c r="D5" s="22"/>
      <c r="E5" s="22"/>
      <c r="F5" s="22"/>
      <c r="G5" s="15">
        <f>SUM(C5:F5)</f>
        <v>0</v>
      </c>
      <c r="J5" s="385"/>
      <c r="K5" s="385"/>
      <c r="L5" s="385"/>
      <c r="M5" s="390">
        <f>SUM(C5:F5)-G5</f>
        <v>0</v>
      </c>
    </row>
    <row r="6" spans="1:13" ht="27" customHeight="1" thickBot="1" x14ac:dyDescent="0.3">
      <c r="A6" s="14" t="s">
        <v>77</v>
      </c>
      <c r="B6" s="62"/>
      <c r="C6" s="22"/>
      <c r="D6" s="22"/>
      <c r="E6" s="22"/>
      <c r="F6" s="22"/>
      <c r="G6" s="15">
        <f>SUM(C6:F6)</f>
        <v>0</v>
      </c>
      <c r="J6" s="385"/>
      <c r="K6" s="385"/>
      <c r="L6" s="385"/>
      <c r="M6" s="390">
        <f>SUM(C6:F6)-G6</f>
        <v>0</v>
      </c>
    </row>
    <row r="7" spans="1:13" ht="27" customHeight="1" thickBot="1" x14ac:dyDescent="0.3">
      <c r="A7" s="25" t="s">
        <v>78</v>
      </c>
      <c r="B7" s="61" t="s">
        <v>18</v>
      </c>
      <c r="C7" s="58">
        <f>SUM(C3:C6)</f>
        <v>0</v>
      </c>
      <c r="D7" s="58">
        <f>SUM(D3:D6)</f>
        <v>0</v>
      </c>
      <c r="E7" s="58">
        <f>SUM(E3:E6)</f>
        <v>0</v>
      </c>
      <c r="F7" s="58">
        <f>SUM(F3:F6)</f>
        <v>0</v>
      </c>
      <c r="G7" s="60">
        <f>SUM(G3:G6)</f>
        <v>0</v>
      </c>
      <c r="I7" s="387">
        <f>SUM(C3:C6)-C7</f>
        <v>0</v>
      </c>
      <c r="J7" s="386">
        <f>SUM(D3:D6)-D7</f>
        <v>0</v>
      </c>
      <c r="K7" s="386">
        <f>SUM(E3:E6)-E7</f>
        <v>0</v>
      </c>
      <c r="L7" s="386">
        <f>SUM(F3:F6)-F7</f>
        <v>0</v>
      </c>
      <c r="M7" s="390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389" customWidth="1"/>
    <col min="8" max="8" width="9.140625" style="384" customWidth="1" outlineLevel="1"/>
    <col min="9" max="11" width="9.140625" customWidth="1" outlineLevel="1"/>
    <col min="12" max="12" width="23.5703125" style="389" customWidth="1"/>
  </cols>
  <sheetData>
    <row r="1" spans="1:12" ht="17.25" thickBot="1" x14ac:dyDescent="0.35">
      <c r="A1" s="1" t="s">
        <v>80</v>
      </c>
      <c r="H1" s="1509" t="s">
        <v>1138</v>
      </c>
      <c r="I1" s="1510"/>
      <c r="J1" s="1510"/>
      <c r="K1" s="1510"/>
      <c r="L1" s="1511"/>
    </row>
    <row r="2" spans="1:12" ht="58.5" customHeight="1" thickTop="1" thickBot="1" x14ac:dyDescent="0.3">
      <c r="A2" s="59" t="s">
        <v>81</v>
      </c>
      <c r="B2" s="38" t="s">
        <v>450</v>
      </c>
      <c r="C2" s="59" t="s">
        <v>72</v>
      </c>
      <c r="D2" s="59" t="s">
        <v>73</v>
      </c>
      <c r="E2" s="59" t="s">
        <v>453</v>
      </c>
      <c r="F2" s="38" t="s">
        <v>30</v>
      </c>
      <c r="G2" s="385"/>
      <c r="H2" s="59" t="s">
        <v>450</v>
      </c>
      <c r="I2" s="59" t="s">
        <v>72</v>
      </c>
      <c r="J2" s="59" t="s">
        <v>73</v>
      </c>
      <c r="K2" s="59" t="s">
        <v>453</v>
      </c>
      <c r="L2" s="59" t="s">
        <v>30</v>
      </c>
    </row>
    <row r="3" spans="1:12" ht="27" customHeight="1" thickTop="1" thickBot="1" x14ac:dyDescent="0.3">
      <c r="A3" s="14" t="s">
        <v>74</v>
      </c>
      <c r="B3" s="22"/>
      <c r="C3" s="22"/>
      <c r="D3" s="22"/>
      <c r="E3" s="22"/>
      <c r="F3" s="15">
        <f>SUM(B3:E3)</f>
        <v>0</v>
      </c>
      <c r="I3" s="385"/>
      <c r="J3" s="385"/>
      <c r="K3" s="385"/>
      <c r="L3" s="390">
        <f>SUM(B3:E3)-F3</f>
        <v>0</v>
      </c>
    </row>
    <row r="4" spans="1:12" ht="27" customHeight="1" thickBot="1" x14ac:dyDescent="0.3">
      <c r="A4" s="14" t="s">
        <v>82</v>
      </c>
      <c r="B4" s="22"/>
      <c r="C4" s="22"/>
      <c r="D4" s="22"/>
      <c r="E4" s="22"/>
      <c r="F4" s="15">
        <f>SUM(B4:E4)</f>
        <v>0</v>
      </c>
      <c r="I4" s="385"/>
      <c r="J4" s="385"/>
      <c r="K4" s="385"/>
      <c r="L4" s="390">
        <f>SUM(B4:E4)-F4</f>
        <v>0</v>
      </c>
    </row>
    <row r="5" spans="1:12" ht="27" customHeight="1" thickBot="1" x14ac:dyDescent="0.3">
      <c r="A5" s="14" t="s">
        <v>83</v>
      </c>
      <c r="B5" s="22"/>
      <c r="C5" s="22"/>
      <c r="D5" s="22"/>
      <c r="E5" s="22"/>
      <c r="F5" s="15">
        <f>SUM(B5:E5)</f>
        <v>0</v>
      </c>
      <c r="I5" s="385"/>
      <c r="J5" s="385"/>
      <c r="K5" s="385"/>
      <c r="L5" s="390">
        <f t="shared" ref="L5:L6" si="0">SUM(B5:E5)-F5</f>
        <v>0</v>
      </c>
    </row>
    <row r="6" spans="1:12" ht="27" customHeight="1" thickBot="1" x14ac:dyDescent="0.3">
      <c r="A6" s="14" t="s">
        <v>77</v>
      </c>
      <c r="B6" s="22"/>
      <c r="C6" s="22"/>
      <c r="D6" s="22"/>
      <c r="E6" s="22"/>
      <c r="F6" s="15">
        <f>SUM(B6:E6)</f>
        <v>0</v>
      </c>
      <c r="I6" s="385"/>
      <c r="J6" s="385"/>
      <c r="K6" s="385"/>
      <c r="L6" s="390">
        <f t="shared" si="0"/>
        <v>0</v>
      </c>
    </row>
    <row r="7" spans="1:12" ht="27" customHeight="1" thickBot="1" x14ac:dyDescent="0.3">
      <c r="A7" s="25" t="s">
        <v>84</v>
      </c>
      <c r="B7" s="58">
        <f>SUM(B3:B6)</f>
        <v>0</v>
      </c>
      <c r="C7" s="58">
        <f>SUM(C3:C6)</f>
        <v>0</v>
      </c>
      <c r="D7" s="58">
        <f>SUM(D3:D6)</f>
        <v>0</v>
      </c>
      <c r="E7" s="58">
        <f>SUM(E3:E6)</f>
        <v>0</v>
      </c>
      <c r="F7" s="60">
        <f>SUM(F3:F6)</f>
        <v>0</v>
      </c>
      <c r="H7" s="387">
        <f>SUM(B3:B6)-B7</f>
        <v>0</v>
      </c>
      <c r="I7" s="386">
        <f>SUM(C3:C6)-C7</f>
        <v>0</v>
      </c>
      <c r="J7" s="386">
        <f>SUM(D3:D6)-D7</f>
        <v>0</v>
      </c>
      <c r="K7" s="386">
        <f>SUM(E3:E6)-E7</f>
        <v>0</v>
      </c>
      <c r="L7" s="390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7"/>
  <sheetViews>
    <sheetView showGridLines="0" workbookViewId="0">
      <selection activeCell="A19" sqref="A19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405</v>
      </c>
    </row>
    <row r="2" spans="1:2" x14ac:dyDescent="0.25">
      <c r="A2" t="s">
        <v>406</v>
      </c>
    </row>
    <row r="3" spans="1:2" x14ac:dyDescent="0.25">
      <c r="A3" t="s">
        <v>407</v>
      </c>
    </row>
    <row r="4" spans="1:2" x14ac:dyDescent="0.25">
      <c r="A4" t="s">
        <v>408</v>
      </c>
    </row>
    <row r="5" spans="1:2" x14ac:dyDescent="0.25">
      <c r="A5" t="s">
        <v>409</v>
      </c>
    </row>
    <row r="6" spans="1:2" x14ac:dyDescent="0.25">
      <c r="A6" t="s">
        <v>410</v>
      </c>
    </row>
    <row r="7" spans="1:2" x14ac:dyDescent="0.25">
      <c r="A7" t="s">
        <v>411</v>
      </c>
    </row>
    <row r="8" spans="1:2" x14ac:dyDescent="0.25">
      <c r="A8" t="s">
        <v>412</v>
      </c>
    </row>
    <row r="9" spans="1:2" x14ac:dyDescent="0.25">
      <c r="A9" t="s">
        <v>413</v>
      </c>
    </row>
    <row r="10" spans="1:2" x14ac:dyDescent="0.25">
      <c r="A10" t="s">
        <v>414</v>
      </c>
    </row>
    <row r="11" spans="1:2" x14ac:dyDescent="0.25">
      <c r="A11" s="9" t="s">
        <v>388</v>
      </c>
      <c r="B11" s="9" t="s">
        <v>415</v>
      </c>
    </row>
    <row r="12" spans="1:2" x14ac:dyDescent="0.25">
      <c r="A12" s="7">
        <v>1</v>
      </c>
      <c r="B12" s="8" t="s">
        <v>416</v>
      </c>
    </row>
    <row r="13" spans="1:2" x14ac:dyDescent="0.25">
      <c r="A13" s="7">
        <v>2</v>
      </c>
      <c r="B13" s="8" t="s">
        <v>417</v>
      </c>
    </row>
    <row r="14" spans="1:2" x14ac:dyDescent="0.25">
      <c r="A14" s="7">
        <v>3</v>
      </c>
      <c r="B14" s="8" t="s">
        <v>418</v>
      </c>
    </row>
    <row r="15" spans="1:2" x14ac:dyDescent="0.25">
      <c r="A15" s="7">
        <v>4</v>
      </c>
      <c r="B15" s="8" t="s">
        <v>419</v>
      </c>
    </row>
    <row r="16" spans="1:2" x14ac:dyDescent="0.25">
      <c r="A16" s="7">
        <v>5</v>
      </c>
      <c r="B16" s="8" t="s">
        <v>420</v>
      </c>
    </row>
    <row r="17" spans="1:2" x14ac:dyDescent="0.25">
      <c r="A17" s="7">
        <v>6</v>
      </c>
      <c r="B17" s="8" t="s">
        <v>421</v>
      </c>
    </row>
    <row r="18" spans="1:2" x14ac:dyDescent="0.25">
      <c r="A18" s="7">
        <v>7</v>
      </c>
      <c r="B18" s="8" t="s">
        <v>422</v>
      </c>
    </row>
    <row r="19" spans="1:2" x14ac:dyDescent="0.25">
      <c r="A19" s="7">
        <v>8</v>
      </c>
      <c r="B19" s="8" t="s">
        <v>423</v>
      </c>
    </row>
    <row r="20" spans="1:2" x14ac:dyDescent="0.25">
      <c r="A20" s="7">
        <v>9</v>
      </c>
      <c r="B20" s="8" t="s">
        <v>424</v>
      </c>
    </row>
    <row r="21" spans="1:2" x14ac:dyDescent="0.25">
      <c r="A21" s="7">
        <v>10</v>
      </c>
      <c r="B21" s="8" t="s">
        <v>425</v>
      </c>
    </row>
    <row r="22" spans="1:2" x14ac:dyDescent="0.25">
      <c r="A22" s="7">
        <v>11</v>
      </c>
      <c r="B22" s="8" t="s">
        <v>426</v>
      </c>
    </row>
    <row r="24" spans="1:2" x14ac:dyDescent="0.25">
      <c r="A24" t="s">
        <v>427</v>
      </c>
    </row>
    <row r="25" spans="1:2" x14ac:dyDescent="0.25">
      <c r="A25" t="s">
        <v>428</v>
      </c>
    </row>
    <row r="26" spans="1:2" x14ac:dyDescent="0.25">
      <c r="A26" t="s">
        <v>429</v>
      </c>
    </row>
    <row r="27" spans="1:2" x14ac:dyDescent="0.25">
      <c r="A27" t="s">
        <v>430</v>
      </c>
    </row>
    <row r="28" spans="1:2" x14ac:dyDescent="0.25">
      <c r="A28" t="s">
        <v>431</v>
      </c>
    </row>
    <row r="29" spans="1:2" x14ac:dyDescent="0.25">
      <c r="A29" t="s">
        <v>432</v>
      </c>
    </row>
    <row r="30" spans="1:2" x14ac:dyDescent="0.25">
      <c r="A30" t="s">
        <v>433</v>
      </c>
    </row>
    <row r="31" spans="1:2" x14ac:dyDescent="0.25">
      <c r="A31" t="s">
        <v>434</v>
      </c>
    </row>
    <row r="32" spans="1:2" x14ac:dyDescent="0.25">
      <c r="A32" t="s">
        <v>435</v>
      </c>
    </row>
    <row r="33" spans="1:1" x14ac:dyDescent="0.25">
      <c r="A33" t="s">
        <v>436</v>
      </c>
    </row>
    <row r="34" spans="1:1" x14ac:dyDescent="0.25">
      <c r="A34" t="s">
        <v>437</v>
      </c>
    </row>
    <row r="35" spans="1:1" x14ac:dyDescent="0.25">
      <c r="A35" t="s">
        <v>438</v>
      </c>
    </row>
    <row r="36" spans="1:1" x14ac:dyDescent="0.25">
      <c r="A36" t="s">
        <v>439</v>
      </c>
    </row>
    <row r="37" spans="1:1" x14ac:dyDescent="0.25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389" customWidth="1"/>
    <col min="8" max="8" width="13.42578125" style="385" customWidth="1" outlineLevel="1"/>
    <col min="9" max="10" width="13.42578125" customWidth="1" outlineLevel="1"/>
    <col min="11" max="11" width="21.140625" customWidth="1" outlineLevel="1"/>
    <col min="12" max="12" width="24.7109375" style="389" customWidth="1"/>
    <col min="14" max="14" width="22" style="391" customWidth="1"/>
    <col min="22" max="22" width="9.140625" style="385"/>
  </cols>
  <sheetData>
    <row r="1" spans="1:22" ht="16.5" x14ac:dyDescent="0.3">
      <c r="A1" s="1" t="s">
        <v>85</v>
      </c>
      <c r="H1" s="1509" t="s">
        <v>1138</v>
      </c>
      <c r="I1" s="1510"/>
      <c r="J1" s="1510"/>
      <c r="K1" s="1510"/>
      <c r="L1" s="1511"/>
      <c r="N1" s="399" t="s">
        <v>1140</v>
      </c>
      <c r="O1" s="394"/>
      <c r="P1" s="394"/>
      <c r="Q1" s="394"/>
      <c r="R1" s="394"/>
      <c r="S1" s="394"/>
      <c r="T1" s="394"/>
      <c r="U1" s="394"/>
      <c r="V1" s="394"/>
    </row>
    <row r="2" spans="1:22" ht="17.25" thickBot="1" x14ac:dyDescent="0.35">
      <c r="A2" s="2" t="s">
        <v>8</v>
      </c>
    </row>
    <row r="3" spans="1:22" ht="16.5" thickTop="1" thickBot="1" x14ac:dyDescent="0.3">
      <c r="A3" s="1328" t="s">
        <v>86</v>
      </c>
      <c r="B3" s="1197" t="s">
        <v>2</v>
      </c>
      <c r="C3" s="1198"/>
      <c r="D3" s="1198"/>
      <c r="E3" s="1198"/>
      <c r="F3" s="1199"/>
    </row>
    <row r="4" spans="1:22" ht="60" customHeight="1" thickTop="1" thickBot="1" x14ac:dyDescent="0.3">
      <c r="A4" s="1330"/>
      <c r="B4" s="637" t="s">
        <v>87</v>
      </c>
      <c r="C4" s="21" t="s">
        <v>455</v>
      </c>
      <c r="D4" s="637" t="s">
        <v>1477</v>
      </c>
      <c r="E4" s="21" t="s">
        <v>457</v>
      </c>
      <c r="F4" s="637" t="s">
        <v>89</v>
      </c>
      <c r="G4" s="385"/>
      <c r="H4" s="59" t="s">
        <v>87</v>
      </c>
      <c r="I4" s="436" t="s">
        <v>456</v>
      </c>
      <c r="J4" s="59" t="s">
        <v>459</v>
      </c>
      <c r="K4" s="436" t="s">
        <v>457</v>
      </c>
      <c r="L4" s="59" t="s">
        <v>89</v>
      </c>
      <c r="N4" s="59" t="s">
        <v>89</v>
      </c>
    </row>
    <row r="5" spans="1:22" ht="23.25" customHeight="1" thickTop="1" thickBot="1" x14ac:dyDescent="0.3">
      <c r="A5" s="14" t="s">
        <v>90</v>
      </c>
      <c r="B5" s="22"/>
      <c r="C5" s="22"/>
      <c r="D5" s="22"/>
      <c r="E5" s="22"/>
      <c r="F5" s="15">
        <f>SUM(B5:E5)</f>
        <v>0</v>
      </c>
      <c r="I5" s="385"/>
      <c r="J5" s="385"/>
      <c r="K5" s="385"/>
      <c r="L5" s="390">
        <f>SUM(B5:E5)-F5</f>
        <v>0</v>
      </c>
      <c r="N5" s="398">
        <f>F5-BS!E41</f>
        <v>0</v>
      </c>
    </row>
    <row r="6" spans="1:22" ht="23.25" customHeight="1" thickBot="1" x14ac:dyDescent="0.3">
      <c r="A6" s="14" t="s">
        <v>98</v>
      </c>
      <c r="B6" s="22"/>
      <c r="C6" s="22"/>
      <c r="D6" s="22"/>
      <c r="E6" s="22"/>
      <c r="F6" s="15">
        <f t="shared" ref="F6:F11" si="0">SUM(B6:E6)</f>
        <v>0</v>
      </c>
      <c r="I6" s="385"/>
      <c r="J6" s="385"/>
      <c r="K6" s="385"/>
      <c r="L6" s="390">
        <f t="shared" ref="L6:L11" si="1">SUM(B6:E6)-F6</f>
        <v>0</v>
      </c>
      <c r="N6" s="398">
        <f>F6-BS!E42</f>
        <v>0</v>
      </c>
    </row>
    <row r="7" spans="1:22" ht="23.25" customHeight="1" thickBot="1" x14ac:dyDescent="0.3">
      <c r="A7" s="14" t="s">
        <v>91</v>
      </c>
      <c r="B7" s="22"/>
      <c r="C7" s="22"/>
      <c r="D7" s="22"/>
      <c r="E7" s="22"/>
      <c r="F7" s="15">
        <f t="shared" si="0"/>
        <v>0</v>
      </c>
      <c r="I7" s="385"/>
      <c r="J7" s="385"/>
      <c r="K7" s="385"/>
      <c r="L7" s="390">
        <f t="shared" si="1"/>
        <v>0</v>
      </c>
      <c r="N7" s="398">
        <f>F7-BS!E43</f>
        <v>0</v>
      </c>
    </row>
    <row r="8" spans="1:22" ht="23.25" customHeight="1" thickBot="1" x14ac:dyDescent="0.3">
      <c r="A8" s="14" t="s">
        <v>92</v>
      </c>
      <c r="B8" s="22"/>
      <c r="C8" s="22"/>
      <c r="D8" s="22"/>
      <c r="E8" s="22"/>
      <c r="F8" s="15">
        <f t="shared" si="0"/>
        <v>0</v>
      </c>
      <c r="I8" s="385"/>
      <c r="J8" s="385"/>
      <c r="K8" s="385"/>
      <c r="L8" s="390">
        <f t="shared" si="1"/>
        <v>0</v>
      </c>
      <c r="N8" s="398">
        <f>F8-BS!E44</f>
        <v>0</v>
      </c>
    </row>
    <row r="9" spans="1:22" ht="23.25" customHeight="1" thickBot="1" x14ac:dyDescent="0.3">
      <c r="A9" s="14" t="s">
        <v>93</v>
      </c>
      <c r="B9" s="22"/>
      <c r="C9" s="22"/>
      <c r="D9" s="22"/>
      <c r="E9" s="22"/>
      <c r="F9" s="15">
        <f t="shared" si="0"/>
        <v>0</v>
      </c>
      <c r="L9" s="390">
        <f t="shared" si="1"/>
        <v>0</v>
      </c>
      <c r="N9" s="398">
        <f>F9-BS!E45</f>
        <v>0</v>
      </c>
    </row>
    <row r="10" spans="1:22" ht="23.25" customHeight="1" thickBot="1" x14ac:dyDescent="0.3">
      <c r="A10" s="14" t="s">
        <v>94</v>
      </c>
      <c r="B10" s="22"/>
      <c r="C10" s="22"/>
      <c r="D10" s="22"/>
      <c r="E10" s="22"/>
      <c r="F10" s="15">
        <f t="shared" si="0"/>
        <v>0</v>
      </c>
      <c r="L10" s="390">
        <f t="shared" si="1"/>
        <v>0</v>
      </c>
      <c r="N10" s="437"/>
    </row>
    <row r="11" spans="1:22" ht="23.25" customHeight="1" thickBot="1" x14ac:dyDescent="0.3">
      <c r="A11" s="14" t="s">
        <v>458</v>
      </c>
      <c r="B11" s="22"/>
      <c r="C11" s="22"/>
      <c r="D11" s="22"/>
      <c r="E11" s="22"/>
      <c r="F11" s="15">
        <f t="shared" si="0"/>
        <v>0</v>
      </c>
      <c r="L11" s="390">
        <f t="shared" si="1"/>
        <v>0</v>
      </c>
      <c r="N11" s="398">
        <f>F11-BS!E46</f>
        <v>0</v>
      </c>
    </row>
    <row r="12" spans="1:22" ht="23.25" customHeight="1" thickBot="1" x14ac:dyDescent="0.3">
      <c r="A12" s="25" t="s">
        <v>95</v>
      </c>
      <c r="B12" s="58">
        <f>SUM(B5:B11)</f>
        <v>0</v>
      </c>
      <c r="C12" s="58">
        <f t="shared" ref="C12:E12" si="2">SUM(C5:C11)</f>
        <v>0</v>
      </c>
      <c r="D12" s="58">
        <f>SUM(D5:D11)</f>
        <v>0</v>
      </c>
      <c r="E12" s="58">
        <f t="shared" si="2"/>
        <v>0</v>
      </c>
      <c r="F12" s="60">
        <f>SUM(F5:F11)</f>
        <v>0</v>
      </c>
      <c r="H12" s="386">
        <f>SUM(B5:B11)-B12</f>
        <v>0</v>
      </c>
      <c r="I12" s="386">
        <f t="shared" ref="I12:L12" si="3">SUM(C5:C11)-C12</f>
        <v>0</v>
      </c>
      <c r="J12" s="386">
        <f t="shared" si="3"/>
        <v>0</v>
      </c>
      <c r="K12" s="386">
        <f t="shared" si="3"/>
        <v>0</v>
      </c>
      <c r="L12" s="390">
        <f t="shared" si="3"/>
        <v>0</v>
      </c>
      <c r="N12" s="398">
        <f>F12-BS!E40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10" t="s">
        <v>94</v>
      </c>
      <c r="B4" s="11" t="s">
        <v>63</v>
      </c>
    </row>
    <row r="5" spans="1:2" ht="24" thickTop="1" thickBot="1" x14ac:dyDescent="0.3">
      <c r="A5" s="12" t="s">
        <v>96</v>
      </c>
      <c r="B5" s="13"/>
    </row>
    <row r="6" spans="1:2" ht="24.75" customHeight="1" thickBot="1" x14ac:dyDescent="0.3">
      <c r="A6" s="16" t="s">
        <v>97</v>
      </c>
      <c r="B6" s="17"/>
    </row>
    <row r="7" spans="1:2" ht="15.75" thickTop="1" x14ac:dyDescent="0.25">
      <c r="A7" s="63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636" t="s">
        <v>86</v>
      </c>
      <c r="B2" s="639" t="s">
        <v>36</v>
      </c>
    </row>
    <row r="3" spans="1:2" ht="24" customHeight="1" thickTop="1" thickBot="1" x14ac:dyDescent="0.3">
      <c r="A3" s="12" t="s">
        <v>100</v>
      </c>
      <c r="B3" s="13"/>
    </row>
    <row r="4" spans="1:2" ht="24" customHeight="1" thickBot="1" x14ac:dyDescent="0.3">
      <c r="A4" s="16" t="s">
        <v>101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384" customWidth="1"/>
    <col min="9" max="9" width="15.28515625" style="385" customWidth="1"/>
    <col min="10" max="10" width="20.85546875" style="389" customWidth="1"/>
  </cols>
  <sheetData>
    <row r="1" spans="1:13" ht="16.5" x14ac:dyDescent="0.3">
      <c r="A1" s="1" t="s">
        <v>102</v>
      </c>
      <c r="H1" s="1509" t="s">
        <v>1138</v>
      </c>
      <c r="I1" s="1510"/>
      <c r="J1" s="1511"/>
      <c r="K1" s="394"/>
      <c r="L1" s="394"/>
      <c r="M1" s="385"/>
    </row>
    <row r="2" spans="1:13" ht="17.25" thickBot="1" x14ac:dyDescent="0.35">
      <c r="A2" s="2" t="s">
        <v>8</v>
      </c>
    </row>
    <row r="3" spans="1:13" ht="45" customHeight="1" thickTop="1" thickBot="1" x14ac:dyDescent="0.3">
      <c r="A3" s="59" t="s">
        <v>1</v>
      </c>
      <c r="B3" s="70" t="s">
        <v>489</v>
      </c>
      <c r="C3" s="70" t="s">
        <v>104</v>
      </c>
      <c r="D3" s="70" t="s">
        <v>491</v>
      </c>
      <c r="H3" s="59" t="s">
        <v>489</v>
      </c>
      <c r="I3" s="436" t="s">
        <v>104</v>
      </c>
      <c r="J3" s="436" t="s">
        <v>491</v>
      </c>
    </row>
    <row r="4" spans="1:13" ht="20.25" customHeight="1" thickTop="1" thickBot="1" x14ac:dyDescent="0.3">
      <c r="A4" s="14" t="s">
        <v>106</v>
      </c>
      <c r="B4" s="15"/>
      <c r="C4" s="15"/>
      <c r="D4" s="15"/>
    </row>
    <row r="5" spans="1:13" ht="20.25" customHeight="1" thickBot="1" x14ac:dyDescent="0.3">
      <c r="A5" s="14" t="s">
        <v>107</v>
      </c>
      <c r="B5" s="15"/>
      <c r="C5" s="15"/>
      <c r="D5" s="15"/>
    </row>
    <row r="6" spans="1:13" ht="20.25" customHeight="1" thickBot="1" x14ac:dyDescent="0.3">
      <c r="A6" s="16" t="s">
        <v>108</v>
      </c>
      <c r="B6" s="17">
        <f>B4+B5</f>
        <v>0</v>
      </c>
      <c r="C6" s="17">
        <f t="shared" ref="C6:D6" si="0">C4+C5</f>
        <v>0</v>
      </c>
      <c r="D6" s="17">
        <f t="shared" si="0"/>
        <v>0</v>
      </c>
      <c r="H6" s="387">
        <f>SUM(B4:B5)-B6</f>
        <v>0</v>
      </c>
      <c r="I6" s="386">
        <f t="shared" ref="I6" si="1">SUM(C4:C5)-C6</f>
        <v>0</v>
      </c>
      <c r="J6" s="390">
        <f>SUM(D4:D5)-D6</f>
        <v>0</v>
      </c>
    </row>
    <row r="7" spans="1:13" ht="15.75" thickTop="1" x14ac:dyDescent="0.25">
      <c r="A7" s="48"/>
      <c r="B7" s="20"/>
      <c r="C7" s="20"/>
      <c r="D7" s="20"/>
    </row>
    <row r="8" spans="1:13" x14ac:dyDescent="0.25">
      <c r="A8" s="48"/>
      <c r="B8" s="20"/>
      <c r="C8" s="20"/>
      <c r="D8" s="20"/>
    </row>
    <row r="9" spans="1:13" ht="15.75" thickBot="1" x14ac:dyDescent="0.3">
      <c r="A9" s="48" t="s">
        <v>114</v>
      </c>
      <c r="B9" s="20"/>
      <c r="C9" s="20"/>
      <c r="D9" s="20"/>
    </row>
    <row r="10" spans="1:13" ht="45" customHeight="1" thickTop="1" thickBot="1" x14ac:dyDescent="0.3">
      <c r="A10" s="59" t="s">
        <v>1</v>
      </c>
      <c r="B10" s="70" t="s">
        <v>489</v>
      </c>
      <c r="C10" s="70" t="s">
        <v>104</v>
      </c>
      <c r="D10" s="638" t="s">
        <v>490</v>
      </c>
    </row>
    <row r="11" spans="1:13" ht="20.25" customHeight="1" thickTop="1" thickBot="1" x14ac:dyDescent="0.3">
      <c r="A11" s="14" t="s">
        <v>115</v>
      </c>
      <c r="B11" s="15"/>
      <c r="C11" s="15"/>
      <c r="D11" s="15"/>
    </row>
    <row r="12" spans="1:13" ht="20.25" customHeight="1" thickBot="1" x14ac:dyDescent="0.3">
      <c r="A12" s="14" t="s">
        <v>116</v>
      </c>
      <c r="B12" s="15"/>
      <c r="C12" s="15"/>
      <c r="D12" s="15"/>
    </row>
    <row r="13" spans="1:13" ht="20.25" customHeight="1" thickBot="1" x14ac:dyDescent="0.3">
      <c r="A13" s="16" t="s">
        <v>108</v>
      </c>
      <c r="B13" s="17">
        <f>B11+B12</f>
        <v>0</v>
      </c>
      <c r="C13" s="17">
        <f t="shared" ref="C13:D13" si="2">C11+C12</f>
        <v>0</v>
      </c>
      <c r="D13" s="17">
        <f t="shared" si="2"/>
        <v>0</v>
      </c>
      <c r="H13" s="387">
        <f>SUM(B11:B12)-B13</f>
        <v>0</v>
      </c>
      <c r="I13" s="386">
        <f>SUM(C11:C12)-C13</f>
        <v>0</v>
      </c>
      <c r="J13" s="390">
        <f t="shared" ref="J13" si="3"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20" t="s">
        <v>15</v>
      </c>
      <c r="B3" s="20"/>
      <c r="C3" s="20"/>
    </row>
    <row r="4" spans="1:3" ht="45" customHeight="1" thickTop="1" thickBot="1" x14ac:dyDescent="0.3">
      <c r="A4" s="59" t="s">
        <v>109</v>
      </c>
      <c r="B4" s="70" t="s">
        <v>103</v>
      </c>
      <c r="C4" s="70" t="s">
        <v>105</v>
      </c>
    </row>
    <row r="5" spans="1:3" ht="20.25" customHeight="1" thickTop="1" thickBot="1" x14ac:dyDescent="0.3">
      <c r="A5" s="14" t="s">
        <v>110</v>
      </c>
      <c r="B5" s="15"/>
      <c r="C5" s="15"/>
    </row>
    <row r="6" spans="1:3" ht="20.25" customHeight="1" thickBot="1" x14ac:dyDescent="0.3">
      <c r="A6" s="14" t="s">
        <v>111</v>
      </c>
      <c r="B6" s="15"/>
      <c r="C6" s="15"/>
    </row>
    <row r="7" spans="1:3" ht="20.25" customHeight="1" thickBot="1" x14ac:dyDescent="0.3">
      <c r="A7" s="14" t="s">
        <v>112</v>
      </c>
      <c r="B7" s="15"/>
      <c r="C7" s="15"/>
    </row>
    <row r="8" spans="1:3" ht="20.25" customHeight="1" thickBot="1" x14ac:dyDescent="0.3">
      <c r="A8" s="16" t="s">
        <v>113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49"/>
      <c r="B10" s="20"/>
      <c r="C10" s="20"/>
    </row>
    <row r="11" spans="1:3" ht="15.75" thickBot="1" x14ac:dyDescent="0.3">
      <c r="A11" s="49" t="s">
        <v>117</v>
      </c>
      <c r="B11" s="20"/>
      <c r="C11" s="20"/>
    </row>
    <row r="12" spans="1:3" ht="45" customHeight="1" thickTop="1" thickBot="1" x14ac:dyDescent="0.3">
      <c r="A12" s="59" t="s">
        <v>118</v>
      </c>
      <c r="B12" s="70" t="s">
        <v>103</v>
      </c>
      <c r="C12" s="638" t="s">
        <v>490</v>
      </c>
    </row>
    <row r="13" spans="1:3" ht="20.25" customHeight="1" thickTop="1" thickBot="1" x14ac:dyDescent="0.3">
      <c r="A13" s="14" t="s">
        <v>119</v>
      </c>
      <c r="B13" s="15"/>
      <c r="C13" s="15"/>
    </row>
    <row r="14" spans="1:3" ht="20.25" customHeight="1" thickBot="1" x14ac:dyDescent="0.3">
      <c r="A14" s="14" t="s">
        <v>111</v>
      </c>
      <c r="B14" s="15"/>
      <c r="C14" s="15"/>
    </row>
    <row r="15" spans="1:3" ht="20.25" customHeight="1" thickBot="1" x14ac:dyDescent="0.3">
      <c r="A15" s="14" t="s">
        <v>120</v>
      </c>
      <c r="B15" s="15"/>
      <c r="C15" s="15"/>
    </row>
    <row r="16" spans="1:3" ht="20.25" customHeight="1" thickBot="1" x14ac:dyDescent="0.3">
      <c r="A16" s="16" t="s">
        <v>113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384" hidden="1" customWidth="1" outlineLevel="1"/>
    <col min="9" max="11" width="18.85546875" hidden="1" customWidth="1" outlineLevel="1"/>
    <col min="12" max="12" width="24.7109375" style="389" customWidth="1" collapsed="1"/>
    <col min="14" max="14" width="22" style="391" customWidth="1"/>
  </cols>
  <sheetData>
    <row r="1" spans="1:15" ht="17.25" thickBot="1" x14ac:dyDescent="0.35">
      <c r="A1" s="1" t="s">
        <v>121</v>
      </c>
      <c r="H1" s="1509" t="s">
        <v>1138</v>
      </c>
      <c r="I1" s="1510"/>
      <c r="J1" s="1510"/>
      <c r="K1" s="1510"/>
      <c r="L1" s="1511"/>
      <c r="N1" s="399" t="s">
        <v>1140</v>
      </c>
    </row>
    <row r="2" spans="1:15" ht="16.5" thickTop="1" thickBot="1" x14ac:dyDescent="0.3">
      <c r="A2" s="1328" t="s">
        <v>122</v>
      </c>
      <c r="B2" s="1197" t="s">
        <v>2</v>
      </c>
      <c r="C2" s="1198"/>
      <c r="D2" s="1198"/>
      <c r="E2" s="1198"/>
      <c r="F2" s="1199"/>
    </row>
    <row r="3" spans="1:15" ht="62.25" customHeight="1" thickTop="1" thickBot="1" x14ac:dyDescent="0.3">
      <c r="A3" s="1330"/>
      <c r="B3" s="30" t="s">
        <v>123</v>
      </c>
      <c r="C3" s="21" t="s">
        <v>455</v>
      </c>
      <c r="D3" s="30" t="s">
        <v>459</v>
      </c>
      <c r="E3" s="21" t="s">
        <v>457</v>
      </c>
      <c r="F3" s="30" t="s">
        <v>89</v>
      </c>
      <c r="H3" s="59" t="s">
        <v>123</v>
      </c>
      <c r="I3" s="177" t="s">
        <v>455</v>
      </c>
      <c r="J3" s="59" t="s">
        <v>459</v>
      </c>
      <c r="K3" s="177" t="s">
        <v>457</v>
      </c>
      <c r="L3" s="59" t="s">
        <v>89</v>
      </c>
      <c r="N3" s="59" t="s">
        <v>89</v>
      </c>
    </row>
    <row r="4" spans="1:15" s="4" customFormat="1" ht="33" customHeight="1" thickTop="1" thickBot="1" x14ac:dyDescent="0.3">
      <c r="A4" s="14" t="s">
        <v>125</v>
      </c>
      <c r="B4" s="22"/>
      <c r="C4" s="22"/>
      <c r="D4" s="22"/>
      <c r="E4" s="22"/>
      <c r="F4" s="15">
        <f>SUM(B4:E4)</f>
        <v>0</v>
      </c>
      <c r="H4" s="384"/>
      <c r="I4" s="385"/>
      <c r="J4" s="385"/>
      <c r="K4" s="385"/>
      <c r="L4" s="390">
        <f>SUM(B4:E4)-F4</f>
        <v>0</v>
      </c>
      <c r="N4" s="398">
        <f>F4-BS!$E$56-BS!$E$48</f>
        <v>-18068</v>
      </c>
      <c r="O4" s="39"/>
    </row>
    <row r="5" spans="1:15" s="4" customFormat="1" ht="33" customHeight="1" thickBot="1" x14ac:dyDescent="0.3">
      <c r="A5" s="14" t="s">
        <v>126</v>
      </c>
      <c r="B5" s="22"/>
      <c r="C5" s="22"/>
      <c r="D5" s="22"/>
      <c r="E5" s="22"/>
      <c r="F5" s="15">
        <f t="shared" ref="F5:F8" si="0">SUM(B5:E5)</f>
        <v>0</v>
      </c>
      <c r="H5" s="384"/>
      <c r="I5" s="385"/>
      <c r="J5" s="385"/>
      <c r="K5" s="385"/>
      <c r="L5" s="390">
        <f>SUM(B5:E5)-F5</f>
        <v>0</v>
      </c>
      <c r="N5" s="398">
        <f>F5-BS!$E$58-BS!$E$50</f>
        <v>0</v>
      </c>
      <c r="O5" s="39"/>
    </row>
    <row r="6" spans="1:15" s="4" customFormat="1" ht="33" customHeight="1" thickBot="1" x14ac:dyDescent="0.3">
      <c r="A6" s="14" t="s">
        <v>136</v>
      </c>
      <c r="B6" s="22"/>
      <c r="C6" s="22"/>
      <c r="D6" s="22"/>
      <c r="E6" s="22"/>
      <c r="F6" s="15">
        <f t="shared" si="0"/>
        <v>0</v>
      </c>
      <c r="H6" s="384"/>
      <c r="I6" s="385"/>
      <c r="J6" s="385"/>
      <c r="K6" s="385"/>
      <c r="L6" s="390">
        <f t="shared" ref="L6:L8" si="1">SUM(B6:E6)-F6</f>
        <v>0</v>
      </c>
      <c r="N6" s="398">
        <f>F6-BS!$E$59-BS!$E$51</f>
        <v>0</v>
      </c>
      <c r="O6" s="39"/>
    </row>
    <row r="7" spans="1:15" s="4" customFormat="1" ht="33" customHeight="1" thickBot="1" x14ac:dyDescent="0.3">
      <c r="A7" s="14" t="s">
        <v>127</v>
      </c>
      <c r="B7" s="22"/>
      <c r="C7" s="22"/>
      <c r="D7" s="22"/>
      <c r="E7" s="22"/>
      <c r="F7" s="15">
        <f t="shared" si="0"/>
        <v>0</v>
      </c>
      <c r="H7" s="384"/>
      <c r="I7" s="385"/>
      <c r="J7" s="385"/>
      <c r="K7" s="385"/>
      <c r="L7" s="390">
        <f t="shared" si="1"/>
        <v>0</v>
      </c>
      <c r="N7" s="398">
        <f>F7-BS!$E$60-BS!$E$52</f>
        <v>0</v>
      </c>
      <c r="O7" s="39"/>
    </row>
    <row r="8" spans="1:15" s="4" customFormat="1" ht="33" customHeight="1" thickBot="1" x14ac:dyDescent="0.3">
      <c r="A8" s="14" t="s">
        <v>128</v>
      </c>
      <c r="B8" s="22"/>
      <c r="C8" s="22"/>
      <c r="D8" s="22"/>
      <c r="E8" s="22"/>
      <c r="F8" s="15">
        <f t="shared" si="0"/>
        <v>0</v>
      </c>
      <c r="H8" s="384"/>
      <c r="I8"/>
      <c r="J8"/>
      <c r="K8"/>
      <c r="L8" s="390">
        <f t="shared" si="1"/>
        <v>0</v>
      </c>
      <c r="N8" s="398">
        <f>F8-SUM(BS!$E$61:$E$63,BS!$E$53,BS!$E$54)</f>
        <v>0</v>
      </c>
      <c r="O8" s="39"/>
    </row>
    <row r="9" spans="1:15" s="4" customFormat="1" ht="33" customHeight="1" thickBot="1" x14ac:dyDescent="0.3">
      <c r="A9" s="25" t="s">
        <v>129</v>
      </c>
      <c r="B9" s="58">
        <f>SUM(B4:B8)</f>
        <v>0</v>
      </c>
      <c r="C9" s="58">
        <f>SUM(C4:C8)</f>
        <v>0</v>
      </c>
      <c r="D9" s="58">
        <f>SUM(D4:D8)</f>
        <v>0</v>
      </c>
      <c r="E9" s="58">
        <f>SUM(E4:E8)</f>
        <v>0</v>
      </c>
      <c r="F9" s="60">
        <f>SUM(F4:F8)</f>
        <v>0</v>
      </c>
      <c r="H9" s="384"/>
      <c r="I9"/>
      <c r="J9"/>
      <c r="K9"/>
      <c r="L9" s="390">
        <f>SUM(F4:F8)-F9</f>
        <v>0</v>
      </c>
      <c r="N9" s="398">
        <f>F9-BS!$E$47-BS!$E$55</f>
        <v>-18068</v>
      </c>
      <c r="O9" s="39"/>
    </row>
    <row r="10" spans="1:15" ht="15.75" thickTop="1" x14ac:dyDescent="0.25">
      <c r="L10" s="390"/>
      <c r="N10" s="398"/>
      <c r="O10" s="39"/>
    </row>
    <row r="11" spans="1:15" x14ac:dyDescent="0.25">
      <c r="H11" s="387"/>
      <c r="I11" s="386"/>
      <c r="J11" s="386"/>
      <c r="K11" s="386"/>
      <c r="L11" s="390"/>
      <c r="N11" s="398"/>
      <c r="O11" s="39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384" customWidth="1" outlineLevel="1"/>
    <col min="7" max="7" width="18.85546875" style="385" customWidth="1" outlineLevel="1"/>
    <col min="8" max="8" width="20.85546875" style="389" customWidth="1"/>
    <col min="10" max="10" width="22" style="391" customWidth="1"/>
  </cols>
  <sheetData>
    <row r="1" spans="1:10" ht="16.5" x14ac:dyDescent="0.3">
      <c r="A1" s="1" t="s">
        <v>130</v>
      </c>
      <c r="F1" s="1509" t="s">
        <v>1138</v>
      </c>
      <c r="G1" s="1510"/>
      <c r="H1" s="1511"/>
      <c r="J1" s="397" t="s">
        <v>1140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10" t="s">
        <v>131</v>
      </c>
      <c r="B3" s="11" t="s">
        <v>132</v>
      </c>
      <c r="C3" s="11" t="s">
        <v>133</v>
      </c>
      <c r="D3" s="11" t="s">
        <v>129</v>
      </c>
      <c r="F3" s="59" t="s">
        <v>132</v>
      </c>
      <c r="G3" s="435" t="s">
        <v>133</v>
      </c>
      <c r="H3" s="435" t="s">
        <v>129</v>
      </c>
      <c r="J3" s="59" t="s">
        <v>129</v>
      </c>
    </row>
    <row r="4" spans="1:10" ht="22.5" customHeight="1" thickTop="1" thickBot="1" x14ac:dyDescent="0.3">
      <c r="A4" s="64" t="s">
        <v>134</v>
      </c>
      <c r="B4" s="53"/>
      <c r="C4" s="53"/>
      <c r="D4" s="54"/>
      <c r="J4" s="398"/>
    </row>
    <row r="5" spans="1:10" ht="22.5" customHeight="1" thickTop="1" thickBot="1" x14ac:dyDescent="0.3">
      <c r="A5" s="14" t="s">
        <v>135</v>
      </c>
      <c r="B5" s="22"/>
      <c r="C5" s="22"/>
      <c r="D5" s="15">
        <f>B5+C5</f>
        <v>0</v>
      </c>
      <c r="H5" s="390">
        <f>SUM(B5:C5)-D5</f>
        <v>0</v>
      </c>
      <c r="J5" s="398">
        <f>D5-BS!$D$48</f>
        <v>0</v>
      </c>
    </row>
    <row r="6" spans="1:10" ht="22.5" customHeight="1" thickBot="1" x14ac:dyDescent="0.3">
      <c r="A6" s="14" t="s">
        <v>126</v>
      </c>
      <c r="B6" s="22"/>
      <c r="C6" s="22"/>
      <c r="D6" s="15">
        <f t="shared" ref="D6:D9" si="0">B6+C6</f>
        <v>0</v>
      </c>
      <c r="H6" s="390">
        <f t="shared" ref="H6:H9" si="1">SUM(B6:C6)-D6</f>
        <v>0</v>
      </c>
      <c r="J6" s="398">
        <f>D6-BS!$D$50</f>
        <v>0</v>
      </c>
    </row>
    <row r="7" spans="1:10" ht="22.5" customHeight="1" thickBot="1" x14ac:dyDescent="0.3">
      <c r="A7" s="14" t="s">
        <v>136</v>
      </c>
      <c r="B7" s="22"/>
      <c r="C7" s="22"/>
      <c r="D7" s="15">
        <f t="shared" si="0"/>
        <v>0</v>
      </c>
      <c r="H7" s="390">
        <f t="shared" si="1"/>
        <v>0</v>
      </c>
      <c r="J7" s="398">
        <f>D7-BS!$D$51</f>
        <v>0</v>
      </c>
    </row>
    <row r="8" spans="1:10" ht="22.5" customHeight="1" thickBot="1" x14ac:dyDescent="0.3">
      <c r="A8" s="14" t="s">
        <v>127</v>
      </c>
      <c r="B8" s="22"/>
      <c r="C8" s="22"/>
      <c r="D8" s="15">
        <f t="shared" si="0"/>
        <v>0</v>
      </c>
      <c r="H8" s="390">
        <f t="shared" si="1"/>
        <v>0</v>
      </c>
      <c r="J8" s="398">
        <f>D8-BS!$D$52</f>
        <v>0</v>
      </c>
    </row>
    <row r="9" spans="1:10" ht="22.5" customHeight="1" thickBot="1" x14ac:dyDescent="0.3">
      <c r="A9" s="14" t="s">
        <v>128</v>
      </c>
      <c r="B9" s="22"/>
      <c r="C9" s="22"/>
      <c r="D9" s="15">
        <f t="shared" si="0"/>
        <v>0</v>
      </c>
      <c r="H9" s="390">
        <f t="shared" si="1"/>
        <v>0</v>
      </c>
      <c r="J9" s="398">
        <f>D9-BS!$D$53-BS!$D$54</f>
        <v>-11485</v>
      </c>
    </row>
    <row r="10" spans="1:10" ht="22.5" customHeight="1" thickBot="1" x14ac:dyDescent="0.3">
      <c r="A10" s="25" t="s">
        <v>137</v>
      </c>
      <c r="B10" s="58">
        <f>SUM(B5:B9)</f>
        <v>0</v>
      </c>
      <c r="C10" s="58">
        <f>SUM(C5:C9)</f>
        <v>0</v>
      </c>
      <c r="D10" s="60">
        <f>SUM(D5:D9)</f>
        <v>0</v>
      </c>
      <c r="F10" s="387">
        <f>SUM(B5:B9)-B10</f>
        <v>0</v>
      </c>
      <c r="G10" s="386">
        <f>SUM(C5:C9)-C10</f>
        <v>0</v>
      </c>
      <c r="H10" s="390">
        <f>SUM(D5:D9)-D10</f>
        <v>0</v>
      </c>
      <c r="J10" s="398">
        <f>D10-BS!$D$47</f>
        <v>-114485</v>
      </c>
    </row>
    <row r="11" spans="1:10" ht="22.5" customHeight="1" thickTop="1" thickBot="1" x14ac:dyDescent="0.3">
      <c r="A11" s="64" t="s">
        <v>138</v>
      </c>
      <c r="B11" s="53"/>
      <c r="C11" s="53"/>
      <c r="D11" s="54"/>
      <c r="J11" s="398"/>
    </row>
    <row r="12" spans="1:10" ht="22.5" customHeight="1" thickTop="1" thickBot="1" x14ac:dyDescent="0.3">
      <c r="A12" s="14" t="s">
        <v>139</v>
      </c>
      <c r="B12" s="22"/>
      <c r="C12" s="22"/>
      <c r="D12" s="15">
        <f>B12+C12</f>
        <v>0</v>
      </c>
      <c r="H12" s="390">
        <f>SUM(B12:C12)-D12</f>
        <v>0</v>
      </c>
      <c r="J12" s="398">
        <f>D12-BS!$D$56</f>
        <v>-3787096</v>
      </c>
    </row>
    <row r="13" spans="1:10" ht="22.5" customHeight="1" thickBot="1" x14ac:dyDescent="0.3">
      <c r="A13" s="14" t="s">
        <v>126</v>
      </c>
      <c r="B13" s="22"/>
      <c r="C13" s="22"/>
      <c r="D13" s="15">
        <f t="shared" ref="D13:D18" si="2">B13+C13</f>
        <v>0</v>
      </c>
      <c r="H13" s="390">
        <f t="shared" ref="H13:H18" si="3">SUM(B13:C13)-D13</f>
        <v>0</v>
      </c>
      <c r="J13" s="398">
        <f>D13-BS!$D$58</f>
        <v>-100000</v>
      </c>
    </row>
    <row r="14" spans="1:10" ht="22.5" customHeight="1" thickBot="1" x14ac:dyDescent="0.3">
      <c r="A14" s="14" t="s">
        <v>136</v>
      </c>
      <c r="B14" s="22"/>
      <c r="C14" s="22"/>
      <c r="D14" s="15">
        <f t="shared" si="2"/>
        <v>0</v>
      </c>
      <c r="H14" s="390">
        <f t="shared" si="3"/>
        <v>0</v>
      </c>
      <c r="J14" s="398">
        <f>D14-BS!$D$59</f>
        <v>0</v>
      </c>
    </row>
    <row r="15" spans="1:10" ht="22.5" customHeight="1" thickBot="1" x14ac:dyDescent="0.3">
      <c r="A15" s="14" t="s">
        <v>127</v>
      </c>
      <c r="B15" s="22"/>
      <c r="C15" s="22"/>
      <c r="D15" s="15">
        <f t="shared" si="2"/>
        <v>0</v>
      </c>
      <c r="H15" s="390">
        <f t="shared" si="3"/>
        <v>0</v>
      </c>
      <c r="J15" s="398">
        <f>D15-BS!$D$60</f>
        <v>0</v>
      </c>
    </row>
    <row r="16" spans="1:10" ht="22.5" customHeight="1" thickBot="1" x14ac:dyDescent="0.3">
      <c r="A16" s="14" t="s">
        <v>140</v>
      </c>
      <c r="B16" s="22"/>
      <c r="C16" s="22"/>
      <c r="D16" s="15">
        <f t="shared" si="2"/>
        <v>0</v>
      </c>
      <c r="H16" s="390">
        <f t="shared" si="3"/>
        <v>0</v>
      </c>
      <c r="J16" s="398">
        <f>D16-BS!$D$61</f>
        <v>0</v>
      </c>
    </row>
    <row r="17" spans="1:10" ht="22.5" customHeight="1" thickBot="1" x14ac:dyDescent="0.3">
      <c r="A17" s="14" t="s">
        <v>141</v>
      </c>
      <c r="B17" s="22"/>
      <c r="C17" s="22"/>
      <c r="D17" s="15">
        <f t="shared" si="2"/>
        <v>0</v>
      </c>
      <c r="H17" s="390">
        <f t="shared" si="3"/>
        <v>0</v>
      </c>
      <c r="J17" s="398">
        <f>D17-BS!$D$62</f>
        <v>-139836</v>
      </c>
    </row>
    <row r="18" spans="1:10" ht="22.5" customHeight="1" thickBot="1" x14ac:dyDescent="0.3">
      <c r="A18" s="14" t="s">
        <v>128</v>
      </c>
      <c r="B18" s="22"/>
      <c r="C18" s="22"/>
      <c r="D18" s="15">
        <f t="shared" si="2"/>
        <v>0</v>
      </c>
      <c r="H18" s="390">
        <f t="shared" si="3"/>
        <v>0</v>
      </c>
      <c r="J18" s="398">
        <f>D18-BS!$D$63</f>
        <v>-258</v>
      </c>
    </row>
    <row r="19" spans="1:10" ht="22.5" customHeight="1" thickBot="1" x14ac:dyDescent="0.3">
      <c r="A19" s="25" t="s">
        <v>142</v>
      </c>
      <c r="B19" s="58">
        <f>SUM(B12:B18)</f>
        <v>0</v>
      </c>
      <c r="C19" s="58">
        <f>SUM(C12:C18)</f>
        <v>0</v>
      </c>
      <c r="D19" s="60">
        <f>SUM(D12:D18)</f>
        <v>0</v>
      </c>
      <c r="F19" s="387">
        <f>SUM(B12:B18)-B19</f>
        <v>0</v>
      </c>
      <c r="G19" s="386">
        <f>SUM(C12:C18)-C19</f>
        <v>0</v>
      </c>
      <c r="H19" s="390">
        <f>SUM(D12:D18)-D19</f>
        <v>0</v>
      </c>
      <c r="J19" s="398">
        <f>D19-BS!$D$55</f>
        <v>-4027190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384" customWidth="1"/>
    <col min="6" max="6" width="25.7109375" style="389" customWidth="1"/>
    <col min="7" max="7" width="3.85546875" customWidth="1"/>
    <col min="8" max="8" width="26" style="384" customWidth="1"/>
    <col min="9" max="9" width="26" style="389" customWidth="1"/>
  </cols>
  <sheetData>
    <row r="1" spans="1:9" ht="16.5" x14ac:dyDescent="0.3">
      <c r="A1" s="1" t="s">
        <v>130</v>
      </c>
      <c r="E1" s="1509" t="s">
        <v>1138</v>
      </c>
      <c r="F1" s="1511"/>
      <c r="G1" s="394"/>
      <c r="H1" s="1509" t="s">
        <v>1140</v>
      </c>
      <c r="I1" s="1511"/>
    </row>
    <row r="2" spans="1:9" ht="17.25" thickBot="1" x14ac:dyDescent="0.35">
      <c r="A2" s="5" t="s">
        <v>15</v>
      </c>
    </row>
    <row r="3" spans="1:9" ht="33" customHeight="1" thickTop="1" x14ac:dyDescent="0.25">
      <c r="A3" s="1328" t="s">
        <v>460</v>
      </c>
      <c r="B3" s="1328" t="s">
        <v>2</v>
      </c>
      <c r="C3" s="1328" t="s">
        <v>3</v>
      </c>
      <c r="E3" s="1328" t="s">
        <v>2</v>
      </c>
      <c r="F3" s="1328" t="s">
        <v>3</v>
      </c>
      <c r="H3" s="1328" t="s">
        <v>2</v>
      </c>
      <c r="I3" s="1328" t="s">
        <v>3</v>
      </c>
    </row>
    <row r="4" spans="1:9" ht="15.75" customHeight="1" thickBot="1" x14ac:dyDescent="0.3">
      <c r="A4" s="1330"/>
      <c r="B4" s="1330"/>
      <c r="C4" s="1330"/>
      <c r="E4" s="1330"/>
      <c r="F4" s="1330"/>
      <c r="H4" s="1330"/>
      <c r="I4" s="1330"/>
    </row>
    <row r="5" spans="1:9" ht="23.25" customHeight="1" thickTop="1" thickBot="1" x14ac:dyDescent="0.3">
      <c r="A5" s="14" t="s">
        <v>143</v>
      </c>
      <c r="B5" s="65"/>
      <c r="C5" s="66"/>
    </row>
    <row r="6" spans="1:9" ht="23.25" customHeight="1" thickBot="1" x14ac:dyDescent="0.3">
      <c r="A6" s="14" t="s">
        <v>461</v>
      </c>
      <c r="B6" s="65"/>
      <c r="C6" s="66"/>
    </row>
    <row r="7" spans="1:9" ht="23.25" customHeight="1" thickBot="1" x14ac:dyDescent="0.3">
      <c r="A7" s="44" t="s">
        <v>142</v>
      </c>
      <c r="B7" s="65">
        <f>B5+B6</f>
        <v>0</v>
      </c>
      <c r="C7" s="66">
        <f>C5+C6</f>
        <v>0</v>
      </c>
      <c r="E7" s="387">
        <f>SUM(B5:B6)-B7</f>
        <v>0</v>
      </c>
      <c r="F7" s="390">
        <f>SUM(C5:C6)-C7</f>
        <v>0</v>
      </c>
      <c r="H7" s="387">
        <f>B7-BS!$D$55</f>
        <v>-4027190</v>
      </c>
      <c r="I7" s="390">
        <f>C7-BS!$G$55</f>
        <v>-3332620</v>
      </c>
    </row>
    <row r="8" spans="1:9" ht="23.25" customHeight="1" thickBot="1" x14ac:dyDescent="0.3">
      <c r="A8" s="14" t="s">
        <v>144</v>
      </c>
      <c r="B8" s="65"/>
      <c r="C8" s="66"/>
    </row>
    <row r="9" spans="1:9" ht="23.25" customHeight="1" thickBot="1" x14ac:dyDescent="0.3">
      <c r="A9" s="14" t="s">
        <v>145</v>
      </c>
      <c r="B9" s="65"/>
      <c r="C9" s="66"/>
    </row>
    <row r="10" spans="1:9" ht="23.25" customHeight="1" thickBot="1" x14ac:dyDescent="0.3">
      <c r="A10" s="25" t="s">
        <v>137</v>
      </c>
      <c r="B10" s="67">
        <f>B8+B9</f>
        <v>0</v>
      </c>
      <c r="C10" s="68">
        <f>C8+C9</f>
        <v>0</v>
      </c>
      <c r="E10" s="387">
        <f>SUM(B8:B9)-B10</f>
        <v>0</v>
      </c>
      <c r="F10" s="390">
        <f>SUM(C8:C9)-C10</f>
        <v>0</v>
      </c>
      <c r="H10" s="387">
        <f>B10-BS!$D$47</f>
        <v>-114485</v>
      </c>
      <c r="I10" s="390">
        <f>C10-BS!$G$47</f>
        <v>-20223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1328" t="s">
        <v>147</v>
      </c>
      <c r="B2" s="1518" t="s">
        <v>2</v>
      </c>
      <c r="C2" s="1519"/>
    </row>
    <row r="3" spans="1:3" ht="16.5" thickTop="1" thickBot="1" x14ac:dyDescent="0.3">
      <c r="A3" s="1330"/>
      <c r="B3" s="11" t="s">
        <v>148</v>
      </c>
      <c r="C3" s="59" t="s">
        <v>149</v>
      </c>
    </row>
    <row r="4" spans="1:3" ht="23.25" customHeight="1" thickTop="1" thickBot="1" x14ac:dyDescent="0.3">
      <c r="A4" s="12" t="s">
        <v>150</v>
      </c>
      <c r="B4" s="45"/>
      <c r="C4" s="13"/>
    </row>
    <row r="5" spans="1:3" ht="23.25" customHeight="1" thickBot="1" x14ac:dyDescent="0.3">
      <c r="A5" s="14" t="s">
        <v>151</v>
      </c>
      <c r="B5" s="62" t="s">
        <v>18</v>
      </c>
      <c r="C5" s="15"/>
    </row>
    <row r="6" spans="1:3" ht="23.25" customHeight="1" thickBot="1" x14ac:dyDescent="0.3">
      <c r="A6" s="16" t="s">
        <v>152</v>
      </c>
      <c r="B6" s="34" t="s">
        <v>18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384" customWidth="1"/>
    <col min="6" max="6" width="36" style="389" customWidth="1"/>
    <col min="7" max="7" width="3.85546875" customWidth="1"/>
    <col min="8" max="8" width="18.5703125" style="384" customWidth="1"/>
    <col min="9" max="9" width="37" style="389" customWidth="1"/>
  </cols>
  <sheetData>
    <row r="1" spans="1:9" ht="16.5" x14ac:dyDescent="0.3">
      <c r="A1" s="1" t="s">
        <v>153</v>
      </c>
      <c r="E1" s="1509" t="s">
        <v>1138</v>
      </c>
      <c r="F1" s="1511"/>
      <c r="H1" s="1509" t="s">
        <v>1140</v>
      </c>
      <c r="I1" s="1511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10" t="s">
        <v>131</v>
      </c>
      <c r="B3" s="11" t="s">
        <v>2</v>
      </c>
      <c r="C3" s="11" t="s">
        <v>3</v>
      </c>
      <c r="E3" s="59" t="s">
        <v>2</v>
      </c>
      <c r="F3" s="59" t="s">
        <v>3</v>
      </c>
      <c r="H3" s="59" t="s">
        <v>2</v>
      </c>
      <c r="I3" s="59" t="s">
        <v>3</v>
      </c>
    </row>
    <row r="4" spans="1:9" ht="18.75" customHeight="1" thickTop="1" thickBot="1" x14ac:dyDescent="0.3">
      <c r="A4" s="12" t="s">
        <v>155</v>
      </c>
      <c r="B4" s="45"/>
      <c r="C4" s="13"/>
      <c r="H4" s="387">
        <f>B4+B7-BS!$D$65</f>
        <v>-2698</v>
      </c>
      <c r="I4" s="390">
        <f>C4+C7-BS!$G$65</f>
        <v>-820</v>
      </c>
    </row>
    <row r="5" spans="1:9" ht="18.75" customHeight="1" thickBot="1" x14ac:dyDescent="0.3">
      <c r="A5" s="14" t="s">
        <v>156</v>
      </c>
      <c r="B5" s="22"/>
      <c r="C5" s="15"/>
      <c r="H5" s="387">
        <f>B5-BS!$D$66</f>
        <v>-463350</v>
      </c>
      <c r="I5" s="390">
        <f>C5-BS!$G$66</f>
        <v>-686582</v>
      </c>
    </row>
    <row r="6" spans="1:9" ht="18.75" customHeight="1" thickBot="1" x14ac:dyDescent="0.3">
      <c r="A6" s="14" t="s">
        <v>157</v>
      </c>
      <c r="B6" s="22"/>
      <c r="C6" s="15"/>
      <c r="E6" s="387"/>
      <c r="F6" s="390"/>
      <c r="H6" s="387">
        <f>B6-BS!$D$67</f>
        <v>0</v>
      </c>
      <c r="I6" s="390">
        <f>C6-BS!$G$67</f>
        <v>0</v>
      </c>
    </row>
    <row r="7" spans="1:9" ht="18.75" customHeight="1" thickBot="1" x14ac:dyDescent="0.3">
      <c r="A7" s="14" t="s">
        <v>158</v>
      </c>
      <c r="B7" s="22"/>
      <c r="C7" s="15"/>
      <c r="H7" s="387">
        <f>H4</f>
        <v>-2698</v>
      </c>
      <c r="I7" s="390">
        <f>I4</f>
        <v>-820</v>
      </c>
    </row>
    <row r="8" spans="1:9" ht="18.75" customHeight="1" thickBot="1" x14ac:dyDescent="0.3">
      <c r="A8" s="25" t="s">
        <v>14</v>
      </c>
      <c r="B8" s="58">
        <f>SUM(B4:B7)</f>
        <v>0</v>
      </c>
      <c r="C8" s="60">
        <f>SUM(C4:C7)</f>
        <v>0</v>
      </c>
      <c r="E8" s="387">
        <f>SUM(B4:B7)-B8</f>
        <v>0</v>
      </c>
      <c r="F8" s="390">
        <f>SUM(C4:C7)-C8</f>
        <v>0</v>
      </c>
      <c r="H8" s="387">
        <f>B8-SUM(BS!$D$65:$D$67)</f>
        <v>-466048</v>
      </c>
      <c r="I8" s="390">
        <f>C8-SUM(BS!$G$65:$G$67)</f>
        <v>-687402</v>
      </c>
    </row>
    <row r="9" spans="1:9" ht="15.75" thickTop="1" x14ac:dyDescent="0.25">
      <c r="E9" s="387"/>
      <c r="F9" s="390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AK53"/>
  <sheetViews>
    <sheetView showGridLines="0" view="pageBreakPreview" zoomScaleSheetLayoutView="100" workbookViewId="0">
      <selection activeCell="H15" sqref="H15"/>
    </sheetView>
  </sheetViews>
  <sheetFormatPr defaultRowHeight="12.75" x14ac:dyDescent="0.25"/>
  <cols>
    <col min="1" max="45" width="2.5703125" style="913" customWidth="1"/>
    <col min="46" max="46" width="7.7109375" style="913" customWidth="1"/>
    <col min="47" max="61" width="2.5703125" style="913" customWidth="1"/>
    <col min="62" max="16384" width="9.140625" style="913"/>
  </cols>
  <sheetData>
    <row r="1" spans="1:37" s="549" customFormat="1" ht="9.75" x14ac:dyDescent="0.25">
      <c r="C1" s="550" t="s">
        <v>1918</v>
      </c>
    </row>
    <row r="2" spans="1:37" s="446" customFormat="1" ht="21" customHeight="1" x14ac:dyDescent="0.25">
      <c r="C2" s="548" t="s">
        <v>1919</v>
      </c>
      <c r="D2" s="547"/>
      <c r="E2" s="547"/>
      <c r="F2" s="547"/>
      <c r="G2" s="547"/>
      <c r="H2" s="547"/>
      <c r="I2" s="547"/>
      <c r="J2" s="547"/>
      <c r="K2" s="546"/>
      <c r="Q2" s="545" t="s">
        <v>1542</v>
      </c>
    </row>
    <row r="3" spans="1:37" ht="13.5" thickBot="1" x14ac:dyDescent="0.3">
      <c r="N3" s="917"/>
      <c r="O3" s="917" t="s">
        <v>1916</v>
      </c>
    </row>
    <row r="4" spans="1:37" ht="28.5" customHeight="1" thickBot="1" x14ac:dyDescent="0.3">
      <c r="K4" s="915" t="s">
        <v>1917</v>
      </c>
      <c r="L4" s="543"/>
      <c r="M4" s="543"/>
      <c r="N4" s="543"/>
      <c r="O4" s="543" t="str">
        <f>+MID('Input data'!$B$11,1,1)</f>
        <v>3</v>
      </c>
      <c r="P4" s="543" t="str">
        <f>+MID('Input data'!$B$11,2,1)</f>
        <v>1</v>
      </c>
      <c r="Q4" s="543" t="s">
        <v>1147</v>
      </c>
      <c r="R4" s="543" t="str">
        <f>LEFT('Input data'!B13,1)</f>
        <v>1</v>
      </c>
      <c r="S4" s="543" t="str">
        <f>RIGHT('Input data'!B13,1)</f>
        <v>2</v>
      </c>
      <c r="T4" s="543" t="s">
        <v>1147</v>
      </c>
      <c r="U4" s="543" t="str">
        <f>+LEFT('Input data'!$B$14,1)</f>
        <v>2</v>
      </c>
      <c r="V4" s="543" t="str">
        <f>+MID('Input data'!$B$14,2,1)</f>
        <v>0</v>
      </c>
      <c r="W4" s="543" t="str">
        <f>+MID('Input data'!$B$14,3,1)</f>
        <v>1</v>
      </c>
      <c r="X4" s="543" t="str">
        <f>+MID('Input data'!$B$14,4,1)</f>
        <v>3</v>
      </c>
      <c r="Y4" s="916"/>
      <c r="Z4" s="540"/>
    </row>
    <row r="5" spans="1:37" ht="7.5" customHeight="1" thickBot="1" x14ac:dyDescent="0.3"/>
    <row r="6" spans="1:37" s="536" customFormat="1" ht="14.25" customHeight="1" x14ac:dyDescent="0.25">
      <c r="A6" s="539" t="s">
        <v>1149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7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7"/>
    </row>
    <row r="7" spans="1:37" s="440" customFormat="1" ht="15" customHeight="1" x14ac:dyDescent="0.25">
      <c r="A7" s="452" t="s">
        <v>1150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535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535"/>
    </row>
    <row r="8" spans="1:37" s="531" customFormat="1" ht="18" customHeight="1" thickBot="1" x14ac:dyDescent="0.3">
      <c r="A8" s="534" t="s">
        <v>1151</v>
      </c>
      <c r="B8" s="533"/>
      <c r="C8" s="533"/>
      <c r="D8" s="533"/>
      <c r="E8" s="534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2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532"/>
    </row>
    <row r="9" spans="1:37" s="511" customFormat="1" ht="3.75" customHeight="1" thickBot="1" x14ac:dyDescent="0.3"/>
    <row r="10" spans="1:37" s="511" customFormat="1" ht="14.25" customHeight="1" x14ac:dyDescent="0.25">
      <c r="A10" s="513" t="s">
        <v>1152</v>
      </c>
      <c r="B10" s="512"/>
      <c r="C10" s="512"/>
      <c r="D10" s="512"/>
      <c r="E10" s="512"/>
      <c r="F10" s="512"/>
      <c r="G10" s="512"/>
      <c r="H10" s="512"/>
      <c r="I10" s="456"/>
      <c r="J10" s="455"/>
      <c r="K10" s="529" t="s">
        <v>1153</v>
      </c>
      <c r="L10" s="512"/>
      <c r="M10" s="530"/>
      <c r="N10" s="530"/>
      <c r="O10" s="530"/>
      <c r="P10" s="512"/>
      <c r="Q10" s="529" t="s">
        <v>1153</v>
      </c>
      <c r="R10" s="512"/>
      <c r="S10" s="456"/>
      <c r="T10" s="512"/>
      <c r="U10" s="512"/>
      <c r="V10" s="528"/>
      <c r="W10" s="512"/>
      <c r="X10" s="512"/>
      <c r="Y10" s="512"/>
      <c r="Z10" s="512"/>
      <c r="AA10" s="512"/>
      <c r="AB10" s="512"/>
      <c r="AC10" s="512"/>
      <c r="AD10" s="529" t="s">
        <v>1154</v>
      </c>
      <c r="AE10" s="529"/>
      <c r="AF10" s="529"/>
      <c r="AG10" s="529" t="s">
        <v>1155</v>
      </c>
      <c r="AH10" s="512"/>
      <c r="AI10" s="512"/>
      <c r="AJ10" s="512"/>
      <c r="AK10" s="528"/>
    </row>
    <row r="11" spans="1:37" s="511" customFormat="1" ht="19.5" customHeight="1" x14ac:dyDescent="0.2">
      <c r="A11" s="525" t="str">
        <f>LEFT('Input data'!C24,1)</f>
        <v>2</v>
      </c>
      <c r="B11" s="490" t="str">
        <f>MID('Input data'!$C$24,2,1)</f>
        <v>0</v>
      </c>
      <c r="C11" s="490" t="str">
        <f>MID('Input data'!$C$24,3,1)</f>
        <v>2</v>
      </c>
      <c r="D11" s="490" t="str">
        <f>MID('Input data'!$C$24,4,1)</f>
        <v>2</v>
      </c>
      <c r="E11" s="490" t="str">
        <f>MID('Input data'!$C$24,5,1)</f>
        <v>3</v>
      </c>
      <c r="F11" s="490" t="str">
        <f>MID('Input data'!$C$24,6,1)</f>
        <v>0</v>
      </c>
      <c r="G11" s="490" t="str">
        <f>MID('Input data'!$C$24,7,1)</f>
        <v>4</v>
      </c>
      <c r="H11" s="490" t="str">
        <f>MID('Input data'!$C$24,8,1)</f>
        <v>1</v>
      </c>
      <c r="I11" s="490" t="str">
        <f>MID('Input data'!$C$24,9,1)</f>
        <v>5</v>
      </c>
      <c r="J11" s="497" t="str">
        <f>MID('Input data'!$C$24,10,1)</f>
        <v>2</v>
      </c>
      <c r="K11" s="448"/>
      <c r="L11" s="527" t="str">
        <f>IF('Input data'!D7="x","x"," ")</f>
        <v>x</v>
      </c>
      <c r="M11" s="519" t="s">
        <v>1159</v>
      </c>
      <c r="N11" s="521"/>
      <c r="O11" s="521"/>
      <c r="P11" s="521"/>
      <c r="Q11" s="521"/>
      <c r="R11" s="527" t="str">
        <f>IF('Input data'!D16="x","x"," ")</f>
        <v>x</v>
      </c>
      <c r="S11" s="519" t="s">
        <v>1160</v>
      </c>
      <c r="T11" s="514"/>
      <c r="U11" s="514"/>
      <c r="V11" s="520"/>
      <c r="W11" s="519" t="s">
        <v>1156</v>
      </c>
      <c r="X11" s="514"/>
      <c r="Y11" s="514"/>
      <c r="Z11" s="514"/>
      <c r="AA11" s="514"/>
      <c r="AB11" s="519" t="s">
        <v>1157</v>
      </c>
      <c r="AC11" s="514"/>
      <c r="AD11" s="490" t="str">
        <f>MID('Input data'!$B$8,1,1)</f>
        <v>0</v>
      </c>
      <c r="AE11" s="490" t="str">
        <f>MID('Input data'!$B$8,2,1)</f>
        <v>1</v>
      </c>
      <c r="AF11" s="490"/>
      <c r="AG11" s="490" t="str">
        <f>MID('Input data'!$B$9,1,1)</f>
        <v>2</v>
      </c>
      <c r="AH11" s="490" t="str">
        <f>MID('Input data'!$B$9,2,1)</f>
        <v>0</v>
      </c>
      <c r="AI11" s="490" t="str">
        <f>MID('Input data'!$B$9,3,1)</f>
        <v>1</v>
      </c>
      <c r="AJ11" s="490" t="str">
        <f>MID('Input data'!$B$9,4,1)</f>
        <v>3</v>
      </c>
      <c r="AK11" s="520"/>
    </row>
    <row r="12" spans="1:37" s="511" customFormat="1" ht="19.5" customHeight="1" thickBot="1" x14ac:dyDescent="0.3">
      <c r="A12" s="452" t="s">
        <v>1158</v>
      </c>
      <c r="B12" s="514"/>
      <c r="C12" s="514"/>
      <c r="D12" s="514"/>
      <c r="E12" s="514"/>
      <c r="F12" s="514"/>
      <c r="G12" s="514"/>
      <c r="H12" s="448"/>
      <c r="I12" s="448"/>
      <c r="J12" s="447"/>
      <c r="K12" s="448"/>
      <c r="L12" s="523" t="str">
        <f>IF('Input data'!D8="x","x", "")</f>
        <v/>
      </c>
      <c r="M12" s="519" t="s">
        <v>1162</v>
      </c>
      <c r="N12" s="521"/>
      <c r="O12" s="521"/>
      <c r="P12" s="521"/>
      <c r="Q12" s="521"/>
      <c r="R12" s="524" t="str">
        <f>IF('Input data'!D17="x","x"," ")</f>
        <v xml:space="preserve"> </v>
      </c>
      <c r="S12" s="519" t="s">
        <v>1163</v>
      </c>
      <c r="T12" s="514"/>
      <c r="U12" s="514"/>
      <c r="V12" s="520"/>
      <c r="W12" s="526"/>
      <c r="X12" s="516"/>
      <c r="Y12" s="516"/>
      <c r="Z12" s="516"/>
      <c r="AA12" s="516"/>
      <c r="AB12" s="515" t="s">
        <v>1161</v>
      </c>
      <c r="AC12" s="516"/>
      <c r="AD12" s="488" t="str">
        <f>MID('Input data'!$B$13,1,1)</f>
        <v>1</v>
      </c>
      <c r="AE12" s="488" t="str">
        <f>MID('Input data'!$B$13,2,1)</f>
        <v>2</v>
      </c>
      <c r="AF12" s="488"/>
      <c r="AG12" s="488" t="str">
        <f>MID('Input data'!$B$14,1,1)</f>
        <v>2</v>
      </c>
      <c r="AH12" s="488" t="str">
        <f>MID('Input data'!$B$14,2,1)</f>
        <v>0</v>
      </c>
      <c r="AI12" s="488" t="str">
        <f>MID('Input data'!$B$14,3,1)</f>
        <v>1</v>
      </c>
      <c r="AJ12" s="488" t="str">
        <f>MID('Input data'!$B$14,4,1)</f>
        <v>3</v>
      </c>
      <c r="AK12" s="517"/>
    </row>
    <row r="13" spans="1:37" s="511" customFormat="1" ht="19.5" customHeight="1" x14ac:dyDescent="0.2">
      <c r="A13" s="525" t="str">
        <f>LEFT('Input data'!C26,1)</f>
        <v>3</v>
      </c>
      <c r="B13" s="490" t="str">
        <f>MID('Input data'!$C$26,2,1)</f>
        <v>6</v>
      </c>
      <c r="C13" s="490" t="str">
        <f>MID('Input data'!$C$26,3,1)</f>
        <v>7</v>
      </c>
      <c r="D13" s="490" t="str">
        <f>MID('Input data'!$C$26,4,1)</f>
        <v>2</v>
      </c>
      <c r="E13" s="490" t="str">
        <f>MID('Input data'!$C$26,5,1)</f>
        <v>5</v>
      </c>
      <c r="F13" s="490" t="str">
        <f>MID('Input data'!$C$26,6,1)</f>
        <v>8</v>
      </c>
      <c r="G13" s="490" t="str">
        <f>MID('Input data'!$C$26,7,1)</f>
        <v>3</v>
      </c>
      <c r="H13" s="490" t="str">
        <f>MID('Input data'!$C$26,8,1)</f>
        <v>8</v>
      </c>
      <c r="I13" s="448"/>
      <c r="J13" s="447"/>
      <c r="K13" s="918"/>
      <c r="L13" s="828"/>
      <c r="M13" s="829" t="s">
        <v>1543</v>
      </c>
      <c r="N13" s="828"/>
      <c r="O13" s="828"/>
      <c r="P13" s="828"/>
      <c r="Q13" s="828"/>
      <c r="R13" s="919" t="s">
        <v>1166</v>
      </c>
      <c r="S13" s="828"/>
      <c r="T13" s="828"/>
      <c r="U13" s="828"/>
      <c r="V13" s="831"/>
      <c r="W13" s="519" t="s">
        <v>1164</v>
      </c>
      <c r="X13" s="514"/>
      <c r="Y13" s="451"/>
      <c r="Z13" s="448"/>
      <c r="AA13" s="448"/>
      <c r="AB13" s="521"/>
      <c r="AC13" s="448"/>
      <c r="AD13" s="523"/>
      <c r="AE13" s="523"/>
      <c r="AF13" s="523"/>
      <c r="AG13" s="523"/>
      <c r="AH13" s="523"/>
      <c r="AI13" s="523"/>
      <c r="AJ13" s="523"/>
      <c r="AK13" s="447"/>
    </row>
    <row r="14" spans="1:37" s="511" customFormat="1" ht="19.5" customHeight="1" x14ac:dyDescent="0.2">
      <c r="A14" s="452" t="s">
        <v>1165</v>
      </c>
      <c r="B14" s="514"/>
      <c r="C14" s="514"/>
      <c r="D14" s="514"/>
      <c r="E14" s="514"/>
      <c r="F14" s="514"/>
      <c r="G14" s="514"/>
      <c r="H14" s="514"/>
      <c r="I14" s="448"/>
      <c r="J14" s="447"/>
      <c r="K14" s="448"/>
      <c r="L14" s="527"/>
      <c r="M14" s="519" t="s">
        <v>1920</v>
      </c>
      <c r="N14" s="521"/>
      <c r="O14" s="521"/>
      <c r="P14" s="521"/>
      <c r="Q14" s="521"/>
      <c r="S14" s="521"/>
      <c r="T14" s="514"/>
      <c r="U14" s="514"/>
      <c r="V14" s="520"/>
      <c r="W14" s="519" t="s">
        <v>987</v>
      </c>
      <c r="X14" s="514"/>
      <c r="Y14" s="451"/>
      <c r="Z14" s="448"/>
      <c r="AA14" s="448"/>
      <c r="AB14" s="519" t="s">
        <v>1157</v>
      </c>
      <c r="AC14" s="448"/>
      <c r="AD14" s="490" t="str">
        <f>MID('Input data'!$B$18,1,1)</f>
        <v>0</v>
      </c>
      <c r="AE14" s="490" t="str">
        <f>MID('Input data'!$B$18,2,1)</f>
        <v>1</v>
      </c>
      <c r="AF14" s="490"/>
      <c r="AG14" s="490" t="str">
        <f>MID('Input data'!$B$19,1,1)</f>
        <v>2</v>
      </c>
      <c r="AH14" s="490" t="str">
        <f>MID('Input data'!$B$19,2,1)</f>
        <v>0</v>
      </c>
      <c r="AI14" s="490" t="str">
        <f>MID('Input data'!$B$19,3,1)</f>
        <v>1</v>
      </c>
      <c r="AJ14" s="490" t="str">
        <f>MID('Input data'!$B$19,4,1)</f>
        <v>2</v>
      </c>
      <c r="AK14" s="447"/>
    </row>
    <row r="15" spans="1:37" s="511" customFormat="1" ht="19.5" customHeight="1" thickBot="1" x14ac:dyDescent="0.25">
      <c r="A15" s="518" t="str">
        <f>LEFT('Input data'!$E$12,1)</f>
        <v>7</v>
      </c>
      <c r="B15" s="443" t="str">
        <f>MID('Input data'!$E$12,2,1)</f>
        <v>3</v>
      </c>
      <c r="C15" s="516" t="s">
        <v>1147</v>
      </c>
      <c r="D15" s="443">
        <v>1</v>
      </c>
      <c r="E15" s="443">
        <v>1</v>
      </c>
      <c r="F15" s="467" t="s">
        <v>1147</v>
      </c>
      <c r="G15" s="443">
        <v>0</v>
      </c>
      <c r="H15" s="443"/>
      <c r="I15" s="443"/>
      <c r="J15" s="442"/>
      <c r="K15" s="443"/>
      <c r="L15" s="443"/>
      <c r="M15" s="515" t="s">
        <v>1921</v>
      </c>
      <c r="N15" s="443"/>
      <c r="O15" s="443"/>
      <c r="P15" s="443"/>
      <c r="Q15" s="443"/>
      <c r="R15" s="920" t="s">
        <v>1166</v>
      </c>
      <c r="S15" s="443"/>
      <c r="T15" s="516"/>
      <c r="U15" s="516"/>
      <c r="V15" s="517"/>
      <c r="W15" s="515" t="s">
        <v>1167</v>
      </c>
      <c r="X15" s="516"/>
      <c r="Y15" s="444"/>
      <c r="Z15" s="443"/>
      <c r="AA15" s="443"/>
      <c r="AB15" s="515" t="s">
        <v>1161</v>
      </c>
      <c r="AC15" s="443"/>
      <c r="AD15" s="488" t="str">
        <f>MID('Input data'!$B$21,1,1)</f>
        <v>1</v>
      </c>
      <c r="AE15" s="488" t="str">
        <f>MID('Input data'!$B$21,2,1)</f>
        <v>2</v>
      </c>
      <c r="AF15" s="488"/>
      <c r="AG15" s="488" t="str">
        <f>MID('Input data'!$B$22,1,1)</f>
        <v>2</v>
      </c>
      <c r="AH15" s="488" t="str">
        <f>MID('Input data'!$B$22,2,1)</f>
        <v>0</v>
      </c>
      <c r="AI15" s="488" t="str">
        <f>MID('Input data'!$B$22,3,1)</f>
        <v>1</v>
      </c>
      <c r="AJ15" s="488" t="str">
        <f>MID('Input data'!$B$22,4,1)</f>
        <v>2</v>
      </c>
      <c r="AK15" s="442"/>
    </row>
    <row r="16" spans="1:37" s="511" customFormat="1" ht="4.5" customHeight="1" x14ac:dyDescent="0.25">
      <c r="A16" s="514"/>
      <c r="B16" s="514"/>
      <c r="C16" s="514"/>
      <c r="D16" s="514"/>
      <c r="E16" s="514"/>
      <c r="F16" s="512"/>
      <c r="G16" s="514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514"/>
      <c r="U16" s="514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</row>
    <row r="17" spans="1:37" s="511" customFormat="1" ht="3" customHeight="1" thickBot="1" x14ac:dyDescent="0.3"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1:37" s="511" customFormat="1" ht="16.5" x14ac:dyDescent="0.25">
      <c r="A18" s="513" t="s">
        <v>1168</v>
      </c>
      <c r="B18" s="512"/>
      <c r="C18" s="512"/>
      <c r="D18" s="512"/>
      <c r="E18" s="512"/>
      <c r="F18" s="512"/>
      <c r="G18" s="512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6"/>
      <c r="T18" s="512"/>
      <c r="U18" s="512"/>
      <c r="V18" s="512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5"/>
    </row>
    <row r="19" spans="1:37" s="511" customFormat="1" ht="19.5" customHeight="1" x14ac:dyDescent="0.25">
      <c r="A19" s="498" t="str">
        <f>+LEFT('Input data'!$F$3,1)</f>
        <v>A</v>
      </c>
      <c r="B19" s="490" t="str">
        <f>+MID('Input data'!$F$3,2,1)</f>
        <v>e</v>
      </c>
      <c r="C19" s="490" t="str">
        <f>+MID('Input data'!$F$3,3,1)</f>
        <v>g</v>
      </c>
      <c r="D19" s="490" t="str">
        <f>+MID('Input data'!$F$3,4,1)</f>
        <v>i</v>
      </c>
      <c r="E19" s="490" t="str">
        <f>+MID('Input data'!$F$3,5,1)</f>
        <v>s</v>
      </c>
      <c r="F19" s="490" t="str">
        <f>+MID('Input data'!$F$3,6,1)</f>
        <v xml:space="preserve"> </v>
      </c>
      <c r="G19" s="490" t="str">
        <f>+MID('Input data'!$F$3,7,1)</f>
        <v>M</v>
      </c>
      <c r="H19" s="490" t="str">
        <f>+MID('Input data'!$F$3,8,1)</f>
        <v>e</v>
      </c>
      <c r="I19" s="490" t="str">
        <f>+MID('Input data'!$F$3,9,1)</f>
        <v>d</v>
      </c>
      <c r="J19" s="490" t="str">
        <f>+MID('Input data'!$F$3,10,1)</f>
        <v>i</v>
      </c>
      <c r="K19" s="490" t="str">
        <f>+MID('Input data'!$F$3,11,1)</f>
        <v>a</v>
      </c>
      <c r="L19" s="490" t="str">
        <f>+MID('Input data'!$F$3,12,1)</f>
        <v xml:space="preserve"> </v>
      </c>
      <c r="M19" s="490" t="str">
        <f>+MID('Input data'!$F$3,13,1)</f>
        <v>S</v>
      </c>
      <c r="N19" s="490" t="str">
        <f>+MID('Input data'!$F$3,14,1)</f>
        <v>l</v>
      </c>
      <c r="O19" s="490" t="str">
        <f>+MID('Input data'!$F$3,15,1)</f>
        <v>o</v>
      </c>
      <c r="P19" s="490" t="str">
        <f>+MID('Input data'!$F$3,16,1)</f>
        <v>v</v>
      </c>
      <c r="Q19" s="490" t="str">
        <f>+MID('Input data'!$F$3,17,1)</f>
        <v>a</v>
      </c>
      <c r="R19" s="490" t="str">
        <f>+MID('Input data'!$F$3,18,1)</f>
        <v>k</v>
      </c>
      <c r="S19" s="490" t="str">
        <f>+MID('Input data'!$F$3,19,1)</f>
        <v>i</v>
      </c>
      <c r="T19" s="490" t="str">
        <f>+MID('Input data'!$F$3,20,1)</f>
        <v>a</v>
      </c>
      <c r="U19" s="490" t="str">
        <f>+MID('Input data'!$F$3,21,1)</f>
        <v xml:space="preserve"> </v>
      </c>
      <c r="V19" s="490" t="str">
        <f>+MID('Input data'!$F$3,22,1)</f>
        <v>C</v>
      </c>
      <c r="W19" s="490" t="str">
        <f>+MID('Input data'!$F$3,23,1)</f>
        <v>e</v>
      </c>
      <c r="X19" s="490" t="str">
        <f>+MID('Input data'!$F$3,24,1)</f>
        <v>n</v>
      </c>
      <c r="Y19" s="490" t="str">
        <f>+MID('Input data'!$F$3,25,1)</f>
        <v>t</v>
      </c>
      <c r="Z19" s="490" t="str">
        <f>+MID('Input data'!$F$3,26,1)</f>
        <v>r</v>
      </c>
      <c r="AA19" s="490" t="str">
        <f>+MID('Input data'!$F$3,27,1)</f>
        <v>a</v>
      </c>
      <c r="AB19" s="490" t="str">
        <f>+MID('Input data'!$F$3,28,1)</f>
        <v>l</v>
      </c>
      <c r="AC19" s="490" t="str">
        <f>+MID('Input data'!$F$3,29,1)</f>
        <v xml:space="preserve"> </v>
      </c>
      <c r="AD19" s="490" t="str">
        <f>+MID('Input data'!$F$3,30,1)</f>
        <v>S</v>
      </c>
      <c r="AE19" s="490" t="str">
        <f>+MID('Input data'!$F$3,31,1)</f>
        <v>e</v>
      </c>
      <c r="AF19" s="490" t="str">
        <f>+MID('Input data'!$F$3,32,1)</f>
        <v>r</v>
      </c>
      <c r="AG19" s="490" t="str">
        <f>+MID('Input data'!$F$3,33,1)</f>
        <v>v</v>
      </c>
      <c r="AH19" s="490" t="str">
        <f>+MID('Input data'!$E$3,34,1)</f>
        <v/>
      </c>
      <c r="AI19" s="490" t="str">
        <f>+MID('Input data'!$E$3,35,1)</f>
        <v/>
      </c>
      <c r="AJ19" s="490" t="str">
        <f>+MID('Input data'!$E$3,36,1)</f>
        <v/>
      </c>
      <c r="AK19" s="497" t="str">
        <f>+MID('Input data'!$E$3,37,1)</f>
        <v/>
      </c>
    </row>
    <row r="20" spans="1:37" ht="19.5" customHeight="1" x14ac:dyDescent="0.25">
      <c r="A20" s="498" t="str">
        <f>+MID('Input data'!$E$3,38,1)</f>
        <v/>
      </c>
      <c r="B20" s="490" t="str">
        <f>+MID('Input data'!$E$3,39,1)</f>
        <v/>
      </c>
      <c r="C20" s="490" t="str">
        <f>+MID('Input data'!$E$3,40,1)</f>
        <v/>
      </c>
      <c r="D20" s="490" t="str">
        <f>+MID('Input data'!$E$3,41,1)</f>
        <v/>
      </c>
      <c r="E20" s="490" t="str">
        <f>+MID('Input data'!$E$3,42,1)</f>
        <v/>
      </c>
      <c r="F20" s="490" t="str">
        <f>+MID('Input data'!$E$3,43,1)</f>
        <v/>
      </c>
      <c r="G20" s="490" t="str">
        <f>+MID('Input data'!$E$3,44,1)</f>
        <v/>
      </c>
      <c r="H20" s="490" t="str">
        <f>+MID('Input data'!$E$3,45,1)</f>
        <v/>
      </c>
      <c r="I20" s="490" t="str">
        <f>+MID('Input data'!$E$3,46,1)</f>
        <v/>
      </c>
      <c r="J20" s="490" t="str">
        <f>+MID('Input data'!$E$3,47,1)</f>
        <v/>
      </c>
      <c r="K20" s="490" t="str">
        <f>+MID('Input data'!$E$3,48,1)</f>
        <v/>
      </c>
      <c r="L20" s="490" t="str">
        <f>+MID('Input data'!$E$3,49,1)</f>
        <v/>
      </c>
      <c r="M20" s="490" t="str">
        <f>+MID('Input data'!$E$3,50,1)</f>
        <v/>
      </c>
      <c r="N20" s="490" t="str">
        <f>+MID('Input data'!$E$3,51,1)</f>
        <v/>
      </c>
      <c r="O20" s="490" t="str">
        <f>+MID('Input data'!$E$3,52,1)</f>
        <v/>
      </c>
      <c r="P20" s="490" t="str">
        <f>+MID('Input data'!$E$3,53,1)</f>
        <v/>
      </c>
      <c r="Q20" s="490" t="str">
        <f>+MID('Input data'!$E$3,54,1)</f>
        <v/>
      </c>
      <c r="R20" s="490" t="str">
        <f>+MID('Input data'!$E$3,55,1)</f>
        <v/>
      </c>
      <c r="S20" s="490" t="str">
        <f>+MID('Input data'!$E$3,56,1)</f>
        <v/>
      </c>
      <c r="T20" s="490" t="str">
        <f>+MID('Input data'!$E$3,57,1)</f>
        <v/>
      </c>
      <c r="U20" s="490" t="str">
        <f>+MID('Input data'!$E$3,58,1)</f>
        <v/>
      </c>
      <c r="V20" s="490" t="str">
        <f>+MID('Input data'!$E$3,59,1)</f>
        <v/>
      </c>
      <c r="W20" s="490" t="str">
        <f>+MID('Input data'!$E$3,60,1)</f>
        <v/>
      </c>
      <c r="X20" s="490" t="str">
        <f>+MID('Input data'!$E$3,61,1)</f>
        <v/>
      </c>
      <c r="Y20" s="490" t="str">
        <f>+MID('Input data'!$E$3,62,1)</f>
        <v/>
      </c>
      <c r="Z20" s="490" t="str">
        <f>+MID('Input data'!$E$3,63,1)</f>
        <v/>
      </c>
      <c r="AA20" s="490" t="str">
        <f>+MID('Input data'!$E$3,64,1)</f>
        <v/>
      </c>
      <c r="AB20" s="490" t="str">
        <f>+MID('Input data'!$E$3,65,1)</f>
        <v/>
      </c>
      <c r="AC20" s="490" t="str">
        <f>+MID('Input data'!$E$3,66,1)</f>
        <v/>
      </c>
      <c r="AD20" s="490" t="str">
        <f>+MID('Input data'!$E$3,67,1)</f>
        <v/>
      </c>
      <c r="AE20" s="490" t="str">
        <f>+MID('Input data'!$E$3,68,1)</f>
        <v/>
      </c>
      <c r="AF20" s="490" t="str">
        <f>+MID('Input data'!$E$3,69,1)</f>
        <v/>
      </c>
      <c r="AG20" s="490" t="str">
        <f>+MID('Input data'!$E$3,70,1)</f>
        <v/>
      </c>
      <c r="AH20" s="490" t="str">
        <f>+MID('Input data'!$E$3,71,1)</f>
        <v/>
      </c>
      <c r="AI20" s="490" t="str">
        <f>+MID('Input data'!$E$3,72,1)</f>
        <v/>
      </c>
      <c r="AJ20" s="490" t="str">
        <f>+MID('Input data'!$E$3,73,1)</f>
        <v/>
      </c>
      <c r="AK20" s="497" t="str">
        <f>+MID('Input data'!$E$3,74,1)</f>
        <v/>
      </c>
    </row>
    <row r="21" spans="1:37" ht="14.25" customHeight="1" x14ac:dyDescent="0.25">
      <c r="A21" s="510"/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  <c r="T21" s="509"/>
      <c r="U21" s="509"/>
      <c r="V21" s="509"/>
      <c r="W21" s="508"/>
      <c r="X21" s="508"/>
      <c r="Y21" s="508"/>
      <c r="Z21" s="508"/>
      <c r="AA21" s="508"/>
      <c r="AB21" s="508"/>
      <c r="AC21" s="508"/>
      <c r="AD21" s="508"/>
      <c r="AE21" s="508"/>
      <c r="AF21" s="508"/>
      <c r="AG21" s="508"/>
      <c r="AH21" s="508"/>
      <c r="AI21" s="508"/>
      <c r="AJ21" s="508"/>
      <c r="AK21" s="507"/>
    </row>
    <row r="22" spans="1:37" ht="19.5" hidden="1" customHeight="1" x14ac:dyDescent="0.25">
      <c r="A22" s="506"/>
      <c r="B22" s="505"/>
      <c r="C22" s="505"/>
      <c r="D22" s="505"/>
      <c r="E22" s="505"/>
      <c r="F22" s="505"/>
      <c r="G22" s="505" t="e">
        <f>+MID('Input data'!#REF!,7,1)</f>
        <v>#REF!</v>
      </c>
      <c r="H22" s="505" t="e">
        <f>+MID('Input data'!#REF!,8,1)</f>
        <v>#REF!</v>
      </c>
      <c r="I22" s="505" t="e">
        <f>+MID('Input data'!#REF!,9,1)</f>
        <v>#REF!</v>
      </c>
      <c r="J22" s="505" t="e">
        <f>+MID('Input data'!#REF!,10,1)</f>
        <v>#REF!</v>
      </c>
      <c r="K22" s="505" t="e">
        <f>+MID('Input data'!#REF!,11,1)</f>
        <v>#REF!</v>
      </c>
      <c r="L22" s="505" t="e">
        <f>+MID('Input data'!#REF!,12,1)</f>
        <v>#REF!</v>
      </c>
      <c r="M22" s="505" t="e">
        <f>+MID('Input data'!#REF!,13,1)</f>
        <v>#REF!</v>
      </c>
      <c r="N22" s="505" t="e">
        <f>+MID('Input data'!#REF!,14,1)</f>
        <v>#REF!</v>
      </c>
      <c r="O22" s="505" t="e">
        <f>+MID('Input data'!#REF!,15,1)</f>
        <v>#REF!</v>
      </c>
      <c r="P22" s="505" t="e">
        <f>+MID('Input data'!#REF!,16,1)</f>
        <v>#REF!</v>
      </c>
      <c r="Q22" s="505" t="e">
        <f>+MID('Input data'!#REF!,17,1)</f>
        <v>#REF!</v>
      </c>
      <c r="R22" s="505" t="e">
        <f>+MID('Input data'!#REF!,18,1)</f>
        <v>#REF!</v>
      </c>
      <c r="S22" s="505" t="e">
        <f>+MID('Input data'!#REF!,19,1)</f>
        <v>#REF!</v>
      </c>
      <c r="T22" s="505" t="e">
        <f>+MID('Input data'!#REF!,20,1)</f>
        <v>#REF!</v>
      </c>
      <c r="U22" s="505" t="e">
        <f>+MID('Input data'!#REF!,21,1)</f>
        <v>#REF!</v>
      </c>
      <c r="V22" s="505" t="e">
        <f>+MID('Input data'!#REF!,22,1)</f>
        <v>#REF!</v>
      </c>
      <c r="W22" s="505" t="e">
        <f>+MID('Input data'!#REF!,23,1)</f>
        <v>#REF!</v>
      </c>
      <c r="X22" s="505" t="e">
        <f>+MID('Input data'!#REF!,24,1)</f>
        <v>#REF!</v>
      </c>
      <c r="Y22" s="505" t="e">
        <f>+MID('Input data'!#REF!,25,1)</f>
        <v>#REF!</v>
      </c>
      <c r="Z22" s="505" t="e">
        <f>+MID('Input data'!#REF!,26,1)</f>
        <v>#REF!</v>
      </c>
      <c r="AA22" s="505" t="e">
        <f>+MID('Input data'!#REF!,27,1)</f>
        <v>#REF!</v>
      </c>
      <c r="AB22" s="505" t="e">
        <f>+MID('Input data'!#REF!,28,1)</f>
        <v>#REF!</v>
      </c>
      <c r="AC22" s="505" t="e">
        <f>+MID('Input data'!#REF!,29,1)</f>
        <v>#REF!</v>
      </c>
      <c r="AD22" s="505" t="e">
        <f>+MID('Input data'!#REF!,30,1)</f>
        <v>#REF!</v>
      </c>
      <c r="AE22" s="505" t="e">
        <f>+MID('Input data'!#REF!,31,1)</f>
        <v>#REF!</v>
      </c>
      <c r="AF22" s="505" t="e">
        <f>+MID('Input data'!#REF!,32,1)</f>
        <v>#REF!</v>
      </c>
      <c r="AG22" s="505" t="e">
        <f>+MID('Input data'!#REF!,33,1)</f>
        <v>#REF!</v>
      </c>
      <c r="AH22" s="505" t="e">
        <f>+MID('Input data'!#REF!,34,1)</f>
        <v>#REF!</v>
      </c>
      <c r="AI22" s="505" t="e">
        <f>+MID('Input data'!#REF!,35,1)</f>
        <v>#REF!</v>
      </c>
      <c r="AJ22" s="505" t="e">
        <f>+MID('Input data'!#REF!,36,1)</f>
        <v>#REF!</v>
      </c>
      <c r="AK22" s="504" t="e">
        <f>+MID('Input data'!#REF!,37,1)</f>
        <v>#REF!</v>
      </c>
    </row>
    <row r="23" spans="1:37" s="499" customFormat="1" ht="12" customHeight="1" x14ac:dyDescent="0.25">
      <c r="A23" s="503" t="s">
        <v>1169</v>
      </c>
      <c r="B23" s="502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0"/>
    </row>
    <row r="24" spans="1:37" x14ac:dyDescent="0.25">
      <c r="A24" s="495" t="s">
        <v>1170</v>
      </c>
      <c r="B24" s="914"/>
      <c r="C24" s="914"/>
      <c r="D24" s="914"/>
      <c r="E24" s="914"/>
      <c r="F24" s="914"/>
      <c r="G24" s="914"/>
      <c r="H24" s="914"/>
      <c r="I24" s="914"/>
      <c r="J24" s="914"/>
      <c r="K24" s="914"/>
      <c r="L24" s="914"/>
      <c r="M24" s="914"/>
      <c r="N24" s="914"/>
      <c r="O24" s="914"/>
      <c r="P24" s="914"/>
      <c r="Q24" s="914"/>
      <c r="R24" s="914"/>
      <c r="S24" s="914"/>
      <c r="T24" s="914"/>
      <c r="U24" s="914"/>
      <c r="V24" s="914"/>
      <c r="W24" s="448"/>
      <c r="X24" s="448"/>
      <c r="Y24" s="448"/>
      <c r="Z24" s="448"/>
      <c r="AA24" s="448"/>
      <c r="AB24" s="914"/>
      <c r="AC24" s="448"/>
      <c r="AD24" s="451" t="s">
        <v>1171</v>
      </c>
      <c r="AE24" s="448"/>
      <c r="AF24" s="448"/>
      <c r="AG24" s="448"/>
      <c r="AH24" s="448"/>
      <c r="AI24" s="448"/>
      <c r="AJ24" s="448"/>
      <c r="AK24" s="447"/>
    </row>
    <row r="25" spans="1:37" ht="19.5" customHeight="1" x14ac:dyDescent="0.25">
      <c r="A25" s="498" t="str">
        <f>+LEFT('Input data'!$C$28,1)</f>
        <v>T</v>
      </c>
      <c r="B25" s="490" t="str">
        <f>+MID('Input data'!$C$28,2,1)</f>
        <v>e</v>
      </c>
      <c r="C25" s="490" t="str">
        <f>+MID('Input data'!$C$28,3,1)</f>
        <v>s</v>
      </c>
      <c r="D25" s="490" t="str">
        <f>+MID('Input data'!$C$28,4,1)</f>
        <v>l</v>
      </c>
      <c r="E25" s="490" t="str">
        <f>+MID('Input data'!$C$28,5,1)</f>
        <v>o</v>
      </c>
      <c r="F25" s="490" t="str">
        <f>+MID('Input data'!$C$28,6,1)</f>
        <v>v</v>
      </c>
      <c r="G25" s="490" t="str">
        <f>+MID('Input data'!$C$28,7,1)</f>
        <v>a</v>
      </c>
      <c r="H25" s="490" t="str">
        <f>+MID('Input data'!$C$28,8,1)</f>
        <v/>
      </c>
      <c r="I25" s="490" t="str">
        <f>+MID('Input data'!$C$28,9,1)</f>
        <v/>
      </c>
      <c r="J25" s="490" t="str">
        <f>+MID('Input data'!$C$28,10,1)</f>
        <v/>
      </c>
      <c r="K25" s="490" t="str">
        <f>+MID('Input data'!$C$28,11,1)</f>
        <v/>
      </c>
      <c r="L25" s="490" t="str">
        <f>+MID('Input data'!$C$28,12,1)</f>
        <v/>
      </c>
      <c r="M25" s="490" t="str">
        <f>+MID('Input data'!$C$28,13,1)</f>
        <v/>
      </c>
      <c r="N25" s="490" t="str">
        <f>+MID('Input data'!$C$28,14,1)</f>
        <v/>
      </c>
      <c r="O25" s="490" t="str">
        <f>+MID('Input data'!$C$28,15,1)</f>
        <v/>
      </c>
      <c r="P25" s="490" t="str">
        <f>+MID('Input data'!$C$28,16,1)</f>
        <v/>
      </c>
      <c r="Q25" s="490" t="str">
        <f>+MID('Input data'!$C$28,17,1)</f>
        <v/>
      </c>
      <c r="R25" s="490" t="str">
        <f>+MID('Input data'!$C$28,18,1)</f>
        <v/>
      </c>
      <c r="S25" s="490" t="str">
        <f>+MID('Input data'!$C$28,19,1)</f>
        <v/>
      </c>
      <c r="T25" s="490" t="str">
        <f>+MID('Input data'!$C$28,20,1)</f>
        <v/>
      </c>
      <c r="U25" s="490" t="str">
        <f>+MID('Input data'!$C$28,21,1)</f>
        <v/>
      </c>
      <c r="V25" s="490" t="str">
        <f>+MID('Input data'!$C$28,22,1)</f>
        <v/>
      </c>
      <c r="W25" s="490" t="str">
        <f>+MID('Input data'!$C$28,23,1)</f>
        <v/>
      </c>
      <c r="X25" s="490" t="str">
        <f>+MID('Input data'!$C$28,24,1)</f>
        <v/>
      </c>
      <c r="Y25" s="490" t="str">
        <f>+MID('Input data'!$C$28,25,1)</f>
        <v/>
      </c>
      <c r="Z25" s="490" t="str">
        <f>+MID('Input data'!$C$28,26,1)</f>
        <v/>
      </c>
      <c r="AA25" s="490" t="str">
        <f>+MID('Input data'!$C$28,27,1)</f>
        <v/>
      </c>
      <c r="AB25" s="490" t="str">
        <f>+MID('Input data'!$C$28,28,1)</f>
        <v/>
      </c>
      <c r="AC25" s="492"/>
      <c r="AD25" s="490" t="str">
        <f>+LEFT('Input data'!$C$30,1)</f>
        <v>2</v>
      </c>
      <c r="AE25" s="490" t="str">
        <f>+MID('Input data'!$C$30,2,1)</f>
        <v>0</v>
      </c>
      <c r="AF25" s="490" t="str">
        <f>+MID('Input data'!$C$30,3,1)</f>
        <v/>
      </c>
      <c r="AG25" s="490" t="str">
        <f>+MID('Input data'!$C$30,4,1)</f>
        <v/>
      </c>
      <c r="AH25" s="490" t="str">
        <f>+MID('Input data'!$C$30,5,1)</f>
        <v/>
      </c>
      <c r="AI25" s="490" t="str">
        <f>+MID('Input data'!$C$30,6,1)</f>
        <v/>
      </c>
      <c r="AJ25" s="490" t="str">
        <f>+MID('Input data'!$C$30,7,1)</f>
        <v/>
      </c>
      <c r="AK25" s="497" t="str">
        <f>+MID('Input data'!$C$30,8,1)</f>
        <v/>
      </c>
    </row>
    <row r="26" spans="1:37" x14ac:dyDescent="0.25">
      <c r="A26" s="495" t="s">
        <v>1172</v>
      </c>
      <c r="B26" s="914"/>
      <c r="C26" s="914"/>
      <c r="D26" s="914"/>
      <c r="E26" s="914"/>
      <c r="F26" s="914"/>
      <c r="G26" s="494" t="s">
        <v>1173</v>
      </c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4"/>
      <c r="W26" s="494"/>
      <c r="X26" s="494"/>
      <c r="Y26" s="494"/>
      <c r="Z26" s="494"/>
      <c r="AA26" s="494"/>
      <c r="AB26" s="494"/>
      <c r="AC26" s="494"/>
      <c r="AD26" s="494"/>
      <c r="AE26" s="448"/>
      <c r="AF26" s="448"/>
      <c r="AG26" s="448"/>
      <c r="AH26" s="448"/>
      <c r="AI26" s="448"/>
      <c r="AJ26" s="448"/>
      <c r="AK26" s="447"/>
    </row>
    <row r="27" spans="1:37" s="496" customFormat="1" ht="19.5" customHeight="1" x14ac:dyDescent="0.25">
      <c r="A27" s="498" t="str">
        <f>+LEFT('Input data'!$C$32,1)</f>
        <v>8</v>
      </c>
      <c r="B27" s="490" t="str">
        <f>+MID('Input data'!$C$32,2,1)</f>
        <v>2</v>
      </c>
      <c r="C27" s="490" t="str">
        <f>+MID('Input data'!$C$32,3,1)</f>
        <v>0</v>
      </c>
      <c r="D27" s="490" t="str">
        <f>+MID('Input data'!$C$32,4,1)</f>
        <v>0</v>
      </c>
      <c r="E27" s="490" t="str">
        <f>+MID('Input data'!$C$32,5,1)</f>
        <v>5</v>
      </c>
      <c r="F27" s="490"/>
      <c r="G27" s="490" t="str">
        <f>+LEFT('Input data'!$C$34,1)</f>
        <v>B</v>
      </c>
      <c r="H27" s="490" t="str">
        <f>+MID('Input data'!$C$34,2,1)</f>
        <v>r</v>
      </c>
      <c r="I27" s="490" t="str">
        <f>+MID('Input data'!$C$34,3,1)</f>
        <v>a</v>
      </c>
      <c r="J27" s="490" t="str">
        <f>+MID('Input data'!$C$34,4,1)</f>
        <v>t</v>
      </c>
      <c r="K27" s="490" t="str">
        <f>+MID('Input data'!$C$34,5,1)</f>
        <v>i</v>
      </c>
      <c r="L27" s="490" t="str">
        <f>+MID('Input data'!$C$34,6,1)</f>
        <v>s</v>
      </c>
      <c r="M27" s="490" t="str">
        <f>+MID('Input data'!$C$34,7,1)</f>
        <v>l</v>
      </c>
      <c r="N27" s="490" t="str">
        <f>+MID('Input data'!$C$34,8,1)</f>
        <v>a</v>
      </c>
      <c r="O27" s="490" t="str">
        <f>+MID('Input data'!$C$34,9,1)</f>
        <v>v</v>
      </c>
      <c r="P27" s="490" t="str">
        <f>+MID('Input data'!$C$34,10,1)</f>
        <v>a</v>
      </c>
      <c r="Q27" s="490" t="str">
        <f>+MID('Input data'!$C$34,11,1)</f>
        <v/>
      </c>
      <c r="R27" s="490" t="str">
        <f>+MID('Input data'!$C$34,12,1)</f>
        <v/>
      </c>
      <c r="S27" s="490" t="str">
        <f>+MID('Input data'!$C$34,13,1)</f>
        <v/>
      </c>
      <c r="T27" s="490" t="str">
        <f>+MID('Input data'!$C$34,14,1)</f>
        <v/>
      </c>
      <c r="U27" s="490" t="str">
        <f>+MID('Input data'!$C$34,15,1)</f>
        <v/>
      </c>
      <c r="V27" s="490" t="str">
        <f>+MID('Input data'!$C$34,16,1)</f>
        <v/>
      </c>
      <c r="W27" s="490" t="str">
        <f>+MID('Input data'!$C$34,17,1)</f>
        <v/>
      </c>
      <c r="X27" s="490" t="str">
        <f>+MID('Input data'!$C$34,18,1)</f>
        <v/>
      </c>
      <c r="Y27" s="490" t="str">
        <f>+MID('Input data'!$C$34,19,1)</f>
        <v/>
      </c>
      <c r="Z27" s="490" t="str">
        <f>+MID('Input data'!$C$34,20,1)</f>
        <v/>
      </c>
      <c r="AA27" s="490" t="str">
        <f>+MID('Input data'!$C$34,21,1)</f>
        <v/>
      </c>
      <c r="AB27" s="490" t="str">
        <f>+MID('Input data'!$C$34,22,1)</f>
        <v/>
      </c>
      <c r="AC27" s="490" t="str">
        <f>+MID('Input data'!$C$34,23,1)</f>
        <v/>
      </c>
      <c r="AD27" s="490" t="str">
        <f>+MID('Input data'!$C$34,24,1)</f>
        <v/>
      </c>
      <c r="AE27" s="490" t="str">
        <f>+MID('Input data'!$C$34,25,1)</f>
        <v/>
      </c>
      <c r="AF27" s="490" t="str">
        <f>+MID('Input data'!$C$34,26,1)</f>
        <v/>
      </c>
      <c r="AG27" s="490" t="str">
        <f>+MID('Input data'!$C$34,27,1)</f>
        <v/>
      </c>
      <c r="AH27" s="490" t="str">
        <f>+MID('Input data'!$C$34,28,1)</f>
        <v/>
      </c>
      <c r="AI27" s="490" t="str">
        <f>+MID('Input data'!$C$34,29,1)</f>
        <v/>
      </c>
      <c r="AJ27" s="490" t="str">
        <f>+MID('Input data'!$C$34,30,1)</f>
        <v/>
      </c>
      <c r="AK27" s="497" t="str">
        <f>+MID('Input data'!$C$34,31,1)</f>
        <v/>
      </c>
    </row>
    <row r="28" spans="1:37" x14ac:dyDescent="0.25">
      <c r="A28" s="495" t="s">
        <v>1174</v>
      </c>
      <c r="B28" s="914"/>
      <c r="C28" s="914"/>
      <c r="D28" s="914"/>
      <c r="E28" s="914"/>
      <c r="F28" s="914"/>
      <c r="G28" s="494"/>
      <c r="H28" s="494"/>
      <c r="I28" s="494"/>
      <c r="J28" s="494"/>
      <c r="K28" s="494"/>
      <c r="L28" s="494"/>
      <c r="M28" s="494"/>
      <c r="N28" s="914"/>
      <c r="O28" s="494" t="s">
        <v>1175</v>
      </c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  <c r="AD28" s="494"/>
      <c r="AE28" s="448"/>
      <c r="AF28" s="448"/>
      <c r="AG28" s="448"/>
      <c r="AH28" s="448"/>
      <c r="AI28" s="448"/>
      <c r="AJ28" s="448"/>
      <c r="AK28" s="447"/>
    </row>
    <row r="29" spans="1:37" ht="19.5" customHeight="1" x14ac:dyDescent="0.25">
      <c r="A29" s="493">
        <v>0</v>
      </c>
      <c r="B29" s="490" t="str">
        <f>+LEFT('Input data'!$C$36,1)</f>
        <v>2</v>
      </c>
      <c r="C29" s="490" t="str">
        <f>+MID('Input data'!$C$36,2,1)</f>
        <v/>
      </c>
      <c r="D29" s="490" t="str">
        <f>+MID('Input data'!$C$36,3,1)</f>
        <v/>
      </c>
      <c r="E29" s="490" t="s">
        <v>1176</v>
      </c>
      <c r="F29" s="490" t="str">
        <f>+LEFT('Input data'!$C$38,1)</f>
        <v>4</v>
      </c>
      <c r="G29" s="490" t="str">
        <f>+MID('Input data'!$C$38,2,1)</f>
        <v>9</v>
      </c>
      <c r="H29" s="490" t="str">
        <f>+MID('Input data'!$C$38,3,1)</f>
        <v>3</v>
      </c>
      <c r="I29" s="490" t="str">
        <f>+MID('Input data'!$C$38,4,1)</f>
        <v>0</v>
      </c>
      <c r="J29" s="490" t="str">
        <f>+MID('Input data'!$C$38,5,1)</f>
        <v>0</v>
      </c>
      <c r="K29" s="490" t="str">
        <f>+MID('Input data'!$C$38,6,1)</f>
        <v>5</v>
      </c>
      <c r="L29" s="490" t="str">
        <f>+MID('Input data'!$C$38,7,1)</f>
        <v>1</v>
      </c>
      <c r="M29" s="490" t="str">
        <f>+MID('Input data'!$C$38,8,1)</f>
        <v>3</v>
      </c>
      <c r="N29" s="492"/>
      <c r="O29" s="491">
        <v>0</v>
      </c>
      <c r="P29" s="490" t="str">
        <f>+LEFT('Input data'!$C$36,1)</f>
        <v>2</v>
      </c>
      <c r="Q29" s="490" t="str">
        <f>+MID('Input data'!$C$36,2,1)</f>
        <v/>
      </c>
      <c r="R29" s="490" t="str">
        <f>+MID('Input data'!$C$36,3,1)</f>
        <v/>
      </c>
      <c r="S29" s="490" t="s">
        <v>1176</v>
      </c>
      <c r="T29" s="490" t="str">
        <f>+LEFT('Input data'!$C$40,1)</f>
        <v>4</v>
      </c>
      <c r="U29" s="490" t="str">
        <f>+MID('Input data'!$C$40,2,1)</f>
        <v>9</v>
      </c>
      <c r="V29" s="490" t="str">
        <f>+MID('Input data'!$C$40,3,1)</f>
        <v>3</v>
      </c>
      <c r="W29" s="490" t="str">
        <f>+MID('Input data'!$C$40,4,1)</f>
        <v>0</v>
      </c>
      <c r="X29" s="490" t="str">
        <f>+MID('Input data'!$C$40,5,1)</f>
        <v>0</v>
      </c>
      <c r="Y29" s="490" t="str">
        <f>+MID('Input data'!$C$40,6,1)</f>
        <v>5</v>
      </c>
      <c r="Z29" s="490" t="str">
        <f>+MID('Input data'!$C$40,7,1)</f>
        <v>5</v>
      </c>
      <c r="AA29" s="490" t="str">
        <f>+MID('Input data'!$C$40,8,1)</f>
        <v>0</v>
      </c>
      <c r="AB29" s="490"/>
      <c r="AC29" s="490"/>
      <c r="AD29" s="490"/>
      <c r="AE29" s="448"/>
      <c r="AF29" s="448"/>
      <c r="AG29" s="448" t="s">
        <v>1177</v>
      </c>
      <c r="AH29" s="448"/>
      <c r="AI29" s="448"/>
      <c r="AJ29" s="448"/>
      <c r="AK29" s="447"/>
    </row>
    <row r="30" spans="1:37" s="440" customFormat="1" x14ac:dyDescent="0.25">
      <c r="A30" s="452" t="s">
        <v>1178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7"/>
    </row>
    <row r="31" spans="1:37" ht="19.5" customHeight="1" thickBot="1" x14ac:dyDescent="0.3">
      <c r="A31" s="489" t="str">
        <f>+LEFT('Input data'!$B$42,1)</f>
        <v/>
      </c>
      <c r="B31" s="488" t="str">
        <f>+MID('Input data'!$B$42,2,1)</f>
        <v/>
      </c>
      <c r="C31" s="488" t="str">
        <f>+MID('Input data'!$B$42,3,1)</f>
        <v/>
      </c>
      <c r="D31" s="488" t="str">
        <f>+MID('Input data'!$B$42,4,1)</f>
        <v/>
      </c>
      <c r="E31" s="488" t="str">
        <f>+MID('Input data'!$B$42,5,1)</f>
        <v/>
      </c>
      <c r="F31" s="488" t="str">
        <f>+MID('Input data'!$B$42,6,1)</f>
        <v/>
      </c>
      <c r="G31" s="488" t="str">
        <f>+MID('Input data'!$B$42,7,1)</f>
        <v/>
      </c>
      <c r="H31" s="488" t="str">
        <f>+MID('Input data'!$B$42,8,1)</f>
        <v/>
      </c>
      <c r="I31" s="488" t="str">
        <f>+MID('Input data'!$B$42,9,1)</f>
        <v/>
      </c>
      <c r="J31" s="488" t="str">
        <f>+MID('Input data'!$B$42,10,1)</f>
        <v/>
      </c>
      <c r="K31" s="488" t="str">
        <f>+MID('Input data'!$B$42,11,1)</f>
        <v/>
      </c>
      <c r="L31" s="488" t="str">
        <f>+MID('Input data'!$B$42,12,1)</f>
        <v/>
      </c>
      <c r="M31" s="488" t="str">
        <f>+MID('Input data'!$B$42,13,1)</f>
        <v/>
      </c>
      <c r="N31" s="488" t="str">
        <f>+MID('Input data'!$B$42,14,1)</f>
        <v/>
      </c>
      <c r="O31" s="488" t="str">
        <f>+MID('Input data'!$B$42,15,1)</f>
        <v/>
      </c>
      <c r="P31" s="488" t="str">
        <f>+MID('Input data'!$B$42,16,1)</f>
        <v/>
      </c>
      <c r="Q31" s="488" t="str">
        <f>+MID('Input data'!$B$42,17,1)</f>
        <v/>
      </c>
      <c r="R31" s="488" t="str">
        <f>+MID('Input data'!$B$42,18,1)</f>
        <v/>
      </c>
      <c r="S31" s="488" t="str">
        <f>+MID('Input data'!$B$42,19,1)</f>
        <v/>
      </c>
      <c r="T31" s="488" t="str">
        <f>+MID('Input data'!$B$42,20,1)</f>
        <v/>
      </c>
      <c r="U31" s="488" t="str">
        <f>+MID('Input data'!$B$42,21,1)</f>
        <v/>
      </c>
      <c r="V31" s="488" t="str">
        <f>+MID('Input data'!$B$42,22,1)</f>
        <v/>
      </c>
      <c r="W31" s="488" t="str">
        <f>+MID('Input data'!$B$42,23,1)</f>
        <v/>
      </c>
      <c r="X31" s="488" t="str">
        <f>+MID('Input data'!$B$42,24,1)</f>
        <v/>
      </c>
      <c r="Y31" s="488" t="str">
        <f>+MID('Input data'!$B$42,25,1)</f>
        <v/>
      </c>
      <c r="Z31" s="488" t="str">
        <f>+MID('Input data'!$B$42,26,1)</f>
        <v/>
      </c>
      <c r="AA31" s="488" t="str">
        <f>+MID('Input data'!$B$42,27,1)</f>
        <v/>
      </c>
      <c r="AB31" s="488" t="str">
        <f>+MID('Input data'!$B$42,28,1)</f>
        <v/>
      </c>
      <c r="AC31" s="488" t="str">
        <f>+MID('Input data'!$B$42,29,1)</f>
        <v/>
      </c>
      <c r="AD31" s="488" t="str">
        <f>+MID('Input data'!$B$42,30,1)</f>
        <v/>
      </c>
      <c r="AE31" s="488" t="str">
        <f>+MID('Input data'!$B$42,31,1)</f>
        <v/>
      </c>
      <c r="AF31" s="488" t="str">
        <f>+MID('Input data'!$B$42,32,1)</f>
        <v/>
      </c>
      <c r="AG31" s="488" t="str">
        <f>+MID('Input data'!$B$42,33,1)</f>
        <v/>
      </c>
      <c r="AH31" s="488" t="str">
        <f>+MID('Input data'!$B$42,34,1)</f>
        <v/>
      </c>
      <c r="AI31" s="488" t="str">
        <f>+MID('Input data'!$B$42,35,1)</f>
        <v/>
      </c>
      <c r="AJ31" s="488" t="str">
        <f>+MID('Input data'!$B$42,36,1)</f>
        <v/>
      </c>
      <c r="AK31" s="487" t="str">
        <f>+MID('Input data'!$B$42,37,1)</f>
        <v/>
      </c>
    </row>
    <row r="32" spans="1:37" s="440" customFormat="1" ht="4.5" customHeight="1" thickBot="1" x14ac:dyDescent="0.3">
      <c r="W32" s="441"/>
      <c r="X32" s="441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</row>
    <row r="33" spans="1:37" s="483" customFormat="1" ht="12.75" customHeight="1" x14ac:dyDescent="0.25">
      <c r="A33" s="486" t="s">
        <v>1179</v>
      </c>
      <c r="B33" s="485"/>
      <c r="C33" s="485"/>
      <c r="D33" s="485"/>
      <c r="E33" s="485"/>
      <c r="F33" s="485"/>
      <c r="G33" s="485"/>
      <c r="H33" s="485"/>
      <c r="I33" s="485"/>
      <c r="J33" s="485"/>
      <c r="K33" s="484"/>
      <c r="L33" s="1030" t="s">
        <v>1923</v>
      </c>
      <c r="M33" s="1031"/>
      <c r="N33" s="1031"/>
      <c r="O33" s="1031"/>
      <c r="P33" s="1031"/>
      <c r="Q33" s="1031"/>
      <c r="R33" s="1031"/>
      <c r="S33" s="1031"/>
      <c r="T33" s="1032"/>
      <c r="U33" s="1031" t="s">
        <v>1181</v>
      </c>
      <c r="V33" s="1031"/>
      <c r="W33" s="1031"/>
      <c r="X33" s="1031"/>
      <c r="Y33" s="1031"/>
      <c r="Z33" s="1031"/>
      <c r="AA33" s="1031"/>
      <c r="AB33" s="1032"/>
      <c r="AC33" s="1030" t="s">
        <v>1922</v>
      </c>
      <c r="AD33" s="1031"/>
      <c r="AE33" s="1031"/>
      <c r="AF33" s="1031"/>
      <c r="AG33" s="1031"/>
      <c r="AH33" s="1031"/>
      <c r="AI33" s="1031"/>
      <c r="AJ33" s="1031"/>
      <c r="AK33" s="1036"/>
    </row>
    <row r="34" spans="1:37" s="440" customFormat="1" ht="19.5" customHeight="1" x14ac:dyDescent="0.25">
      <c r="A34" s="469" t="str">
        <f>LEFT(TEXT('Input data'!F25,"dd.m.yyyy"),1)</f>
        <v>1</v>
      </c>
      <c r="B34" s="468" t="str">
        <f>MID(TEXT('Input data'!$F$25,"dd.mm.yyyy"),2,1)</f>
        <v>3</v>
      </c>
      <c r="C34" s="467" t="s">
        <v>1147</v>
      </c>
      <c r="D34" s="468" t="str">
        <f>MID(TEXT('Input data'!$F$25,"dd.mm.yyyy"),4,1)</f>
        <v>0</v>
      </c>
      <c r="E34" s="468" t="str">
        <f>MID(TEXT('Input data'!$F$25,"dd.mm.yyyy"),5,1)</f>
        <v>6</v>
      </c>
      <c r="F34" s="467" t="s">
        <v>1147</v>
      </c>
      <c r="G34" s="466" t="str">
        <f>MID(TEXT('Input data'!$F$25,"dd.mm.yyyy"),7,1)</f>
        <v>2</v>
      </c>
      <c r="H34" s="466" t="str">
        <f>MID(TEXT('Input data'!$F$25,"dd.mm.yyyy"),8,1)</f>
        <v>0</v>
      </c>
      <c r="I34" s="466" t="str">
        <f>MID(TEXT('Input data'!$F$25,"dd.mm.yyyy"),9,1)</f>
        <v>1</v>
      </c>
      <c r="J34" s="466" t="str">
        <f>MID(TEXT('Input data'!$F$25,"dd.mm.yyyy"),10,1)</f>
        <v>4</v>
      </c>
      <c r="K34" s="482"/>
      <c r="L34" s="1033"/>
      <c r="M34" s="1034"/>
      <c r="N34" s="1034"/>
      <c r="O34" s="1034"/>
      <c r="P34" s="1034"/>
      <c r="Q34" s="1034"/>
      <c r="R34" s="1034"/>
      <c r="S34" s="1034"/>
      <c r="T34" s="1035"/>
      <c r="U34" s="1034"/>
      <c r="V34" s="1034"/>
      <c r="W34" s="1034"/>
      <c r="X34" s="1034"/>
      <c r="Y34" s="1034"/>
      <c r="Z34" s="1034"/>
      <c r="AA34" s="1034"/>
      <c r="AB34" s="1035"/>
      <c r="AC34" s="1033"/>
      <c r="AD34" s="1034"/>
      <c r="AE34" s="1034"/>
      <c r="AF34" s="1034"/>
      <c r="AG34" s="1034"/>
      <c r="AH34" s="1034"/>
      <c r="AI34" s="1034"/>
      <c r="AJ34" s="1034"/>
      <c r="AK34" s="1037"/>
    </row>
    <row r="35" spans="1:37" s="440" customFormat="1" ht="13.5" customHeight="1" x14ac:dyDescent="0.25">
      <c r="A35" s="481"/>
      <c r="B35" s="480"/>
      <c r="C35" s="480"/>
      <c r="D35" s="480"/>
      <c r="E35" s="480"/>
      <c r="F35" s="480"/>
      <c r="G35" s="479"/>
      <c r="H35" s="479"/>
      <c r="I35" s="479"/>
      <c r="J35" s="479"/>
      <c r="K35" s="478"/>
      <c r="L35" s="1033"/>
      <c r="M35" s="1034"/>
      <c r="N35" s="1034"/>
      <c r="O35" s="1034"/>
      <c r="P35" s="1034"/>
      <c r="Q35" s="1034"/>
      <c r="R35" s="1034"/>
      <c r="S35" s="1034"/>
      <c r="T35" s="1035"/>
      <c r="U35" s="1034"/>
      <c r="V35" s="1034"/>
      <c r="W35" s="1034"/>
      <c r="X35" s="1034"/>
      <c r="Y35" s="1034"/>
      <c r="Z35" s="1034"/>
      <c r="AA35" s="1034"/>
      <c r="AB35" s="1035"/>
      <c r="AC35" s="1033"/>
      <c r="AD35" s="1034"/>
      <c r="AE35" s="1034"/>
      <c r="AF35" s="1034"/>
      <c r="AG35" s="1034"/>
      <c r="AH35" s="1034"/>
      <c r="AI35" s="1034"/>
      <c r="AJ35" s="1034"/>
      <c r="AK35" s="1037"/>
    </row>
    <row r="36" spans="1:37" s="440" customFormat="1" x14ac:dyDescent="0.2">
      <c r="A36" s="452" t="s">
        <v>1183</v>
      </c>
      <c r="B36" s="451"/>
      <c r="C36" s="451"/>
      <c r="D36" s="451"/>
      <c r="E36" s="451"/>
      <c r="F36" s="451"/>
      <c r="G36" s="477"/>
      <c r="H36" s="477"/>
      <c r="I36" s="477"/>
      <c r="J36" s="477"/>
      <c r="K36" s="476"/>
      <c r="L36" s="475"/>
      <c r="M36" s="475"/>
      <c r="N36" s="475"/>
      <c r="O36" s="475"/>
      <c r="P36" s="475"/>
      <c r="Q36" s="475"/>
      <c r="R36" s="475"/>
      <c r="S36" s="451"/>
      <c r="T36" s="473"/>
      <c r="U36" s="474"/>
      <c r="V36" s="474"/>
      <c r="W36" s="474"/>
      <c r="X36" s="474"/>
      <c r="Y36" s="474"/>
      <c r="Z36" s="448"/>
      <c r="AA36" s="474"/>
      <c r="AB36" s="473"/>
      <c r="AC36" s="472"/>
      <c r="AD36" s="471"/>
      <c r="AE36" s="471"/>
      <c r="AF36" s="471"/>
      <c r="AG36" s="471"/>
      <c r="AH36" s="471"/>
      <c r="AI36" s="471"/>
      <c r="AJ36" s="471"/>
      <c r="AK36" s="470"/>
    </row>
    <row r="37" spans="1:37" s="440" customFormat="1" ht="19.5" customHeight="1" x14ac:dyDescent="0.25">
      <c r="A37" s="469" t="str">
        <f>IF('Input data'!$F$27="","",LEFT(TEXT('Input data'!$F$27,"dd.mm.yyyy"),1))</f>
        <v/>
      </c>
      <c r="B37" s="468" t="str">
        <f>IF('Input data'!$F$27="","",MID(TEXT('Input data'!$F$27,"dd.mm.yyyy"),2,1))</f>
        <v/>
      </c>
      <c r="C37" s="467" t="s">
        <v>1147</v>
      </c>
      <c r="D37" s="468" t="str">
        <f>IF('Input data'!$F$27="","",MID(TEXT('Input data'!$F$27,"dd.mm.yyyy"),4,1))</f>
        <v/>
      </c>
      <c r="E37" s="468" t="str">
        <f>IF('Input data'!$F$27="","",MID(TEXT('Input data'!$F$27,"dd.mm.yyyy"),5,1))</f>
        <v/>
      </c>
      <c r="F37" s="467" t="s">
        <v>1147</v>
      </c>
      <c r="G37" s="466" t="str">
        <f>IF('Input data'!$F$27="","",MID(TEXT('Input data'!$F$27,"dd.mm.yyyy"),7,1))</f>
        <v/>
      </c>
      <c r="H37" s="466" t="str">
        <f>IF('Input data'!$F$27="","",MID(TEXT('Input data'!$F$27,"dd.mm.yyyy"),8,1))</f>
        <v/>
      </c>
      <c r="I37" s="466" t="str">
        <f>IF('Input data'!$F$27="","",MID(TEXT('Input data'!$F$27,"dd.mm.yyyy"),9,1))</f>
        <v/>
      </c>
      <c r="J37" s="466" t="str">
        <f>IF('Input data'!$F$27="","",MID(TEXT('Input data'!$F$27,"dd.mm.yyyy"),10,1))</f>
        <v/>
      </c>
      <c r="K37" s="465"/>
      <c r="L37" s="464"/>
      <c r="M37" s="463"/>
      <c r="N37" s="463"/>
      <c r="O37" s="463"/>
      <c r="P37" s="463"/>
      <c r="Q37" s="463"/>
      <c r="R37" s="463"/>
      <c r="S37" s="463"/>
      <c r="T37" s="462"/>
      <c r="U37" s="464"/>
      <c r="V37" s="463"/>
      <c r="W37" s="463"/>
      <c r="X37" s="463"/>
      <c r="Y37" s="463"/>
      <c r="Z37" s="463"/>
      <c r="AA37" s="463"/>
      <c r="AB37" s="462"/>
      <c r="AC37" s="448"/>
      <c r="AD37" s="448"/>
      <c r="AE37" s="448"/>
      <c r="AF37" s="448"/>
      <c r="AG37" s="448"/>
      <c r="AH37" s="448"/>
      <c r="AI37" s="448"/>
      <c r="AJ37" s="448"/>
      <c r="AK37" s="447"/>
    </row>
    <row r="38" spans="1:37" s="446" customFormat="1" thickBot="1" x14ac:dyDescent="0.3">
      <c r="A38" s="461"/>
      <c r="B38" s="460"/>
      <c r="C38" s="460"/>
      <c r="D38" s="460"/>
      <c r="E38" s="460"/>
      <c r="F38" s="460"/>
      <c r="G38" s="460"/>
      <c r="H38" s="460"/>
      <c r="I38" s="460"/>
      <c r="J38" s="460"/>
      <c r="K38" s="459"/>
      <c r="L38" s="1038">
        <f>'Input data'!F31</f>
        <v>0</v>
      </c>
      <c r="M38" s="1039"/>
      <c r="N38" s="1039"/>
      <c r="O38" s="1039"/>
      <c r="P38" s="1039"/>
      <c r="Q38" s="1039"/>
      <c r="R38" s="1039"/>
      <c r="S38" s="1039"/>
      <c r="T38" s="1040"/>
      <c r="U38" s="1038">
        <f>'Input data'!F35</f>
        <v>0</v>
      </c>
      <c r="V38" s="1039"/>
      <c r="W38" s="1039"/>
      <c r="X38" s="1039"/>
      <c r="Y38" s="1039"/>
      <c r="Z38" s="1039"/>
      <c r="AA38" s="1039"/>
      <c r="AB38" s="1040"/>
      <c r="AC38" s="1041">
        <f>'Input data'!F39</f>
        <v>0</v>
      </c>
      <c r="AD38" s="1039"/>
      <c r="AE38" s="1039"/>
      <c r="AF38" s="1039"/>
      <c r="AG38" s="1039"/>
      <c r="AH38" s="1039"/>
      <c r="AI38" s="1039"/>
      <c r="AJ38" s="1039"/>
      <c r="AK38" s="1042"/>
    </row>
    <row r="39" spans="1:37" s="446" customFormat="1" x14ac:dyDescent="0.25"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</row>
    <row r="40" spans="1:37" s="446" customFormat="1" ht="12.75" customHeight="1" x14ac:dyDescent="0.25"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</row>
    <row r="41" spans="1:37" s="446" customFormat="1" x14ac:dyDescent="0.25"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</row>
    <row r="42" spans="1:37" ht="13.5" thickBot="1" x14ac:dyDescent="0.3"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</row>
    <row r="43" spans="1:37" s="446" customFormat="1" x14ac:dyDescent="0.25">
      <c r="B43" s="458" t="s">
        <v>1184</v>
      </c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457"/>
      <c r="S43" s="457"/>
      <c r="T43" s="457"/>
      <c r="U43" s="457"/>
      <c r="V43" s="457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5"/>
      <c r="AK43" s="441"/>
    </row>
    <row r="44" spans="1:37" s="446" customFormat="1" x14ac:dyDescent="0.25">
      <c r="B44" s="450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37" ht="12.75" customHeight="1" x14ac:dyDescent="0.25">
      <c r="B45" s="454"/>
      <c r="C45" s="914"/>
      <c r="D45" s="914"/>
      <c r="E45" s="914"/>
      <c r="F45" s="914"/>
      <c r="G45" s="914"/>
      <c r="H45" s="914"/>
      <c r="I45" s="914"/>
      <c r="J45" s="914"/>
      <c r="K45" s="914"/>
      <c r="L45" s="914"/>
      <c r="M45" s="914"/>
      <c r="N45" s="914"/>
      <c r="O45" s="914"/>
      <c r="P45" s="914"/>
      <c r="Q45" s="914"/>
      <c r="R45" s="914"/>
      <c r="S45" s="914"/>
      <c r="T45" s="914"/>
      <c r="U45" s="914"/>
      <c r="V45" s="914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37" s="446" customFormat="1" x14ac:dyDescent="0.25">
      <c r="B46" s="450"/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  <c r="V46" s="449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37" s="440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37" s="440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2:37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2:37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2:37" s="446" customFormat="1" x14ac:dyDescent="0.25">
      <c r="B51" s="450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7"/>
      <c r="AK51" s="441"/>
    </row>
    <row r="52" spans="2:37" s="446" customFormat="1" x14ac:dyDescent="0.25">
      <c r="B52" s="450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7"/>
      <c r="AK52" s="441"/>
    </row>
    <row r="53" spans="2:37" s="440" customFormat="1" ht="13.5" thickBot="1" x14ac:dyDescent="0.3">
      <c r="B53" s="445"/>
      <c r="C53" s="444"/>
      <c r="D53" s="444"/>
      <c r="E53" s="444"/>
      <c r="F53" s="444"/>
      <c r="G53" s="444" t="s">
        <v>1185</v>
      </c>
      <c r="H53" s="444"/>
      <c r="I53" s="444"/>
      <c r="J53" s="444"/>
      <c r="K53" s="444"/>
      <c r="L53" s="444"/>
      <c r="M53" s="444"/>
      <c r="N53" s="444"/>
      <c r="O53" s="444"/>
      <c r="P53" s="444"/>
      <c r="Q53" s="444"/>
      <c r="R53" s="444"/>
      <c r="S53" s="444"/>
      <c r="T53" s="444"/>
      <c r="U53" s="444" t="s">
        <v>1186</v>
      </c>
      <c r="V53" s="444"/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3"/>
      <c r="AH53" s="443"/>
      <c r="AI53" s="443"/>
      <c r="AJ53" s="442"/>
      <c r="AK53" s="441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384" customWidth="1" outlineLevel="1"/>
    <col min="8" max="9" width="20.42578125" style="385" customWidth="1" outlineLevel="1"/>
    <col min="10" max="10" width="20.42578125" style="389" customWidth="1"/>
    <col min="12" max="12" width="20.42578125" style="391" customWidth="1"/>
  </cols>
  <sheetData>
    <row r="1" spans="1:13" ht="16.5" x14ac:dyDescent="0.3">
      <c r="A1" s="1" t="s">
        <v>153</v>
      </c>
      <c r="G1" s="1509" t="s">
        <v>1138</v>
      </c>
      <c r="H1" s="1510"/>
      <c r="I1" s="1510"/>
      <c r="J1" s="1511"/>
      <c r="L1" s="397" t="s">
        <v>1140</v>
      </c>
      <c r="M1" s="394"/>
    </row>
    <row r="3" spans="1:13" ht="17.25" thickBot="1" x14ac:dyDescent="0.35">
      <c r="A3" s="5" t="s">
        <v>15</v>
      </c>
    </row>
    <row r="4" spans="1:13" ht="16.5" thickTop="1" thickBot="1" x14ac:dyDescent="0.3">
      <c r="A4" s="1328" t="s">
        <v>159</v>
      </c>
      <c r="B4" s="1197" t="s">
        <v>2</v>
      </c>
      <c r="C4" s="1198"/>
      <c r="D4" s="1198"/>
      <c r="E4" s="1199"/>
    </row>
    <row r="5" spans="1:13" ht="18" customHeight="1" thickTop="1" x14ac:dyDescent="0.25">
      <c r="A5" s="1329"/>
      <c r="B5" s="1329" t="s">
        <v>32</v>
      </c>
      <c r="C5" s="1329" t="s">
        <v>27</v>
      </c>
      <c r="D5" s="1329" t="s">
        <v>28</v>
      </c>
      <c r="E5" s="1329" t="s">
        <v>30</v>
      </c>
      <c r="G5" s="1328" t="s">
        <v>32</v>
      </c>
      <c r="H5" s="1328" t="s">
        <v>27</v>
      </c>
      <c r="I5" s="1328" t="s">
        <v>28</v>
      </c>
      <c r="J5" s="1328" t="s">
        <v>30</v>
      </c>
      <c r="L5" s="1328" t="s">
        <v>30</v>
      </c>
    </row>
    <row r="6" spans="1:13" ht="17.25" customHeight="1" thickBot="1" x14ac:dyDescent="0.3">
      <c r="A6" s="1330"/>
      <c r="B6" s="1330"/>
      <c r="C6" s="1330"/>
      <c r="D6" s="1330"/>
      <c r="E6" s="1330"/>
      <c r="G6" s="1330"/>
      <c r="H6" s="1330"/>
      <c r="I6" s="1330"/>
      <c r="J6" s="1330"/>
      <c r="L6" s="1330"/>
    </row>
    <row r="7" spans="1:13" ht="21.75" customHeight="1" thickTop="1" thickBot="1" x14ac:dyDescent="0.3">
      <c r="A7" s="14" t="s">
        <v>160</v>
      </c>
      <c r="B7" s="22"/>
      <c r="C7" s="22"/>
      <c r="D7" s="22"/>
      <c r="E7" s="15">
        <f>SUM(B7:D7)</f>
        <v>0</v>
      </c>
      <c r="J7" s="390">
        <f>SUM(B7:D7)-E7</f>
        <v>0</v>
      </c>
    </row>
    <row r="8" spans="1:13" ht="21.75" customHeight="1" thickBot="1" x14ac:dyDescent="0.3">
      <c r="A8" s="14" t="s">
        <v>161</v>
      </c>
      <c r="B8" s="22"/>
      <c r="C8" s="22"/>
      <c r="D8" s="22"/>
      <c r="E8" s="15">
        <f t="shared" ref="E8:E12" si="0">SUM(B8:D8)</f>
        <v>0</v>
      </c>
      <c r="J8" s="390">
        <f t="shared" ref="J8:J12" si="1">SUM(B8:D8)-E8</f>
        <v>0</v>
      </c>
    </row>
    <row r="9" spans="1:13" ht="21.75" customHeight="1" thickBot="1" x14ac:dyDescent="0.3">
      <c r="A9" s="14" t="s">
        <v>162</v>
      </c>
      <c r="B9" s="22"/>
      <c r="C9" s="22"/>
      <c r="D9" s="22"/>
      <c r="E9" s="15">
        <f t="shared" si="0"/>
        <v>0</v>
      </c>
      <c r="J9" s="390">
        <f t="shared" si="1"/>
        <v>0</v>
      </c>
    </row>
    <row r="10" spans="1:13" ht="21.75" customHeight="1" thickBot="1" x14ac:dyDescent="0.3">
      <c r="A10" s="14" t="s">
        <v>163</v>
      </c>
      <c r="B10" s="22"/>
      <c r="C10" s="22"/>
      <c r="D10" s="22"/>
      <c r="E10" s="15">
        <f t="shared" si="0"/>
        <v>0</v>
      </c>
      <c r="J10" s="390">
        <f t="shared" si="1"/>
        <v>0</v>
      </c>
    </row>
    <row r="11" spans="1:13" ht="21.75" customHeight="1" thickBot="1" x14ac:dyDescent="0.3">
      <c r="A11" s="14" t="s">
        <v>164</v>
      </c>
      <c r="B11" s="22"/>
      <c r="C11" s="22"/>
      <c r="D11" s="22"/>
      <c r="E11" s="15">
        <f t="shared" si="0"/>
        <v>0</v>
      </c>
      <c r="J11" s="390">
        <f t="shared" si="1"/>
        <v>0</v>
      </c>
    </row>
    <row r="12" spans="1:13" ht="21.75" customHeight="1" thickBot="1" x14ac:dyDescent="0.3">
      <c r="A12" s="14" t="s">
        <v>165</v>
      </c>
      <c r="B12" s="22"/>
      <c r="C12" s="22"/>
      <c r="D12" s="22"/>
      <c r="E12" s="15">
        <f t="shared" si="0"/>
        <v>0</v>
      </c>
      <c r="J12" s="390">
        <f t="shared" si="1"/>
        <v>0</v>
      </c>
    </row>
    <row r="13" spans="1:13" ht="21.75" customHeight="1" thickBot="1" x14ac:dyDescent="0.3">
      <c r="A13" s="25" t="s">
        <v>166</v>
      </c>
      <c r="B13" s="58">
        <f>SUM(B7:B12)</f>
        <v>0</v>
      </c>
      <c r="C13" s="58">
        <f t="shared" ref="C13:E13" si="2">SUM(C7:C12)</f>
        <v>0</v>
      </c>
      <c r="D13" s="58">
        <f t="shared" si="2"/>
        <v>0</v>
      </c>
      <c r="E13" s="60">
        <f t="shared" si="2"/>
        <v>0</v>
      </c>
      <c r="G13" s="387">
        <f>SUM(B7:B12)-B13</f>
        <v>0</v>
      </c>
      <c r="H13" s="386">
        <f t="shared" ref="H13:J13" si="3">SUM(C7:C12)-C13</f>
        <v>0</v>
      </c>
      <c r="I13" s="386">
        <f t="shared" si="3"/>
        <v>0</v>
      </c>
      <c r="J13" s="390">
        <f t="shared" si="3"/>
        <v>0</v>
      </c>
      <c r="L13" s="398">
        <f>E13-SUM(BS!$D$68:$D$69)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384" hidden="1" customWidth="1" outlineLevel="1"/>
    <col min="10" max="11" width="23.140625" style="385" hidden="1" customWidth="1" outlineLevel="1"/>
    <col min="12" max="12" width="20.140625" style="385" hidden="1" customWidth="1" outlineLevel="1"/>
    <col min="13" max="13" width="24.85546875" style="389" customWidth="1" collapsed="1"/>
    <col min="14" max="14" width="9.140625" style="385"/>
    <col min="15" max="15" width="20.42578125" style="391" customWidth="1"/>
  </cols>
  <sheetData>
    <row r="1" spans="1:15" ht="17.25" thickBot="1" x14ac:dyDescent="0.35">
      <c r="A1" s="1" t="s">
        <v>167</v>
      </c>
      <c r="I1" s="1515" t="s">
        <v>1138</v>
      </c>
      <c r="J1" s="1516"/>
      <c r="K1" s="1516"/>
      <c r="L1" s="1516"/>
      <c r="M1" s="1517"/>
      <c r="N1" s="389"/>
      <c r="O1" s="397" t="s">
        <v>1140</v>
      </c>
    </row>
    <row r="2" spans="1:15" ht="55.5" customHeight="1" thickTop="1" thickBot="1" x14ac:dyDescent="0.3">
      <c r="A2" s="59" t="s">
        <v>168</v>
      </c>
      <c r="B2" s="59" t="s">
        <v>169</v>
      </c>
      <c r="C2" s="59" t="s">
        <v>170</v>
      </c>
      <c r="D2" s="59" t="s">
        <v>88</v>
      </c>
      <c r="E2" s="59" t="s">
        <v>457</v>
      </c>
      <c r="F2" s="59" t="s">
        <v>171</v>
      </c>
      <c r="I2" s="59" t="s">
        <v>169</v>
      </c>
      <c r="J2" s="59" t="s">
        <v>170</v>
      </c>
      <c r="K2" s="59" t="s">
        <v>88</v>
      </c>
      <c r="L2" s="176" t="s">
        <v>457</v>
      </c>
      <c r="M2" s="59" t="s">
        <v>171</v>
      </c>
      <c r="N2" s="400"/>
      <c r="O2" s="59" t="s">
        <v>171</v>
      </c>
    </row>
    <row r="3" spans="1:15" ht="23.25" customHeight="1" thickTop="1" thickBot="1" x14ac:dyDescent="0.3">
      <c r="A3" s="71" t="s">
        <v>164</v>
      </c>
      <c r="B3" s="79"/>
      <c r="C3" s="79"/>
      <c r="D3" s="79"/>
      <c r="E3" s="79"/>
      <c r="F3" s="80">
        <f>SUM(B3:E3)</f>
        <v>0</v>
      </c>
      <c r="M3" s="390">
        <f>SUM(B3:E3)-F3</f>
        <v>0</v>
      </c>
      <c r="N3" s="390"/>
    </row>
    <row r="4" spans="1:15" ht="23.25" customHeight="1" thickBot="1" x14ac:dyDescent="0.3">
      <c r="A4" s="14" t="s">
        <v>165</v>
      </c>
      <c r="B4" s="79"/>
      <c r="C4" s="79"/>
      <c r="D4" s="79"/>
      <c r="E4" s="79"/>
      <c r="F4" s="80">
        <f t="shared" ref="F4:F5" si="0">SUM(B4:E4)</f>
        <v>0</v>
      </c>
      <c r="M4" s="390">
        <f>SUM(B4:E4)-F4</f>
        <v>0</v>
      </c>
      <c r="N4" s="390"/>
    </row>
    <row r="5" spans="1:15" ht="23.25" customHeight="1" thickBot="1" x14ac:dyDescent="0.3">
      <c r="A5" s="25" t="s">
        <v>166</v>
      </c>
      <c r="B5" s="81">
        <f>SUM(B3:B4)</f>
        <v>0</v>
      </c>
      <c r="C5" s="81">
        <f>SUM(C3:C4)</f>
        <v>0</v>
      </c>
      <c r="D5" s="81">
        <f>SUM(D3:D4)</f>
        <v>0</v>
      </c>
      <c r="E5" s="81">
        <f>SUM(E3:E4)</f>
        <v>0</v>
      </c>
      <c r="F5" s="82">
        <f t="shared" si="0"/>
        <v>0</v>
      </c>
      <c r="I5" s="387">
        <f>SUM(B3:B4)-B5</f>
        <v>0</v>
      </c>
      <c r="J5" s="386">
        <f>SUM(C3:C4)-C5</f>
        <v>0</v>
      </c>
      <c r="K5" s="386">
        <f>SUM(D3:D4)-D5</f>
        <v>0</v>
      </c>
      <c r="L5" s="386">
        <f>SUM(E3:E4)-E5</f>
        <v>0</v>
      </c>
      <c r="M5" s="390">
        <f>SUM(F3:F4)-F5</f>
        <v>0</v>
      </c>
      <c r="N5" s="390"/>
      <c r="O5" s="398">
        <f>F5-SUM(BS!E68:E69)</f>
        <v>0</v>
      </c>
    </row>
    <row r="6" spans="1:15" ht="15.75" thickTop="1" x14ac:dyDescent="0.25">
      <c r="M6" s="390"/>
      <c r="N6" s="390"/>
    </row>
    <row r="7" spans="1:15" x14ac:dyDescent="0.25">
      <c r="M7" s="390"/>
      <c r="N7" s="390"/>
    </row>
    <row r="8" spans="1:15" x14ac:dyDescent="0.25">
      <c r="M8" s="390"/>
      <c r="N8" s="390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5" t="s">
        <v>131</v>
      </c>
      <c r="B2" s="76" t="s">
        <v>36</v>
      </c>
    </row>
    <row r="3" spans="1:2" ht="24" thickTop="1" thickBot="1" x14ac:dyDescent="0.3">
      <c r="A3" s="12" t="s">
        <v>172</v>
      </c>
      <c r="B3" s="77"/>
    </row>
    <row r="4" spans="1:2" ht="23.25" thickBot="1" x14ac:dyDescent="0.3">
      <c r="A4" s="16" t="s">
        <v>173</v>
      </c>
      <c r="B4" s="78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84" t="s">
        <v>168</v>
      </c>
      <c r="B2" s="638" t="s">
        <v>462</v>
      </c>
      <c r="C2" s="638" t="s">
        <v>463</v>
      </c>
      <c r="D2" s="638" t="s">
        <v>464</v>
      </c>
    </row>
    <row r="3" spans="1:4" ht="16.5" thickTop="1" thickBot="1" x14ac:dyDescent="0.3">
      <c r="A3" s="71" t="s">
        <v>160</v>
      </c>
      <c r="B3" s="79"/>
      <c r="C3" s="79"/>
      <c r="D3" s="80"/>
    </row>
    <row r="4" spans="1:4" ht="15.75" thickBot="1" x14ac:dyDescent="0.3">
      <c r="A4" s="71" t="s">
        <v>161</v>
      </c>
      <c r="B4" s="79"/>
      <c r="C4" s="79"/>
      <c r="D4" s="80"/>
    </row>
    <row r="5" spans="1:4" ht="15.75" thickBot="1" x14ac:dyDescent="0.3">
      <c r="A5" s="71" t="s">
        <v>176</v>
      </c>
      <c r="B5" s="79"/>
      <c r="C5" s="79"/>
      <c r="D5" s="80"/>
    </row>
    <row r="6" spans="1:4" ht="15.75" thickBot="1" x14ac:dyDescent="0.3">
      <c r="A6" s="71" t="s">
        <v>164</v>
      </c>
      <c r="B6" s="79"/>
      <c r="C6" s="79"/>
      <c r="D6" s="80"/>
    </row>
    <row r="7" spans="1:4" ht="26.25" customHeight="1" thickBot="1" x14ac:dyDescent="0.3">
      <c r="A7" s="86" t="s">
        <v>166</v>
      </c>
      <c r="B7" s="85"/>
      <c r="C7" s="85"/>
      <c r="D7" s="78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384" customWidth="1"/>
    <col min="6" max="6" width="41.28515625" style="389" customWidth="1"/>
    <col min="8" max="8" width="26.7109375" style="384" customWidth="1"/>
    <col min="9" max="9" width="26.7109375" style="389" customWidth="1"/>
  </cols>
  <sheetData>
    <row r="1" spans="1:9" ht="17.25" thickBot="1" x14ac:dyDescent="0.35">
      <c r="A1" s="1" t="s">
        <v>177</v>
      </c>
      <c r="E1" s="1515" t="s">
        <v>1138</v>
      </c>
      <c r="F1" s="1517"/>
      <c r="G1" s="394"/>
      <c r="H1" s="1509" t="s">
        <v>1140</v>
      </c>
      <c r="I1" s="1511"/>
    </row>
    <row r="2" spans="1:9" ht="35.25" thickTop="1" thickBot="1" x14ac:dyDescent="0.3">
      <c r="A2" s="84" t="s">
        <v>178</v>
      </c>
      <c r="B2" s="638" t="s">
        <v>2</v>
      </c>
      <c r="C2" s="638" t="s">
        <v>3</v>
      </c>
      <c r="E2" s="59" t="s">
        <v>2</v>
      </c>
      <c r="F2" s="59" t="s">
        <v>3</v>
      </c>
      <c r="H2" s="59" t="s">
        <v>2</v>
      </c>
      <c r="I2" s="59" t="s">
        <v>3</v>
      </c>
    </row>
    <row r="3" spans="1:9" ht="24" thickTop="1" thickBot="1" x14ac:dyDescent="0.3">
      <c r="A3" s="25" t="s">
        <v>179</v>
      </c>
      <c r="B3" s="401">
        <f>SUM(B4:B5)</f>
        <v>0</v>
      </c>
      <c r="C3" s="143">
        <f>SUM(C4:C5)</f>
        <v>0</v>
      </c>
      <c r="E3" s="387">
        <f>SUM(B4:B5)-B3</f>
        <v>0</v>
      </c>
      <c r="F3" s="390">
        <f>SUM(C4:C5)-C3</f>
        <v>0</v>
      </c>
      <c r="H3" s="387">
        <f>B3-BS!$D$71</f>
        <v>0</v>
      </c>
      <c r="I3" s="404">
        <f>C3-BS!$G$71</f>
        <v>0</v>
      </c>
    </row>
    <row r="4" spans="1:9" ht="16.5" thickTop="1" thickBot="1" x14ac:dyDescent="0.3">
      <c r="A4" s="14"/>
      <c r="B4" s="402"/>
      <c r="C4" s="80"/>
    </row>
    <row r="5" spans="1:9" ht="15.75" thickBot="1" x14ac:dyDescent="0.3">
      <c r="A5" s="16"/>
      <c r="B5" s="403"/>
      <c r="C5" s="78"/>
    </row>
    <row r="6" spans="1:9" ht="24" thickTop="1" thickBot="1" x14ac:dyDescent="0.3">
      <c r="A6" s="25" t="s">
        <v>180</v>
      </c>
      <c r="B6" s="403">
        <f>SUM(B7:B8)</f>
        <v>0</v>
      </c>
      <c r="C6" s="143">
        <f>SUM(C7:C8)</f>
        <v>0</v>
      </c>
      <c r="E6" s="387">
        <f>SUM(B7:B8)-B6</f>
        <v>0</v>
      </c>
      <c r="F6" s="390">
        <f>SUM(C7:C8)-C6</f>
        <v>0</v>
      </c>
      <c r="H6" s="387">
        <f>B6-BS!$D$72</f>
        <v>-1526</v>
      </c>
      <c r="I6" s="390">
        <f>C6-BS!$G$72</f>
        <v>-1889</v>
      </c>
    </row>
    <row r="7" spans="1:9" ht="16.5" thickTop="1" thickBot="1" x14ac:dyDescent="0.3">
      <c r="A7" s="14"/>
      <c r="B7" s="402"/>
      <c r="C7" s="80"/>
    </row>
    <row r="8" spans="1:9" ht="15.75" thickBot="1" x14ac:dyDescent="0.3">
      <c r="A8" s="16"/>
      <c r="B8" s="403"/>
      <c r="C8" s="78"/>
    </row>
    <row r="9" spans="1:9" ht="24" customHeight="1" thickTop="1" thickBot="1" x14ac:dyDescent="0.3">
      <c r="A9" s="25" t="s">
        <v>181</v>
      </c>
      <c r="B9" s="403">
        <f>SUM(B10:B11)</f>
        <v>0</v>
      </c>
      <c r="C9" s="143">
        <f>SUM(C10:C11)</f>
        <v>0</v>
      </c>
      <c r="E9" s="387">
        <f>SUM(B10:B11)-B9</f>
        <v>0</v>
      </c>
      <c r="F9" s="390">
        <f>SUM(C10:C11)-C9</f>
        <v>0</v>
      </c>
      <c r="H9" s="387">
        <f>B9-BS!$D$73</f>
        <v>0</v>
      </c>
      <c r="I9" s="390">
        <f>C9-BS!$G$73</f>
        <v>0</v>
      </c>
    </row>
    <row r="10" spans="1:9" ht="16.5" thickTop="1" thickBot="1" x14ac:dyDescent="0.3">
      <c r="A10" s="14"/>
      <c r="B10" s="402"/>
      <c r="C10" s="80"/>
    </row>
    <row r="11" spans="1:9" ht="15.75" thickBot="1" x14ac:dyDescent="0.3">
      <c r="A11" s="16"/>
      <c r="B11" s="403"/>
      <c r="C11" s="78"/>
    </row>
    <row r="12" spans="1:9" ht="24" thickTop="1" thickBot="1" x14ac:dyDescent="0.3">
      <c r="A12" s="25" t="s">
        <v>182</v>
      </c>
      <c r="B12" s="403">
        <f>SUM(B13:B14)</f>
        <v>0</v>
      </c>
      <c r="C12" s="143">
        <f>SUM(C13:C14)</f>
        <v>0</v>
      </c>
      <c r="E12" s="387">
        <f>SUM(B13:B14)-B12</f>
        <v>0</v>
      </c>
      <c r="F12" s="390">
        <f>SUM(C13:C14)-C12</f>
        <v>0</v>
      </c>
      <c r="H12" s="387">
        <f>B12-BS!$D$74</f>
        <v>-25</v>
      </c>
      <c r="I12" s="390">
        <f>C12-BS!$G$74</f>
        <v>-4336</v>
      </c>
    </row>
    <row r="13" spans="1:9" ht="16.5" thickTop="1" thickBot="1" x14ac:dyDescent="0.3">
      <c r="A13" s="14"/>
      <c r="B13" s="402"/>
      <c r="C13" s="80"/>
    </row>
    <row r="14" spans="1:9" ht="15.75" thickBot="1" x14ac:dyDescent="0.3">
      <c r="A14" s="16"/>
      <c r="B14" s="403"/>
      <c r="C14" s="78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384"/>
    <col min="11" max="14" width="9.140625" style="385"/>
    <col min="15" max="15" width="9.140625" style="389"/>
  </cols>
  <sheetData>
    <row r="1" spans="1:15" ht="17.25" thickBot="1" x14ac:dyDescent="0.35">
      <c r="A1" s="1" t="s">
        <v>183</v>
      </c>
      <c r="J1" s="1515" t="s">
        <v>1138</v>
      </c>
      <c r="K1" s="1516"/>
      <c r="L1" s="1516"/>
      <c r="M1" s="1516"/>
      <c r="N1" s="1516"/>
      <c r="O1" s="1517"/>
    </row>
    <row r="2" spans="1:15" ht="49.5" customHeight="1" thickTop="1" thickBot="1" x14ac:dyDescent="0.3">
      <c r="A2" s="1520" t="s">
        <v>1</v>
      </c>
      <c r="B2" s="1194" t="s">
        <v>2</v>
      </c>
      <c r="C2" s="1195"/>
      <c r="D2" s="1196"/>
      <c r="E2" s="1197" t="s">
        <v>492</v>
      </c>
      <c r="F2" s="1198"/>
      <c r="G2" s="1199"/>
      <c r="J2" s="1194" t="s">
        <v>2</v>
      </c>
      <c r="K2" s="1195"/>
      <c r="L2" s="1196"/>
      <c r="M2" s="1197" t="s">
        <v>492</v>
      </c>
      <c r="N2" s="1198"/>
      <c r="O2" s="1199"/>
    </row>
    <row r="3" spans="1:15" ht="16.5" thickTop="1" thickBot="1" x14ac:dyDescent="0.3">
      <c r="A3" s="1521"/>
      <c r="B3" s="1194" t="s">
        <v>184</v>
      </c>
      <c r="C3" s="1195"/>
      <c r="D3" s="1196"/>
      <c r="E3" s="1194" t="s">
        <v>184</v>
      </c>
      <c r="F3" s="1195"/>
      <c r="G3" s="1196"/>
      <c r="J3" s="1194" t="s">
        <v>184</v>
      </c>
      <c r="K3" s="1195"/>
      <c r="L3" s="1196"/>
      <c r="M3" s="1194" t="s">
        <v>184</v>
      </c>
      <c r="N3" s="1195"/>
      <c r="O3" s="1196"/>
    </row>
    <row r="4" spans="1:15" s="4" customFormat="1" ht="45" customHeight="1" thickTop="1" thickBot="1" x14ac:dyDescent="0.3">
      <c r="A4" s="1522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6.5" thickTop="1" thickBot="1" x14ac:dyDescent="0.3">
      <c r="A5" s="71" t="s">
        <v>188</v>
      </c>
      <c r="B5" s="79"/>
      <c r="C5" s="79"/>
      <c r="D5" s="79"/>
      <c r="E5" s="79"/>
      <c r="F5" s="79"/>
      <c r="G5" s="80"/>
    </row>
    <row r="6" spans="1:15" ht="15.75" thickBot="1" x14ac:dyDescent="0.3">
      <c r="A6" s="71" t="s">
        <v>189</v>
      </c>
      <c r="B6" s="79"/>
      <c r="C6" s="79"/>
      <c r="D6" s="79"/>
      <c r="E6" s="79"/>
      <c r="F6" s="79"/>
      <c r="G6" s="80"/>
    </row>
    <row r="7" spans="1:15" ht="15.75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387">
        <f>SUM(B5:B6)-B7</f>
        <v>0</v>
      </c>
      <c r="K7" s="386">
        <f t="shared" ref="K7:O7" si="1">SUM(C5:C6)-C7</f>
        <v>0</v>
      </c>
      <c r="L7" s="386">
        <f t="shared" si="1"/>
        <v>0</v>
      </c>
      <c r="M7" s="386">
        <f t="shared" si="1"/>
        <v>0</v>
      </c>
      <c r="N7" s="386">
        <f t="shared" si="1"/>
        <v>0</v>
      </c>
      <c r="O7" s="390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2:L2"/>
    <mergeCell ref="M2:O2"/>
    <mergeCell ref="J3:L3"/>
    <mergeCell ref="M3:O3"/>
    <mergeCell ref="J1:O1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391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399" t="s">
        <v>1138</v>
      </c>
      <c r="E1" s="394"/>
      <c r="F1" s="394"/>
      <c r="G1" s="394"/>
      <c r="H1" s="394"/>
    </row>
    <row r="2" spans="1:8" ht="15.75" thickBot="1" x14ac:dyDescent="0.3">
      <c r="A2" s="20" t="s">
        <v>8</v>
      </c>
      <c r="B2" s="20"/>
    </row>
    <row r="3" spans="1:8" ht="18.75" customHeight="1" thickTop="1" thickBot="1" x14ac:dyDescent="0.3">
      <c r="A3" s="84" t="s">
        <v>131</v>
      </c>
      <c r="B3" s="51" t="s">
        <v>3</v>
      </c>
      <c r="D3" s="84" t="s">
        <v>3</v>
      </c>
    </row>
    <row r="4" spans="1:8" ht="18.75" customHeight="1" thickTop="1" thickBot="1" x14ac:dyDescent="0.3">
      <c r="A4" s="72" t="s">
        <v>191</v>
      </c>
      <c r="B4" s="89"/>
    </row>
    <row r="5" spans="1:8" ht="18.75" customHeight="1" thickTop="1" thickBot="1" x14ac:dyDescent="0.3">
      <c r="A5" s="72" t="s">
        <v>192</v>
      </c>
      <c r="B5" s="88" t="s">
        <v>2</v>
      </c>
    </row>
    <row r="6" spans="1:8" ht="18.75" customHeight="1" thickTop="1" thickBot="1" x14ac:dyDescent="0.3">
      <c r="A6" s="71" t="s">
        <v>193</v>
      </c>
      <c r="B6" s="80"/>
    </row>
    <row r="7" spans="1:8" ht="18.75" customHeight="1" thickBot="1" x14ac:dyDescent="0.3">
      <c r="A7" s="71" t="s">
        <v>194</v>
      </c>
      <c r="B7" s="80"/>
    </row>
    <row r="8" spans="1:8" ht="18.75" customHeight="1" thickBot="1" x14ac:dyDescent="0.3">
      <c r="A8" s="71" t="s">
        <v>195</v>
      </c>
      <c r="B8" s="80"/>
    </row>
    <row r="9" spans="1:8" ht="18.75" customHeight="1" thickBot="1" x14ac:dyDescent="0.3">
      <c r="A9" s="71" t="s">
        <v>196</v>
      </c>
      <c r="B9" s="80"/>
    </row>
    <row r="10" spans="1:8" ht="18.75" customHeight="1" thickBot="1" x14ac:dyDescent="0.3">
      <c r="A10" s="71" t="s">
        <v>197</v>
      </c>
      <c r="B10" s="80"/>
    </row>
    <row r="11" spans="1:8" ht="18.75" customHeight="1" thickBot="1" x14ac:dyDescent="0.3">
      <c r="A11" s="71" t="s">
        <v>198</v>
      </c>
      <c r="B11" s="80"/>
    </row>
    <row r="12" spans="1:8" ht="18.75" customHeight="1" thickBot="1" x14ac:dyDescent="0.3">
      <c r="A12" s="71" t="s">
        <v>199</v>
      </c>
      <c r="B12" s="80"/>
    </row>
    <row r="13" spans="1:8" ht="18.75" customHeight="1" thickBot="1" x14ac:dyDescent="0.3">
      <c r="A13" s="71" t="s">
        <v>200</v>
      </c>
      <c r="B13" s="80"/>
    </row>
    <row r="14" spans="1:8" ht="18.75" customHeight="1" thickBot="1" x14ac:dyDescent="0.3">
      <c r="A14" s="72" t="s">
        <v>14</v>
      </c>
      <c r="B14" s="78">
        <f>SUM(B6:B13)</f>
        <v>0</v>
      </c>
      <c r="D14" s="398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15</v>
      </c>
      <c r="B16" s="20"/>
    </row>
    <row r="17" spans="1:4" ht="18.75" customHeight="1" thickTop="1" thickBot="1" x14ac:dyDescent="0.3">
      <c r="A17" s="84" t="s">
        <v>131</v>
      </c>
      <c r="B17" s="51" t="s">
        <v>3</v>
      </c>
    </row>
    <row r="18" spans="1:4" ht="18.75" customHeight="1" thickTop="1" thickBot="1" x14ac:dyDescent="0.3">
      <c r="A18" s="72" t="s">
        <v>201</v>
      </c>
      <c r="B18" s="89"/>
    </row>
    <row r="19" spans="1:4" ht="18.75" customHeight="1" thickTop="1" thickBot="1" x14ac:dyDescent="0.3">
      <c r="A19" s="72" t="s">
        <v>202</v>
      </c>
      <c r="B19" s="88" t="s">
        <v>2</v>
      </c>
    </row>
    <row r="20" spans="1:4" ht="18.75" customHeight="1" thickTop="1" thickBot="1" x14ac:dyDescent="0.3">
      <c r="A20" s="71" t="s">
        <v>203</v>
      </c>
      <c r="B20" s="80"/>
    </row>
    <row r="21" spans="1:4" ht="18.75" customHeight="1" thickBot="1" x14ac:dyDescent="0.3">
      <c r="A21" s="71" t="s">
        <v>204</v>
      </c>
      <c r="B21" s="80"/>
    </row>
    <row r="22" spans="1:4" ht="18.75" customHeight="1" thickBot="1" x14ac:dyDescent="0.3">
      <c r="A22" s="71" t="s">
        <v>205</v>
      </c>
      <c r="B22" s="80"/>
    </row>
    <row r="23" spans="1:4" ht="18.75" customHeight="1" thickBot="1" x14ac:dyDescent="0.3">
      <c r="A23" s="71" t="s">
        <v>206</v>
      </c>
      <c r="B23" s="80"/>
    </row>
    <row r="24" spans="1:4" ht="18.75" customHeight="1" thickBot="1" x14ac:dyDescent="0.3">
      <c r="A24" s="71" t="s">
        <v>207</v>
      </c>
      <c r="B24" s="80"/>
    </row>
    <row r="25" spans="1:4" ht="18.75" customHeight="1" thickBot="1" x14ac:dyDescent="0.3">
      <c r="A25" s="71" t="s">
        <v>200</v>
      </c>
      <c r="B25" s="80"/>
    </row>
    <row r="26" spans="1:4" ht="18.75" customHeight="1" thickBot="1" x14ac:dyDescent="0.3">
      <c r="A26" s="72" t="s">
        <v>208</v>
      </c>
      <c r="B26" s="78">
        <f>SUM(B20:B25)</f>
        <v>0</v>
      </c>
      <c r="D26" s="398">
        <f>SUM(B20:B25)-B26</f>
        <v>0</v>
      </c>
    </row>
    <row r="27" spans="1:4" ht="17.25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407" customWidth="1"/>
    <col min="10" max="10" width="9.140625" style="20" customWidth="1"/>
    <col min="11" max="11" width="26.85546875" style="407" customWidth="1"/>
    <col min="12" max="12" width="9.140625" style="20"/>
    <col min="13" max="13" width="31.28515625" style="407" customWidth="1"/>
    <col min="14" max="16384" width="9.140625" style="20"/>
  </cols>
  <sheetData>
    <row r="1" spans="1:13" ht="15" x14ac:dyDescent="0.25">
      <c r="I1" s="397" t="s">
        <v>1138</v>
      </c>
      <c r="K1" s="397" t="s">
        <v>1142</v>
      </c>
      <c r="M1" s="399" t="s">
        <v>1140</v>
      </c>
    </row>
    <row r="2" spans="1:13" ht="12" thickBot="1" x14ac:dyDescent="0.3"/>
    <row r="3" spans="1:13" ht="13.5" customHeight="1" thickTop="1" thickBot="1" x14ac:dyDescent="0.3">
      <c r="A3" s="1526" t="s">
        <v>465</v>
      </c>
      <c r="B3" s="1523" t="s">
        <v>2</v>
      </c>
      <c r="C3" s="1524"/>
      <c r="D3" s="1524"/>
      <c r="E3" s="1524"/>
      <c r="F3" s="1525"/>
    </row>
    <row r="4" spans="1:13" ht="46.5" thickTop="1" thickBot="1" x14ac:dyDescent="0.3">
      <c r="A4" s="1527"/>
      <c r="B4" s="92" t="s">
        <v>472</v>
      </c>
      <c r="C4" s="92" t="s">
        <v>27</v>
      </c>
      <c r="D4" s="92" t="s">
        <v>28</v>
      </c>
      <c r="E4" s="92" t="s">
        <v>29</v>
      </c>
      <c r="F4" s="21" t="s">
        <v>392</v>
      </c>
      <c r="I4" s="59" t="s">
        <v>392</v>
      </c>
      <c r="K4" s="59" t="s">
        <v>472</v>
      </c>
      <c r="M4" s="59" t="s">
        <v>392</v>
      </c>
    </row>
    <row r="5" spans="1:13" ht="22.5" customHeight="1" thickTop="1" thickBot="1" x14ac:dyDescent="0.3">
      <c r="A5" s="90" t="s">
        <v>393</v>
      </c>
      <c r="B5" s="93"/>
      <c r="C5" s="93"/>
      <c r="D5" s="93"/>
      <c r="E5" s="93"/>
      <c r="F5" s="94">
        <f>SUM(B5:E5)</f>
        <v>0</v>
      </c>
      <c r="I5" s="407">
        <f>SUM(B5:E5)-F5</f>
        <v>0</v>
      </c>
      <c r="K5" s="407">
        <f>B5-F27</f>
        <v>0</v>
      </c>
      <c r="M5" s="408">
        <f>F5-BS!$D$84</f>
        <v>-6639</v>
      </c>
    </row>
    <row r="6" spans="1:13" ht="22.5" customHeight="1" thickBot="1" x14ac:dyDescent="0.3">
      <c r="A6" s="90" t="s">
        <v>394</v>
      </c>
      <c r="B6" s="93"/>
      <c r="C6" s="93"/>
      <c r="D6" s="93"/>
      <c r="E6" s="93"/>
      <c r="F6" s="94">
        <f t="shared" ref="F6:F21" si="0">SUM(B6:E6)</f>
        <v>0</v>
      </c>
      <c r="I6" s="407">
        <f>SUM(B6:E6)-F6</f>
        <v>0</v>
      </c>
      <c r="K6" s="407">
        <f>B6-F28</f>
        <v>0</v>
      </c>
      <c r="M6" s="408">
        <f>F6-BS!$D$85</f>
        <v>0</v>
      </c>
    </row>
    <row r="7" spans="1:13" ht="22.5" customHeight="1" thickBot="1" x14ac:dyDescent="0.3">
      <c r="A7" s="90" t="s">
        <v>466</v>
      </c>
      <c r="B7" s="93"/>
      <c r="C7" s="93"/>
      <c r="D7" s="93"/>
      <c r="E7" s="93"/>
      <c r="F7" s="94">
        <f t="shared" si="0"/>
        <v>0</v>
      </c>
      <c r="I7" s="407">
        <f t="shared" ref="I7:I22" si="1">SUM(B7:E7)-F7</f>
        <v>0</v>
      </c>
      <c r="K7" s="407">
        <f t="shared" ref="K7:K22" si="2">B7-F29</f>
        <v>0</v>
      </c>
      <c r="M7" s="408">
        <f>F7-BS!$D$86</f>
        <v>0</v>
      </c>
    </row>
    <row r="8" spans="1:13" ht="22.5" customHeight="1" thickBot="1" x14ac:dyDescent="0.3">
      <c r="A8" s="90" t="s">
        <v>467</v>
      </c>
      <c r="B8" s="93"/>
      <c r="C8" s="93"/>
      <c r="D8" s="93"/>
      <c r="E8" s="93"/>
      <c r="F8" s="94">
        <f t="shared" si="0"/>
        <v>0</v>
      </c>
      <c r="I8" s="407">
        <f t="shared" si="1"/>
        <v>0</v>
      </c>
      <c r="K8" s="407">
        <f t="shared" si="2"/>
        <v>0</v>
      </c>
      <c r="M8" s="407">
        <f>F8-BS!$D$87</f>
        <v>0</v>
      </c>
    </row>
    <row r="9" spans="1:13" ht="22.5" customHeight="1" thickBot="1" x14ac:dyDescent="0.3">
      <c r="A9" s="90" t="s">
        <v>395</v>
      </c>
      <c r="B9" s="93"/>
      <c r="C9" s="93"/>
      <c r="D9" s="93"/>
      <c r="E9" s="93"/>
      <c r="F9" s="94">
        <f t="shared" si="0"/>
        <v>0</v>
      </c>
      <c r="I9" s="407">
        <f t="shared" si="1"/>
        <v>0</v>
      </c>
      <c r="K9" s="407">
        <f t="shared" si="2"/>
        <v>0</v>
      </c>
      <c r="M9" s="408">
        <f>F9-BS!$D$89</f>
        <v>0</v>
      </c>
    </row>
    <row r="10" spans="1:13" ht="22.5" customHeight="1" thickBot="1" x14ac:dyDescent="0.3">
      <c r="A10" s="90" t="s">
        <v>396</v>
      </c>
      <c r="B10" s="93"/>
      <c r="C10" s="93"/>
      <c r="D10" s="93"/>
      <c r="E10" s="93"/>
      <c r="F10" s="94">
        <f t="shared" si="0"/>
        <v>0</v>
      </c>
      <c r="I10" s="407">
        <f t="shared" si="1"/>
        <v>0</v>
      </c>
      <c r="K10" s="407">
        <f t="shared" si="2"/>
        <v>0</v>
      </c>
      <c r="M10" s="408">
        <f>F10-BS!$D$90</f>
        <v>0</v>
      </c>
    </row>
    <row r="11" spans="1:13" ht="22.5" customHeight="1" thickBot="1" x14ac:dyDescent="0.3">
      <c r="A11" s="90" t="s">
        <v>397</v>
      </c>
      <c r="B11" s="93"/>
      <c r="C11" s="93"/>
      <c r="D11" s="93"/>
      <c r="E11" s="93"/>
      <c r="F11" s="94">
        <f>SUM(B11:E11)</f>
        <v>0</v>
      </c>
      <c r="I11" s="407">
        <f t="shared" si="1"/>
        <v>0</v>
      </c>
      <c r="K11" s="407">
        <f t="shared" si="2"/>
        <v>0</v>
      </c>
      <c r="M11" s="408">
        <f>F11-BS!$D$91</f>
        <v>0</v>
      </c>
    </row>
    <row r="12" spans="1:13" ht="22.5" customHeight="1" thickBot="1" x14ac:dyDescent="0.3">
      <c r="A12" s="90" t="s">
        <v>398</v>
      </c>
      <c r="B12" s="93"/>
      <c r="C12" s="93"/>
      <c r="D12" s="93"/>
      <c r="E12" s="93"/>
      <c r="F12" s="94">
        <f t="shared" si="0"/>
        <v>0</v>
      </c>
      <c r="I12" s="407">
        <f t="shared" si="1"/>
        <v>0</v>
      </c>
      <c r="K12" s="407">
        <f t="shared" si="2"/>
        <v>0</v>
      </c>
      <c r="M12" s="408">
        <f>F12-BS!$D$92-BS!$D$93</f>
        <v>0</v>
      </c>
    </row>
    <row r="13" spans="1:13" ht="22.5" customHeight="1" thickBot="1" x14ac:dyDescent="0.3">
      <c r="A13" s="90" t="s">
        <v>468</v>
      </c>
      <c r="B13" s="93"/>
      <c r="C13" s="93"/>
      <c r="D13" s="93"/>
      <c r="E13" s="93"/>
      <c r="F13" s="94">
        <f t="shared" si="0"/>
        <v>0</v>
      </c>
      <c r="I13" s="407">
        <f t="shared" si="1"/>
        <v>0</v>
      </c>
      <c r="K13" s="407">
        <f t="shared" si="2"/>
        <v>0</v>
      </c>
      <c r="M13" s="408">
        <f>F13-BS!$D$94</f>
        <v>0</v>
      </c>
    </row>
    <row r="14" spans="1:13" ht="22.5" customHeight="1" thickBot="1" x14ac:dyDescent="0.3">
      <c r="A14" s="90" t="s">
        <v>399</v>
      </c>
      <c r="B14" s="93"/>
      <c r="C14" s="93"/>
      <c r="D14" s="93"/>
      <c r="E14" s="93"/>
      <c r="F14" s="94">
        <f t="shared" si="0"/>
        <v>0</v>
      </c>
      <c r="I14" s="407">
        <f t="shared" si="1"/>
        <v>0</v>
      </c>
      <c r="K14" s="407">
        <f t="shared" si="2"/>
        <v>0</v>
      </c>
      <c r="M14" s="408">
        <f>F14-BS!$D$96</f>
        <v>-664</v>
      </c>
    </row>
    <row r="15" spans="1:13" ht="22.5" customHeight="1" thickBot="1" x14ac:dyDescent="0.3">
      <c r="A15" s="90" t="s">
        <v>400</v>
      </c>
      <c r="B15" s="93"/>
      <c r="C15" s="93"/>
      <c r="D15" s="93"/>
      <c r="E15" s="93"/>
      <c r="F15" s="94">
        <f t="shared" si="0"/>
        <v>0</v>
      </c>
      <c r="I15" s="407">
        <f t="shared" si="1"/>
        <v>0</v>
      </c>
      <c r="K15" s="407">
        <f t="shared" si="2"/>
        <v>0</v>
      </c>
      <c r="M15" s="408">
        <f>F15-BS!$D$97</f>
        <v>0</v>
      </c>
    </row>
    <row r="16" spans="1:13" ht="22.5" customHeight="1" thickBot="1" x14ac:dyDescent="0.3">
      <c r="A16" s="90" t="s">
        <v>401</v>
      </c>
      <c r="B16" s="93"/>
      <c r="C16" s="93"/>
      <c r="D16" s="93"/>
      <c r="E16" s="93"/>
      <c r="F16" s="94">
        <f t="shared" si="0"/>
        <v>0</v>
      </c>
      <c r="I16" s="407">
        <f t="shared" si="1"/>
        <v>0</v>
      </c>
      <c r="K16" s="407">
        <f t="shared" si="2"/>
        <v>0</v>
      </c>
      <c r="M16" s="408">
        <f>F16-BS!$D$98</f>
        <v>0</v>
      </c>
    </row>
    <row r="17" spans="1:13" ht="22.5" customHeight="1" thickBot="1" x14ac:dyDescent="0.3">
      <c r="A17" s="90" t="s">
        <v>402</v>
      </c>
      <c r="B17" s="93"/>
      <c r="C17" s="93"/>
      <c r="D17" s="93"/>
      <c r="E17" s="93"/>
      <c r="F17" s="94">
        <f t="shared" si="0"/>
        <v>0</v>
      </c>
      <c r="I17" s="407">
        <f t="shared" si="1"/>
        <v>0</v>
      </c>
      <c r="K17" s="407">
        <f t="shared" si="2"/>
        <v>0</v>
      </c>
      <c r="M17" s="408">
        <f>F17-BS!$D$100</f>
        <v>0</v>
      </c>
    </row>
    <row r="18" spans="1:13" ht="22.5" customHeight="1" thickBot="1" x14ac:dyDescent="0.3">
      <c r="A18" s="90" t="s">
        <v>469</v>
      </c>
      <c r="B18" s="93"/>
      <c r="C18" s="93"/>
      <c r="D18" s="93"/>
      <c r="E18" s="93"/>
      <c r="F18" s="94">
        <f t="shared" si="0"/>
        <v>0</v>
      </c>
      <c r="I18" s="407">
        <f t="shared" si="1"/>
        <v>0</v>
      </c>
      <c r="K18" s="407">
        <f t="shared" si="2"/>
        <v>0</v>
      </c>
      <c r="M18" s="408">
        <f>F18-BS!$D$101</f>
        <v>0</v>
      </c>
    </row>
    <row r="19" spans="1:13" ht="22.5" customHeight="1" thickBot="1" x14ac:dyDescent="0.3">
      <c r="A19" s="90" t="s">
        <v>470</v>
      </c>
      <c r="B19" s="93"/>
      <c r="C19" s="93"/>
      <c r="D19" s="93"/>
      <c r="E19" s="93"/>
      <c r="F19" s="94">
        <f t="shared" si="0"/>
        <v>0</v>
      </c>
      <c r="I19" s="407">
        <f t="shared" si="1"/>
        <v>0</v>
      </c>
      <c r="K19" s="407">
        <f t="shared" si="2"/>
        <v>0</v>
      </c>
      <c r="M19" s="408">
        <f>F19-BS!$D$102</f>
        <v>-602504</v>
      </c>
    </row>
    <row r="20" spans="1:13" ht="22.5" customHeight="1" thickBot="1" x14ac:dyDescent="0.3">
      <c r="A20" s="90" t="s">
        <v>403</v>
      </c>
      <c r="B20" s="93"/>
      <c r="C20" s="93"/>
      <c r="D20" s="93"/>
      <c r="E20" s="93"/>
      <c r="F20" s="94">
        <f t="shared" si="0"/>
        <v>0</v>
      </c>
      <c r="I20" s="407">
        <f t="shared" si="1"/>
        <v>0</v>
      </c>
      <c r="K20" s="407">
        <f t="shared" si="2"/>
        <v>0</v>
      </c>
      <c r="M20" s="409"/>
    </row>
    <row r="21" spans="1:13" ht="22.5" customHeight="1" thickBot="1" x14ac:dyDescent="0.3">
      <c r="A21" s="90" t="s">
        <v>404</v>
      </c>
      <c r="B21" s="93"/>
      <c r="C21" s="93"/>
      <c r="D21" s="93"/>
      <c r="E21" s="93"/>
      <c r="F21" s="94">
        <f t="shared" si="0"/>
        <v>0</v>
      </c>
      <c r="I21" s="407">
        <f t="shared" si="1"/>
        <v>0</v>
      </c>
      <c r="K21" s="407">
        <f t="shared" si="2"/>
        <v>0</v>
      </c>
      <c r="M21" s="409"/>
    </row>
    <row r="22" spans="1:13" ht="22.5" customHeight="1" thickBot="1" x14ac:dyDescent="0.3">
      <c r="A22" s="91" t="s">
        <v>471</v>
      </c>
      <c r="B22" s="95"/>
      <c r="C22" s="95"/>
      <c r="D22" s="95"/>
      <c r="E22" s="95"/>
      <c r="F22" s="98">
        <f>SUM(B22:E22)</f>
        <v>0</v>
      </c>
      <c r="I22" s="407">
        <f t="shared" si="1"/>
        <v>0</v>
      </c>
      <c r="K22" s="407">
        <f t="shared" si="2"/>
        <v>0</v>
      </c>
      <c r="M22" s="409"/>
    </row>
    <row r="23" spans="1:13" ht="22.5" customHeight="1" thickTop="1" x14ac:dyDescent="0.25">
      <c r="A23" s="96"/>
      <c r="B23" s="97"/>
      <c r="C23" s="97"/>
      <c r="D23" s="97"/>
      <c r="E23" s="97"/>
      <c r="F23" s="97"/>
    </row>
    <row r="24" spans="1:13" ht="12" thickBot="1" x14ac:dyDescent="0.3"/>
    <row r="25" spans="1:13" ht="13.5" customHeight="1" thickTop="1" thickBot="1" x14ac:dyDescent="0.3">
      <c r="A25" s="1526" t="s">
        <v>465</v>
      </c>
      <c r="B25" s="1523" t="s">
        <v>3</v>
      </c>
      <c r="C25" s="1524"/>
      <c r="D25" s="1524"/>
      <c r="E25" s="1524"/>
      <c r="F25" s="1525"/>
    </row>
    <row r="26" spans="1:13" ht="46.5" thickTop="1" thickBot="1" x14ac:dyDescent="0.3">
      <c r="A26" s="1527"/>
      <c r="B26" s="92" t="s">
        <v>472</v>
      </c>
      <c r="C26" s="92" t="s">
        <v>27</v>
      </c>
      <c r="D26" s="92" t="s">
        <v>28</v>
      </c>
      <c r="E26" s="92" t="s">
        <v>29</v>
      </c>
      <c r="F26" s="21" t="s">
        <v>392</v>
      </c>
      <c r="I26" s="59" t="s">
        <v>392</v>
      </c>
      <c r="M26" s="59" t="s">
        <v>392</v>
      </c>
    </row>
    <row r="27" spans="1:13" ht="22.5" customHeight="1" thickTop="1" thickBot="1" x14ac:dyDescent="0.3">
      <c r="A27" s="90" t="s">
        <v>393</v>
      </c>
      <c r="B27" s="93"/>
      <c r="C27" s="93"/>
      <c r="D27" s="93"/>
      <c r="E27" s="93"/>
      <c r="F27" s="94">
        <f>SUM(B27:E27)</f>
        <v>0</v>
      </c>
      <c r="I27" s="407">
        <f>SUM(B27:E27)-F27</f>
        <v>0</v>
      </c>
      <c r="M27" s="408">
        <f>F27-BS!E84</f>
        <v>-6639</v>
      </c>
    </row>
    <row r="28" spans="1:13" ht="22.5" customHeight="1" thickBot="1" x14ac:dyDescent="0.3">
      <c r="A28" s="90" t="s">
        <v>394</v>
      </c>
      <c r="B28" s="93"/>
      <c r="C28" s="93"/>
      <c r="D28" s="93"/>
      <c r="E28" s="93"/>
      <c r="F28" s="94">
        <f t="shared" ref="F28:F42" si="3">SUM(B28:E28)</f>
        <v>0</v>
      </c>
      <c r="I28" s="407">
        <f>SUM(B28:E28)-F28</f>
        <v>0</v>
      </c>
      <c r="M28" s="408">
        <f>F28-BS!E85</f>
        <v>0</v>
      </c>
    </row>
    <row r="29" spans="1:13" ht="22.5" customHeight="1" thickBot="1" x14ac:dyDescent="0.3">
      <c r="A29" s="90" t="s">
        <v>466</v>
      </c>
      <c r="B29" s="93"/>
      <c r="C29" s="93"/>
      <c r="D29" s="93"/>
      <c r="E29" s="93"/>
      <c r="F29" s="94">
        <f t="shared" si="3"/>
        <v>0</v>
      </c>
      <c r="I29" s="407">
        <f t="shared" ref="I29:I44" si="4">SUM(B29:E29)-F29</f>
        <v>0</v>
      </c>
      <c r="M29" s="408">
        <f>F29-BS!E86</f>
        <v>0</v>
      </c>
    </row>
    <row r="30" spans="1:13" ht="22.5" customHeight="1" thickBot="1" x14ac:dyDescent="0.3">
      <c r="A30" s="90" t="s">
        <v>467</v>
      </c>
      <c r="B30" s="93"/>
      <c r="C30" s="93"/>
      <c r="D30" s="93"/>
      <c r="E30" s="93"/>
      <c r="F30" s="94">
        <f t="shared" si="3"/>
        <v>0</v>
      </c>
      <c r="I30" s="407">
        <f t="shared" si="4"/>
        <v>0</v>
      </c>
      <c r="M30" s="408">
        <f>F30-BS!E87</f>
        <v>0</v>
      </c>
    </row>
    <row r="31" spans="1:13" ht="22.5" customHeight="1" thickBot="1" x14ac:dyDescent="0.3">
      <c r="A31" s="90" t="s">
        <v>395</v>
      </c>
      <c r="B31" s="93"/>
      <c r="C31" s="93"/>
      <c r="D31" s="93"/>
      <c r="E31" s="93"/>
      <c r="F31" s="94">
        <f t="shared" si="3"/>
        <v>0</v>
      </c>
      <c r="I31" s="407">
        <f t="shared" si="4"/>
        <v>0</v>
      </c>
      <c r="M31" s="408">
        <f>F31-BS!E89</f>
        <v>0</v>
      </c>
    </row>
    <row r="32" spans="1:13" ht="22.5" customHeight="1" thickBot="1" x14ac:dyDescent="0.3">
      <c r="A32" s="90" t="s">
        <v>396</v>
      </c>
      <c r="B32" s="93"/>
      <c r="C32" s="93"/>
      <c r="D32" s="93"/>
      <c r="E32" s="93"/>
      <c r="F32" s="94">
        <f t="shared" si="3"/>
        <v>0</v>
      </c>
      <c r="I32" s="407">
        <f t="shared" si="4"/>
        <v>0</v>
      </c>
      <c r="M32" s="408">
        <f>F32-BS!E90</f>
        <v>0</v>
      </c>
    </row>
    <row r="33" spans="1:13" ht="22.5" customHeight="1" thickBot="1" x14ac:dyDescent="0.3">
      <c r="A33" s="90" t="s">
        <v>397</v>
      </c>
      <c r="B33" s="93"/>
      <c r="C33" s="93"/>
      <c r="D33" s="93"/>
      <c r="E33" s="93"/>
      <c r="F33" s="94">
        <f t="shared" si="3"/>
        <v>0</v>
      </c>
      <c r="I33" s="407">
        <f t="shared" si="4"/>
        <v>0</v>
      </c>
      <c r="M33" s="408">
        <f>F33-BS!E91</f>
        <v>0</v>
      </c>
    </row>
    <row r="34" spans="1:13" ht="22.5" customHeight="1" thickBot="1" x14ac:dyDescent="0.3">
      <c r="A34" s="90" t="s">
        <v>398</v>
      </c>
      <c r="B34" s="93"/>
      <c r="C34" s="93"/>
      <c r="D34" s="93"/>
      <c r="E34" s="93"/>
      <c r="F34" s="94">
        <f t="shared" si="3"/>
        <v>0</v>
      </c>
      <c r="I34" s="407">
        <f t="shared" si="4"/>
        <v>0</v>
      </c>
      <c r="M34" s="408">
        <f>F34-BS!E92-BS!E93</f>
        <v>0</v>
      </c>
    </row>
    <row r="35" spans="1:13" ht="22.5" customHeight="1" thickBot="1" x14ac:dyDescent="0.3">
      <c r="A35" s="90" t="s">
        <v>468</v>
      </c>
      <c r="B35" s="93"/>
      <c r="C35" s="93"/>
      <c r="D35" s="93"/>
      <c r="E35" s="93"/>
      <c r="F35" s="94">
        <f t="shared" si="3"/>
        <v>0</v>
      </c>
      <c r="I35" s="407">
        <f t="shared" si="4"/>
        <v>0</v>
      </c>
      <c r="M35" s="408">
        <f>F35-BS!E94</f>
        <v>0</v>
      </c>
    </row>
    <row r="36" spans="1:13" ht="22.5" customHeight="1" thickBot="1" x14ac:dyDescent="0.3">
      <c r="A36" s="90" t="s">
        <v>399</v>
      </c>
      <c r="B36" s="93"/>
      <c r="C36" s="93"/>
      <c r="D36" s="93"/>
      <c r="E36" s="93"/>
      <c r="F36" s="94">
        <f t="shared" si="3"/>
        <v>0</v>
      </c>
      <c r="I36" s="407">
        <f t="shared" si="4"/>
        <v>0</v>
      </c>
      <c r="M36" s="408">
        <f>F36-BS!E96</f>
        <v>-332</v>
      </c>
    </row>
    <row r="37" spans="1:13" ht="22.5" customHeight="1" thickBot="1" x14ac:dyDescent="0.3">
      <c r="A37" s="90" t="s">
        <v>400</v>
      </c>
      <c r="B37" s="93"/>
      <c r="C37" s="93"/>
      <c r="D37" s="93"/>
      <c r="E37" s="93"/>
      <c r="F37" s="94">
        <f t="shared" si="3"/>
        <v>0</v>
      </c>
      <c r="I37" s="407">
        <f t="shared" si="4"/>
        <v>0</v>
      </c>
      <c r="M37" s="408">
        <f>F37-BS!E97</f>
        <v>0</v>
      </c>
    </row>
    <row r="38" spans="1:13" ht="22.5" customHeight="1" thickBot="1" x14ac:dyDescent="0.3">
      <c r="A38" s="90" t="s">
        <v>401</v>
      </c>
      <c r="B38" s="93"/>
      <c r="C38" s="93"/>
      <c r="D38" s="93"/>
      <c r="E38" s="93"/>
      <c r="F38" s="94">
        <f t="shared" si="3"/>
        <v>0</v>
      </c>
      <c r="I38" s="407">
        <f t="shared" si="4"/>
        <v>0</v>
      </c>
      <c r="M38" s="408">
        <f>F38-BS!E98</f>
        <v>0</v>
      </c>
    </row>
    <row r="39" spans="1:13" ht="22.5" customHeight="1" thickBot="1" x14ac:dyDescent="0.3">
      <c r="A39" s="90" t="s">
        <v>402</v>
      </c>
      <c r="B39" s="93"/>
      <c r="C39" s="93"/>
      <c r="D39" s="93"/>
      <c r="E39" s="93"/>
      <c r="F39" s="94">
        <f t="shared" si="3"/>
        <v>0</v>
      </c>
      <c r="I39" s="407">
        <f t="shared" si="4"/>
        <v>0</v>
      </c>
      <c r="M39" s="408">
        <f>F39-BS!E100</f>
        <v>-678700</v>
      </c>
    </row>
    <row r="40" spans="1:13" ht="22.5" customHeight="1" thickBot="1" x14ac:dyDescent="0.3">
      <c r="A40" s="90" t="s">
        <v>469</v>
      </c>
      <c r="B40" s="93"/>
      <c r="C40" s="93"/>
      <c r="D40" s="93"/>
      <c r="E40" s="93"/>
      <c r="F40" s="94">
        <f t="shared" si="3"/>
        <v>0</v>
      </c>
      <c r="I40" s="407">
        <f t="shared" si="4"/>
        <v>0</v>
      </c>
      <c r="M40" s="408">
        <f>F40-BS!E101</f>
        <v>0</v>
      </c>
    </row>
    <row r="41" spans="1:13" ht="22.5" customHeight="1" thickBot="1" x14ac:dyDescent="0.3">
      <c r="A41" s="90" t="s">
        <v>470</v>
      </c>
      <c r="B41" s="93"/>
      <c r="C41" s="93"/>
      <c r="D41" s="93"/>
      <c r="E41" s="93"/>
      <c r="F41" s="94">
        <f t="shared" si="3"/>
        <v>0</v>
      </c>
      <c r="I41" s="407">
        <f t="shared" si="4"/>
        <v>0</v>
      </c>
      <c r="M41" s="408">
        <f>F41-BS!E102</f>
        <v>-631593</v>
      </c>
    </row>
    <row r="42" spans="1:13" ht="22.5" customHeight="1" thickBot="1" x14ac:dyDescent="0.3">
      <c r="A42" s="90" t="s">
        <v>403</v>
      </c>
      <c r="B42" s="93"/>
      <c r="C42" s="93"/>
      <c r="D42" s="93"/>
      <c r="E42" s="93"/>
      <c r="F42" s="94">
        <f t="shared" si="3"/>
        <v>0</v>
      </c>
      <c r="I42" s="407">
        <f t="shared" si="4"/>
        <v>0</v>
      </c>
      <c r="M42" s="409"/>
    </row>
    <row r="43" spans="1:13" ht="22.5" customHeight="1" thickBot="1" x14ac:dyDescent="0.3">
      <c r="A43" s="90" t="s">
        <v>404</v>
      </c>
      <c r="B43" s="93"/>
      <c r="C43" s="93"/>
      <c r="D43" s="93"/>
      <c r="E43" s="93"/>
      <c r="F43" s="94">
        <f>SUM(B43:E43)</f>
        <v>0</v>
      </c>
      <c r="I43" s="407">
        <f t="shared" si="4"/>
        <v>0</v>
      </c>
      <c r="M43" s="409"/>
    </row>
    <row r="44" spans="1:13" ht="22.5" customHeight="1" thickBot="1" x14ac:dyDescent="0.3">
      <c r="A44" s="91" t="s">
        <v>471</v>
      </c>
      <c r="B44" s="95"/>
      <c r="C44" s="95"/>
      <c r="D44" s="95"/>
      <c r="E44" s="95"/>
      <c r="F44" s="98">
        <f>SUM(B44:E44)</f>
        <v>0</v>
      </c>
      <c r="I44" s="407">
        <f t="shared" si="4"/>
        <v>0</v>
      </c>
      <c r="M44" s="409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384" hidden="1" customWidth="1" outlineLevel="1"/>
    <col min="9" max="11" width="12.7109375" style="385" hidden="1" customWidth="1" outlineLevel="1"/>
    <col min="12" max="12" width="18" style="389" customWidth="1" collapsed="1"/>
    <col min="14" max="14" width="27.42578125" style="391" customWidth="1"/>
    <col min="16" max="16" width="24.7109375" style="391" customWidth="1"/>
    <col min="17" max="17" width="27.7109375" customWidth="1"/>
  </cols>
  <sheetData>
    <row r="1" spans="1:16" x14ac:dyDescent="0.25">
      <c r="A1" s="99" t="s">
        <v>209</v>
      </c>
      <c r="B1" s="20"/>
      <c r="C1" s="20"/>
      <c r="D1" s="20"/>
      <c r="E1" s="20"/>
      <c r="F1" s="20"/>
      <c r="H1" s="1509" t="s">
        <v>1138</v>
      </c>
      <c r="I1" s="1510"/>
      <c r="J1" s="1510"/>
      <c r="K1" s="1510"/>
      <c r="L1" s="1511"/>
      <c r="N1" s="397" t="s">
        <v>1142</v>
      </c>
      <c r="P1" s="399" t="s">
        <v>1140</v>
      </c>
    </row>
    <row r="2" spans="1:16" ht="15.75" thickBot="1" x14ac:dyDescent="0.3">
      <c r="A2" s="20" t="s">
        <v>8</v>
      </c>
      <c r="B2" s="20"/>
      <c r="C2" s="20"/>
      <c r="D2" s="20"/>
      <c r="E2" s="20"/>
      <c r="F2" s="20"/>
      <c r="N2" s="407"/>
    </row>
    <row r="3" spans="1:16" ht="16.5" thickTop="1" thickBot="1" x14ac:dyDescent="0.3">
      <c r="A3" s="1520" t="s">
        <v>131</v>
      </c>
      <c r="B3" s="1194" t="s">
        <v>2</v>
      </c>
      <c r="C3" s="1195"/>
      <c r="D3" s="1195"/>
      <c r="E3" s="1195"/>
      <c r="F3" s="1196"/>
      <c r="N3" s="407"/>
    </row>
    <row r="4" spans="1:16" s="4" customFormat="1" ht="33" customHeight="1" thickTop="1" thickBot="1" x14ac:dyDescent="0.3">
      <c r="A4" s="1522"/>
      <c r="B4" s="21" t="s">
        <v>32</v>
      </c>
      <c r="C4" s="21" t="s">
        <v>124</v>
      </c>
      <c r="D4" s="102" t="s">
        <v>210</v>
      </c>
      <c r="E4" s="637" t="s">
        <v>211</v>
      </c>
      <c r="F4" s="21" t="s">
        <v>30</v>
      </c>
      <c r="H4" s="59" t="s">
        <v>32</v>
      </c>
      <c r="I4" s="59" t="s">
        <v>124</v>
      </c>
      <c r="J4" s="59" t="s">
        <v>210</v>
      </c>
      <c r="K4" s="59" t="s">
        <v>211</v>
      </c>
      <c r="L4" s="59" t="s">
        <v>30</v>
      </c>
      <c r="N4" s="59" t="s">
        <v>472</v>
      </c>
      <c r="P4" s="59" t="s">
        <v>30</v>
      </c>
    </row>
    <row r="5" spans="1:16" ht="21" customHeight="1" thickTop="1" thickBot="1" x14ac:dyDescent="0.3">
      <c r="A5" s="86" t="s">
        <v>212</v>
      </c>
      <c r="B5" s="85">
        <f>SUM(B6:B10)</f>
        <v>0</v>
      </c>
      <c r="C5" s="85">
        <f>SUM(C6:C10)</f>
        <v>0</v>
      </c>
      <c r="D5" s="85">
        <f t="shared" ref="D5:E5" si="0">SUM(D6:D10)</f>
        <v>0</v>
      </c>
      <c r="E5" s="85">
        <f t="shared" si="0"/>
        <v>0</v>
      </c>
      <c r="F5" s="143">
        <f>SUM(B5:E5)</f>
        <v>0</v>
      </c>
      <c r="H5" s="387">
        <f>SUM(B6:B10)-B5</f>
        <v>0</v>
      </c>
      <c r="I5" s="386">
        <f t="shared" ref="I5:K5" si="1">SUM(C6:C10)-C5</f>
        <v>0</v>
      </c>
      <c r="J5" s="386">
        <f t="shared" si="1"/>
        <v>0</v>
      </c>
      <c r="K5" s="386">
        <f t="shared" si="1"/>
        <v>0</v>
      </c>
      <c r="L5" s="390">
        <f>SUM(B5:E5)-F5</f>
        <v>0</v>
      </c>
      <c r="N5" s="398">
        <f>B5-F23</f>
        <v>0</v>
      </c>
      <c r="P5" s="398">
        <f>F5-BS!$D$105-BS!$D$107</f>
        <v>0</v>
      </c>
    </row>
    <row r="6" spans="1:16" ht="21" customHeight="1" thickTop="1" thickBot="1" x14ac:dyDescent="0.3">
      <c r="A6" s="108"/>
      <c r="B6" s="79"/>
      <c r="C6" s="79"/>
      <c r="D6" s="144"/>
      <c r="E6" s="144"/>
      <c r="F6" s="145">
        <f t="shared" ref="F6:F17" si="2">SUM(B6:E6)</f>
        <v>0</v>
      </c>
      <c r="L6" s="390">
        <f>SUM(B6:E6)-F6</f>
        <v>0</v>
      </c>
      <c r="N6" s="398">
        <f>B6-F24</f>
        <v>0</v>
      </c>
    </row>
    <row r="7" spans="1:16" ht="21" customHeight="1" thickBot="1" x14ac:dyDescent="0.3">
      <c r="A7" s="108"/>
      <c r="B7" s="79"/>
      <c r="C7" s="79"/>
      <c r="D7" s="120"/>
      <c r="E7" s="120"/>
      <c r="F7" s="145">
        <f t="shared" si="2"/>
        <v>0</v>
      </c>
      <c r="L7" s="390">
        <f t="shared" ref="L7:L10" si="3">SUM(B7:E7)-F7</f>
        <v>0</v>
      </c>
      <c r="N7" s="398">
        <f t="shared" ref="N7:N17" si="4">B7-F25</f>
        <v>0</v>
      </c>
    </row>
    <row r="8" spans="1:16" ht="21" customHeight="1" thickBot="1" x14ac:dyDescent="0.3">
      <c r="A8" s="108"/>
      <c r="B8" s="79"/>
      <c r="C8" s="79"/>
      <c r="D8" s="120"/>
      <c r="E8" s="120"/>
      <c r="F8" s="145">
        <f t="shared" si="2"/>
        <v>0</v>
      </c>
      <c r="L8" s="390">
        <f t="shared" si="3"/>
        <v>0</v>
      </c>
      <c r="N8" s="398">
        <f t="shared" si="4"/>
        <v>0</v>
      </c>
    </row>
    <row r="9" spans="1:16" ht="21" customHeight="1" thickBot="1" x14ac:dyDescent="0.3">
      <c r="A9" s="108"/>
      <c r="B9" s="79"/>
      <c r="C9" s="79"/>
      <c r="D9" s="120"/>
      <c r="E9" s="120"/>
      <c r="F9" s="145">
        <f t="shared" si="2"/>
        <v>0</v>
      </c>
      <c r="L9" s="390">
        <f t="shared" si="3"/>
        <v>0</v>
      </c>
      <c r="N9" s="398">
        <f t="shared" si="4"/>
        <v>0</v>
      </c>
    </row>
    <row r="10" spans="1:16" ht="21" customHeight="1" thickBot="1" x14ac:dyDescent="0.3">
      <c r="A10" s="150"/>
      <c r="B10" s="85"/>
      <c r="C10" s="85"/>
      <c r="D10" s="146"/>
      <c r="E10" s="146"/>
      <c r="F10" s="147">
        <f t="shared" si="2"/>
        <v>0</v>
      </c>
      <c r="L10" s="390">
        <f t="shared" si="3"/>
        <v>0</v>
      </c>
      <c r="N10" s="398">
        <f t="shared" si="4"/>
        <v>0</v>
      </c>
    </row>
    <row r="11" spans="1:16" ht="21" customHeight="1" thickTop="1" thickBot="1" x14ac:dyDescent="0.3">
      <c r="A11" s="86" t="s">
        <v>213</v>
      </c>
      <c r="B11" s="85">
        <f>SUM(B12:B17)</f>
        <v>0</v>
      </c>
      <c r="C11" s="85">
        <f>SUM(C12:C17)</f>
        <v>0</v>
      </c>
      <c r="D11" s="85">
        <f t="shared" ref="D11:E11" si="5">SUM(D12:D17)</f>
        <v>0</v>
      </c>
      <c r="E11" s="85">
        <f t="shared" si="5"/>
        <v>0</v>
      </c>
      <c r="F11" s="143">
        <f>SUM(B11:E11)</f>
        <v>0</v>
      </c>
      <c r="H11" s="387">
        <f>SUM(B12:B17)-B11</f>
        <v>0</v>
      </c>
      <c r="I11" s="386">
        <f t="shared" ref="I11:K11" si="6">SUM(C12:C17)-C11</f>
        <v>0</v>
      </c>
      <c r="J11" s="386">
        <f t="shared" si="6"/>
        <v>0</v>
      </c>
      <c r="K11" s="386">
        <f t="shared" si="6"/>
        <v>0</v>
      </c>
      <c r="L11" s="390">
        <f>SUM(B11:E11)-F11</f>
        <v>0</v>
      </c>
      <c r="N11" s="398">
        <f t="shared" si="4"/>
        <v>0</v>
      </c>
      <c r="P11" s="398">
        <f>F11-BS!$D$106-BS!$D$108</f>
        <v>-100876</v>
      </c>
    </row>
    <row r="12" spans="1:16" ht="21" customHeight="1" thickTop="1" thickBot="1" x14ac:dyDescent="0.3">
      <c r="A12" s="108"/>
      <c r="B12" s="79"/>
      <c r="C12" s="79"/>
      <c r="D12" s="144"/>
      <c r="E12" s="144"/>
      <c r="F12" s="145">
        <f t="shared" si="2"/>
        <v>0</v>
      </c>
      <c r="L12" s="390">
        <f>SUM(B12:E12)-F12</f>
        <v>0</v>
      </c>
      <c r="N12" s="398">
        <f t="shared" si="4"/>
        <v>0</v>
      </c>
    </row>
    <row r="13" spans="1:16" ht="21" customHeight="1" thickBot="1" x14ac:dyDescent="0.3">
      <c r="A13" s="108"/>
      <c r="B13" s="79"/>
      <c r="C13" s="79"/>
      <c r="D13" s="120"/>
      <c r="E13" s="120"/>
      <c r="F13" s="145">
        <f t="shared" si="2"/>
        <v>0</v>
      </c>
      <c r="L13" s="390">
        <f>SUM(B13:E13)-F13</f>
        <v>0</v>
      </c>
      <c r="N13" s="398">
        <f>B13-F31</f>
        <v>0</v>
      </c>
    </row>
    <row r="14" spans="1:16" ht="21" customHeight="1" thickBot="1" x14ac:dyDescent="0.3">
      <c r="A14" s="108"/>
      <c r="B14" s="79"/>
      <c r="C14" s="79"/>
      <c r="D14" s="120"/>
      <c r="E14" s="120"/>
      <c r="F14" s="145">
        <f t="shared" si="2"/>
        <v>0</v>
      </c>
      <c r="L14" s="390">
        <f t="shared" ref="L14:L17" si="7">SUM(B14:E14)-F14</f>
        <v>0</v>
      </c>
      <c r="N14" s="398">
        <f t="shared" si="4"/>
        <v>0</v>
      </c>
    </row>
    <row r="15" spans="1:16" ht="21" customHeight="1" thickBot="1" x14ac:dyDescent="0.3">
      <c r="A15" s="108"/>
      <c r="B15" s="79"/>
      <c r="C15" s="79"/>
      <c r="D15" s="120"/>
      <c r="E15" s="120"/>
      <c r="F15" s="145">
        <f t="shared" si="2"/>
        <v>0</v>
      </c>
      <c r="L15" s="390">
        <f t="shared" si="7"/>
        <v>0</v>
      </c>
      <c r="N15" s="398">
        <f t="shared" si="4"/>
        <v>0</v>
      </c>
    </row>
    <row r="16" spans="1:16" ht="21" customHeight="1" thickBot="1" x14ac:dyDescent="0.3">
      <c r="A16" s="108"/>
      <c r="B16" s="79"/>
      <c r="C16" s="79"/>
      <c r="D16" s="120"/>
      <c r="E16" s="120"/>
      <c r="F16" s="145">
        <f t="shared" si="2"/>
        <v>0</v>
      </c>
      <c r="L16" s="390">
        <f t="shared" si="7"/>
        <v>0</v>
      </c>
      <c r="N16" s="398">
        <f t="shared" si="4"/>
        <v>0</v>
      </c>
    </row>
    <row r="17" spans="1:16" ht="21" customHeight="1" thickBot="1" x14ac:dyDescent="0.3">
      <c r="A17" s="150"/>
      <c r="B17" s="81"/>
      <c r="C17" s="81"/>
      <c r="D17" s="148"/>
      <c r="E17" s="148"/>
      <c r="F17" s="149">
        <f t="shared" si="2"/>
        <v>0</v>
      </c>
      <c r="L17" s="390">
        <f t="shared" si="7"/>
        <v>0</v>
      </c>
      <c r="N17" s="398">
        <f t="shared" si="4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398"/>
    </row>
    <row r="19" spans="1:16" ht="16.5" x14ac:dyDescent="0.3">
      <c r="A19" s="2"/>
      <c r="N19" s="398"/>
    </row>
    <row r="20" spans="1:16" ht="15.75" thickBot="1" x14ac:dyDescent="0.3">
      <c r="A20" s="20" t="s">
        <v>15</v>
      </c>
      <c r="B20" s="20"/>
      <c r="C20" s="20"/>
      <c r="D20" s="20"/>
      <c r="E20" s="20"/>
      <c r="F20" s="20"/>
      <c r="N20" s="398"/>
    </row>
    <row r="21" spans="1:16" ht="16.5" thickTop="1" thickBot="1" x14ac:dyDescent="0.3">
      <c r="A21" s="1520" t="s">
        <v>131</v>
      </c>
      <c r="B21" s="1194" t="s">
        <v>3</v>
      </c>
      <c r="C21" s="1195"/>
      <c r="D21" s="1195"/>
      <c r="E21" s="1195"/>
      <c r="F21" s="1196"/>
      <c r="N21" s="398"/>
    </row>
    <row r="22" spans="1:16" s="4" customFormat="1" ht="35.25" thickTop="1" thickBot="1" x14ac:dyDescent="0.3">
      <c r="A22" s="1522"/>
      <c r="B22" s="21" t="s">
        <v>32</v>
      </c>
      <c r="C22" s="21" t="s">
        <v>124</v>
      </c>
      <c r="D22" s="102" t="s">
        <v>210</v>
      </c>
      <c r="E22" s="30" t="s">
        <v>211</v>
      </c>
      <c r="F22" s="21" t="s">
        <v>30</v>
      </c>
      <c r="H22" s="411"/>
      <c r="I22" s="410"/>
      <c r="J22" s="410"/>
      <c r="K22" s="410"/>
      <c r="L22" s="393"/>
      <c r="N22" s="398"/>
      <c r="P22" s="412"/>
    </row>
    <row r="23" spans="1:16" ht="21" customHeight="1" thickTop="1" thickBot="1" x14ac:dyDescent="0.3">
      <c r="A23" s="150" t="s">
        <v>212</v>
      </c>
      <c r="B23" s="85">
        <f>SUM(B24:B28)</f>
        <v>0</v>
      </c>
      <c r="C23" s="85">
        <f>SUM(C24:C28)</f>
        <v>0</v>
      </c>
      <c r="D23" s="85">
        <f t="shared" ref="D23" si="8">SUM(D24:D28)</f>
        <v>0</v>
      </c>
      <c r="E23" s="85">
        <f t="shared" ref="E23" si="9">SUM(E24:E28)</f>
        <v>0</v>
      </c>
      <c r="F23" s="143">
        <f>SUM(B23:E23)</f>
        <v>0</v>
      </c>
      <c r="H23" s="387">
        <f>SUM(B24:B28)-B23</f>
        <v>0</v>
      </c>
      <c r="I23" s="386">
        <f t="shared" ref="I23" si="10">SUM(C24:C28)-C23</f>
        <v>0</v>
      </c>
      <c r="J23" s="386">
        <f t="shared" ref="J23" si="11">SUM(D24:D28)-D23</f>
        <v>0</v>
      </c>
      <c r="K23" s="386">
        <f t="shared" ref="K23" si="12">SUM(E24:E28)-E23</f>
        <v>0</v>
      </c>
      <c r="L23" s="390">
        <f>SUM(B23:E23)-F23</f>
        <v>0</v>
      </c>
      <c r="N23" s="398"/>
      <c r="P23" s="398">
        <f>F23-BS!E105-BS!E107</f>
        <v>0</v>
      </c>
    </row>
    <row r="24" spans="1:16" ht="21" customHeight="1" thickTop="1" thickBot="1" x14ac:dyDescent="0.3">
      <c r="A24" s="108"/>
      <c r="B24" s="79"/>
      <c r="C24" s="79"/>
      <c r="D24" s="144"/>
      <c r="E24" s="144"/>
      <c r="F24" s="145">
        <f t="shared" ref="F24:F35" si="13">SUM(B24:E24)</f>
        <v>0</v>
      </c>
      <c r="L24" s="390">
        <f>SUM(B24:E24)-F24</f>
        <v>0</v>
      </c>
      <c r="N24" s="398"/>
    </row>
    <row r="25" spans="1:16" ht="21" customHeight="1" thickBot="1" x14ac:dyDescent="0.3">
      <c r="A25" s="108"/>
      <c r="B25" s="79"/>
      <c r="C25" s="79"/>
      <c r="D25" s="120"/>
      <c r="E25" s="120"/>
      <c r="F25" s="145">
        <f t="shared" si="13"/>
        <v>0</v>
      </c>
      <c r="L25" s="390">
        <f t="shared" ref="L25:L28" si="14">SUM(B25:E25)-F25</f>
        <v>0</v>
      </c>
      <c r="N25" s="398"/>
    </row>
    <row r="26" spans="1:16" ht="21" customHeight="1" thickBot="1" x14ac:dyDescent="0.3">
      <c r="A26" s="108"/>
      <c r="B26" s="79"/>
      <c r="C26" s="79"/>
      <c r="D26" s="120"/>
      <c r="E26" s="120"/>
      <c r="F26" s="145">
        <f t="shared" si="13"/>
        <v>0</v>
      </c>
      <c r="L26" s="390">
        <f t="shared" si="14"/>
        <v>0</v>
      </c>
      <c r="N26" s="398"/>
    </row>
    <row r="27" spans="1:16" ht="21" customHeight="1" thickBot="1" x14ac:dyDescent="0.3">
      <c r="A27" s="108"/>
      <c r="B27" s="79"/>
      <c r="C27" s="79"/>
      <c r="D27" s="120"/>
      <c r="E27" s="120"/>
      <c r="F27" s="145">
        <f t="shared" si="13"/>
        <v>0</v>
      </c>
      <c r="L27" s="390">
        <f t="shared" si="14"/>
        <v>0</v>
      </c>
      <c r="N27" s="398"/>
    </row>
    <row r="28" spans="1:16" ht="21" customHeight="1" thickBot="1" x14ac:dyDescent="0.3">
      <c r="A28" s="150"/>
      <c r="B28" s="85"/>
      <c r="C28" s="85"/>
      <c r="D28" s="146"/>
      <c r="E28" s="146"/>
      <c r="F28" s="147">
        <f t="shared" si="13"/>
        <v>0</v>
      </c>
      <c r="L28" s="390">
        <f t="shared" si="14"/>
        <v>0</v>
      </c>
      <c r="N28" s="398"/>
    </row>
    <row r="29" spans="1:16" ht="21" customHeight="1" thickTop="1" thickBot="1" x14ac:dyDescent="0.3">
      <c r="A29" s="150" t="s">
        <v>213</v>
      </c>
      <c r="B29" s="85">
        <f>SUM(B30:B34)</f>
        <v>0</v>
      </c>
      <c r="C29" s="85">
        <f>SUM(C30:C34)</f>
        <v>0</v>
      </c>
      <c r="D29" s="85">
        <f t="shared" ref="D29" si="15">SUM(D30:D34)</f>
        <v>0</v>
      </c>
      <c r="E29" s="85">
        <f t="shared" ref="E29" si="16">SUM(E30:E34)</f>
        <v>0</v>
      </c>
      <c r="F29" s="143">
        <f>SUM(B29:E29)</f>
        <v>0</v>
      </c>
      <c r="H29" s="387">
        <f>SUM(B30:B35)-B29</f>
        <v>0</v>
      </c>
      <c r="I29" s="386">
        <f t="shared" ref="I29" si="17">SUM(C30:C35)-C29</f>
        <v>0</v>
      </c>
      <c r="J29" s="386">
        <f t="shared" ref="J29" si="18">SUM(D30:D35)-D29</f>
        <v>0</v>
      </c>
      <c r="K29" s="386">
        <f t="shared" ref="K29" si="19">SUM(E30:E35)-E29</f>
        <v>0</v>
      </c>
      <c r="L29" s="390">
        <f>SUM(B29:E29)-F29</f>
        <v>0</v>
      </c>
      <c r="N29" s="398"/>
      <c r="P29" s="398">
        <f>F29-BS!E106-BS!E108</f>
        <v>-131269</v>
      </c>
    </row>
    <row r="30" spans="1:16" ht="21" customHeight="1" thickTop="1" thickBot="1" x14ac:dyDescent="0.3">
      <c r="A30" s="108"/>
      <c r="B30" s="79"/>
      <c r="C30" s="79"/>
      <c r="D30" s="144"/>
      <c r="E30" s="144"/>
      <c r="F30" s="145">
        <f t="shared" si="13"/>
        <v>0</v>
      </c>
      <c r="L30" s="390">
        <f>SUM(B30:E30)-F30</f>
        <v>0</v>
      </c>
      <c r="N30" s="398"/>
    </row>
    <row r="31" spans="1:16" ht="21" customHeight="1" thickBot="1" x14ac:dyDescent="0.3">
      <c r="A31" s="108"/>
      <c r="B31" s="79"/>
      <c r="C31" s="79"/>
      <c r="D31" s="120"/>
      <c r="E31" s="120"/>
      <c r="F31" s="145">
        <f t="shared" si="13"/>
        <v>0</v>
      </c>
      <c r="L31" s="390">
        <f t="shared" ref="L31:L35" si="20">SUM(B31:E31)-F31</f>
        <v>0</v>
      </c>
      <c r="N31" s="398"/>
    </row>
    <row r="32" spans="1:16" ht="21" customHeight="1" thickBot="1" x14ac:dyDescent="0.3">
      <c r="A32" s="108"/>
      <c r="B32" s="79"/>
      <c r="C32" s="79"/>
      <c r="D32" s="120"/>
      <c r="E32" s="120"/>
      <c r="F32" s="145">
        <f t="shared" si="13"/>
        <v>0</v>
      </c>
      <c r="L32" s="390">
        <f t="shared" si="20"/>
        <v>0</v>
      </c>
      <c r="N32" s="398"/>
    </row>
    <row r="33" spans="1:14" ht="21" customHeight="1" thickBot="1" x14ac:dyDescent="0.3">
      <c r="A33" s="108"/>
      <c r="B33" s="79"/>
      <c r="C33" s="79"/>
      <c r="D33" s="120"/>
      <c r="E33" s="120"/>
      <c r="F33" s="145">
        <f t="shared" si="13"/>
        <v>0</v>
      </c>
      <c r="L33" s="390">
        <f t="shared" si="20"/>
        <v>0</v>
      </c>
      <c r="N33" s="398"/>
    </row>
    <row r="34" spans="1:14" ht="21" customHeight="1" thickBot="1" x14ac:dyDescent="0.3">
      <c r="A34" s="108"/>
      <c r="B34" s="79"/>
      <c r="C34" s="79"/>
      <c r="D34" s="120"/>
      <c r="E34" s="120"/>
      <c r="F34" s="145">
        <f t="shared" si="13"/>
        <v>0</v>
      </c>
      <c r="L34" s="390">
        <f t="shared" si="20"/>
        <v>0</v>
      </c>
      <c r="N34" s="398"/>
    </row>
    <row r="35" spans="1:14" ht="21" customHeight="1" thickBot="1" x14ac:dyDescent="0.3">
      <c r="A35" s="150"/>
      <c r="B35" s="81"/>
      <c r="C35" s="81"/>
      <c r="D35" s="148"/>
      <c r="E35" s="148"/>
      <c r="F35" s="149">
        <f t="shared" si="13"/>
        <v>0</v>
      </c>
      <c r="L35" s="390">
        <f t="shared" si="20"/>
        <v>0</v>
      </c>
      <c r="N35" s="398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384" customWidth="1"/>
    <col min="6" max="6" width="25.28515625" style="389" customWidth="1"/>
    <col min="7" max="7" width="5.85546875" customWidth="1"/>
    <col min="8" max="8" width="29.42578125" style="384" customWidth="1"/>
    <col min="9" max="9" width="30.85546875" style="389" customWidth="1"/>
  </cols>
  <sheetData>
    <row r="1" spans="1:9" ht="17.25" thickBot="1" x14ac:dyDescent="0.35">
      <c r="A1" s="1" t="s">
        <v>214</v>
      </c>
      <c r="E1" s="1515" t="s">
        <v>1138</v>
      </c>
      <c r="F1" s="1517"/>
      <c r="H1" s="1515" t="s">
        <v>1140</v>
      </c>
      <c r="I1" s="1517"/>
    </row>
    <row r="2" spans="1:9" ht="26.25" customHeight="1" thickTop="1" thickBot="1" x14ac:dyDescent="0.3">
      <c r="A2" s="84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14" t="s">
        <v>215</v>
      </c>
      <c r="B3" s="151"/>
      <c r="C3" s="152"/>
    </row>
    <row r="4" spans="1:9" ht="20.25" customHeight="1" thickBot="1" x14ac:dyDescent="0.3">
      <c r="A4" s="14" t="s">
        <v>473</v>
      </c>
      <c r="B4" s="151"/>
      <c r="C4" s="152"/>
    </row>
    <row r="5" spans="1:9" ht="20.25" customHeight="1" thickBot="1" x14ac:dyDescent="0.3">
      <c r="A5" s="44" t="s">
        <v>216</v>
      </c>
      <c r="B5" s="79">
        <f>B3+B4</f>
        <v>0</v>
      </c>
      <c r="C5" s="80">
        <f>C3+C4</f>
        <v>0</v>
      </c>
      <c r="E5" s="387">
        <f>SUM(B3:B4)-B5</f>
        <v>0</v>
      </c>
      <c r="F5" s="390">
        <f>SUM(C3:C4)-C5</f>
        <v>0</v>
      </c>
      <c r="H5" s="387">
        <f>B5-BS!$D$121</f>
        <v>-3870264</v>
      </c>
      <c r="I5" s="390">
        <f>C5-BS!$E$121</f>
        <v>-2701198</v>
      </c>
    </row>
    <row r="6" spans="1:9" ht="20.25" customHeight="1" thickBot="1" x14ac:dyDescent="0.3">
      <c r="A6" s="14" t="s">
        <v>217</v>
      </c>
      <c r="B6" s="79"/>
      <c r="C6" s="80"/>
    </row>
    <row r="7" spans="1:9" ht="20.25" customHeight="1" thickBot="1" x14ac:dyDescent="0.3">
      <c r="A7" s="14" t="s">
        <v>218</v>
      </c>
      <c r="B7" s="153"/>
      <c r="C7" s="126"/>
    </row>
    <row r="8" spans="1:9" ht="20.25" customHeight="1" thickBot="1" x14ac:dyDescent="0.3">
      <c r="A8" s="25" t="s">
        <v>219</v>
      </c>
      <c r="B8" s="146">
        <f>B6+B7</f>
        <v>0</v>
      </c>
      <c r="C8" s="127">
        <f>C6+C7</f>
        <v>0</v>
      </c>
      <c r="E8" s="387">
        <f>SUM(B6:B7)-B8</f>
        <v>0</v>
      </c>
      <c r="F8" s="390">
        <f>SUM(C6:C7)-C8</f>
        <v>0</v>
      </c>
      <c r="H8" s="387">
        <f>B8-BS!$D$109</f>
        <v>-2814</v>
      </c>
      <c r="I8" s="390">
        <f>C8-BS!$E$109</f>
        <v>-10823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K1024"/>
  <sheetViews>
    <sheetView showGridLines="0" tabSelected="1" view="pageBreakPreview" zoomScaleNormal="115" zoomScaleSheetLayoutView="100" workbookViewId="0">
      <pane ySplit="1" topLeftCell="A922" activePane="bottomLeft" state="frozen"/>
      <selection pane="bottomLeft" activeCell="B923" sqref="B923"/>
    </sheetView>
  </sheetViews>
  <sheetFormatPr defaultRowHeight="14.25" customHeight="1" x14ac:dyDescent="0.2"/>
  <cols>
    <col min="1" max="1" width="3.42578125" style="942" customWidth="1"/>
    <col min="2" max="2" width="1.5703125" style="943" customWidth="1"/>
    <col min="3" max="34" width="3.42578125" style="943" customWidth="1"/>
    <col min="35" max="16384" width="9.140625" style="943"/>
  </cols>
  <sheetData>
    <row r="1" spans="1:43" s="641" customFormat="1" ht="15.75" customHeight="1" thickBot="1" x14ac:dyDescent="0.25">
      <c r="A1" s="939" t="s">
        <v>1526</v>
      </c>
      <c r="B1" s="1472" t="s">
        <v>1522</v>
      </c>
      <c r="C1" s="1473"/>
      <c r="D1" s="1473"/>
      <c r="E1" s="1473"/>
      <c r="F1" s="1473"/>
      <c r="G1" s="1473"/>
      <c r="H1" s="1473"/>
      <c r="I1" s="1473"/>
      <c r="J1" s="1473"/>
      <c r="K1" s="1473"/>
      <c r="L1" s="1473"/>
      <c r="M1" s="1473"/>
      <c r="N1" s="1473"/>
      <c r="O1" s="1473"/>
      <c r="P1" s="1473"/>
      <c r="Q1" s="1473"/>
      <c r="R1" s="1473"/>
      <c r="S1" s="1473"/>
      <c r="T1" s="1473"/>
      <c r="U1" s="1473"/>
      <c r="V1" s="1473"/>
      <c r="W1" s="1473"/>
      <c r="X1" s="1473"/>
      <c r="Y1" s="1473"/>
      <c r="Z1" s="1473"/>
      <c r="AA1" s="1473"/>
      <c r="AB1" s="1473"/>
      <c r="AC1" s="1473"/>
      <c r="AD1" s="1473"/>
      <c r="AE1" s="1473"/>
      <c r="AF1" s="1473"/>
      <c r="AG1" s="1473"/>
      <c r="AH1" s="1474"/>
      <c r="AI1" s="1469" t="s">
        <v>1530</v>
      </c>
      <c r="AJ1" s="1470"/>
      <c r="AK1" s="1470"/>
      <c r="AL1" s="1470"/>
      <c r="AM1" s="1471"/>
      <c r="AN1" s="940"/>
      <c r="AO1" s="768" t="s">
        <v>1140</v>
      </c>
      <c r="AP1" s="941"/>
      <c r="AQ1" s="940"/>
    </row>
    <row r="2" spans="1:43" s="633" customFormat="1" ht="16.5" customHeight="1" x14ac:dyDescent="0.2">
      <c r="A2" s="942"/>
      <c r="AI2" s="943"/>
      <c r="AJ2" s="943"/>
      <c r="AK2" s="943"/>
      <c r="AL2" s="943"/>
      <c r="AM2" s="943"/>
      <c r="AN2" s="943"/>
      <c r="AO2" s="943"/>
      <c r="AP2" s="943"/>
      <c r="AQ2" s="943"/>
    </row>
    <row r="3" spans="1:43" s="633" customFormat="1" x14ac:dyDescent="0.2">
      <c r="A3" s="942"/>
      <c r="D3" s="632" t="s">
        <v>1433</v>
      </c>
      <c r="AI3" s="943"/>
      <c r="AJ3" s="943"/>
      <c r="AK3" s="943"/>
      <c r="AL3" s="943"/>
      <c r="AM3" s="943"/>
      <c r="AN3" s="943"/>
      <c r="AO3" s="943"/>
      <c r="AP3" s="943"/>
      <c r="AQ3" s="943"/>
    </row>
    <row r="4" spans="1:43" s="633" customFormat="1" x14ac:dyDescent="0.2">
      <c r="A4" s="942"/>
      <c r="D4" s="632"/>
      <c r="AI4" s="943"/>
      <c r="AJ4" s="943"/>
      <c r="AK4" s="943"/>
      <c r="AL4" s="943"/>
      <c r="AM4" s="943"/>
      <c r="AN4" s="943"/>
      <c r="AO4" s="943"/>
      <c r="AP4" s="943"/>
      <c r="AQ4" s="943"/>
    </row>
    <row r="5" spans="1:43" s="633" customFormat="1" ht="15" customHeight="1" x14ac:dyDescent="0.2">
      <c r="A5" s="942"/>
      <c r="D5" s="1116" t="s">
        <v>2009</v>
      </c>
      <c r="E5" s="1116"/>
      <c r="F5" s="1116"/>
      <c r="G5" s="1116"/>
      <c r="H5" s="1116"/>
      <c r="I5" s="1116"/>
      <c r="J5" s="1116"/>
      <c r="K5" s="1116"/>
      <c r="L5" s="1116"/>
      <c r="M5" s="1116"/>
      <c r="N5" s="1116"/>
      <c r="O5" s="1116"/>
      <c r="P5" s="1116"/>
      <c r="Q5" s="1116"/>
      <c r="R5" s="1116"/>
      <c r="S5" s="1116"/>
      <c r="T5" s="1116"/>
      <c r="U5" s="1116"/>
      <c r="V5" s="1116"/>
      <c r="W5" s="1116"/>
      <c r="X5" s="1116"/>
      <c r="Y5" s="1116"/>
      <c r="Z5" s="1116"/>
      <c r="AA5" s="1116"/>
      <c r="AB5" s="1116"/>
      <c r="AC5" s="1116"/>
      <c r="AD5" s="1116"/>
      <c r="AE5" s="1116"/>
      <c r="AF5" s="1116"/>
      <c r="AG5" s="1116"/>
      <c r="AI5" s="943"/>
      <c r="AJ5" s="943"/>
      <c r="AK5" s="943"/>
      <c r="AL5" s="943"/>
      <c r="AM5" s="943"/>
      <c r="AN5" s="943"/>
      <c r="AO5" s="943"/>
      <c r="AP5" s="943"/>
      <c r="AQ5" s="943"/>
    </row>
    <row r="6" spans="1:43" s="633" customFormat="1" x14ac:dyDescent="0.2">
      <c r="A6" s="942"/>
      <c r="D6" s="1116"/>
      <c r="E6" s="1116"/>
      <c r="F6" s="1116"/>
      <c r="G6" s="1116"/>
      <c r="H6" s="1116"/>
      <c r="I6" s="1116"/>
      <c r="J6" s="1116"/>
      <c r="K6" s="1116"/>
      <c r="L6" s="1116"/>
      <c r="M6" s="1116"/>
      <c r="N6" s="1116"/>
      <c r="O6" s="1116"/>
      <c r="P6" s="1116"/>
      <c r="Q6" s="1116"/>
      <c r="R6" s="1116"/>
      <c r="S6" s="1116"/>
      <c r="T6" s="1116"/>
      <c r="U6" s="1116"/>
      <c r="V6" s="1116"/>
      <c r="W6" s="1116"/>
      <c r="X6" s="1116"/>
      <c r="Y6" s="1116"/>
      <c r="Z6" s="1116"/>
      <c r="AA6" s="1116"/>
      <c r="AB6" s="1116"/>
      <c r="AC6" s="1116"/>
      <c r="AD6" s="1116"/>
      <c r="AE6" s="1116"/>
      <c r="AF6" s="1116"/>
      <c r="AG6" s="1116"/>
      <c r="AI6" s="943"/>
      <c r="AJ6" s="943"/>
      <c r="AK6" s="943"/>
      <c r="AL6" s="943"/>
      <c r="AM6" s="943"/>
      <c r="AN6" s="943"/>
      <c r="AO6" s="943"/>
      <c r="AP6" s="943"/>
      <c r="AQ6" s="943"/>
    </row>
    <row r="7" spans="1:43" s="633" customFormat="1" x14ac:dyDescent="0.2">
      <c r="A7" s="942"/>
      <c r="D7" s="1116"/>
      <c r="E7" s="1116"/>
      <c r="F7" s="1116"/>
      <c r="G7" s="1116"/>
      <c r="H7" s="1116"/>
      <c r="I7" s="1116"/>
      <c r="J7" s="1116"/>
      <c r="K7" s="1116"/>
      <c r="L7" s="1116"/>
      <c r="M7" s="1116"/>
      <c r="N7" s="1116"/>
      <c r="O7" s="1116"/>
      <c r="P7" s="1116"/>
      <c r="Q7" s="1116"/>
      <c r="R7" s="1116"/>
      <c r="S7" s="1116"/>
      <c r="T7" s="1116"/>
      <c r="U7" s="1116"/>
      <c r="V7" s="1116"/>
      <c r="W7" s="1116"/>
      <c r="X7" s="1116"/>
      <c r="Y7" s="1116"/>
      <c r="Z7" s="1116"/>
      <c r="AA7" s="1116"/>
      <c r="AB7" s="1116"/>
      <c r="AC7" s="1116"/>
      <c r="AD7" s="1116"/>
      <c r="AE7" s="1116"/>
      <c r="AF7" s="1116"/>
      <c r="AG7" s="1116"/>
      <c r="AI7" s="943"/>
      <c r="AJ7" s="943"/>
      <c r="AK7" s="943"/>
      <c r="AL7" s="943"/>
      <c r="AM7" s="943"/>
      <c r="AN7" s="943"/>
      <c r="AO7" s="943"/>
      <c r="AP7" s="943"/>
      <c r="AQ7" s="943"/>
    </row>
    <row r="8" spans="1:43" s="633" customFormat="1" x14ac:dyDescent="0.2">
      <c r="A8" s="942"/>
      <c r="D8" s="1116"/>
      <c r="E8" s="1116"/>
      <c r="F8" s="1116"/>
      <c r="G8" s="1116"/>
      <c r="H8" s="1116"/>
      <c r="I8" s="1116"/>
      <c r="J8" s="1116"/>
      <c r="K8" s="1116"/>
      <c r="L8" s="1116"/>
      <c r="M8" s="1116"/>
      <c r="N8" s="1116"/>
      <c r="O8" s="1116"/>
      <c r="P8" s="1116"/>
      <c r="Q8" s="1116"/>
      <c r="R8" s="1116"/>
      <c r="S8" s="1116"/>
      <c r="T8" s="1116"/>
      <c r="U8" s="1116"/>
      <c r="V8" s="1116"/>
      <c r="W8" s="1116"/>
      <c r="X8" s="1116"/>
      <c r="Y8" s="1116"/>
      <c r="Z8" s="1116"/>
      <c r="AA8" s="1116"/>
      <c r="AB8" s="1116"/>
      <c r="AC8" s="1116"/>
      <c r="AD8" s="1116"/>
      <c r="AE8" s="1116"/>
      <c r="AF8" s="1116"/>
      <c r="AG8" s="1116"/>
      <c r="AI8" s="943"/>
      <c r="AJ8" s="943"/>
      <c r="AK8" s="943"/>
      <c r="AL8" s="943"/>
      <c r="AM8" s="943"/>
      <c r="AN8" s="943"/>
      <c r="AO8" s="943"/>
      <c r="AP8" s="943"/>
      <c r="AQ8" s="943"/>
    </row>
    <row r="9" spans="1:43" s="633" customFormat="1" x14ac:dyDescent="0.2">
      <c r="A9" s="942"/>
      <c r="D9" s="928"/>
      <c r="AI9" s="943"/>
      <c r="AJ9" s="943"/>
      <c r="AK9" s="943"/>
      <c r="AL9" s="943"/>
      <c r="AM9" s="943"/>
      <c r="AN9" s="943"/>
      <c r="AO9" s="943"/>
      <c r="AP9" s="943"/>
      <c r="AQ9" s="943"/>
    </row>
    <row r="10" spans="1:43" s="633" customFormat="1" ht="15" customHeight="1" x14ac:dyDescent="0.2">
      <c r="A10" s="942"/>
      <c r="D10" s="1116" t="s">
        <v>1935</v>
      </c>
      <c r="E10" s="1116"/>
      <c r="F10" s="1116"/>
      <c r="G10" s="1116"/>
      <c r="H10" s="1116"/>
      <c r="I10" s="1116"/>
      <c r="J10" s="1116"/>
      <c r="K10" s="1116"/>
      <c r="L10" s="1116"/>
      <c r="M10" s="1116"/>
      <c r="N10" s="1116"/>
      <c r="O10" s="1116"/>
      <c r="P10" s="1116"/>
      <c r="Q10" s="1116"/>
      <c r="R10" s="1116"/>
      <c r="S10" s="1116"/>
      <c r="T10" s="1116"/>
      <c r="U10" s="1116"/>
      <c r="V10" s="1116"/>
      <c r="W10" s="1116"/>
      <c r="X10" s="1116"/>
      <c r="Y10" s="1116"/>
      <c r="Z10" s="1116"/>
      <c r="AA10" s="1116"/>
      <c r="AB10" s="1116"/>
      <c r="AC10" s="1116"/>
      <c r="AD10" s="1116"/>
      <c r="AE10" s="1116"/>
      <c r="AF10" s="1116"/>
      <c r="AG10" s="1116"/>
      <c r="AI10" s="943"/>
      <c r="AJ10" s="943"/>
      <c r="AK10" s="943"/>
      <c r="AL10" s="943"/>
      <c r="AM10" s="943"/>
      <c r="AN10" s="943"/>
      <c r="AO10" s="943"/>
      <c r="AP10" s="943"/>
      <c r="AQ10" s="943"/>
    </row>
    <row r="11" spans="1:43" s="633" customFormat="1" x14ac:dyDescent="0.2">
      <c r="A11" s="942"/>
      <c r="D11" s="1116"/>
      <c r="E11" s="1116"/>
      <c r="F11" s="1116"/>
      <c r="G11" s="1116"/>
      <c r="H11" s="1116"/>
      <c r="I11" s="1116"/>
      <c r="J11" s="1116"/>
      <c r="K11" s="1116"/>
      <c r="L11" s="1116"/>
      <c r="M11" s="1116"/>
      <c r="N11" s="1116"/>
      <c r="O11" s="1116"/>
      <c r="P11" s="1116"/>
      <c r="Q11" s="1116"/>
      <c r="R11" s="1116"/>
      <c r="S11" s="1116"/>
      <c r="T11" s="1116"/>
      <c r="U11" s="1116"/>
      <c r="V11" s="1116"/>
      <c r="W11" s="1116"/>
      <c r="X11" s="1116"/>
      <c r="Y11" s="1116"/>
      <c r="Z11" s="1116"/>
      <c r="AA11" s="1116"/>
      <c r="AB11" s="1116"/>
      <c r="AC11" s="1116"/>
      <c r="AD11" s="1116"/>
      <c r="AE11" s="1116"/>
      <c r="AF11" s="1116"/>
      <c r="AG11" s="1116"/>
      <c r="AI11" s="943"/>
      <c r="AJ11" s="943"/>
      <c r="AK11" s="943"/>
      <c r="AL11" s="943"/>
      <c r="AM11" s="943"/>
      <c r="AN11" s="943"/>
      <c r="AO11" s="943"/>
      <c r="AP11" s="943"/>
      <c r="AQ11" s="943"/>
    </row>
    <row r="12" spans="1:43" s="633" customFormat="1" x14ac:dyDescent="0.2">
      <c r="A12" s="942"/>
      <c r="AI12" s="943"/>
      <c r="AJ12" s="943"/>
      <c r="AK12" s="943"/>
      <c r="AL12" s="943"/>
      <c r="AM12" s="943"/>
      <c r="AN12" s="943"/>
      <c r="AO12" s="943"/>
      <c r="AP12" s="943"/>
      <c r="AQ12" s="943"/>
    </row>
    <row r="13" spans="1:43" s="633" customFormat="1" x14ac:dyDescent="0.2">
      <c r="A13" s="942"/>
      <c r="D13" s="921" t="s">
        <v>1422</v>
      </c>
      <c r="E13" s="928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8"/>
      <c r="Q13" s="928"/>
      <c r="R13" s="928"/>
      <c r="AI13" s="943"/>
      <c r="AJ13" s="943"/>
      <c r="AK13" s="943"/>
      <c r="AL13" s="943"/>
      <c r="AM13" s="943"/>
      <c r="AN13" s="943"/>
      <c r="AO13" s="943"/>
      <c r="AP13" s="943"/>
      <c r="AQ13" s="943"/>
    </row>
    <row r="14" spans="1:43" s="633" customFormat="1" x14ac:dyDescent="0.2">
      <c r="A14" s="942"/>
      <c r="D14" s="921" t="s">
        <v>1423</v>
      </c>
      <c r="E14" s="928" t="s">
        <v>1936</v>
      </c>
      <c r="F14" s="928"/>
      <c r="G14" s="928"/>
      <c r="H14" s="928"/>
      <c r="I14" s="928"/>
      <c r="J14" s="928"/>
      <c r="K14" s="928"/>
      <c r="L14" s="928"/>
      <c r="M14" s="928"/>
      <c r="N14" s="928"/>
      <c r="O14" s="928"/>
      <c r="P14" s="928"/>
      <c r="Q14" s="928"/>
      <c r="R14" s="928"/>
      <c r="AI14" s="943"/>
      <c r="AJ14" s="943"/>
      <c r="AK14" s="943"/>
      <c r="AL14" s="943"/>
      <c r="AM14" s="943"/>
      <c r="AN14" s="943"/>
      <c r="AO14" s="943"/>
      <c r="AP14" s="943"/>
      <c r="AQ14" s="943"/>
    </row>
    <row r="15" spans="1:43" s="633" customFormat="1" x14ac:dyDescent="0.2">
      <c r="A15" s="942"/>
      <c r="D15" s="921" t="s">
        <v>532</v>
      </c>
      <c r="E15" s="928" t="s">
        <v>1937</v>
      </c>
      <c r="F15" s="928"/>
      <c r="G15" s="928"/>
      <c r="H15" s="928"/>
      <c r="I15" s="928"/>
      <c r="J15" s="928"/>
      <c r="K15" s="928"/>
      <c r="L15" s="928"/>
      <c r="M15" s="928"/>
      <c r="N15" s="928"/>
      <c r="O15" s="928"/>
      <c r="P15" s="928"/>
      <c r="Q15" s="928"/>
      <c r="R15" s="928"/>
      <c r="AI15" s="943"/>
      <c r="AJ15" s="943"/>
      <c r="AK15" s="943"/>
      <c r="AL15" s="943"/>
      <c r="AM15" s="943"/>
      <c r="AN15" s="943"/>
      <c r="AO15" s="943"/>
      <c r="AP15" s="943"/>
      <c r="AQ15" s="943"/>
    </row>
    <row r="16" spans="1:43" s="633" customFormat="1" x14ac:dyDescent="0.2">
      <c r="A16" s="942"/>
      <c r="AI16" s="943"/>
      <c r="AJ16" s="943"/>
      <c r="AK16" s="943"/>
      <c r="AL16" s="943"/>
      <c r="AM16" s="943"/>
      <c r="AN16" s="943"/>
      <c r="AO16" s="943"/>
      <c r="AP16" s="943"/>
      <c r="AQ16" s="943"/>
    </row>
    <row r="17" spans="1:43" s="633" customFormat="1" x14ac:dyDescent="0.2">
      <c r="A17" s="942"/>
      <c r="D17" s="921" t="s">
        <v>1424</v>
      </c>
      <c r="AI17" s="943"/>
      <c r="AJ17" s="943"/>
      <c r="AK17" s="943"/>
      <c r="AL17" s="943"/>
      <c r="AM17" s="943"/>
      <c r="AN17" s="943"/>
      <c r="AO17" s="943"/>
      <c r="AP17" s="943"/>
      <c r="AQ17" s="943"/>
    </row>
    <row r="18" spans="1:43" s="633" customFormat="1" ht="15" thickBot="1" x14ac:dyDescent="0.25">
      <c r="A18" s="942"/>
      <c r="AI18" s="943"/>
      <c r="AJ18" s="943"/>
      <c r="AK18" s="943"/>
      <c r="AL18" s="943"/>
      <c r="AM18" s="943"/>
      <c r="AN18" s="943"/>
      <c r="AO18" s="943"/>
      <c r="AP18" s="943"/>
      <c r="AQ18" s="943"/>
    </row>
    <row r="19" spans="1:43" s="633" customFormat="1" ht="34.5" customHeight="1" thickBot="1" x14ac:dyDescent="0.25">
      <c r="A19" s="942">
        <v>1</v>
      </c>
      <c r="D19" s="1371" t="s">
        <v>1</v>
      </c>
      <c r="E19" s="1371"/>
      <c r="F19" s="1371"/>
      <c r="G19" s="1371"/>
      <c r="H19" s="1371"/>
      <c r="I19" s="1371"/>
      <c r="J19" s="1371"/>
      <c r="K19" s="1371"/>
      <c r="L19" s="1371"/>
      <c r="M19" s="1371"/>
      <c r="N19" s="1371"/>
      <c r="O19" s="1371"/>
      <c r="P19" s="1371" t="s">
        <v>2</v>
      </c>
      <c r="Q19" s="1371"/>
      <c r="R19" s="1371"/>
      <c r="S19" s="1371"/>
      <c r="T19" s="1371"/>
      <c r="U19" s="1371"/>
      <c r="V19" s="1371"/>
      <c r="W19" s="1371"/>
      <c r="X19" s="1371"/>
      <c r="Y19" s="1371" t="s">
        <v>3</v>
      </c>
      <c r="Z19" s="1371"/>
      <c r="AA19" s="1371"/>
      <c r="AB19" s="1371"/>
      <c r="AC19" s="1371"/>
      <c r="AD19" s="1371"/>
      <c r="AE19" s="1371"/>
      <c r="AF19" s="1371"/>
      <c r="AG19" s="1371"/>
      <c r="AI19" s="943"/>
      <c r="AJ19" s="943"/>
      <c r="AK19" s="943"/>
      <c r="AL19" s="943"/>
      <c r="AM19" s="943"/>
      <c r="AN19" s="943"/>
      <c r="AO19" s="943"/>
      <c r="AP19" s="943"/>
      <c r="AQ19" s="943"/>
    </row>
    <row r="20" spans="1:43" s="633" customFormat="1" ht="30" customHeight="1" x14ac:dyDescent="0.2">
      <c r="A20" s="942"/>
      <c r="D20" s="1374" t="s">
        <v>4</v>
      </c>
      <c r="E20" s="1374"/>
      <c r="F20" s="1374"/>
      <c r="G20" s="1374"/>
      <c r="H20" s="1374"/>
      <c r="I20" s="1374"/>
      <c r="J20" s="1374"/>
      <c r="K20" s="1374"/>
      <c r="L20" s="1374"/>
      <c r="M20" s="1374"/>
      <c r="N20" s="1374"/>
      <c r="O20" s="1374"/>
      <c r="P20" s="1323">
        <v>14</v>
      </c>
      <c r="Q20" s="1323"/>
      <c r="R20" s="1323"/>
      <c r="S20" s="1323"/>
      <c r="T20" s="1323"/>
      <c r="U20" s="1323"/>
      <c r="V20" s="1323"/>
      <c r="W20" s="1323"/>
      <c r="X20" s="1323"/>
      <c r="Y20" s="1323">
        <v>11</v>
      </c>
      <c r="Z20" s="1323"/>
      <c r="AA20" s="1323"/>
      <c r="AB20" s="1323"/>
      <c r="AC20" s="1323"/>
      <c r="AD20" s="1323"/>
      <c r="AE20" s="1323"/>
      <c r="AF20" s="1323"/>
      <c r="AG20" s="1323"/>
      <c r="AI20" s="943"/>
      <c r="AJ20" s="943"/>
      <c r="AK20" s="943"/>
      <c r="AL20" s="943"/>
      <c r="AM20" s="943"/>
      <c r="AN20" s="943"/>
      <c r="AO20" s="943"/>
      <c r="AP20" s="943"/>
      <c r="AQ20" s="943"/>
    </row>
    <row r="21" spans="1:43" s="633" customFormat="1" ht="30" customHeight="1" x14ac:dyDescent="0.2">
      <c r="A21" s="942"/>
      <c r="D21" s="1373" t="s">
        <v>5</v>
      </c>
      <c r="E21" s="1373"/>
      <c r="F21" s="1373"/>
      <c r="G21" s="1373"/>
      <c r="H21" s="1373"/>
      <c r="I21" s="1373"/>
      <c r="J21" s="1373"/>
      <c r="K21" s="1373"/>
      <c r="L21" s="1373"/>
      <c r="M21" s="1373"/>
      <c r="N21" s="1373"/>
      <c r="O21" s="1373"/>
      <c r="P21" s="1169">
        <v>14</v>
      </c>
      <c r="Q21" s="1169"/>
      <c r="R21" s="1169"/>
      <c r="S21" s="1169"/>
      <c r="T21" s="1169"/>
      <c r="U21" s="1169"/>
      <c r="V21" s="1169"/>
      <c r="W21" s="1169"/>
      <c r="X21" s="1169"/>
      <c r="Y21" s="1169">
        <v>13</v>
      </c>
      <c r="Z21" s="1169"/>
      <c r="AA21" s="1169"/>
      <c r="AB21" s="1169"/>
      <c r="AC21" s="1169"/>
      <c r="AD21" s="1169"/>
      <c r="AE21" s="1169"/>
      <c r="AF21" s="1169"/>
      <c r="AG21" s="1169"/>
      <c r="AI21" s="943"/>
      <c r="AJ21" s="943"/>
      <c r="AK21" s="943"/>
      <c r="AL21" s="943"/>
      <c r="AM21" s="943"/>
      <c r="AN21" s="943"/>
      <c r="AO21" s="943"/>
      <c r="AP21" s="943"/>
      <c r="AQ21" s="943"/>
    </row>
    <row r="22" spans="1:43" s="633" customFormat="1" ht="30" customHeight="1" thickBot="1" x14ac:dyDescent="0.25">
      <c r="A22" s="942"/>
      <c r="D22" s="1372" t="s">
        <v>6</v>
      </c>
      <c r="E22" s="1372"/>
      <c r="F22" s="1372"/>
      <c r="G22" s="1372"/>
      <c r="H22" s="1372"/>
      <c r="I22" s="1372"/>
      <c r="J22" s="1372"/>
      <c r="K22" s="1372"/>
      <c r="L22" s="1372"/>
      <c r="M22" s="1372"/>
      <c r="N22" s="1372"/>
      <c r="O22" s="1372"/>
      <c r="P22" s="1370">
        <v>0</v>
      </c>
      <c r="Q22" s="1370"/>
      <c r="R22" s="1370"/>
      <c r="S22" s="1370"/>
      <c r="T22" s="1370"/>
      <c r="U22" s="1370"/>
      <c r="V22" s="1370"/>
      <c r="W22" s="1370"/>
      <c r="X22" s="1370"/>
      <c r="Y22" s="1370">
        <v>0</v>
      </c>
      <c r="Z22" s="1370"/>
      <c r="AA22" s="1370"/>
      <c r="AB22" s="1370"/>
      <c r="AC22" s="1370"/>
      <c r="AD22" s="1370"/>
      <c r="AE22" s="1370"/>
      <c r="AF22" s="1370"/>
      <c r="AG22" s="1370"/>
      <c r="AI22" s="943"/>
      <c r="AJ22" s="943"/>
      <c r="AK22" s="943"/>
      <c r="AL22" s="943"/>
      <c r="AM22" s="943"/>
      <c r="AN22" s="943"/>
      <c r="AO22" s="943"/>
      <c r="AP22" s="943"/>
      <c r="AQ22" s="943"/>
    </row>
    <row r="23" spans="1:43" s="633" customFormat="1" x14ac:dyDescent="0.2">
      <c r="A23" s="942"/>
      <c r="AI23" s="943"/>
      <c r="AJ23" s="943"/>
      <c r="AK23" s="943"/>
      <c r="AL23" s="943"/>
      <c r="AM23" s="943"/>
      <c r="AN23" s="943"/>
      <c r="AO23" s="943"/>
      <c r="AP23" s="943"/>
      <c r="AQ23" s="943"/>
    </row>
    <row r="24" spans="1:43" s="633" customFormat="1" x14ac:dyDescent="0.2">
      <c r="A24" s="942"/>
      <c r="AI24" s="943"/>
      <c r="AJ24" s="943"/>
      <c r="AK24" s="943"/>
      <c r="AL24" s="943"/>
      <c r="AM24" s="943"/>
      <c r="AN24" s="943"/>
      <c r="AO24" s="943"/>
      <c r="AP24" s="943"/>
      <c r="AQ24" s="943"/>
    </row>
    <row r="25" spans="1:43" s="633" customFormat="1" ht="15" customHeight="1" x14ac:dyDescent="0.2">
      <c r="A25" s="942"/>
      <c r="D25" s="1365" t="s">
        <v>1989</v>
      </c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I25" s="943"/>
      <c r="AJ25" s="943"/>
      <c r="AK25" s="943"/>
      <c r="AL25" s="943"/>
      <c r="AM25" s="943"/>
      <c r="AN25" s="943"/>
      <c r="AO25" s="943"/>
      <c r="AP25" s="943"/>
      <c r="AQ25" s="943"/>
    </row>
    <row r="26" spans="1:43" s="633" customFormat="1" x14ac:dyDescent="0.2">
      <c r="A26" s="942"/>
      <c r="D26" s="1365"/>
      <c r="E26" s="1365"/>
      <c r="F26" s="1365"/>
      <c r="G26" s="1365"/>
      <c r="H26" s="1365"/>
      <c r="I26" s="1365"/>
      <c r="J26" s="1365"/>
      <c r="K26" s="1365"/>
      <c r="L26" s="1365"/>
      <c r="M26" s="1365"/>
      <c r="N26" s="1365"/>
      <c r="O26" s="1365"/>
      <c r="P26" s="1365"/>
      <c r="Q26" s="1365"/>
      <c r="R26" s="1365"/>
      <c r="S26" s="1365"/>
      <c r="T26" s="1365"/>
      <c r="U26" s="1365"/>
      <c r="V26" s="1365"/>
      <c r="W26" s="1365"/>
      <c r="X26" s="1365"/>
      <c r="Y26" s="1365"/>
      <c r="Z26" s="1365"/>
      <c r="AA26" s="1365"/>
      <c r="AB26" s="1365"/>
      <c r="AC26" s="1365"/>
      <c r="AD26" s="1365"/>
      <c r="AE26" s="1365"/>
      <c r="AF26" s="1365"/>
      <c r="AG26" s="1365"/>
      <c r="AI26" s="943"/>
      <c r="AJ26" s="943"/>
      <c r="AK26" s="943"/>
      <c r="AL26" s="943"/>
      <c r="AM26" s="943"/>
      <c r="AN26" s="943"/>
      <c r="AO26" s="943"/>
      <c r="AP26" s="943"/>
      <c r="AQ26" s="943"/>
    </row>
    <row r="27" spans="1:43" s="633" customFormat="1" ht="15" thickBot="1" x14ac:dyDescent="0.25">
      <c r="A27" s="942"/>
      <c r="D27" s="923"/>
      <c r="E27" s="923"/>
      <c r="F27" s="923"/>
      <c r="G27" s="923"/>
      <c r="H27" s="923"/>
      <c r="I27" s="923"/>
      <c r="J27" s="923"/>
      <c r="K27" s="923"/>
      <c r="L27" s="923"/>
      <c r="M27" s="923"/>
      <c r="N27" s="923"/>
      <c r="O27" s="923"/>
      <c r="P27" s="923"/>
      <c r="Q27" s="923"/>
      <c r="R27" s="923"/>
      <c r="S27" s="923"/>
      <c r="T27" s="923"/>
      <c r="U27" s="923"/>
      <c r="V27" s="923"/>
      <c r="W27" s="923"/>
      <c r="X27" s="923"/>
      <c r="Y27" s="923"/>
      <c r="Z27" s="923"/>
      <c r="AA27" s="923"/>
      <c r="AB27" s="923"/>
      <c r="AC27" s="923"/>
      <c r="AD27" s="923"/>
      <c r="AE27" s="923"/>
      <c r="AF27" s="923"/>
      <c r="AG27" s="923"/>
      <c r="AI27" s="943"/>
      <c r="AJ27" s="943"/>
      <c r="AK27" s="943"/>
      <c r="AL27" s="943"/>
      <c r="AM27" s="943"/>
      <c r="AN27" s="943"/>
      <c r="AO27" s="943"/>
      <c r="AP27" s="943"/>
      <c r="AQ27" s="943"/>
    </row>
    <row r="28" spans="1:43" s="633" customFormat="1" ht="24.75" customHeight="1" thickBot="1" x14ac:dyDescent="0.25">
      <c r="A28" s="942" t="s">
        <v>1430</v>
      </c>
      <c r="D28" s="1188" t="s">
        <v>1990</v>
      </c>
      <c r="E28" s="1188"/>
      <c r="F28" s="1188"/>
      <c r="G28" s="1188"/>
      <c r="H28" s="1188"/>
      <c r="I28" s="1188"/>
      <c r="J28" s="1188"/>
      <c r="K28" s="1188"/>
      <c r="L28" s="1188"/>
      <c r="M28" s="1188"/>
      <c r="N28" s="1188" t="s">
        <v>10</v>
      </c>
      <c r="O28" s="1188"/>
      <c r="P28" s="1188"/>
      <c r="Q28" s="1188"/>
      <c r="R28" s="1188"/>
      <c r="S28" s="1188"/>
      <c r="T28" s="1188"/>
      <c r="U28" s="1188"/>
      <c r="V28" s="1188"/>
      <c r="W28" s="1188"/>
      <c r="X28" s="1188" t="s">
        <v>11</v>
      </c>
      <c r="Y28" s="1188"/>
      <c r="Z28" s="1188"/>
      <c r="AA28" s="1188"/>
      <c r="AB28" s="1188"/>
      <c r="AC28" s="1188" t="s">
        <v>454</v>
      </c>
      <c r="AD28" s="1188"/>
      <c r="AE28" s="1188"/>
      <c r="AF28" s="1188"/>
      <c r="AG28" s="1188"/>
      <c r="AI28" s="943"/>
      <c r="AJ28" s="943"/>
      <c r="AK28" s="943"/>
      <c r="AL28" s="943"/>
      <c r="AM28" s="943"/>
      <c r="AN28" s="943"/>
      <c r="AO28" s="943"/>
      <c r="AP28" s="943"/>
      <c r="AQ28" s="943"/>
    </row>
    <row r="29" spans="1:43" s="633" customFormat="1" ht="24.75" customHeight="1" thickBot="1" x14ac:dyDescent="0.25">
      <c r="A29" s="942"/>
      <c r="D29" s="1188"/>
      <c r="E29" s="1188"/>
      <c r="F29" s="1188"/>
      <c r="G29" s="1188"/>
      <c r="H29" s="1188"/>
      <c r="I29" s="1188"/>
      <c r="J29" s="1188"/>
      <c r="K29" s="1188"/>
      <c r="L29" s="1188"/>
      <c r="M29" s="1188"/>
      <c r="N29" s="1188" t="s">
        <v>13</v>
      </c>
      <c r="O29" s="1188"/>
      <c r="P29" s="1188"/>
      <c r="Q29" s="1188"/>
      <c r="R29" s="1188"/>
      <c r="S29" s="1188" t="s">
        <v>12</v>
      </c>
      <c r="T29" s="1188"/>
      <c r="U29" s="1188"/>
      <c r="V29" s="1188"/>
      <c r="W29" s="1188"/>
      <c r="X29" s="1188"/>
      <c r="Y29" s="1188"/>
      <c r="Z29" s="1188"/>
      <c r="AA29" s="1188"/>
      <c r="AB29" s="1188"/>
      <c r="AC29" s="1188"/>
      <c r="AD29" s="1188"/>
      <c r="AE29" s="1188"/>
      <c r="AF29" s="1188"/>
      <c r="AG29" s="1188"/>
      <c r="AI29" s="943"/>
      <c r="AJ29" s="943"/>
      <c r="AK29" s="943"/>
      <c r="AL29" s="943"/>
      <c r="AM29" s="943"/>
      <c r="AN29" s="943"/>
      <c r="AO29" s="943"/>
      <c r="AP29" s="943"/>
      <c r="AQ29" s="943"/>
    </row>
    <row r="30" spans="1:43" s="633" customFormat="1" ht="15.75" customHeight="1" x14ac:dyDescent="0.2">
      <c r="A30" s="942"/>
      <c r="D30" s="1367" t="s">
        <v>1938</v>
      </c>
      <c r="E30" s="1368"/>
      <c r="F30" s="1368"/>
      <c r="G30" s="1368"/>
      <c r="H30" s="1368"/>
      <c r="I30" s="1368"/>
      <c r="J30" s="1368"/>
      <c r="K30" s="1368"/>
      <c r="L30" s="1368"/>
      <c r="M30" s="1369"/>
      <c r="N30" s="1382">
        <v>6639</v>
      </c>
      <c r="O30" s="1382"/>
      <c r="P30" s="1382"/>
      <c r="Q30" s="1382"/>
      <c r="R30" s="1382"/>
      <c r="S30" s="1377">
        <v>1</v>
      </c>
      <c r="T30" s="1377"/>
      <c r="U30" s="1377"/>
      <c r="V30" s="1377"/>
      <c r="W30" s="1377"/>
      <c r="X30" s="1377">
        <v>1</v>
      </c>
      <c r="Y30" s="1377"/>
      <c r="Z30" s="1377"/>
      <c r="AA30" s="1377"/>
      <c r="AB30" s="1377"/>
      <c r="AC30" s="1377">
        <v>1</v>
      </c>
      <c r="AD30" s="1377"/>
      <c r="AE30" s="1377"/>
      <c r="AF30" s="1377"/>
      <c r="AG30" s="1377"/>
      <c r="AI30" s="943"/>
      <c r="AJ30" s="943"/>
      <c r="AK30" s="943"/>
      <c r="AL30" s="943"/>
      <c r="AM30" s="943"/>
      <c r="AN30" s="943"/>
      <c r="AO30" s="943"/>
      <c r="AP30" s="943"/>
      <c r="AQ30" s="943"/>
    </row>
    <row r="31" spans="1:43" s="633" customFormat="1" ht="15.75" customHeight="1" x14ac:dyDescent="0.2">
      <c r="A31" s="942"/>
      <c r="D31" s="1366"/>
      <c r="E31" s="1366"/>
      <c r="F31" s="1366"/>
      <c r="G31" s="1366"/>
      <c r="H31" s="1366"/>
      <c r="I31" s="1366"/>
      <c r="J31" s="1366"/>
      <c r="K31" s="1366"/>
      <c r="L31" s="1366"/>
      <c r="M31" s="1366"/>
      <c r="N31" s="1376"/>
      <c r="O31" s="1376"/>
      <c r="P31" s="1376"/>
      <c r="Q31" s="1376"/>
      <c r="R31" s="1376"/>
      <c r="S31" s="1381"/>
      <c r="T31" s="1381"/>
      <c r="U31" s="1381"/>
      <c r="V31" s="1381"/>
      <c r="W31" s="1381"/>
      <c r="X31" s="1381"/>
      <c r="Y31" s="1381"/>
      <c r="Z31" s="1381"/>
      <c r="AA31" s="1381"/>
      <c r="AB31" s="1381"/>
      <c r="AC31" s="1381"/>
      <c r="AD31" s="1381"/>
      <c r="AE31" s="1381"/>
      <c r="AF31" s="1381"/>
      <c r="AG31" s="1381"/>
      <c r="AI31" s="943"/>
      <c r="AJ31" s="943"/>
      <c r="AK31" s="943"/>
      <c r="AL31" s="943"/>
      <c r="AM31" s="943"/>
      <c r="AN31" s="943"/>
      <c r="AO31" s="943"/>
      <c r="AP31" s="943"/>
      <c r="AQ31" s="943"/>
    </row>
    <row r="32" spans="1:43" s="633" customFormat="1" ht="15.75" customHeight="1" x14ac:dyDescent="0.2">
      <c r="A32" s="942"/>
      <c r="D32" s="1366"/>
      <c r="E32" s="1366"/>
      <c r="F32" s="1366"/>
      <c r="G32" s="1366"/>
      <c r="H32" s="1366"/>
      <c r="I32" s="1366"/>
      <c r="J32" s="1366"/>
      <c r="K32" s="1366"/>
      <c r="L32" s="1366"/>
      <c r="M32" s="1366"/>
      <c r="N32" s="1376"/>
      <c r="O32" s="1376"/>
      <c r="P32" s="1376"/>
      <c r="Q32" s="1376"/>
      <c r="R32" s="1376"/>
      <c r="S32" s="1381"/>
      <c r="T32" s="1381"/>
      <c r="U32" s="1381"/>
      <c r="V32" s="1381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1"/>
      <c r="AI32" s="943"/>
      <c r="AJ32" s="943"/>
      <c r="AK32" s="943"/>
      <c r="AL32" s="943"/>
      <c r="AM32" s="943"/>
      <c r="AN32" s="943"/>
      <c r="AO32" s="943"/>
      <c r="AP32" s="943"/>
      <c r="AQ32" s="943"/>
    </row>
    <row r="33" spans="1:43" s="633" customFormat="1" ht="15.75" customHeight="1" x14ac:dyDescent="0.2">
      <c r="A33" s="942"/>
      <c r="D33" s="1366"/>
      <c r="E33" s="1366"/>
      <c r="F33" s="1366"/>
      <c r="G33" s="1366"/>
      <c r="H33" s="1366"/>
      <c r="I33" s="1366"/>
      <c r="J33" s="1366"/>
      <c r="K33" s="1366"/>
      <c r="L33" s="1366"/>
      <c r="M33" s="1366"/>
      <c r="N33" s="1376"/>
      <c r="O33" s="1376"/>
      <c r="P33" s="1376"/>
      <c r="Q33" s="1376"/>
      <c r="R33" s="1376"/>
      <c r="S33" s="1381"/>
      <c r="T33" s="1381"/>
      <c r="U33" s="1381"/>
      <c r="V33" s="1381"/>
      <c r="W33" s="1381"/>
      <c r="X33" s="1381"/>
      <c r="Y33" s="1381"/>
      <c r="Z33" s="1381"/>
      <c r="AA33" s="1381"/>
      <c r="AB33" s="1381"/>
      <c r="AC33" s="1381"/>
      <c r="AD33" s="1381"/>
      <c r="AE33" s="1381"/>
      <c r="AF33" s="1381"/>
      <c r="AG33" s="1381"/>
      <c r="AI33" s="943"/>
      <c r="AJ33" s="943"/>
      <c r="AK33" s="943"/>
      <c r="AL33" s="943"/>
      <c r="AM33" s="943"/>
      <c r="AN33" s="943"/>
      <c r="AO33" s="943"/>
      <c r="AP33" s="943"/>
      <c r="AQ33" s="943"/>
    </row>
    <row r="34" spans="1:43" s="633" customFormat="1" ht="15.75" customHeight="1" x14ac:dyDescent="0.2">
      <c r="A34" s="942"/>
      <c r="D34" s="1366"/>
      <c r="E34" s="1366"/>
      <c r="F34" s="1366"/>
      <c r="G34" s="1366"/>
      <c r="H34" s="1366"/>
      <c r="I34" s="1366"/>
      <c r="J34" s="1366"/>
      <c r="K34" s="1366"/>
      <c r="L34" s="1366"/>
      <c r="M34" s="1366"/>
      <c r="N34" s="1376"/>
      <c r="O34" s="1376"/>
      <c r="P34" s="1376"/>
      <c r="Q34" s="1376"/>
      <c r="R34" s="1376"/>
      <c r="S34" s="1381"/>
      <c r="T34" s="1381"/>
      <c r="U34" s="1381"/>
      <c r="V34" s="1381"/>
      <c r="W34" s="1381"/>
      <c r="X34" s="1381"/>
      <c r="Y34" s="1381"/>
      <c r="Z34" s="1381"/>
      <c r="AA34" s="1381"/>
      <c r="AB34" s="1381"/>
      <c r="AC34" s="1381"/>
      <c r="AD34" s="1381"/>
      <c r="AE34" s="1381"/>
      <c r="AF34" s="1381"/>
      <c r="AG34" s="1381"/>
      <c r="AI34" s="943"/>
      <c r="AJ34" s="943"/>
      <c r="AK34" s="943"/>
      <c r="AL34" s="943"/>
      <c r="AM34" s="943"/>
      <c r="AN34" s="943"/>
      <c r="AO34" s="943"/>
      <c r="AP34" s="943"/>
      <c r="AQ34" s="943"/>
    </row>
    <row r="35" spans="1:43" s="633" customFormat="1" ht="15.75" customHeight="1" thickBot="1" x14ac:dyDescent="0.25">
      <c r="A35" s="942"/>
      <c r="D35" s="1225" t="s">
        <v>14</v>
      </c>
      <c r="E35" s="1226"/>
      <c r="F35" s="1226"/>
      <c r="G35" s="1226"/>
      <c r="H35" s="1226"/>
      <c r="I35" s="1226"/>
      <c r="J35" s="1226"/>
      <c r="K35" s="1226"/>
      <c r="L35" s="1226"/>
      <c r="M35" s="1227"/>
      <c r="N35" s="1375">
        <f>SUM(N30:R34)</f>
        <v>6639</v>
      </c>
      <c r="O35" s="1375"/>
      <c r="P35" s="1375"/>
      <c r="Q35" s="1375"/>
      <c r="R35" s="1375"/>
      <c r="S35" s="1378">
        <f t="shared" ref="S35" si="0">SUM(S30:W34)</f>
        <v>1</v>
      </c>
      <c r="T35" s="1379"/>
      <c r="U35" s="1379"/>
      <c r="V35" s="1379"/>
      <c r="W35" s="1380"/>
      <c r="X35" s="1378">
        <f t="shared" ref="X35" si="1">SUM(X30:AB34)</f>
        <v>1</v>
      </c>
      <c r="Y35" s="1379"/>
      <c r="Z35" s="1379"/>
      <c r="AA35" s="1379"/>
      <c r="AB35" s="1380"/>
      <c r="AC35" s="1378">
        <f t="shared" ref="AC35" si="2">SUM(AC30:AG34)</f>
        <v>1</v>
      </c>
      <c r="AD35" s="1379"/>
      <c r="AE35" s="1379"/>
      <c r="AF35" s="1379"/>
      <c r="AG35" s="1380"/>
      <c r="AI35" s="943"/>
      <c r="AJ35" s="943"/>
      <c r="AK35" s="943"/>
      <c r="AL35" s="943"/>
      <c r="AM35" s="943"/>
      <c r="AN35" s="943"/>
      <c r="AO35" s="943"/>
      <c r="AP35" s="943"/>
      <c r="AQ35" s="943"/>
    </row>
    <row r="36" spans="1:43" s="633" customFormat="1" x14ac:dyDescent="0.2">
      <c r="A36" s="942"/>
      <c r="D36" s="923"/>
      <c r="E36" s="923"/>
      <c r="F36" s="923"/>
      <c r="G36" s="923"/>
      <c r="H36" s="923"/>
      <c r="I36" s="923"/>
      <c r="J36" s="923"/>
      <c r="K36" s="923"/>
      <c r="L36" s="923"/>
      <c r="M36" s="923"/>
      <c r="N36" s="923"/>
      <c r="O36" s="923"/>
      <c r="P36" s="923"/>
      <c r="Q36" s="923"/>
      <c r="R36" s="923"/>
      <c r="S36" s="923"/>
      <c r="T36" s="923"/>
      <c r="U36" s="923"/>
      <c r="V36" s="923"/>
      <c r="W36" s="923"/>
      <c r="X36" s="923"/>
      <c r="Y36" s="923"/>
      <c r="Z36" s="923"/>
      <c r="AA36" s="923"/>
      <c r="AB36" s="923"/>
      <c r="AC36" s="923"/>
      <c r="AD36" s="923"/>
      <c r="AE36" s="923"/>
      <c r="AF36" s="923"/>
      <c r="AG36" s="923"/>
      <c r="AI36" s="943"/>
      <c r="AJ36" s="943"/>
      <c r="AK36" s="943"/>
      <c r="AL36" s="943"/>
      <c r="AM36" s="943"/>
      <c r="AN36" s="943"/>
      <c r="AO36" s="943"/>
      <c r="AP36" s="943"/>
      <c r="AQ36" s="943"/>
    </row>
    <row r="37" spans="1:43" s="633" customFormat="1" x14ac:dyDescent="0.2">
      <c r="A37" s="942"/>
      <c r="AI37" s="943"/>
      <c r="AJ37" s="943"/>
      <c r="AK37" s="943"/>
      <c r="AL37" s="943"/>
      <c r="AM37" s="943"/>
      <c r="AN37" s="943"/>
      <c r="AO37" s="943"/>
      <c r="AP37" s="943"/>
      <c r="AQ37" s="943"/>
    </row>
    <row r="38" spans="1:43" s="633" customFormat="1" ht="14.25" customHeight="1" x14ac:dyDescent="0.2">
      <c r="A38" s="942"/>
      <c r="D38" s="1116" t="s">
        <v>2071</v>
      </c>
      <c r="E38" s="1116"/>
      <c r="F38" s="1116"/>
      <c r="G38" s="1116"/>
      <c r="H38" s="1116"/>
      <c r="I38" s="1116"/>
      <c r="J38" s="1116"/>
      <c r="K38" s="1116"/>
      <c r="L38" s="1116"/>
      <c r="M38" s="1116"/>
      <c r="N38" s="1116"/>
      <c r="O38" s="1116"/>
      <c r="P38" s="1116"/>
      <c r="Q38" s="1116"/>
      <c r="R38" s="1116"/>
      <c r="S38" s="1116"/>
      <c r="T38" s="1116"/>
      <c r="U38" s="1116"/>
      <c r="V38" s="1116"/>
      <c r="W38" s="1116"/>
      <c r="X38" s="1116"/>
      <c r="Y38" s="1116"/>
      <c r="Z38" s="1116"/>
      <c r="AA38" s="1116"/>
      <c r="AB38" s="1116"/>
      <c r="AC38" s="1116"/>
      <c r="AD38" s="1116"/>
      <c r="AE38" s="1116"/>
      <c r="AF38" s="1116"/>
      <c r="AG38" s="1116"/>
      <c r="AI38" s="943"/>
      <c r="AJ38" s="943"/>
      <c r="AK38" s="943"/>
      <c r="AL38" s="943"/>
      <c r="AM38" s="943"/>
      <c r="AN38" s="943"/>
      <c r="AO38" s="943"/>
      <c r="AP38" s="943"/>
      <c r="AQ38" s="943"/>
    </row>
    <row r="39" spans="1:43" s="633" customFormat="1" x14ac:dyDescent="0.2">
      <c r="A39" s="942"/>
      <c r="D39" s="1116"/>
      <c r="E39" s="1116"/>
      <c r="F39" s="1116"/>
      <c r="G39" s="1116"/>
      <c r="H39" s="1116"/>
      <c r="I39" s="1116"/>
      <c r="J39" s="1116"/>
      <c r="K39" s="1116"/>
      <c r="L39" s="1116"/>
      <c r="M39" s="1116"/>
      <c r="N39" s="1116"/>
      <c r="O39" s="1116"/>
      <c r="P39" s="1116"/>
      <c r="Q39" s="1116"/>
      <c r="R39" s="1116"/>
      <c r="S39" s="1116"/>
      <c r="T39" s="1116"/>
      <c r="U39" s="1116"/>
      <c r="V39" s="1116"/>
      <c r="W39" s="1116"/>
      <c r="X39" s="1116"/>
      <c r="Y39" s="1116"/>
      <c r="Z39" s="1116"/>
      <c r="AA39" s="1116"/>
      <c r="AB39" s="1116"/>
      <c r="AC39" s="1116"/>
      <c r="AD39" s="1116"/>
      <c r="AE39" s="1116"/>
      <c r="AF39" s="1116"/>
      <c r="AG39" s="1116"/>
      <c r="AI39" s="943"/>
      <c r="AJ39" s="943"/>
      <c r="AK39" s="943"/>
      <c r="AL39" s="943"/>
      <c r="AM39" s="943"/>
      <c r="AN39" s="943"/>
      <c r="AO39" s="943"/>
      <c r="AP39" s="943"/>
      <c r="AQ39" s="943"/>
    </row>
    <row r="40" spans="1:43" s="633" customFormat="1" x14ac:dyDescent="0.2">
      <c r="A40" s="942"/>
      <c r="D40" s="1116"/>
      <c r="E40" s="1116"/>
      <c r="F40" s="1116"/>
      <c r="G40" s="1116"/>
      <c r="H40" s="1116"/>
      <c r="I40" s="1116"/>
      <c r="J40" s="1116"/>
      <c r="K40" s="1116"/>
      <c r="L40" s="1116"/>
      <c r="M40" s="1116"/>
      <c r="N40" s="1116"/>
      <c r="O40" s="1116"/>
      <c r="P40" s="1116"/>
      <c r="Q40" s="1116"/>
      <c r="R40" s="1116"/>
      <c r="S40" s="1116"/>
      <c r="T40" s="1116"/>
      <c r="U40" s="1116"/>
      <c r="V40" s="1116"/>
      <c r="W40" s="1116"/>
      <c r="X40" s="1116"/>
      <c r="Y40" s="1116"/>
      <c r="Z40" s="1116"/>
      <c r="AA40" s="1116"/>
      <c r="AB40" s="1116"/>
      <c r="AC40" s="1116"/>
      <c r="AD40" s="1116"/>
      <c r="AE40" s="1116"/>
      <c r="AF40" s="1116"/>
      <c r="AG40" s="1116"/>
      <c r="AI40" s="943"/>
      <c r="AJ40" s="943"/>
      <c r="AK40" s="943"/>
      <c r="AL40" s="943"/>
      <c r="AM40" s="943"/>
      <c r="AN40" s="943"/>
      <c r="AO40" s="943"/>
      <c r="AP40" s="943"/>
      <c r="AQ40" s="943"/>
    </row>
    <row r="41" spans="1:43" s="633" customFormat="1" x14ac:dyDescent="0.2">
      <c r="A41" s="1016"/>
      <c r="D41" s="1116"/>
      <c r="E41" s="1116"/>
      <c r="F41" s="1116"/>
      <c r="G41" s="1116"/>
      <c r="H41" s="1116"/>
      <c r="I41" s="1116"/>
      <c r="J41" s="1116"/>
      <c r="K41" s="1116"/>
      <c r="L41" s="1116"/>
      <c r="M41" s="1116"/>
      <c r="N41" s="1116"/>
      <c r="O41" s="1116"/>
      <c r="P41" s="1116"/>
      <c r="Q41" s="1116"/>
      <c r="R41" s="1116"/>
      <c r="S41" s="1116"/>
      <c r="T41" s="1116"/>
      <c r="U41" s="1116"/>
      <c r="V41" s="1116"/>
      <c r="W41" s="1116"/>
      <c r="X41" s="1116"/>
      <c r="Y41" s="1116"/>
      <c r="Z41" s="1116"/>
      <c r="AA41" s="1116"/>
      <c r="AB41" s="1116"/>
      <c r="AC41" s="1116"/>
      <c r="AD41" s="1116"/>
      <c r="AE41" s="1116"/>
      <c r="AF41" s="1116"/>
      <c r="AG41" s="1116"/>
      <c r="AI41" s="943"/>
      <c r="AJ41" s="943"/>
      <c r="AK41" s="943"/>
      <c r="AL41" s="943"/>
      <c r="AM41" s="943"/>
      <c r="AN41" s="943"/>
      <c r="AO41" s="943"/>
      <c r="AP41" s="943"/>
      <c r="AQ41" s="943"/>
    </row>
    <row r="42" spans="1:43" s="633" customFormat="1" x14ac:dyDescent="0.2">
      <c r="A42" s="942"/>
      <c r="D42" s="1116"/>
      <c r="E42" s="1116"/>
      <c r="F42" s="1116"/>
      <c r="G42" s="1116"/>
      <c r="H42" s="1116"/>
      <c r="I42" s="1116"/>
      <c r="J42" s="1116"/>
      <c r="K42" s="1116"/>
      <c r="L42" s="1116"/>
      <c r="M42" s="1116"/>
      <c r="N42" s="1116"/>
      <c r="O42" s="1116"/>
      <c r="P42" s="1116"/>
      <c r="Q42" s="1116"/>
      <c r="R42" s="1116"/>
      <c r="S42" s="1116"/>
      <c r="T42" s="1116"/>
      <c r="U42" s="1116"/>
      <c r="V42" s="1116"/>
      <c r="W42" s="1116"/>
      <c r="X42" s="1116"/>
      <c r="Y42" s="1116"/>
      <c r="Z42" s="1116"/>
      <c r="AA42" s="1116"/>
      <c r="AB42" s="1116"/>
      <c r="AC42" s="1116"/>
      <c r="AD42" s="1116"/>
      <c r="AE42" s="1116"/>
      <c r="AF42" s="1116"/>
      <c r="AG42" s="1116"/>
      <c r="AI42" s="943"/>
      <c r="AJ42" s="943"/>
      <c r="AK42" s="943"/>
      <c r="AL42" s="943"/>
      <c r="AM42" s="943"/>
      <c r="AN42" s="943"/>
      <c r="AO42" s="943"/>
      <c r="AP42" s="943"/>
      <c r="AQ42" s="943"/>
    </row>
    <row r="43" spans="1:43" s="633" customFormat="1" ht="14.25" customHeight="1" x14ac:dyDescent="0.2">
      <c r="A43" s="942"/>
      <c r="D43" s="1116" t="s">
        <v>1939</v>
      </c>
      <c r="E43" s="1116"/>
      <c r="F43" s="1116"/>
      <c r="G43" s="1116"/>
      <c r="H43" s="1116"/>
      <c r="I43" s="1116"/>
      <c r="J43" s="1116"/>
      <c r="K43" s="1116"/>
      <c r="L43" s="1116"/>
      <c r="M43" s="1116"/>
      <c r="N43" s="1116"/>
      <c r="O43" s="1116"/>
      <c r="P43" s="1116"/>
      <c r="Q43" s="1116"/>
      <c r="R43" s="1116"/>
      <c r="S43" s="1116"/>
      <c r="T43" s="1116"/>
      <c r="U43" s="1116"/>
      <c r="V43" s="1116"/>
      <c r="W43" s="1116"/>
      <c r="X43" s="1116"/>
      <c r="Y43" s="1116"/>
      <c r="Z43" s="1116"/>
      <c r="AA43" s="1116"/>
      <c r="AB43" s="1116"/>
      <c r="AC43" s="1116"/>
      <c r="AD43" s="1116"/>
      <c r="AE43" s="1116"/>
      <c r="AF43" s="1116"/>
      <c r="AG43" s="1116"/>
      <c r="AI43" s="943"/>
      <c r="AJ43" s="943"/>
      <c r="AK43" s="943"/>
      <c r="AL43" s="943"/>
      <c r="AM43" s="943"/>
      <c r="AN43" s="943"/>
      <c r="AO43" s="943"/>
      <c r="AP43" s="943"/>
      <c r="AQ43" s="943"/>
    </row>
    <row r="44" spans="1:43" s="633" customFormat="1" x14ac:dyDescent="0.2">
      <c r="A44" s="942"/>
      <c r="D44" s="1116"/>
      <c r="E44" s="1116"/>
      <c r="F44" s="1116"/>
      <c r="G44" s="1116"/>
      <c r="H44" s="1116"/>
      <c r="I44" s="1116"/>
      <c r="J44" s="1116"/>
      <c r="K44" s="1116"/>
      <c r="L44" s="1116"/>
      <c r="M44" s="1116"/>
      <c r="N44" s="1116"/>
      <c r="O44" s="1116"/>
      <c r="P44" s="1116"/>
      <c r="Q44" s="1116"/>
      <c r="R44" s="1116"/>
      <c r="S44" s="1116"/>
      <c r="T44" s="1116"/>
      <c r="U44" s="1116"/>
      <c r="V44" s="1116"/>
      <c r="W44" s="1116"/>
      <c r="X44" s="1116"/>
      <c r="Y44" s="1116"/>
      <c r="Z44" s="1116"/>
      <c r="AA44" s="1116"/>
      <c r="AB44" s="1116"/>
      <c r="AC44" s="1116"/>
      <c r="AD44" s="1116"/>
      <c r="AE44" s="1116"/>
      <c r="AF44" s="1116"/>
      <c r="AG44" s="1116"/>
      <c r="AI44" s="943"/>
      <c r="AJ44" s="943"/>
      <c r="AK44" s="943"/>
      <c r="AL44" s="943"/>
      <c r="AM44" s="943"/>
      <c r="AN44" s="943"/>
      <c r="AO44" s="943"/>
      <c r="AP44" s="943"/>
      <c r="AQ44" s="943"/>
    </row>
    <row r="45" spans="1:43" s="633" customFormat="1" x14ac:dyDescent="0.2">
      <c r="A45" s="942"/>
      <c r="AI45" s="943"/>
      <c r="AJ45" s="943"/>
      <c r="AK45" s="943"/>
      <c r="AL45" s="943"/>
      <c r="AM45" s="943"/>
      <c r="AN45" s="943"/>
      <c r="AO45" s="943"/>
      <c r="AP45" s="943"/>
      <c r="AQ45" s="943"/>
    </row>
    <row r="46" spans="1:43" s="633" customFormat="1" x14ac:dyDescent="0.2">
      <c r="A46" s="942"/>
      <c r="D46" s="921" t="s">
        <v>1940</v>
      </c>
      <c r="E46" s="921"/>
      <c r="F46" s="921"/>
      <c r="G46" s="921"/>
      <c r="H46" s="921"/>
      <c r="I46" s="921"/>
      <c r="J46" s="921"/>
      <c r="K46" s="921"/>
      <c r="L46" s="921"/>
      <c r="M46" s="921"/>
      <c r="N46" s="921"/>
      <c r="O46" s="921"/>
      <c r="P46" s="921"/>
      <c r="Q46" s="921"/>
      <c r="R46" s="921"/>
      <c r="S46" s="921"/>
      <c r="T46" s="921"/>
      <c r="U46" s="921"/>
      <c r="V46" s="921"/>
      <c r="W46" s="921"/>
      <c r="X46" s="921"/>
      <c r="Y46" s="921"/>
      <c r="Z46" s="921"/>
      <c r="AA46" s="921"/>
      <c r="AB46" s="921"/>
      <c r="AC46" s="921"/>
      <c r="AD46" s="921"/>
      <c r="AE46" s="921"/>
      <c r="AF46" s="921"/>
      <c r="AG46" s="921"/>
      <c r="AI46" s="943"/>
      <c r="AJ46" s="943"/>
      <c r="AK46" s="943"/>
      <c r="AL46" s="943"/>
      <c r="AM46" s="943"/>
      <c r="AN46" s="943"/>
      <c r="AO46" s="943"/>
      <c r="AP46" s="943"/>
      <c r="AQ46" s="943"/>
    </row>
    <row r="47" spans="1:43" s="633" customFormat="1" x14ac:dyDescent="0.2">
      <c r="A47" s="942"/>
      <c r="AI47" s="943"/>
      <c r="AJ47" s="943"/>
      <c r="AK47" s="943"/>
      <c r="AL47" s="943"/>
      <c r="AM47" s="943"/>
      <c r="AN47" s="943"/>
      <c r="AO47" s="943"/>
      <c r="AP47" s="943"/>
      <c r="AQ47" s="943"/>
    </row>
    <row r="48" spans="1:43" s="633" customFormat="1" ht="15" hidden="1" thickBot="1" x14ac:dyDescent="0.25">
      <c r="A48" s="942"/>
      <c r="D48" s="1383" t="s">
        <v>1428</v>
      </c>
      <c r="E48" s="1383"/>
      <c r="F48" s="1383"/>
      <c r="G48" s="1383"/>
      <c r="H48" s="1383"/>
      <c r="I48" s="1383"/>
      <c r="J48" s="1383"/>
      <c r="K48" s="1383"/>
      <c r="L48" s="1383"/>
      <c r="M48" s="1383"/>
      <c r="N48" s="1383"/>
      <c r="O48" s="1383"/>
      <c r="AI48" s="943"/>
      <c r="AJ48" s="943"/>
      <c r="AK48" s="943"/>
      <c r="AL48" s="943"/>
      <c r="AM48" s="943"/>
      <c r="AN48" s="943"/>
      <c r="AO48" s="943"/>
      <c r="AP48" s="943"/>
      <c r="AQ48" s="943"/>
    </row>
    <row r="49" spans="1:43" s="633" customFormat="1" ht="15" hidden="1" thickTop="1" x14ac:dyDescent="0.2">
      <c r="A49" s="942"/>
      <c r="D49" s="944" t="s">
        <v>1425</v>
      </c>
      <c r="E49" s="944"/>
      <c r="F49" s="944"/>
      <c r="G49" s="944"/>
      <c r="H49" s="944"/>
      <c r="I49" s="944"/>
      <c r="J49" s="944"/>
      <c r="K49" s="944"/>
      <c r="L49" s="944"/>
      <c r="M49" s="944"/>
      <c r="N49" s="944"/>
      <c r="O49" s="944"/>
      <c r="AI49" s="943"/>
      <c r="AJ49" s="943"/>
      <c r="AK49" s="943"/>
      <c r="AL49" s="943"/>
      <c r="AM49" s="943"/>
      <c r="AN49" s="943"/>
      <c r="AO49" s="943"/>
      <c r="AP49" s="943"/>
      <c r="AQ49" s="943"/>
    </row>
    <row r="50" spans="1:43" s="633" customFormat="1" hidden="1" x14ac:dyDescent="0.2">
      <c r="A50" s="942"/>
      <c r="D50" s="945" t="s">
        <v>1426</v>
      </c>
      <c r="AI50" s="943"/>
      <c r="AJ50" s="943"/>
      <c r="AK50" s="943"/>
      <c r="AL50" s="943"/>
      <c r="AM50" s="943"/>
      <c r="AN50" s="943"/>
      <c r="AO50" s="943"/>
      <c r="AP50" s="943"/>
      <c r="AQ50" s="943"/>
    </row>
    <row r="51" spans="1:43" s="633" customFormat="1" x14ac:dyDescent="0.2">
      <c r="A51" s="942"/>
      <c r="D51" s="921" t="s">
        <v>1991</v>
      </c>
      <c r="E51" s="928"/>
      <c r="F51" s="928"/>
      <c r="G51" s="928" t="s">
        <v>1941</v>
      </c>
      <c r="H51" s="928"/>
      <c r="I51" s="928"/>
      <c r="J51" s="928"/>
      <c r="K51" s="928"/>
      <c r="AI51" s="943"/>
      <c r="AJ51" s="943"/>
      <c r="AK51" s="943"/>
      <c r="AL51" s="943"/>
      <c r="AM51" s="943"/>
      <c r="AN51" s="943"/>
      <c r="AO51" s="943"/>
      <c r="AP51" s="943"/>
      <c r="AQ51" s="943"/>
    </row>
    <row r="52" spans="1:43" s="633" customFormat="1" x14ac:dyDescent="0.2">
      <c r="A52" s="942"/>
      <c r="D52" s="921" t="s">
        <v>1992</v>
      </c>
      <c r="E52" s="928"/>
      <c r="F52" s="928"/>
      <c r="G52" s="928" t="s">
        <v>1942</v>
      </c>
      <c r="H52" s="928"/>
      <c r="I52" s="928"/>
      <c r="J52" s="928"/>
      <c r="K52" s="928"/>
      <c r="AI52" s="943"/>
      <c r="AJ52" s="943"/>
      <c r="AK52" s="943"/>
      <c r="AL52" s="943"/>
      <c r="AM52" s="943"/>
      <c r="AN52" s="943"/>
      <c r="AO52" s="943"/>
      <c r="AP52" s="943"/>
      <c r="AQ52" s="943"/>
    </row>
    <row r="53" spans="1:43" s="633" customFormat="1" x14ac:dyDescent="0.2">
      <c r="A53" s="942"/>
      <c r="D53" s="945"/>
      <c r="AI53" s="943"/>
      <c r="AJ53" s="943"/>
      <c r="AK53" s="943"/>
      <c r="AL53" s="943"/>
      <c r="AM53" s="943"/>
      <c r="AN53" s="943"/>
      <c r="AO53" s="943"/>
      <c r="AP53" s="943"/>
      <c r="AQ53" s="943"/>
    </row>
    <row r="54" spans="1:43" s="928" customFormat="1" ht="12.75" x14ac:dyDescent="0.2">
      <c r="A54" s="927"/>
      <c r="D54" s="928" t="s">
        <v>1993</v>
      </c>
    </row>
    <row r="55" spans="1:43" s="633" customFormat="1" ht="15" hidden="1" thickBot="1" x14ac:dyDescent="0.25">
      <c r="A55" s="942"/>
      <c r="D55" s="1383" t="s">
        <v>1429</v>
      </c>
      <c r="E55" s="1383"/>
      <c r="F55" s="1383"/>
      <c r="G55" s="1383"/>
      <c r="H55" s="1383"/>
      <c r="I55" s="1383"/>
      <c r="J55" s="1383"/>
      <c r="K55" s="1383"/>
      <c r="L55" s="1383"/>
      <c r="M55" s="1383"/>
      <c r="N55" s="1383"/>
      <c r="O55" s="1383"/>
      <c r="AI55" s="943"/>
      <c r="AJ55" s="943"/>
      <c r="AK55" s="943"/>
      <c r="AL55" s="943"/>
      <c r="AM55" s="943"/>
      <c r="AN55" s="943"/>
      <c r="AO55" s="943"/>
      <c r="AP55" s="943"/>
      <c r="AQ55" s="943"/>
    </row>
    <row r="56" spans="1:43" s="633" customFormat="1" ht="15" hidden="1" thickTop="1" x14ac:dyDescent="0.2">
      <c r="A56" s="942"/>
      <c r="D56" s="944" t="s">
        <v>1425</v>
      </c>
      <c r="E56" s="944"/>
      <c r="F56" s="944"/>
      <c r="G56" s="944"/>
      <c r="H56" s="944"/>
      <c r="I56" s="944"/>
      <c r="J56" s="944"/>
      <c r="K56" s="944"/>
      <c r="L56" s="944"/>
      <c r="M56" s="944"/>
      <c r="N56" s="944"/>
      <c r="O56" s="944"/>
      <c r="AI56" s="943"/>
      <c r="AJ56" s="943"/>
      <c r="AK56" s="943"/>
      <c r="AL56" s="943"/>
      <c r="AM56" s="943"/>
      <c r="AN56" s="943"/>
      <c r="AO56" s="943"/>
      <c r="AP56" s="943"/>
      <c r="AQ56" s="943"/>
    </row>
    <row r="57" spans="1:43" s="633" customFormat="1" hidden="1" x14ac:dyDescent="0.2">
      <c r="A57" s="942"/>
      <c r="D57" s="945" t="s">
        <v>1426</v>
      </c>
      <c r="E57" s="946"/>
      <c r="AI57" s="943"/>
      <c r="AJ57" s="943"/>
      <c r="AK57" s="943"/>
      <c r="AL57" s="943"/>
      <c r="AM57" s="943"/>
      <c r="AN57" s="943"/>
      <c r="AO57" s="943"/>
      <c r="AP57" s="943"/>
      <c r="AQ57" s="943"/>
    </row>
    <row r="58" spans="1:43" s="633" customFormat="1" hidden="1" x14ac:dyDescent="0.2">
      <c r="A58" s="942"/>
      <c r="D58" s="945" t="s">
        <v>1427</v>
      </c>
      <c r="E58" s="946"/>
      <c r="AI58" s="943"/>
      <c r="AJ58" s="943"/>
      <c r="AK58" s="943"/>
      <c r="AL58" s="943"/>
      <c r="AM58" s="943"/>
      <c r="AN58" s="943"/>
      <c r="AO58" s="943"/>
      <c r="AP58" s="943"/>
      <c r="AQ58" s="943"/>
    </row>
    <row r="59" spans="1:43" s="633" customFormat="1" hidden="1" x14ac:dyDescent="0.2">
      <c r="A59" s="942"/>
      <c r="D59" s="945" t="s">
        <v>1427</v>
      </c>
      <c r="E59" s="946"/>
      <c r="AI59" s="943"/>
      <c r="AJ59" s="943"/>
      <c r="AK59" s="943"/>
      <c r="AL59" s="943"/>
      <c r="AM59" s="943"/>
      <c r="AN59" s="943"/>
      <c r="AO59" s="943"/>
      <c r="AP59" s="943"/>
      <c r="AQ59" s="943"/>
    </row>
    <row r="60" spans="1:43" s="633" customFormat="1" hidden="1" x14ac:dyDescent="0.2">
      <c r="A60" s="942"/>
      <c r="AI60" s="943"/>
      <c r="AJ60" s="943"/>
      <c r="AK60" s="943"/>
      <c r="AL60" s="943"/>
      <c r="AM60" s="943"/>
      <c r="AN60" s="943"/>
      <c r="AO60" s="943"/>
      <c r="AP60" s="943"/>
      <c r="AQ60" s="943"/>
    </row>
    <row r="61" spans="1:43" s="633" customFormat="1" ht="14.25" customHeight="1" x14ac:dyDescent="0.2">
      <c r="A61" s="942"/>
      <c r="D61" s="1116" t="s">
        <v>1943</v>
      </c>
      <c r="E61" s="1116"/>
      <c r="F61" s="1116"/>
      <c r="G61" s="1116"/>
      <c r="H61" s="1116"/>
      <c r="I61" s="1116"/>
      <c r="J61" s="1116"/>
      <c r="K61" s="1116"/>
      <c r="L61" s="1116"/>
      <c r="M61" s="1116"/>
      <c r="N61" s="1116"/>
      <c r="O61" s="1116"/>
      <c r="P61" s="1116"/>
      <c r="Q61" s="1116"/>
      <c r="R61" s="1116"/>
      <c r="S61" s="1116"/>
      <c r="T61" s="1116"/>
      <c r="U61" s="1116"/>
      <c r="V61" s="1116"/>
      <c r="W61" s="1116"/>
      <c r="X61" s="1116"/>
      <c r="Y61" s="1116"/>
      <c r="Z61" s="1116"/>
      <c r="AA61" s="1116"/>
      <c r="AB61" s="1116"/>
      <c r="AC61" s="1116"/>
      <c r="AD61" s="1116"/>
      <c r="AE61" s="1116"/>
      <c r="AF61" s="1116"/>
      <c r="AG61" s="1116"/>
      <c r="AI61" s="943"/>
      <c r="AJ61" s="943"/>
      <c r="AK61" s="943"/>
      <c r="AL61" s="943"/>
      <c r="AM61" s="943"/>
      <c r="AN61" s="943"/>
      <c r="AO61" s="943"/>
      <c r="AP61" s="943"/>
      <c r="AQ61" s="943"/>
    </row>
    <row r="62" spans="1:43" s="633" customFormat="1" x14ac:dyDescent="0.2">
      <c r="A62" s="942"/>
      <c r="D62" s="1116"/>
      <c r="E62" s="1116"/>
      <c r="F62" s="1116"/>
      <c r="G62" s="1116"/>
      <c r="H62" s="1116"/>
      <c r="I62" s="1116"/>
      <c r="J62" s="1116"/>
      <c r="K62" s="1116"/>
      <c r="L62" s="1116"/>
      <c r="M62" s="1116"/>
      <c r="N62" s="1116"/>
      <c r="O62" s="1116"/>
      <c r="P62" s="1116"/>
      <c r="Q62" s="1116"/>
      <c r="R62" s="1116"/>
      <c r="S62" s="1116"/>
      <c r="T62" s="1116"/>
      <c r="U62" s="1116"/>
      <c r="V62" s="1116"/>
      <c r="W62" s="1116"/>
      <c r="X62" s="1116"/>
      <c r="Y62" s="1116"/>
      <c r="Z62" s="1116"/>
      <c r="AA62" s="1116"/>
      <c r="AB62" s="1116"/>
      <c r="AC62" s="1116"/>
      <c r="AD62" s="1116"/>
      <c r="AE62" s="1116"/>
      <c r="AF62" s="1116"/>
      <c r="AG62" s="1116"/>
      <c r="AI62" s="943"/>
      <c r="AJ62" s="943"/>
      <c r="AK62" s="943"/>
      <c r="AL62" s="943"/>
      <c r="AM62" s="943"/>
      <c r="AN62" s="943"/>
      <c r="AO62" s="943"/>
      <c r="AP62" s="943"/>
      <c r="AQ62" s="943"/>
    </row>
    <row r="63" spans="1:43" s="633" customFormat="1" x14ac:dyDescent="0.2">
      <c r="A63" s="942"/>
      <c r="D63" s="947"/>
      <c r="E63" s="947"/>
      <c r="F63" s="947"/>
      <c r="G63" s="947"/>
      <c r="H63" s="947"/>
      <c r="I63" s="947"/>
      <c r="J63" s="947"/>
      <c r="K63" s="947"/>
      <c r="L63" s="947"/>
      <c r="M63" s="947"/>
      <c r="N63" s="947"/>
      <c r="O63" s="947"/>
      <c r="P63" s="947"/>
      <c r="Q63" s="947"/>
      <c r="R63" s="947"/>
      <c r="S63" s="947"/>
      <c r="T63" s="947"/>
      <c r="U63" s="947"/>
      <c r="V63" s="947"/>
      <c r="W63" s="947"/>
      <c r="X63" s="947"/>
      <c r="Y63" s="947"/>
      <c r="Z63" s="947"/>
      <c r="AA63" s="947"/>
      <c r="AB63" s="947"/>
      <c r="AC63" s="947"/>
      <c r="AD63" s="947"/>
      <c r="AE63" s="947"/>
      <c r="AF63" s="947"/>
      <c r="AG63" s="947"/>
      <c r="AI63" s="943"/>
      <c r="AJ63" s="943"/>
      <c r="AK63" s="943"/>
      <c r="AL63" s="943"/>
      <c r="AM63" s="943"/>
      <c r="AN63" s="943"/>
      <c r="AO63" s="943"/>
      <c r="AP63" s="943"/>
      <c r="AQ63" s="943"/>
    </row>
    <row r="64" spans="1:43" s="633" customFormat="1" x14ac:dyDescent="0.2">
      <c r="A64" s="942"/>
      <c r="AI64" s="943"/>
      <c r="AJ64" s="943"/>
      <c r="AK64" s="943"/>
      <c r="AL64" s="943"/>
      <c r="AM64" s="943"/>
      <c r="AN64" s="943"/>
      <c r="AO64" s="943"/>
      <c r="AP64" s="943"/>
      <c r="AQ64" s="943"/>
    </row>
    <row r="65" spans="1:43" s="633" customFormat="1" x14ac:dyDescent="0.2">
      <c r="A65" s="942"/>
      <c r="D65" s="632" t="s">
        <v>1432</v>
      </c>
      <c r="AI65" s="943"/>
      <c r="AJ65" s="943"/>
      <c r="AK65" s="943"/>
      <c r="AL65" s="943"/>
      <c r="AM65" s="943"/>
      <c r="AN65" s="943"/>
      <c r="AO65" s="943"/>
      <c r="AP65" s="943"/>
      <c r="AQ65" s="943"/>
    </row>
    <row r="66" spans="1:43" s="633" customFormat="1" x14ac:dyDescent="0.2">
      <c r="A66" s="942"/>
      <c r="AI66" s="943"/>
      <c r="AJ66" s="943"/>
      <c r="AK66" s="943"/>
      <c r="AL66" s="943"/>
      <c r="AM66" s="943"/>
      <c r="AN66" s="943"/>
      <c r="AO66" s="943"/>
      <c r="AP66" s="943"/>
      <c r="AQ66" s="943"/>
    </row>
    <row r="67" spans="1:43" s="633" customFormat="1" x14ac:dyDescent="0.2">
      <c r="A67" s="942"/>
      <c r="D67" s="1116" t="s">
        <v>2048</v>
      </c>
      <c r="E67" s="1116"/>
      <c r="F67" s="1116"/>
      <c r="G67" s="1116"/>
      <c r="H67" s="1116"/>
      <c r="I67" s="1116"/>
      <c r="J67" s="1116"/>
      <c r="K67" s="1116"/>
      <c r="L67" s="1116"/>
      <c r="M67" s="1116"/>
      <c r="N67" s="1116"/>
      <c r="O67" s="1116"/>
      <c r="P67" s="1116"/>
      <c r="Q67" s="1116"/>
      <c r="R67" s="1116"/>
      <c r="S67" s="1116"/>
      <c r="T67" s="1116"/>
      <c r="U67" s="1116"/>
      <c r="V67" s="1116"/>
      <c r="W67" s="1116"/>
      <c r="X67" s="1116"/>
      <c r="Y67" s="1116"/>
      <c r="Z67" s="1116"/>
      <c r="AA67" s="1116"/>
      <c r="AB67" s="1116"/>
      <c r="AC67" s="1116"/>
      <c r="AD67" s="1116"/>
      <c r="AE67" s="1116"/>
      <c r="AF67" s="1116"/>
      <c r="AG67" s="1116"/>
      <c r="AI67" s="943"/>
      <c r="AJ67" s="943"/>
      <c r="AK67" s="943"/>
      <c r="AL67" s="943"/>
      <c r="AM67" s="943"/>
      <c r="AN67" s="943"/>
      <c r="AO67" s="943"/>
      <c r="AP67" s="943"/>
      <c r="AQ67" s="943"/>
    </row>
    <row r="68" spans="1:43" s="633" customFormat="1" x14ac:dyDescent="0.2">
      <c r="A68" s="942"/>
      <c r="D68" s="1116"/>
      <c r="E68" s="1116"/>
      <c r="F68" s="1116"/>
      <c r="G68" s="1116"/>
      <c r="H68" s="1116"/>
      <c r="I68" s="1116"/>
      <c r="J68" s="1116"/>
      <c r="K68" s="1116"/>
      <c r="L68" s="1116"/>
      <c r="M68" s="1116"/>
      <c r="N68" s="1116"/>
      <c r="O68" s="1116"/>
      <c r="P68" s="1116"/>
      <c r="Q68" s="1116"/>
      <c r="R68" s="1116"/>
      <c r="S68" s="1116"/>
      <c r="T68" s="1116"/>
      <c r="U68" s="1116"/>
      <c r="V68" s="1116"/>
      <c r="W68" s="1116"/>
      <c r="X68" s="1116"/>
      <c r="Y68" s="1116"/>
      <c r="Z68" s="1116"/>
      <c r="AA68" s="1116"/>
      <c r="AB68" s="1116"/>
      <c r="AC68" s="1116"/>
      <c r="AD68" s="1116"/>
      <c r="AE68" s="1116"/>
      <c r="AF68" s="1116"/>
      <c r="AG68" s="1116"/>
      <c r="AI68" s="943"/>
      <c r="AJ68" s="943"/>
      <c r="AK68" s="943"/>
      <c r="AL68" s="943"/>
      <c r="AM68" s="943"/>
      <c r="AN68" s="943"/>
      <c r="AO68" s="943"/>
      <c r="AP68" s="943"/>
      <c r="AQ68" s="943"/>
    </row>
    <row r="69" spans="1:43" s="633" customFormat="1" x14ac:dyDescent="0.2">
      <c r="A69" s="942"/>
      <c r="AI69" s="943"/>
      <c r="AJ69" s="943"/>
      <c r="AK69" s="943"/>
      <c r="AL69" s="943"/>
      <c r="AM69" s="943"/>
      <c r="AN69" s="943"/>
      <c r="AO69" s="943"/>
      <c r="AP69" s="943"/>
      <c r="AQ69" s="943"/>
    </row>
    <row r="70" spans="1:43" s="633" customFormat="1" x14ac:dyDescent="0.2">
      <c r="A70" s="942"/>
      <c r="D70" s="1116" t="s">
        <v>1946</v>
      </c>
      <c r="E70" s="1116"/>
      <c r="F70" s="1116"/>
      <c r="G70" s="1116"/>
      <c r="H70" s="1116"/>
      <c r="I70" s="1116"/>
      <c r="J70" s="1116"/>
      <c r="K70" s="1116"/>
      <c r="L70" s="1116"/>
      <c r="M70" s="1116"/>
      <c r="N70" s="1116"/>
      <c r="O70" s="1116"/>
      <c r="P70" s="1116"/>
      <c r="Q70" s="1116"/>
      <c r="R70" s="1116"/>
      <c r="S70" s="1116"/>
      <c r="T70" s="1116"/>
      <c r="U70" s="1116"/>
      <c r="V70" s="1116"/>
      <c r="W70" s="1116"/>
      <c r="X70" s="1116"/>
      <c r="Y70" s="1116"/>
      <c r="Z70" s="1116"/>
      <c r="AA70" s="1116"/>
      <c r="AB70" s="1116"/>
      <c r="AC70" s="1116"/>
      <c r="AD70" s="1116"/>
      <c r="AE70" s="1116"/>
      <c r="AF70" s="1116"/>
      <c r="AG70" s="1116"/>
      <c r="AI70" s="943"/>
      <c r="AJ70" s="943"/>
      <c r="AK70" s="943"/>
      <c r="AL70" s="943"/>
      <c r="AM70" s="943"/>
      <c r="AN70" s="943"/>
      <c r="AO70" s="943"/>
      <c r="AP70" s="943"/>
      <c r="AQ70" s="943"/>
    </row>
    <row r="71" spans="1:43" s="633" customFormat="1" x14ac:dyDescent="0.2">
      <c r="A71" s="942"/>
      <c r="D71" s="1116"/>
      <c r="E71" s="1116"/>
      <c r="F71" s="1116"/>
      <c r="G71" s="1116"/>
      <c r="H71" s="1116"/>
      <c r="I71" s="1116"/>
      <c r="J71" s="1116"/>
      <c r="K71" s="1116"/>
      <c r="L71" s="1116"/>
      <c r="M71" s="1116"/>
      <c r="N71" s="1116"/>
      <c r="O71" s="1116"/>
      <c r="P71" s="1116"/>
      <c r="Q71" s="1116"/>
      <c r="R71" s="1116"/>
      <c r="S71" s="1116"/>
      <c r="T71" s="1116"/>
      <c r="U71" s="1116"/>
      <c r="V71" s="1116"/>
      <c r="W71" s="1116"/>
      <c r="X71" s="1116"/>
      <c r="Y71" s="1116"/>
      <c r="Z71" s="1116"/>
      <c r="AA71" s="1116"/>
      <c r="AB71" s="1116"/>
      <c r="AC71" s="1116"/>
      <c r="AD71" s="1116"/>
      <c r="AE71" s="1116"/>
      <c r="AF71" s="1116"/>
      <c r="AG71" s="1116"/>
      <c r="AI71" s="943"/>
      <c r="AJ71" s="943"/>
      <c r="AK71" s="943"/>
      <c r="AL71" s="943"/>
      <c r="AM71" s="943"/>
      <c r="AN71" s="943"/>
      <c r="AO71" s="943"/>
      <c r="AP71" s="943"/>
      <c r="AQ71" s="943"/>
    </row>
    <row r="72" spans="1:43" s="633" customFormat="1" x14ac:dyDescent="0.2">
      <c r="A72" s="942"/>
      <c r="AI72" s="943"/>
      <c r="AJ72" s="943"/>
      <c r="AK72" s="943"/>
      <c r="AL72" s="943"/>
      <c r="AM72" s="943"/>
      <c r="AN72" s="943"/>
      <c r="AO72" s="943"/>
      <c r="AP72" s="943"/>
      <c r="AQ72" s="943"/>
    </row>
    <row r="73" spans="1:43" s="633" customFormat="1" x14ac:dyDescent="0.2">
      <c r="A73" s="942"/>
      <c r="D73" s="632" t="s">
        <v>1431</v>
      </c>
      <c r="AI73" s="943"/>
      <c r="AJ73" s="943"/>
      <c r="AK73" s="943"/>
      <c r="AL73" s="943"/>
      <c r="AM73" s="943"/>
      <c r="AN73" s="943"/>
      <c r="AO73" s="943"/>
      <c r="AP73" s="943"/>
      <c r="AQ73" s="943"/>
    </row>
    <row r="74" spans="1:43" s="633" customFormat="1" x14ac:dyDescent="0.2">
      <c r="A74" s="942"/>
      <c r="AI74" s="943"/>
      <c r="AJ74" s="943"/>
      <c r="AK74" s="943"/>
      <c r="AL74" s="943"/>
      <c r="AM74" s="943"/>
      <c r="AN74" s="943"/>
      <c r="AO74" s="943"/>
      <c r="AP74" s="943"/>
      <c r="AQ74" s="943"/>
    </row>
    <row r="75" spans="1:43" s="633" customFormat="1" x14ac:dyDescent="0.2">
      <c r="A75" s="942"/>
      <c r="D75" s="1116" t="s">
        <v>1944</v>
      </c>
      <c r="E75" s="1116"/>
      <c r="F75" s="1116"/>
      <c r="G75" s="1116"/>
      <c r="H75" s="1116"/>
      <c r="I75" s="1116"/>
      <c r="J75" s="1116"/>
      <c r="K75" s="1116"/>
      <c r="L75" s="1116"/>
      <c r="M75" s="1116"/>
      <c r="N75" s="1116"/>
      <c r="O75" s="1116"/>
      <c r="P75" s="1116"/>
      <c r="Q75" s="1116"/>
      <c r="R75" s="1116"/>
      <c r="S75" s="1116"/>
      <c r="T75" s="1116"/>
      <c r="U75" s="1116"/>
      <c r="V75" s="1116"/>
      <c r="W75" s="1116"/>
      <c r="X75" s="1116"/>
      <c r="Y75" s="1116"/>
      <c r="Z75" s="1116"/>
      <c r="AA75" s="1116"/>
      <c r="AB75" s="1116"/>
      <c r="AC75" s="1116"/>
      <c r="AD75" s="1116"/>
      <c r="AE75" s="1116"/>
      <c r="AF75" s="1116"/>
      <c r="AG75" s="1116"/>
      <c r="AI75" s="943"/>
      <c r="AJ75" s="943"/>
      <c r="AK75" s="943"/>
      <c r="AL75" s="943"/>
      <c r="AM75" s="943"/>
      <c r="AN75" s="943"/>
      <c r="AO75" s="943"/>
      <c r="AP75" s="943"/>
      <c r="AQ75" s="943"/>
    </row>
    <row r="76" spans="1:43" s="633" customFormat="1" x14ac:dyDescent="0.2">
      <c r="A76" s="942"/>
      <c r="D76" s="1116"/>
      <c r="E76" s="1116"/>
      <c r="F76" s="1116"/>
      <c r="G76" s="1116"/>
      <c r="H76" s="1116"/>
      <c r="I76" s="1116"/>
      <c r="J76" s="1116"/>
      <c r="K76" s="1116"/>
      <c r="L76" s="1116"/>
      <c r="M76" s="1116"/>
      <c r="N76" s="1116"/>
      <c r="O76" s="1116"/>
      <c r="P76" s="1116"/>
      <c r="Q76" s="1116"/>
      <c r="R76" s="1116"/>
      <c r="S76" s="1116"/>
      <c r="T76" s="1116"/>
      <c r="U76" s="1116"/>
      <c r="V76" s="1116"/>
      <c r="W76" s="1116"/>
      <c r="X76" s="1116"/>
      <c r="Y76" s="1116"/>
      <c r="Z76" s="1116"/>
      <c r="AA76" s="1116"/>
      <c r="AB76" s="1116"/>
      <c r="AC76" s="1116"/>
      <c r="AD76" s="1116"/>
      <c r="AE76" s="1116"/>
      <c r="AF76" s="1116"/>
      <c r="AG76" s="1116"/>
      <c r="AI76" s="943"/>
      <c r="AJ76" s="943"/>
      <c r="AK76" s="943"/>
      <c r="AL76" s="943"/>
      <c r="AM76" s="943"/>
      <c r="AN76" s="943"/>
      <c r="AO76" s="943"/>
      <c r="AP76" s="943"/>
      <c r="AQ76" s="943"/>
    </row>
    <row r="77" spans="1:43" s="633" customFormat="1" x14ac:dyDescent="0.2">
      <c r="A77" s="942"/>
      <c r="AI77" s="943"/>
      <c r="AJ77" s="943"/>
      <c r="AK77" s="943"/>
      <c r="AL77" s="943"/>
      <c r="AM77" s="943"/>
      <c r="AN77" s="943"/>
      <c r="AO77" s="943"/>
      <c r="AP77" s="943"/>
      <c r="AQ77" s="943"/>
    </row>
    <row r="78" spans="1:43" s="633" customFormat="1" x14ac:dyDescent="0.2">
      <c r="A78" s="942"/>
      <c r="D78" s="632" t="s">
        <v>1434</v>
      </c>
      <c r="AI78" s="943"/>
      <c r="AJ78" s="943"/>
      <c r="AK78" s="943"/>
      <c r="AL78" s="943"/>
      <c r="AM78" s="943"/>
      <c r="AN78" s="943"/>
      <c r="AO78" s="943"/>
      <c r="AP78" s="943"/>
      <c r="AQ78" s="943"/>
    </row>
    <row r="79" spans="1:43" s="633" customFormat="1" x14ac:dyDescent="0.2">
      <c r="A79" s="942"/>
      <c r="AI79" s="943"/>
      <c r="AJ79" s="943"/>
      <c r="AK79" s="943"/>
      <c r="AL79" s="943"/>
      <c r="AM79" s="943"/>
      <c r="AN79" s="943"/>
      <c r="AO79" s="943"/>
      <c r="AP79" s="943"/>
      <c r="AQ79" s="943"/>
    </row>
    <row r="80" spans="1:43" s="633" customFormat="1" x14ac:dyDescent="0.2">
      <c r="A80" s="942"/>
      <c r="D80" s="1116" t="s">
        <v>1435</v>
      </c>
      <c r="E80" s="1116"/>
      <c r="F80" s="1116"/>
      <c r="G80" s="1116"/>
      <c r="H80" s="1116"/>
      <c r="I80" s="1116"/>
      <c r="J80" s="1116"/>
      <c r="K80" s="1116"/>
      <c r="L80" s="1116"/>
      <c r="M80" s="1116"/>
      <c r="N80" s="1116"/>
      <c r="O80" s="1116"/>
      <c r="P80" s="1116"/>
      <c r="Q80" s="1116"/>
      <c r="R80" s="1116"/>
      <c r="S80" s="1116"/>
      <c r="T80" s="1116"/>
      <c r="U80" s="1116"/>
      <c r="V80" s="1116"/>
      <c r="W80" s="1116"/>
      <c r="X80" s="1116"/>
      <c r="Y80" s="1116"/>
      <c r="Z80" s="1116"/>
      <c r="AA80" s="1116"/>
      <c r="AB80" s="1116"/>
      <c r="AC80" s="1116"/>
      <c r="AD80" s="1116"/>
      <c r="AE80" s="1116"/>
      <c r="AF80" s="1116"/>
      <c r="AG80" s="1116"/>
      <c r="AI80" s="943"/>
      <c r="AJ80" s="943"/>
      <c r="AK80" s="943"/>
      <c r="AL80" s="943"/>
      <c r="AM80" s="943"/>
      <c r="AN80" s="943"/>
      <c r="AO80" s="943"/>
      <c r="AP80" s="943"/>
      <c r="AQ80" s="943"/>
    </row>
    <row r="81" spans="1:43" s="633" customFormat="1" x14ac:dyDescent="0.2">
      <c r="A81" s="942"/>
      <c r="D81" s="1116"/>
      <c r="E81" s="1116"/>
      <c r="F81" s="1116"/>
      <c r="G81" s="1116"/>
      <c r="H81" s="1116"/>
      <c r="I81" s="1116"/>
      <c r="J81" s="1116"/>
      <c r="K81" s="1116"/>
      <c r="L81" s="1116"/>
      <c r="M81" s="1116"/>
      <c r="N81" s="1116"/>
      <c r="O81" s="1116"/>
      <c r="P81" s="1116"/>
      <c r="Q81" s="1116"/>
      <c r="R81" s="1116"/>
      <c r="S81" s="1116"/>
      <c r="T81" s="1116"/>
      <c r="U81" s="1116"/>
      <c r="V81" s="1116"/>
      <c r="W81" s="1116"/>
      <c r="X81" s="1116"/>
      <c r="Y81" s="1116"/>
      <c r="Z81" s="1116"/>
      <c r="AA81" s="1116"/>
      <c r="AB81" s="1116"/>
      <c r="AC81" s="1116"/>
      <c r="AD81" s="1116"/>
      <c r="AE81" s="1116"/>
      <c r="AF81" s="1116"/>
      <c r="AG81" s="1116"/>
      <c r="AI81" s="943"/>
      <c r="AJ81" s="943"/>
      <c r="AK81" s="943"/>
      <c r="AL81" s="943"/>
      <c r="AM81" s="943"/>
      <c r="AN81" s="943"/>
      <c r="AO81" s="943"/>
      <c r="AP81" s="943"/>
      <c r="AQ81" s="943"/>
    </row>
    <row r="82" spans="1:43" s="633" customFormat="1" x14ac:dyDescent="0.2">
      <c r="A82" s="942"/>
      <c r="AI82" s="943"/>
      <c r="AJ82" s="943"/>
      <c r="AK82" s="943"/>
      <c r="AL82" s="943"/>
      <c r="AM82" s="943"/>
      <c r="AN82" s="943"/>
      <c r="AO82" s="943"/>
      <c r="AP82" s="943"/>
      <c r="AQ82" s="943"/>
    </row>
    <row r="83" spans="1:43" s="633" customFormat="1" x14ac:dyDescent="0.2">
      <c r="A83" s="942"/>
      <c r="D83" s="632" t="s">
        <v>1436</v>
      </c>
      <c r="AI83" s="943"/>
      <c r="AJ83" s="943"/>
      <c r="AK83" s="943"/>
      <c r="AL83" s="943"/>
      <c r="AM83" s="943"/>
      <c r="AN83" s="943"/>
      <c r="AO83" s="943"/>
      <c r="AP83" s="943"/>
      <c r="AQ83" s="943"/>
    </row>
    <row r="84" spans="1:43" s="633" customFormat="1" x14ac:dyDescent="0.2">
      <c r="A84" s="942"/>
      <c r="AI84" s="943"/>
      <c r="AJ84" s="943"/>
      <c r="AK84" s="943"/>
      <c r="AL84" s="943"/>
      <c r="AM84" s="943"/>
      <c r="AN84" s="943"/>
      <c r="AO84" s="943"/>
      <c r="AP84" s="943"/>
      <c r="AQ84" s="943"/>
    </row>
    <row r="85" spans="1:43" s="633" customFormat="1" x14ac:dyDescent="0.2">
      <c r="A85" s="942"/>
      <c r="D85" s="1116" t="s">
        <v>1437</v>
      </c>
      <c r="E85" s="1116"/>
      <c r="F85" s="1116"/>
      <c r="G85" s="1116"/>
      <c r="H85" s="1116"/>
      <c r="I85" s="1116"/>
      <c r="J85" s="1116"/>
      <c r="K85" s="1116"/>
      <c r="L85" s="1116"/>
      <c r="M85" s="1116"/>
      <c r="N85" s="1116"/>
      <c r="O85" s="1116"/>
      <c r="P85" s="1116"/>
      <c r="Q85" s="1116"/>
      <c r="R85" s="1116"/>
      <c r="S85" s="1116"/>
      <c r="T85" s="1116"/>
      <c r="U85" s="1116"/>
      <c r="V85" s="1116"/>
      <c r="W85" s="1116"/>
      <c r="X85" s="1116"/>
      <c r="Y85" s="1116"/>
      <c r="Z85" s="1116"/>
      <c r="AA85" s="1116"/>
      <c r="AB85" s="1116"/>
      <c r="AC85" s="1116"/>
      <c r="AD85" s="1116"/>
      <c r="AE85" s="1116"/>
      <c r="AF85" s="1116"/>
      <c r="AG85" s="1116"/>
      <c r="AI85" s="943"/>
      <c r="AJ85" s="943"/>
      <c r="AK85" s="943"/>
      <c r="AL85" s="943"/>
      <c r="AM85" s="943"/>
      <c r="AN85" s="943"/>
      <c r="AO85" s="943"/>
      <c r="AP85" s="943"/>
      <c r="AQ85" s="943"/>
    </row>
    <row r="86" spans="1:43" s="633" customFormat="1" x14ac:dyDescent="0.2">
      <c r="A86" s="942"/>
      <c r="D86" s="1116"/>
      <c r="E86" s="1116"/>
      <c r="F86" s="1116"/>
      <c r="G86" s="1116"/>
      <c r="H86" s="1116"/>
      <c r="I86" s="1116"/>
      <c r="J86" s="1116"/>
      <c r="K86" s="1116"/>
      <c r="L86" s="1116"/>
      <c r="M86" s="1116"/>
      <c r="N86" s="1116"/>
      <c r="O86" s="1116"/>
      <c r="P86" s="1116"/>
      <c r="Q86" s="1116"/>
      <c r="R86" s="1116"/>
      <c r="S86" s="1116"/>
      <c r="T86" s="1116"/>
      <c r="U86" s="1116"/>
      <c r="V86" s="1116"/>
      <c r="W86" s="1116"/>
      <c r="X86" s="1116"/>
      <c r="Y86" s="1116"/>
      <c r="Z86" s="1116"/>
      <c r="AA86" s="1116"/>
      <c r="AB86" s="1116"/>
      <c r="AC86" s="1116"/>
      <c r="AD86" s="1116"/>
      <c r="AE86" s="1116"/>
      <c r="AF86" s="1116"/>
      <c r="AG86" s="1116"/>
      <c r="AI86" s="943"/>
      <c r="AJ86" s="943"/>
      <c r="AK86" s="943"/>
      <c r="AL86" s="943"/>
      <c r="AM86" s="943"/>
      <c r="AN86" s="943"/>
      <c r="AO86" s="943"/>
      <c r="AP86" s="943"/>
      <c r="AQ86" s="943"/>
    </row>
    <row r="87" spans="1:43" s="633" customFormat="1" x14ac:dyDescent="0.2">
      <c r="A87" s="942"/>
      <c r="D87" s="1116"/>
      <c r="E87" s="1116"/>
      <c r="F87" s="1116"/>
      <c r="G87" s="1116"/>
      <c r="H87" s="1116"/>
      <c r="I87" s="1116"/>
      <c r="J87" s="1116"/>
      <c r="K87" s="1116"/>
      <c r="L87" s="1116"/>
      <c r="M87" s="1116"/>
      <c r="N87" s="1116"/>
      <c r="O87" s="1116"/>
      <c r="P87" s="1116"/>
      <c r="Q87" s="1116"/>
      <c r="R87" s="1116"/>
      <c r="S87" s="1116"/>
      <c r="T87" s="1116"/>
      <c r="U87" s="1116"/>
      <c r="V87" s="1116"/>
      <c r="W87" s="1116"/>
      <c r="X87" s="1116"/>
      <c r="Y87" s="1116"/>
      <c r="Z87" s="1116"/>
      <c r="AA87" s="1116"/>
      <c r="AB87" s="1116"/>
      <c r="AC87" s="1116"/>
      <c r="AD87" s="1116"/>
      <c r="AE87" s="1116"/>
      <c r="AF87" s="1116"/>
      <c r="AG87" s="1116"/>
      <c r="AI87" s="943"/>
      <c r="AJ87" s="943"/>
      <c r="AK87" s="943"/>
      <c r="AL87" s="943"/>
      <c r="AM87" s="943"/>
      <c r="AN87" s="943"/>
      <c r="AO87" s="943"/>
      <c r="AP87" s="943"/>
      <c r="AQ87" s="943"/>
    </row>
    <row r="88" spans="1:43" s="633" customFormat="1" x14ac:dyDescent="0.2">
      <c r="A88" s="942"/>
      <c r="D88" s="640"/>
      <c r="E88" s="640"/>
      <c r="F88" s="640"/>
      <c r="G88" s="640"/>
      <c r="H88" s="640"/>
      <c r="I88" s="640"/>
      <c r="J88" s="640"/>
      <c r="K88" s="640"/>
      <c r="L88" s="640"/>
      <c r="M88" s="640"/>
      <c r="N88" s="640"/>
      <c r="O88" s="640"/>
      <c r="P88" s="640"/>
      <c r="Q88" s="640"/>
      <c r="R88" s="640"/>
      <c r="S88" s="640"/>
      <c r="T88" s="640"/>
      <c r="U88" s="640"/>
      <c r="V88" s="640"/>
      <c r="W88" s="640"/>
      <c r="X88" s="640"/>
      <c r="Y88" s="640"/>
      <c r="Z88" s="640"/>
      <c r="AA88" s="640"/>
      <c r="AB88" s="640"/>
      <c r="AC88" s="640"/>
      <c r="AD88" s="640"/>
      <c r="AI88" s="943"/>
      <c r="AJ88" s="943"/>
      <c r="AK88" s="943"/>
      <c r="AL88" s="943"/>
      <c r="AM88" s="943"/>
      <c r="AN88" s="943"/>
      <c r="AO88" s="943"/>
      <c r="AP88" s="943"/>
      <c r="AQ88" s="943"/>
    </row>
    <row r="89" spans="1:43" s="633" customFormat="1" ht="29.25" customHeight="1" thickBot="1" x14ac:dyDescent="0.25">
      <c r="A89" s="942"/>
      <c r="D89" s="641"/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1384" t="s">
        <v>1438</v>
      </c>
      <c r="P89" s="1384"/>
      <c r="Q89" s="1384"/>
      <c r="R89" s="1384"/>
      <c r="S89" s="1384"/>
      <c r="T89" s="1384" t="s">
        <v>1439</v>
      </c>
      <c r="U89" s="1384"/>
      <c r="V89" s="1384"/>
      <c r="W89" s="1384"/>
      <c r="X89" s="1384"/>
      <c r="Y89" s="1384" t="s">
        <v>1525</v>
      </c>
      <c r="Z89" s="1384"/>
      <c r="AA89" s="1384"/>
      <c r="AB89" s="1384"/>
      <c r="AC89" s="1384"/>
      <c r="AI89" s="943"/>
      <c r="AJ89" s="943"/>
      <c r="AK89" s="943"/>
      <c r="AL89" s="943"/>
      <c r="AM89" s="943"/>
      <c r="AN89" s="943"/>
      <c r="AO89" s="943"/>
      <c r="AP89" s="943"/>
      <c r="AQ89" s="943"/>
    </row>
    <row r="90" spans="1:43" s="633" customFormat="1" x14ac:dyDescent="0.2">
      <c r="A90" s="942"/>
      <c r="D90" s="1267" t="s">
        <v>21</v>
      </c>
      <c r="E90" s="1267"/>
      <c r="F90" s="1267"/>
      <c r="G90" s="1267"/>
      <c r="H90" s="1267"/>
      <c r="I90" s="1267"/>
      <c r="J90" s="1267"/>
      <c r="K90" s="1267"/>
      <c r="L90" s="1267"/>
      <c r="M90" s="1267"/>
      <c r="N90" s="1267"/>
      <c r="O90" s="1385">
        <v>4</v>
      </c>
      <c r="P90" s="1385"/>
      <c r="Q90" s="1385"/>
      <c r="R90" s="1385"/>
      <c r="S90" s="1385"/>
      <c r="T90" s="1385">
        <v>25</v>
      </c>
      <c r="U90" s="1385"/>
      <c r="V90" s="1385"/>
      <c r="W90" s="1385"/>
      <c r="X90" s="1385"/>
      <c r="Y90" s="1385" t="s">
        <v>1945</v>
      </c>
      <c r="Z90" s="1385"/>
      <c r="AA90" s="1385"/>
      <c r="AB90" s="1385"/>
      <c r="AC90" s="1385"/>
      <c r="AI90" s="943"/>
      <c r="AJ90" s="943"/>
      <c r="AK90" s="943"/>
      <c r="AL90" s="943"/>
      <c r="AM90" s="943"/>
      <c r="AN90" s="943"/>
      <c r="AO90" s="943"/>
      <c r="AP90" s="943"/>
      <c r="AQ90" s="943"/>
    </row>
    <row r="91" spans="1:43" s="633" customFormat="1" x14ac:dyDescent="0.2">
      <c r="A91" s="942"/>
      <c r="D91" s="928"/>
      <c r="AI91" s="943"/>
      <c r="AJ91" s="943"/>
      <c r="AK91" s="943"/>
      <c r="AL91" s="943"/>
      <c r="AM91" s="943"/>
      <c r="AN91" s="943"/>
      <c r="AO91" s="943"/>
      <c r="AP91" s="943"/>
      <c r="AQ91" s="943"/>
    </row>
    <row r="92" spans="1:43" s="633" customFormat="1" x14ac:dyDescent="0.2">
      <c r="A92" s="942"/>
      <c r="D92" s="1116" t="s">
        <v>1442</v>
      </c>
      <c r="E92" s="1116"/>
      <c r="F92" s="1116"/>
      <c r="G92" s="1116"/>
      <c r="H92" s="1116"/>
      <c r="I92" s="1116"/>
      <c r="J92" s="1116"/>
      <c r="K92" s="1116"/>
      <c r="L92" s="1116"/>
      <c r="M92" s="1116"/>
      <c r="N92" s="1116"/>
      <c r="O92" s="1116"/>
      <c r="P92" s="1116"/>
      <c r="Q92" s="1116"/>
      <c r="R92" s="1116"/>
      <c r="S92" s="1116"/>
      <c r="T92" s="1116"/>
      <c r="U92" s="1116"/>
      <c r="V92" s="1116"/>
      <c r="W92" s="1116"/>
      <c r="X92" s="1116"/>
      <c r="Y92" s="1116"/>
      <c r="Z92" s="1116"/>
      <c r="AA92" s="1116"/>
      <c r="AB92" s="1116"/>
      <c r="AC92" s="1116"/>
      <c r="AD92" s="1116"/>
      <c r="AE92" s="1116"/>
      <c r="AF92" s="1116"/>
      <c r="AG92" s="1116"/>
      <c r="AI92" s="943"/>
      <c r="AJ92" s="943"/>
      <c r="AK92" s="943"/>
      <c r="AL92" s="943"/>
      <c r="AM92" s="943"/>
      <c r="AN92" s="943"/>
      <c r="AO92" s="943"/>
      <c r="AP92" s="943"/>
      <c r="AQ92" s="943"/>
    </row>
    <row r="93" spans="1:43" s="633" customFormat="1" x14ac:dyDescent="0.2">
      <c r="A93" s="942"/>
      <c r="D93" s="1116"/>
      <c r="E93" s="1116"/>
      <c r="F93" s="1116"/>
      <c r="G93" s="1116"/>
      <c r="H93" s="1116"/>
      <c r="I93" s="1116"/>
      <c r="J93" s="1116"/>
      <c r="K93" s="1116"/>
      <c r="L93" s="1116"/>
      <c r="M93" s="1116"/>
      <c r="N93" s="1116"/>
      <c r="O93" s="1116"/>
      <c r="P93" s="1116"/>
      <c r="Q93" s="1116"/>
      <c r="R93" s="1116"/>
      <c r="S93" s="1116"/>
      <c r="T93" s="1116"/>
      <c r="U93" s="1116"/>
      <c r="V93" s="1116"/>
      <c r="W93" s="1116"/>
      <c r="X93" s="1116"/>
      <c r="Y93" s="1116"/>
      <c r="Z93" s="1116"/>
      <c r="AA93" s="1116"/>
      <c r="AB93" s="1116"/>
      <c r="AC93" s="1116"/>
      <c r="AD93" s="1116"/>
      <c r="AE93" s="1116"/>
      <c r="AF93" s="1116"/>
      <c r="AG93" s="1116"/>
      <c r="AI93" s="943"/>
      <c r="AJ93" s="943"/>
      <c r="AK93" s="943"/>
      <c r="AL93" s="943"/>
      <c r="AM93" s="943"/>
      <c r="AN93" s="943"/>
      <c r="AO93" s="943"/>
      <c r="AP93" s="943"/>
      <c r="AQ93" s="943"/>
    </row>
    <row r="94" spans="1:43" s="633" customFormat="1" x14ac:dyDescent="0.2">
      <c r="A94" s="942"/>
      <c r="AI94" s="943"/>
      <c r="AJ94" s="943"/>
      <c r="AK94" s="943"/>
      <c r="AL94" s="943"/>
      <c r="AM94" s="943"/>
      <c r="AN94" s="943"/>
      <c r="AO94" s="943"/>
      <c r="AP94" s="943"/>
      <c r="AQ94" s="943"/>
    </row>
    <row r="95" spans="1:43" s="633" customFormat="1" x14ac:dyDescent="0.2">
      <c r="A95" s="942"/>
      <c r="D95" s="632" t="s">
        <v>1443</v>
      </c>
      <c r="AI95" s="943"/>
      <c r="AJ95" s="943"/>
      <c r="AK95" s="943"/>
      <c r="AL95" s="943"/>
      <c r="AM95" s="943"/>
      <c r="AN95" s="943"/>
      <c r="AO95" s="943"/>
      <c r="AP95" s="943"/>
      <c r="AQ95" s="943"/>
    </row>
    <row r="96" spans="1:43" s="633" customFormat="1" x14ac:dyDescent="0.2">
      <c r="A96" s="942"/>
      <c r="AI96" s="943"/>
      <c r="AJ96" s="943"/>
      <c r="AK96" s="943"/>
      <c r="AL96" s="943"/>
      <c r="AM96" s="943"/>
      <c r="AN96" s="943"/>
      <c r="AO96" s="943"/>
      <c r="AP96" s="943"/>
      <c r="AQ96" s="943"/>
    </row>
    <row r="97" spans="1:43" s="633" customFormat="1" x14ac:dyDescent="0.2">
      <c r="A97" s="942"/>
      <c r="D97" s="1116" t="s">
        <v>1444</v>
      </c>
      <c r="E97" s="1116"/>
      <c r="F97" s="1116"/>
      <c r="G97" s="1116"/>
      <c r="H97" s="1116"/>
      <c r="I97" s="1116"/>
      <c r="J97" s="1116"/>
      <c r="K97" s="1116"/>
      <c r="L97" s="1116"/>
      <c r="M97" s="1116"/>
      <c r="N97" s="1116"/>
      <c r="O97" s="1116"/>
      <c r="P97" s="1116"/>
      <c r="Q97" s="1116"/>
      <c r="R97" s="1116"/>
      <c r="S97" s="1116"/>
      <c r="T97" s="1116"/>
      <c r="U97" s="1116"/>
      <c r="V97" s="1116"/>
      <c r="W97" s="1116"/>
      <c r="X97" s="1116"/>
      <c r="Y97" s="1116"/>
      <c r="Z97" s="1116"/>
      <c r="AA97" s="1116"/>
      <c r="AB97" s="1116"/>
      <c r="AC97" s="1116"/>
      <c r="AD97" s="1116"/>
      <c r="AE97" s="1116"/>
      <c r="AF97" s="1116"/>
      <c r="AG97" s="1116"/>
      <c r="AI97" s="943"/>
      <c r="AJ97" s="943"/>
      <c r="AK97" s="943"/>
      <c r="AL97" s="943"/>
      <c r="AM97" s="943"/>
      <c r="AN97" s="943"/>
      <c r="AO97" s="943"/>
      <c r="AP97" s="943"/>
      <c r="AQ97" s="943"/>
    </row>
    <row r="98" spans="1:43" s="633" customFormat="1" x14ac:dyDescent="0.2">
      <c r="A98" s="942"/>
      <c r="D98" s="1116"/>
      <c r="E98" s="1116"/>
      <c r="F98" s="1116"/>
      <c r="G98" s="1116"/>
      <c r="H98" s="1116"/>
      <c r="I98" s="1116"/>
      <c r="J98" s="1116"/>
      <c r="K98" s="1116"/>
      <c r="L98" s="1116"/>
      <c r="M98" s="1116"/>
      <c r="N98" s="1116"/>
      <c r="O98" s="1116"/>
      <c r="P98" s="1116"/>
      <c r="Q98" s="1116"/>
      <c r="R98" s="1116"/>
      <c r="S98" s="1116"/>
      <c r="T98" s="1116"/>
      <c r="U98" s="1116"/>
      <c r="V98" s="1116"/>
      <c r="W98" s="1116"/>
      <c r="X98" s="1116"/>
      <c r="Y98" s="1116"/>
      <c r="Z98" s="1116"/>
      <c r="AA98" s="1116"/>
      <c r="AB98" s="1116"/>
      <c r="AC98" s="1116"/>
      <c r="AD98" s="1116"/>
      <c r="AE98" s="1116"/>
      <c r="AF98" s="1116"/>
      <c r="AG98" s="1116"/>
      <c r="AI98" s="943"/>
      <c r="AJ98" s="943"/>
      <c r="AK98" s="943"/>
      <c r="AL98" s="943"/>
      <c r="AM98" s="943"/>
      <c r="AN98" s="943"/>
      <c r="AO98" s="943"/>
      <c r="AP98" s="943"/>
      <c r="AQ98" s="943"/>
    </row>
    <row r="99" spans="1:43" s="633" customFormat="1" x14ac:dyDescent="0.2">
      <c r="A99" s="942"/>
      <c r="AI99" s="943"/>
      <c r="AJ99" s="943"/>
      <c r="AK99" s="943"/>
      <c r="AL99" s="943"/>
      <c r="AM99" s="943"/>
      <c r="AN99" s="943"/>
      <c r="AO99" s="943"/>
      <c r="AP99" s="943"/>
      <c r="AQ99" s="943"/>
    </row>
    <row r="100" spans="1:43" s="633" customFormat="1" x14ac:dyDescent="0.2">
      <c r="A100" s="942"/>
      <c r="D100" s="1116" t="s">
        <v>1445</v>
      </c>
      <c r="E100" s="1116"/>
      <c r="F100" s="1116"/>
      <c r="G100" s="1116"/>
      <c r="H100" s="1116"/>
      <c r="I100" s="1116"/>
      <c r="J100" s="1116"/>
      <c r="K100" s="1116"/>
      <c r="L100" s="1116"/>
      <c r="M100" s="1116"/>
      <c r="N100" s="1116"/>
      <c r="O100" s="1116"/>
      <c r="P100" s="1116"/>
      <c r="Q100" s="1116"/>
      <c r="R100" s="1116"/>
      <c r="S100" s="1116"/>
      <c r="T100" s="1116"/>
      <c r="U100" s="1116"/>
      <c r="V100" s="1116"/>
      <c r="W100" s="1116"/>
      <c r="X100" s="1116"/>
      <c r="Y100" s="1116"/>
      <c r="Z100" s="1116"/>
      <c r="AA100" s="1116"/>
      <c r="AB100" s="1116"/>
      <c r="AC100" s="1116"/>
      <c r="AD100" s="1116"/>
      <c r="AE100" s="1116"/>
      <c r="AF100" s="1116"/>
      <c r="AG100" s="1116"/>
      <c r="AI100" s="943"/>
      <c r="AJ100" s="943"/>
      <c r="AK100" s="943"/>
      <c r="AL100" s="943"/>
      <c r="AM100" s="943"/>
      <c r="AN100" s="943"/>
      <c r="AO100" s="943"/>
      <c r="AP100" s="943"/>
      <c r="AQ100" s="943"/>
    </row>
    <row r="101" spans="1:43" s="633" customFormat="1" x14ac:dyDescent="0.2">
      <c r="A101" s="942"/>
      <c r="D101" s="1116"/>
      <c r="E101" s="1116"/>
      <c r="F101" s="1116"/>
      <c r="G101" s="1116"/>
      <c r="H101" s="1116"/>
      <c r="I101" s="1116"/>
      <c r="J101" s="1116"/>
      <c r="K101" s="1116"/>
      <c r="L101" s="1116"/>
      <c r="M101" s="1116"/>
      <c r="N101" s="1116"/>
      <c r="O101" s="1116"/>
      <c r="P101" s="1116"/>
      <c r="Q101" s="1116"/>
      <c r="R101" s="1116"/>
      <c r="S101" s="1116"/>
      <c r="T101" s="1116"/>
      <c r="U101" s="1116"/>
      <c r="V101" s="1116"/>
      <c r="W101" s="1116"/>
      <c r="X101" s="1116"/>
      <c r="Y101" s="1116"/>
      <c r="Z101" s="1116"/>
      <c r="AA101" s="1116"/>
      <c r="AB101" s="1116"/>
      <c r="AC101" s="1116"/>
      <c r="AD101" s="1116"/>
      <c r="AE101" s="1116"/>
      <c r="AF101" s="1116"/>
      <c r="AG101" s="1116"/>
      <c r="AI101" s="943"/>
      <c r="AJ101" s="943"/>
      <c r="AK101" s="943"/>
      <c r="AL101" s="943"/>
      <c r="AM101" s="943"/>
      <c r="AN101" s="943"/>
      <c r="AO101" s="943"/>
      <c r="AP101" s="943"/>
      <c r="AQ101" s="943"/>
    </row>
    <row r="102" spans="1:43" s="633" customFormat="1" x14ac:dyDescent="0.2">
      <c r="A102" s="942"/>
      <c r="AI102" s="943"/>
      <c r="AJ102" s="943"/>
      <c r="AK102" s="943"/>
      <c r="AL102" s="943"/>
      <c r="AM102" s="943"/>
      <c r="AN102" s="943"/>
      <c r="AO102" s="943"/>
      <c r="AP102" s="943"/>
      <c r="AQ102" s="943"/>
    </row>
    <row r="103" spans="1:43" s="633" customFormat="1" x14ac:dyDescent="0.2">
      <c r="A103" s="942"/>
      <c r="D103" s="632" t="s">
        <v>1436</v>
      </c>
      <c r="AI103" s="943"/>
      <c r="AJ103" s="943"/>
      <c r="AK103" s="943"/>
      <c r="AL103" s="943"/>
      <c r="AM103" s="943"/>
      <c r="AN103" s="943"/>
      <c r="AO103" s="943"/>
      <c r="AP103" s="943"/>
      <c r="AQ103" s="943"/>
    </row>
    <row r="104" spans="1:43" s="633" customFormat="1" x14ac:dyDescent="0.2">
      <c r="A104" s="942"/>
      <c r="AI104" s="943"/>
      <c r="AJ104" s="943"/>
      <c r="AK104" s="943"/>
      <c r="AL104" s="943"/>
      <c r="AM104" s="943"/>
      <c r="AN104" s="943"/>
      <c r="AO104" s="943"/>
      <c r="AP104" s="943"/>
      <c r="AQ104" s="943"/>
    </row>
    <row r="105" spans="1:43" s="633" customFormat="1" x14ac:dyDescent="0.2">
      <c r="A105" s="942"/>
      <c r="D105" s="1116" t="s">
        <v>1449</v>
      </c>
      <c r="E105" s="1116"/>
      <c r="F105" s="1116"/>
      <c r="G105" s="1116"/>
      <c r="H105" s="1116"/>
      <c r="I105" s="1116"/>
      <c r="J105" s="1116"/>
      <c r="K105" s="1116"/>
      <c r="L105" s="1116"/>
      <c r="M105" s="1116"/>
      <c r="N105" s="1116"/>
      <c r="O105" s="1116"/>
      <c r="P105" s="1116"/>
      <c r="Q105" s="1116"/>
      <c r="R105" s="1116"/>
      <c r="S105" s="1116"/>
      <c r="T105" s="1116"/>
      <c r="U105" s="1116"/>
      <c r="V105" s="1116"/>
      <c r="W105" s="1116"/>
      <c r="X105" s="1116"/>
      <c r="Y105" s="1116"/>
      <c r="Z105" s="1116"/>
      <c r="AA105" s="1116"/>
      <c r="AB105" s="1116"/>
      <c r="AC105" s="1116"/>
      <c r="AD105" s="1116"/>
      <c r="AE105" s="1116"/>
      <c r="AF105" s="1116"/>
      <c r="AG105" s="1116"/>
      <c r="AI105" s="943"/>
      <c r="AJ105" s="943"/>
      <c r="AK105" s="943"/>
      <c r="AL105" s="943"/>
      <c r="AM105" s="943"/>
      <c r="AN105" s="943"/>
      <c r="AO105" s="943"/>
      <c r="AP105" s="943"/>
      <c r="AQ105" s="943"/>
    </row>
    <row r="106" spans="1:43" s="633" customFormat="1" x14ac:dyDescent="0.2">
      <c r="A106" s="942"/>
      <c r="D106" s="1116"/>
      <c r="E106" s="1116"/>
      <c r="F106" s="1116"/>
      <c r="G106" s="1116"/>
      <c r="H106" s="1116"/>
      <c r="I106" s="1116"/>
      <c r="J106" s="1116"/>
      <c r="K106" s="1116"/>
      <c r="L106" s="1116"/>
      <c r="M106" s="1116"/>
      <c r="N106" s="1116"/>
      <c r="O106" s="1116"/>
      <c r="P106" s="1116"/>
      <c r="Q106" s="1116"/>
      <c r="R106" s="1116"/>
      <c r="S106" s="1116"/>
      <c r="T106" s="1116"/>
      <c r="U106" s="1116"/>
      <c r="V106" s="1116"/>
      <c r="W106" s="1116"/>
      <c r="X106" s="1116"/>
      <c r="Y106" s="1116"/>
      <c r="Z106" s="1116"/>
      <c r="AA106" s="1116"/>
      <c r="AB106" s="1116"/>
      <c r="AC106" s="1116"/>
      <c r="AD106" s="1116"/>
      <c r="AE106" s="1116"/>
      <c r="AF106" s="1116"/>
      <c r="AG106" s="1116"/>
      <c r="AI106" s="943"/>
      <c r="AJ106" s="943"/>
      <c r="AK106" s="943"/>
      <c r="AL106" s="943"/>
      <c r="AM106" s="943"/>
      <c r="AN106" s="943"/>
      <c r="AO106" s="943"/>
      <c r="AP106" s="943"/>
      <c r="AQ106" s="943"/>
    </row>
    <row r="107" spans="1:43" s="633" customFormat="1" x14ac:dyDescent="0.2">
      <c r="A107" s="942"/>
      <c r="D107" s="1116"/>
      <c r="E107" s="1116"/>
      <c r="F107" s="1116"/>
      <c r="G107" s="1116"/>
      <c r="H107" s="1116"/>
      <c r="I107" s="1116"/>
      <c r="J107" s="1116"/>
      <c r="K107" s="1116"/>
      <c r="L107" s="1116"/>
      <c r="M107" s="1116"/>
      <c r="N107" s="1116"/>
      <c r="O107" s="1116"/>
      <c r="P107" s="1116"/>
      <c r="Q107" s="1116"/>
      <c r="R107" s="1116"/>
      <c r="S107" s="1116"/>
      <c r="T107" s="1116"/>
      <c r="U107" s="1116"/>
      <c r="V107" s="1116"/>
      <c r="W107" s="1116"/>
      <c r="X107" s="1116"/>
      <c r="Y107" s="1116"/>
      <c r="Z107" s="1116"/>
      <c r="AA107" s="1116"/>
      <c r="AB107" s="1116"/>
      <c r="AC107" s="1116"/>
      <c r="AD107" s="1116"/>
      <c r="AE107" s="1116"/>
      <c r="AF107" s="1116"/>
      <c r="AG107" s="1116"/>
      <c r="AI107" s="943"/>
      <c r="AJ107" s="943"/>
      <c r="AK107" s="943"/>
      <c r="AL107" s="943"/>
      <c r="AM107" s="943"/>
      <c r="AN107" s="943"/>
      <c r="AO107" s="943"/>
      <c r="AP107" s="943"/>
      <c r="AQ107" s="943"/>
    </row>
    <row r="108" spans="1:43" s="633" customFormat="1" x14ac:dyDescent="0.2">
      <c r="A108" s="942"/>
      <c r="D108" s="947"/>
      <c r="E108" s="947"/>
      <c r="F108" s="947"/>
      <c r="G108" s="947"/>
      <c r="H108" s="947"/>
      <c r="I108" s="947"/>
      <c r="J108" s="947"/>
      <c r="K108" s="947"/>
      <c r="L108" s="947"/>
      <c r="M108" s="947"/>
      <c r="N108" s="947"/>
      <c r="O108" s="947"/>
      <c r="P108" s="947"/>
      <c r="Q108" s="947"/>
      <c r="R108" s="947"/>
      <c r="S108" s="947"/>
      <c r="T108" s="947"/>
      <c r="U108" s="947"/>
      <c r="V108" s="947"/>
      <c r="W108" s="947"/>
      <c r="X108" s="947"/>
      <c r="Y108" s="947"/>
      <c r="Z108" s="947"/>
      <c r="AA108" s="947"/>
      <c r="AB108" s="947"/>
      <c r="AC108" s="947"/>
      <c r="AD108" s="947"/>
      <c r="AE108" s="947"/>
      <c r="AF108" s="947"/>
      <c r="AG108" s="947"/>
      <c r="AI108" s="943"/>
      <c r="AJ108" s="943"/>
      <c r="AK108" s="943"/>
      <c r="AL108" s="943"/>
      <c r="AM108" s="943"/>
      <c r="AN108" s="943"/>
      <c r="AO108" s="943"/>
      <c r="AP108" s="943"/>
      <c r="AQ108" s="943"/>
    </row>
    <row r="109" spans="1:43" s="633" customFormat="1" ht="29.25" customHeight="1" thickBot="1" x14ac:dyDescent="0.25">
      <c r="A109" s="942"/>
      <c r="D109" s="641"/>
      <c r="E109" s="641"/>
      <c r="F109" s="641"/>
      <c r="G109" s="641"/>
      <c r="H109" s="641"/>
      <c r="I109" s="641"/>
      <c r="J109" s="641"/>
      <c r="K109" s="641"/>
      <c r="L109" s="641"/>
      <c r="M109" s="641"/>
      <c r="N109" s="641"/>
      <c r="O109" s="1384" t="s">
        <v>1438</v>
      </c>
      <c r="P109" s="1384"/>
      <c r="Q109" s="1384"/>
      <c r="R109" s="1384"/>
      <c r="S109" s="1384"/>
      <c r="T109" s="1384" t="s">
        <v>1439</v>
      </c>
      <c r="U109" s="1384"/>
      <c r="V109" s="1384"/>
      <c r="W109" s="1384"/>
      <c r="X109" s="1384"/>
      <c r="Y109" s="1384" t="s">
        <v>1441</v>
      </c>
      <c r="Z109" s="1384"/>
      <c r="AA109" s="1384"/>
      <c r="AB109" s="1384"/>
      <c r="AC109" s="1384"/>
      <c r="AI109" s="943"/>
      <c r="AJ109" s="943"/>
      <c r="AK109" s="943"/>
      <c r="AL109" s="943"/>
      <c r="AM109" s="943"/>
      <c r="AN109" s="943"/>
      <c r="AO109" s="943"/>
      <c r="AP109" s="943"/>
      <c r="AQ109" s="943"/>
    </row>
    <row r="110" spans="1:43" s="633" customFormat="1" x14ac:dyDescent="0.2">
      <c r="A110" s="942"/>
      <c r="D110" s="1386" t="s">
        <v>42</v>
      </c>
      <c r="E110" s="1386"/>
      <c r="F110" s="1386"/>
      <c r="G110" s="1386"/>
      <c r="H110" s="1386"/>
      <c r="I110" s="1386"/>
      <c r="J110" s="1386"/>
      <c r="K110" s="1386"/>
      <c r="L110" s="1386"/>
      <c r="M110" s="1386"/>
      <c r="N110" s="1386"/>
      <c r="O110" s="1387">
        <v>20</v>
      </c>
      <c r="P110" s="1387"/>
      <c r="Q110" s="1387"/>
      <c r="R110" s="1387"/>
      <c r="S110" s="1387"/>
      <c r="T110" s="1387">
        <v>5</v>
      </c>
      <c r="U110" s="1387"/>
      <c r="V110" s="1387"/>
      <c r="W110" s="1387"/>
      <c r="X110" s="1387"/>
      <c r="Y110" s="1387" t="s">
        <v>1945</v>
      </c>
      <c r="Z110" s="1387"/>
      <c r="AA110" s="1387"/>
      <c r="AB110" s="1387"/>
      <c r="AC110" s="1387"/>
      <c r="AI110" s="943"/>
      <c r="AJ110" s="943"/>
      <c r="AK110" s="943"/>
      <c r="AL110" s="943"/>
      <c r="AM110" s="943"/>
      <c r="AN110" s="943"/>
      <c r="AO110" s="943"/>
      <c r="AP110" s="943"/>
      <c r="AQ110" s="943"/>
    </row>
    <row r="111" spans="1:43" s="633" customFormat="1" x14ac:dyDescent="0.2">
      <c r="A111" s="942"/>
      <c r="D111" s="1386" t="s">
        <v>1446</v>
      </c>
      <c r="E111" s="1386"/>
      <c r="F111" s="1386"/>
      <c r="G111" s="1386"/>
      <c r="H111" s="1386"/>
      <c r="I111" s="1386"/>
      <c r="J111" s="1386"/>
      <c r="K111" s="1386"/>
      <c r="L111" s="1386"/>
      <c r="M111" s="1386"/>
      <c r="N111" s="1386"/>
      <c r="O111" s="1387">
        <v>6</v>
      </c>
      <c r="P111" s="1387"/>
      <c r="Q111" s="1387"/>
      <c r="R111" s="1387"/>
      <c r="S111" s="1387"/>
      <c r="T111" s="1387">
        <v>16.7</v>
      </c>
      <c r="U111" s="1387"/>
      <c r="V111" s="1387"/>
      <c r="W111" s="1387"/>
      <c r="X111" s="1387"/>
      <c r="Y111" s="1387" t="s">
        <v>1945</v>
      </c>
      <c r="Z111" s="1387"/>
      <c r="AA111" s="1387"/>
      <c r="AB111" s="1387"/>
      <c r="AC111" s="1387"/>
      <c r="AI111" s="943"/>
      <c r="AJ111" s="943"/>
      <c r="AK111" s="943"/>
      <c r="AL111" s="943"/>
      <c r="AM111" s="943"/>
      <c r="AN111" s="943"/>
      <c r="AO111" s="943"/>
      <c r="AP111" s="943"/>
      <c r="AQ111" s="943"/>
    </row>
    <row r="112" spans="1:43" s="633" customFormat="1" x14ac:dyDescent="0.2">
      <c r="A112" s="942"/>
      <c r="D112" s="1386" t="s">
        <v>1447</v>
      </c>
      <c r="E112" s="1386"/>
      <c r="F112" s="1386"/>
      <c r="G112" s="1386"/>
      <c r="H112" s="1386"/>
      <c r="I112" s="1386"/>
      <c r="J112" s="1386"/>
      <c r="K112" s="1386"/>
      <c r="L112" s="1386"/>
      <c r="M112" s="1386"/>
      <c r="N112" s="1386"/>
      <c r="O112" s="1387">
        <v>4</v>
      </c>
      <c r="P112" s="1387"/>
      <c r="Q112" s="1387"/>
      <c r="R112" s="1387"/>
      <c r="S112" s="1387"/>
      <c r="T112" s="1387">
        <v>25</v>
      </c>
      <c r="U112" s="1387"/>
      <c r="V112" s="1387"/>
      <c r="W112" s="1387"/>
      <c r="X112" s="1387"/>
      <c r="Y112" s="1387" t="s">
        <v>1945</v>
      </c>
      <c r="Z112" s="1387"/>
      <c r="AA112" s="1387"/>
      <c r="AB112" s="1387"/>
      <c r="AC112" s="1387"/>
      <c r="AI112" s="943"/>
      <c r="AJ112" s="943"/>
      <c r="AK112" s="943"/>
      <c r="AL112" s="943"/>
      <c r="AM112" s="943"/>
      <c r="AN112" s="943"/>
      <c r="AO112" s="943"/>
      <c r="AP112" s="943"/>
      <c r="AQ112" s="943"/>
    </row>
    <row r="113" spans="1:43" s="633" customFormat="1" x14ac:dyDescent="0.2">
      <c r="A113" s="942"/>
      <c r="D113" s="1386" t="s">
        <v>1448</v>
      </c>
      <c r="E113" s="1386"/>
      <c r="F113" s="1386"/>
      <c r="G113" s="1386"/>
      <c r="H113" s="1386"/>
      <c r="I113" s="1386"/>
      <c r="J113" s="1386"/>
      <c r="K113" s="1386"/>
      <c r="L113" s="1386"/>
      <c r="M113" s="1386"/>
      <c r="N113" s="1386"/>
      <c r="O113" s="1387">
        <v>6</v>
      </c>
      <c r="P113" s="1387"/>
      <c r="Q113" s="1387"/>
      <c r="R113" s="1387"/>
      <c r="S113" s="1387"/>
      <c r="T113" s="1387">
        <v>16.7</v>
      </c>
      <c r="U113" s="1387"/>
      <c r="V113" s="1387"/>
      <c r="W113" s="1387"/>
      <c r="X113" s="1387"/>
      <c r="Y113" s="1387" t="s">
        <v>1945</v>
      </c>
      <c r="Z113" s="1387"/>
      <c r="AA113" s="1387"/>
      <c r="AB113" s="1387"/>
      <c r="AC113" s="1387"/>
      <c r="AI113" s="943"/>
      <c r="AJ113" s="943"/>
      <c r="AK113" s="943"/>
      <c r="AL113" s="943"/>
      <c r="AM113" s="943"/>
      <c r="AN113" s="943"/>
      <c r="AO113" s="943"/>
      <c r="AP113" s="943"/>
      <c r="AQ113" s="943"/>
    </row>
    <row r="114" spans="1:43" s="633" customFormat="1" x14ac:dyDescent="0.2">
      <c r="A114" s="942"/>
      <c r="D114" s="943"/>
      <c r="E114" s="943"/>
      <c r="F114" s="943"/>
      <c r="G114" s="943"/>
      <c r="H114" s="943"/>
      <c r="I114" s="943"/>
      <c r="J114" s="943"/>
      <c r="K114" s="943"/>
      <c r="L114" s="943"/>
      <c r="M114" s="943"/>
      <c r="N114" s="943"/>
      <c r="O114" s="943"/>
      <c r="P114" s="943"/>
      <c r="Q114" s="943"/>
      <c r="R114" s="943"/>
      <c r="S114" s="943"/>
      <c r="T114" s="943"/>
      <c r="U114" s="943"/>
      <c r="V114" s="943"/>
      <c r="W114" s="943"/>
      <c r="X114" s="943"/>
      <c r="Y114" s="943"/>
      <c r="Z114" s="943"/>
      <c r="AA114" s="943"/>
      <c r="AB114" s="943"/>
      <c r="AC114" s="943"/>
      <c r="AI114" s="943"/>
      <c r="AJ114" s="943"/>
      <c r="AK114" s="943"/>
      <c r="AL114" s="943"/>
      <c r="AM114" s="943"/>
      <c r="AN114" s="943"/>
      <c r="AO114" s="943"/>
      <c r="AP114" s="943"/>
      <c r="AQ114" s="943"/>
    </row>
    <row r="115" spans="1:43" s="633" customFormat="1" x14ac:dyDescent="0.2">
      <c r="A115" s="942"/>
      <c r="D115" s="1116" t="s">
        <v>1450</v>
      </c>
      <c r="E115" s="1116"/>
      <c r="F115" s="1116"/>
      <c r="G115" s="1116"/>
      <c r="H115" s="1116"/>
      <c r="I115" s="1116"/>
      <c r="J115" s="1116"/>
      <c r="K115" s="1116"/>
      <c r="L115" s="1116"/>
      <c r="M115" s="1116"/>
      <c r="N115" s="1116"/>
      <c r="O115" s="1116"/>
      <c r="P115" s="1116"/>
      <c r="Q115" s="1116"/>
      <c r="R115" s="1116"/>
      <c r="S115" s="1116"/>
      <c r="T115" s="1116"/>
      <c r="U115" s="1116"/>
      <c r="V115" s="1116"/>
      <c r="W115" s="1116"/>
      <c r="X115" s="1116"/>
      <c r="Y115" s="1116"/>
      <c r="Z115" s="1116"/>
      <c r="AA115" s="1116"/>
      <c r="AB115" s="1116"/>
      <c r="AC115" s="1116"/>
      <c r="AD115" s="1116"/>
      <c r="AE115" s="1116"/>
      <c r="AF115" s="1116"/>
      <c r="AG115" s="1116"/>
      <c r="AI115" s="943"/>
      <c r="AJ115" s="943"/>
      <c r="AK115" s="943"/>
      <c r="AL115" s="943"/>
      <c r="AM115" s="943"/>
      <c r="AN115" s="943"/>
      <c r="AO115" s="943"/>
      <c r="AP115" s="943"/>
      <c r="AQ115" s="943"/>
    </row>
    <row r="116" spans="1:43" s="633" customFormat="1" x14ac:dyDescent="0.2">
      <c r="A116" s="942"/>
      <c r="D116" s="1116"/>
      <c r="E116" s="1116"/>
      <c r="F116" s="1116"/>
      <c r="G116" s="1116"/>
      <c r="H116" s="1116"/>
      <c r="I116" s="1116"/>
      <c r="J116" s="1116"/>
      <c r="K116" s="1116"/>
      <c r="L116" s="1116"/>
      <c r="M116" s="1116"/>
      <c r="N116" s="1116"/>
      <c r="O116" s="1116"/>
      <c r="P116" s="1116"/>
      <c r="Q116" s="1116"/>
      <c r="R116" s="1116"/>
      <c r="S116" s="1116"/>
      <c r="T116" s="1116"/>
      <c r="U116" s="1116"/>
      <c r="V116" s="1116"/>
      <c r="W116" s="1116"/>
      <c r="X116" s="1116"/>
      <c r="Y116" s="1116"/>
      <c r="Z116" s="1116"/>
      <c r="AA116" s="1116"/>
      <c r="AB116" s="1116"/>
      <c r="AC116" s="1116"/>
      <c r="AD116" s="1116"/>
      <c r="AE116" s="1116"/>
      <c r="AF116" s="1116"/>
      <c r="AG116" s="1116"/>
      <c r="AI116" s="943"/>
      <c r="AJ116" s="943"/>
      <c r="AK116" s="943"/>
      <c r="AL116" s="943"/>
      <c r="AM116" s="943"/>
      <c r="AN116" s="943"/>
      <c r="AO116" s="943"/>
      <c r="AP116" s="943"/>
      <c r="AQ116" s="943"/>
    </row>
    <row r="117" spans="1:43" s="633" customFormat="1" x14ac:dyDescent="0.2">
      <c r="A117" s="942"/>
      <c r="AI117" s="943"/>
      <c r="AJ117" s="943"/>
      <c r="AK117" s="943"/>
      <c r="AL117" s="943"/>
      <c r="AM117" s="943"/>
      <c r="AN117" s="943"/>
      <c r="AO117" s="943"/>
      <c r="AP117" s="943"/>
      <c r="AQ117" s="943"/>
    </row>
    <row r="118" spans="1:43" s="633" customFormat="1" x14ac:dyDescent="0.2">
      <c r="A118" s="942"/>
      <c r="D118" s="632" t="s">
        <v>1451</v>
      </c>
      <c r="AI118" s="943"/>
      <c r="AJ118" s="943"/>
      <c r="AK118" s="943"/>
      <c r="AL118" s="943"/>
      <c r="AM118" s="943"/>
      <c r="AN118" s="943"/>
      <c r="AO118" s="943"/>
      <c r="AP118" s="943"/>
      <c r="AQ118" s="943"/>
    </row>
    <row r="119" spans="1:43" s="633" customFormat="1" x14ac:dyDescent="0.2">
      <c r="A119" s="942"/>
      <c r="AI119" s="943"/>
      <c r="AJ119" s="943"/>
      <c r="AK119" s="943"/>
      <c r="AL119" s="943"/>
      <c r="AM119" s="943"/>
      <c r="AN119" s="943"/>
      <c r="AO119" s="943"/>
      <c r="AP119" s="943"/>
      <c r="AQ119" s="943"/>
    </row>
    <row r="120" spans="1:43" s="633" customFormat="1" x14ac:dyDescent="0.2">
      <c r="A120" s="942"/>
      <c r="D120" s="1116" t="s">
        <v>2010</v>
      </c>
      <c r="E120" s="1116"/>
      <c r="F120" s="1116"/>
      <c r="G120" s="1116"/>
      <c r="H120" s="1116"/>
      <c r="I120" s="1116"/>
      <c r="J120" s="1116"/>
      <c r="K120" s="1116"/>
      <c r="L120" s="1116"/>
      <c r="M120" s="1116"/>
      <c r="N120" s="1116"/>
      <c r="O120" s="1116"/>
      <c r="P120" s="1116"/>
      <c r="Q120" s="1116"/>
      <c r="R120" s="1116"/>
      <c r="S120" s="1116"/>
      <c r="T120" s="1116"/>
      <c r="U120" s="1116"/>
      <c r="V120" s="1116"/>
      <c r="W120" s="1116"/>
      <c r="X120" s="1116"/>
      <c r="Y120" s="1116"/>
      <c r="Z120" s="1116"/>
      <c r="AA120" s="1116"/>
      <c r="AB120" s="1116"/>
      <c r="AC120" s="1116"/>
      <c r="AD120" s="1116"/>
      <c r="AE120" s="1116"/>
      <c r="AF120" s="1116"/>
      <c r="AG120" s="1116"/>
      <c r="AI120" s="943"/>
      <c r="AJ120" s="943"/>
      <c r="AK120" s="943"/>
      <c r="AL120" s="943"/>
      <c r="AM120" s="943"/>
      <c r="AN120" s="943"/>
      <c r="AO120" s="943"/>
      <c r="AP120" s="943"/>
      <c r="AQ120" s="943"/>
    </row>
    <row r="121" spans="1:43" s="633" customFormat="1" x14ac:dyDescent="0.2">
      <c r="A121" s="942"/>
      <c r="D121" s="932"/>
      <c r="E121" s="932"/>
      <c r="F121" s="932"/>
      <c r="G121" s="932"/>
      <c r="H121" s="932"/>
      <c r="I121" s="932"/>
      <c r="J121" s="932"/>
      <c r="K121" s="932"/>
      <c r="L121" s="932"/>
      <c r="M121" s="932"/>
      <c r="N121" s="932"/>
      <c r="O121" s="932"/>
      <c r="P121" s="932"/>
      <c r="Q121" s="932"/>
      <c r="R121" s="932"/>
      <c r="S121" s="932"/>
      <c r="T121" s="932"/>
      <c r="U121" s="932"/>
      <c r="V121" s="932"/>
      <c r="W121" s="932"/>
      <c r="X121" s="932"/>
      <c r="Y121" s="932"/>
      <c r="Z121" s="932"/>
      <c r="AA121" s="932"/>
      <c r="AB121" s="932"/>
      <c r="AC121" s="932"/>
      <c r="AD121" s="932"/>
      <c r="AE121" s="932"/>
      <c r="AF121" s="932"/>
      <c r="AG121" s="932"/>
      <c r="AI121" s="943"/>
      <c r="AJ121" s="943"/>
      <c r="AK121" s="943"/>
      <c r="AL121" s="943"/>
      <c r="AM121" s="943"/>
      <c r="AN121" s="943"/>
      <c r="AO121" s="943"/>
      <c r="AP121" s="943"/>
      <c r="AQ121" s="943"/>
    </row>
    <row r="122" spans="1:43" s="633" customFormat="1" x14ac:dyDescent="0.2">
      <c r="A122" s="942"/>
      <c r="D122" s="632" t="s">
        <v>2013</v>
      </c>
      <c r="AI122" s="943"/>
      <c r="AJ122" s="943"/>
      <c r="AK122" s="943"/>
      <c r="AL122" s="943"/>
      <c r="AM122" s="943"/>
      <c r="AN122" s="943"/>
      <c r="AO122" s="943"/>
      <c r="AP122" s="943"/>
      <c r="AQ122" s="943"/>
    </row>
    <row r="123" spans="1:43" s="633" customFormat="1" x14ac:dyDescent="0.2">
      <c r="A123" s="942"/>
      <c r="AI123" s="943"/>
      <c r="AJ123" s="943"/>
      <c r="AK123" s="943"/>
      <c r="AL123" s="943"/>
      <c r="AM123" s="943"/>
      <c r="AN123" s="943"/>
      <c r="AO123" s="943"/>
      <c r="AP123" s="943"/>
      <c r="AQ123" s="943"/>
    </row>
    <row r="124" spans="1:43" s="633" customFormat="1" x14ac:dyDescent="0.2">
      <c r="A124" s="942"/>
      <c r="D124" s="1116" t="s">
        <v>2011</v>
      </c>
      <c r="E124" s="1116"/>
      <c r="F124" s="1116"/>
      <c r="G124" s="1116"/>
      <c r="H124" s="1116"/>
      <c r="I124" s="1116"/>
      <c r="J124" s="1116"/>
      <c r="K124" s="1116"/>
      <c r="L124" s="1116"/>
      <c r="M124" s="1116"/>
      <c r="N124" s="1116"/>
      <c r="O124" s="1116"/>
      <c r="P124" s="1116"/>
      <c r="Q124" s="1116"/>
      <c r="R124" s="1116"/>
      <c r="S124" s="1116"/>
      <c r="T124" s="1116"/>
      <c r="U124" s="1116"/>
      <c r="V124" s="1116"/>
      <c r="W124" s="1116"/>
      <c r="X124" s="1116"/>
      <c r="Y124" s="1116"/>
      <c r="Z124" s="1116"/>
      <c r="AA124" s="1116"/>
      <c r="AB124" s="1116"/>
      <c r="AC124" s="1116"/>
      <c r="AD124" s="1116"/>
      <c r="AE124" s="1116"/>
      <c r="AF124" s="1116"/>
      <c r="AG124" s="1116"/>
      <c r="AI124" s="943"/>
      <c r="AJ124" s="943"/>
      <c r="AK124" s="943"/>
      <c r="AL124" s="943"/>
      <c r="AM124" s="943"/>
      <c r="AN124" s="943"/>
      <c r="AO124" s="943"/>
      <c r="AP124" s="943"/>
      <c r="AQ124" s="943"/>
    </row>
    <row r="125" spans="1:43" s="633" customFormat="1" x14ac:dyDescent="0.2">
      <c r="A125" s="942"/>
      <c r="D125" s="1116"/>
      <c r="E125" s="1116"/>
      <c r="F125" s="1116"/>
      <c r="G125" s="1116"/>
      <c r="H125" s="1116"/>
      <c r="I125" s="1116"/>
      <c r="J125" s="1116"/>
      <c r="K125" s="1116"/>
      <c r="L125" s="1116"/>
      <c r="M125" s="1116"/>
      <c r="N125" s="1116"/>
      <c r="O125" s="1116"/>
      <c r="P125" s="1116"/>
      <c r="Q125" s="1116"/>
      <c r="R125" s="1116"/>
      <c r="S125" s="1116"/>
      <c r="T125" s="1116"/>
      <c r="U125" s="1116"/>
      <c r="V125" s="1116"/>
      <c r="W125" s="1116"/>
      <c r="X125" s="1116"/>
      <c r="Y125" s="1116"/>
      <c r="Z125" s="1116"/>
      <c r="AA125" s="1116"/>
      <c r="AB125" s="1116"/>
      <c r="AC125" s="1116"/>
      <c r="AD125" s="1116"/>
      <c r="AE125" s="1116"/>
      <c r="AF125" s="1116"/>
      <c r="AG125" s="1116"/>
      <c r="AI125" s="943"/>
      <c r="AJ125" s="943"/>
      <c r="AK125" s="943"/>
      <c r="AL125" s="943"/>
      <c r="AM125" s="943"/>
      <c r="AN125" s="943"/>
      <c r="AO125" s="943"/>
      <c r="AP125" s="943"/>
      <c r="AQ125" s="943"/>
    </row>
    <row r="126" spans="1:43" s="633" customFormat="1" x14ac:dyDescent="0.2">
      <c r="A126" s="942"/>
      <c r="D126" s="1116"/>
      <c r="E126" s="1116"/>
      <c r="F126" s="1116"/>
      <c r="G126" s="1116"/>
      <c r="H126" s="1116"/>
      <c r="I126" s="1116"/>
      <c r="J126" s="1116"/>
      <c r="K126" s="1116"/>
      <c r="L126" s="1116"/>
      <c r="M126" s="1116"/>
      <c r="N126" s="1116"/>
      <c r="O126" s="1116"/>
      <c r="P126" s="1116"/>
      <c r="Q126" s="1116"/>
      <c r="R126" s="1116"/>
      <c r="S126" s="1116"/>
      <c r="T126" s="1116"/>
      <c r="U126" s="1116"/>
      <c r="V126" s="1116"/>
      <c r="W126" s="1116"/>
      <c r="X126" s="1116"/>
      <c r="Y126" s="1116"/>
      <c r="Z126" s="1116"/>
      <c r="AA126" s="1116"/>
      <c r="AB126" s="1116"/>
      <c r="AC126" s="1116"/>
      <c r="AD126" s="1116"/>
      <c r="AE126" s="1116"/>
      <c r="AF126" s="1116"/>
      <c r="AG126" s="1116"/>
      <c r="AI126" s="943"/>
      <c r="AJ126" s="943"/>
      <c r="AK126" s="943"/>
      <c r="AL126" s="943"/>
      <c r="AM126" s="943"/>
      <c r="AN126" s="943"/>
      <c r="AO126" s="943"/>
      <c r="AP126" s="943"/>
      <c r="AQ126" s="943"/>
    </row>
    <row r="127" spans="1:43" s="633" customFormat="1" x14ac:dyDescent="0.2">
      <c r="A127" s="942"/>
      <c r="AI127" s="943"/>
      <c r="AJ127" s="943"/>
      <c r="AK127" s="943"/>
      <c r="AL127" s="943"/>
      <c r="AM127" s="943"/>
      <c r="AN127" s="943"/>
      <c r="AO127" s="943"/>
      <c r="AP127" s="943"/>
      <c r="AQ127" s="943"/>
    </row>
    <row r="128" spans="1:43" s="633" customFormat="1" x14ac:dyDescent="0.2">
      <c r="A128" s="942"/>
      <c r="AI128" s="943"/>
      <c r="AJ128" s="943"/>
      <c r="AK128" s="943"/>
      <c r="AL128" s="943"/>
      <c r="AM128" s="943"/>
      <c r="AN128" s="943"/>
      <c r="AO128" s="943"/>
      <c r="AP128" s="943"/>
      <c r="AQ128" s="943"/>
    </row>
    <row r="129" spans="1:43" s="633" customFormat="1" x14ac:dyDescent="0.2">
      <c r="A129" s="942"/>
      <c r="D129" s="632" t="s">
        <v>2014</v>
      </c>
      <c r="AI129" s="943"/>
      <c r="AJ129" s="943"/>
      <c r="AK129" s="943"/>
      <c r="AL129" s="943"/>
      <c r="AM129" s="943"/>
      <c r="AN129" s="943"/>
      <c r="AO129" s="943"/>
      <c r="AP129" s="943"/>
      <c r="AQ129" s="943"/>
    </row>
    <row r="130" spans="1:43" s="633" customFormat="1" x14ac:dyDescent="0.2">
      <c r="A130" s="942"/>
      <c r="AI130" s="943"/>
      <c r="AJ130" s="943"/>
      <c r="AK130" s="943"/>
      <c r="AL130" s="943"/>
      <c r="AM130" s="943"/>
      <c r="AN130" s="943"/>
      <c r="AO130" s="943"/>
      <c r="AP130" s="943"/>
      <c r="AQ130" s="943"/>
    </row>
    <row r="131" spans="1:43" s="633" customFormat="1" x14ac:dyDescent="0.2">
      <c r="A131" s="942"/>
      <c r="D131" s="1116" t="s">
        <v>1452</v>
      </c>
      <c r="E131" s="1116"/>
      <c r="F131" s="1116"/>
      <c r="G131" s="1116"/>
      <c r="H131" s="1116"/>
      <c r="I131" s="1116"/>
      <c r="J131" s="1116"/>
      <c r="K131" s="1116"/>
      <c r="L131" s="1116"/>
      <c r="M131" s="1116"/>
      <c r="N131" s="1116"/>
      <c r="O131" s="1116"/>
      <c r="P131" s="1116"/>
      <c r="Q131" s="1116"/>
      <c r="R131" s="1116"/>
      <c r="S131" s="1116"/>
      <c r="T131" s="1116"/>
      <c r="U131" s="1116"/>
      <c r="V131" s="1116"/>
      <c r="W131" s="1116"/>
      <c r="X131" s="1116"/>
      <c r="Y131" s="1116"/>
      <c r="Z131" s="1116"/>
      <c r="AA131" s="1116"/>
      <c r="AB131" s="1116"/>
      <c r="AC131" s="1116"/>
      <c r="AD131" s="1116"/>
      <c r="AE131" s="1116"/>
      <c r="AF131" s="1116"/>
      <c r="AG131" s="1116"/>
      <c r="AI131" s="943"/>
      <c r="AJ131" s="943"/>
      <c r="AK131" s="943"/>
      <c r="AL131" s="943"/>
      <c r="AM131" s="943"/>
      <c r="AN131" s="943"/>
      <c r="AO131" s="943"/>
      <c r="AP131" s="943"/>
      <c r="AQ131" s="943"/>
    </row>
    <row r="132" spans="1:43" s="633" customFormat="1" x14ac:dyDescent="0.2">
      <c r="A132" s="942"/>
      <c r="D132" s="1116"/>
      <c r="E132" s="1116"/>
      <c r="F132" s="1116"/>
      <c r="G132" s="1116"/>
      <c r="H132" s="1116"/>
      <c r="I132" s="1116"/>
      <c r="J132" s="1116"/>
      <c r="K132" s="1116"/>
      <c r="L132" s="1116"/>
      <c r="M132" s="1116"/>
      <c r="N132" s="1116"/>
      <c r="O132" s="1116"/>
      <c r="P132" s="1116"/>
      <c r="Q132" s="1116"/>
      <c r="R132" s="1116"/>
      <c r="S132" s="1116"/>
      <c r="T132" s="1116"/>
      <c r="U132" s="1116"/>
      <c r="V132" s="1116"/>
      <c r="W132" s="1116"/>
      <c r="X132" s="1116"/>
      <c r="Y132" s="1116"/>
      <c r="Z132" s="1116"/>
      <c r="AA132" s="1116"/>
      <c r="AB132" s="1116"/>
      <c r="AC132" s="1116"/>
      <c r="AD132" s="1116"/>
      <c r="AE132" s="1116"/>
      <c r="AF132" s="1116"/>
      <c r="AG132" s="1116"/>
      <c r="AI132" s="943"/>
      <c r="AJ132" s="943"/>
      <c r="AK132" s="943"/>
      <c r="AL132" s="943"/>
      <c r="AM132" s="943"/>
      <c r="AN132" s="943"/>
      <c r="AO132" s="943"/>
      <c r="AP132" s="943"/>
      <c r="AQ132" s="943"/>
    </row>
    <row r="133" spans="1:43" s="633" customFormat="1" x14ac:dyDescent="0.2">
      <c r="A133" s="942"/>
      <c r="AI133" s="943"/>
      <c r="AJ133" s="943"/>
      <c r="AK133" s="943"/>
      <c r="AL133" s="943"/>
      <c r="AM133" s="943"/>
      <c r="AN133" s="943"/>
      <c r="AO133" s="943"/>
      <c r="AP133" s="943"/>
      <c r="AQ133" s="943"/>
    </row>
    <row r="134" spans="1:43" s="633" customFormat="1" x14ac:dyDescent="0.2">
      <c r="A134" s="942"/>
      <c r="D134" s="632" t="s">
        <v>2015</v>
      </c>
      <c r="AI134" s="943"/>
      <c r="AJ134" s="943"/>
      <c r="AK134" s="943"/>
      <c r="AL134" s="943"/>
      <c r="AM134" s="943"/>
      <c r="AN134" s="943"/>
      <c r="AO134" s="943"/>
      <c r="AP134" s="943"/>
      <c r="AQ134" s="943"/>
    </row>
    <row r="135" spans="1:43" s="633" customFormat="1" x14ac:dyDescent="0.2">
      <c r="A135" s="942"/>
      <c r="AI135" s="943"/>
      <c r="AJ135" s="943"/>
      <c r="AK135" s="943"/>
      <c r="AL135" s="943"/>
      <c r="AM135" s="943"/>
      <c r="AN135" s="943"/>
      <c r="AO135" s="943"/>
      <c r="AP135" s="943"/>
      <c r="AQ135" s="943"/>
    </row>
    <row r="136" spans="1:43" s="633" customFormat="1" x14ac:dyDescent="0.2">
      <c r="A136" s="942"/>
      <c r="D136" s="1116" t="s">
        <v>2049</v>
      </c>
      <c r="E136" s="1116"/>
      <c r="F136" s="1116"/>
      <c r="G136" s="1116"/>
      <c r="H136" s="1116"/>
      <c r="I136" s="1116"/>
      <c r="J136" s="1116"/>
      <c r="K136" s="1116"/>
      <c r="L136" s="1116"/>
      <c r="M136" s="1116"/>
      <c r="N136" s="1116"/>
      <c r="O136" s="1116"/>
      <c r="P136" s="1116"/>
      <c r="Q136" s="1116"/>
      <c r="R136" s="1116"/>
      <c r="S136" s="1116"/>
      <c r="T136" s="1116"/>
      <c r="U136" s="1116"/>
      <c r="V136" s="1116"/>
      <c r="W136" s="1116"/>
      <c r="X136" s="1116"/>
      <c r="Y136" s="1116"/>
      <c r="Z136" s="1116"/>
      <c r="AA136" s="1116"/>
      <c r="AB136" s="1116"/>
      <c r="AC136" s="1116"/>
      <c r="AD136" s="1116"/>
      <c r="AE136" s="1116"/>
      <c r="AF136" s="1116"/>
      <c r="AG136" s="1116"/>
      <c r="AI136" s="943"/>
      <c r="AJ136" s="943"/>
      <c r="AK136" s="943"/>
      <c r="AL136" s="943"/>
      <c r="AM136" s="943"/>
      <c r="AN136" s="943"/>
      <c r="AO136" s="943"/>
      <c r="AP136" s="943"/>
      <c r="AQ136" s="943"/>
    </row>
    <row r="137" spans="1:43" s="633" customFormat="1" x14ac:dyDescent="0.2">
      <c r="A137" s="942"/>
      <c r="D137" s="1116"/>
      <c r="E137" s="1116"/>
      <c r="F137" s="1116"/>
      <c r="G137" s="1116"/>
      <c r="H137" s="1116"/>
      <c r="I137" s="1116"/>
      <c r="J137" s="1116"/>
      <c r="K137" s="1116"/>
      <c r="L137" s="1116"/>
      <c r="M137" s="1116"/>
      <c r="N137" s="1116"/>
      <c r="O137" s="1116"/>
      <c r="P137" s="1116"/>
      <c r="Q137" s="1116"/>
      <c r="R137" s="1116"/>
      <c r="S137" s="1116"/>
      <c r="T137" s="1116"/>
      <c r="U137" s="1116"/>
      <c r="V137" s="1116"/>
      <c r="W137" s="1116"/>
      <c r="X137" s="1116"/>
      <c r="Y137" s="1116"/>
      <c r="Z137" s="1116"/>
      <c r="AA137" s="1116"/>
      <c r="AB137" s="1116"/>
      <c r="AC137" s="1116"/>
      <c r="AD137" s="1116"/>
      <c r="AE137" s="1116"/>
      <c r="AF137" s="1116"/>
      <c r="AG137" s="1116"/>
      <c r="AI137" s="943"/>
      <c r="AJ137" s="943"/>
      <c r="AK137" s="943"/>
      <c r="AL137" s="943"/>
      <c r="AM137" s="943"/>
      <c r="AN137" s="943"/>
      <c r="AO137" s="943"/>
      <c r="AP137" s="943"/>
      <c r="AQ137" s="943"/>
    </row>
    <row r="138" spans="1:43" s="633" customFormat="1" x14ac:dyDescent="0.2">
      <c r="A138" s="942"/>
      <c r="D138" s="632" t="s">
        <v>2016</v>
      </c>
      <c r="AI138" s="943"/>
      <c r="AJ138" s="943"/>
      <c r="AK138" s="943"/>
      <c r="AL138" s="943"/>
      <c r="AM138" s="943"/>
      <c r="AN138" s="943"/>
      <c r="AO138" s="943"/>
      <c r="AP138" s="943"/>
      <c r="AQ138" s="943"/>
    </row>
    <row r="139" spans="1:43" s="633" customFormat="1" x14ac:dyDescent="0.2">
      <c r="A139" s="942"/>
      <c r="AI139" s="943"/>
      <c r="AJ139" s="943"/>
      <c r="AK139" s="943"/>
      <c r="AL139" s="943"/>
      <c r="AM139" s="943"/>
      <c r="AN139" s="943"/>
      <c r="AO139" s="943"/>
      <c r="AP139" s="943"/>
      <c r="AQ139" s="943"/>
    </row>
    <row r="140" spans="1:43" s="633" customFormat="1" x14ac:dyDescent="0.2">
      <c r="A140" s="942"/>
      <c r="D140" s="1116" t="s">
        <v>1453</v>
      </c>
      <c r="E140" s="1116"/>
      <c r="F140" s="1116"/>
      <c r="G140" s="1116"/>
      <c r="H140" s="1116"/>
      <c r="I140" s="1116"/>
      <c r="J140" s="1116"/>
      <c r="K140" s="1116"/>
      <c r="L140" s="1116"/>
      <c r="M140" s="1116"/>
      <c r="N140" s="1116"/>
      <c r="O140" s="1116"/>
      <c r="P140" s="1116"/>
      <c r="Q140" s="1116"/>
      <c r="R140" s="1116"/>
      <c r="S140" s="1116"/>
      <c r="T140" s="1116"/>
      <c r="U140" s="1116"/>
      <c r="V140" s="1116"/>
      <c r="W140" s="1116"/>
      <c r="X140" s="1116"/>
      <c r="Y140" s="1116"/>
      <c r="Z140" s="1116"/>
      <c r="AA140" s="1116"/>
      <c r="AB140" s="1116"/>
      <c r="AC140" s="1116"/>
      <c r="AD140" s="1116"/>
      <c r="AE140" s="1116"/>
      <c r="AF140" s="1116"/>
      <c r="AG140" s="1116"/>
      <c r="AI140" s="943"/>
      <c r="AJ140" s="943"/>
      <c r="AK140" s="943"/>
      <c r="AL140" s="943"/>
      <c r="AM140" s="943"/>
      <c r="AN140" s="943"/>
      <c r="AO140" s="943"/>
      <c r="AP140" s="943"/>
      <c r="AQ140" s="943"/>
    </row>
    <row r="141" spans="1:43" s="633" customFormat="1" x14ac:dyDescent="0.2">
      <c r="A141" s="942"/>
      <c r="D141" s="1116"/>
      <c r="E141" s="1116"/>
      <c r="F141" s="1116"/>
      <c r="G141" s="1116"/>
      <c r="H141" s="1116"/>
      <c r="I141" s="1116"/>
      <c r="J141" s="1116"/>
      <c r="K141" s="1116"/>
      <c r="L141" s="1116"/>
      <c r="M141" s="1116"/>
      <c r="N141" s="1116"/>
      <c r="O141" s="1116"/>
      <c r="P141" s="1116"/>
      <c r="Q141" s="1116"/>
      <c r="R141" s="1116"/>
      <c r="S141" s="1116"/>
      <c r="T141" s="1116"/>
      <c r="U141" s="1116"/>
      <c r="V141" s="1116"/>
      <c r="W141" s="1116"/>
      <c r="X141" s="1116"/>
      <c r="Y141" s="1116"/>
      <c r="Z141" s="1116"/>
      <c r="AA141" s="1116"/>
      <c r="AB141" s="1116"/>
      <c r="AC141" s="1116"/>
      <c r="AD141" s="1116"/>
      <c r="AE141" s="1116"/>
      <c r="AF141" s="1116"/>
      <c r="AG141" s="1116"/>
      <c r="AI141" s="943"/>
      <c r="AJ141" s="943"/>
      <c r="AK141" s="943"/>
      <c r="AL141" s="943"/>
      <c r="AM141" s="943"/>
      <c r="AN141" s="943"/>
      <c r="AO141" s="943"/>
      <c r="AP141" s="943"/>
      <c r="AQ141" s="943"/>
    </row>
    <row r="142" spans="1:43" s="633" customFormat="1" x14ac:dyDescent="0.2">
      <c r="A142" s="942"/>
      <c r="AI142" s="943"/>
      <c r="AJ142" s="943"/>
      <c r="AK142" s="943"/>
      <c r="AL142" s="943"/>
      <c r="AM142" s="943"/>
      <c r="AN142" s="943"/>
      <c r="AO142" s="943"/>
      <c r="AP142" s="943"/>
      <c r="AQ142" s="943"/>
    </row>
    <row r="143" spans="1:43" s="633" customFormat="1" x14ac:dyDescent="0.2">
      <c r="A143" s="942"/>
      <c r="D143" s="632" t="s">
        <v>2017</v>
      </c>
      <c r="AI143" s="943"/>
      <c r="AJ143" s="943"/>
      <c r="AK143" s="943"/>
      <c r="AL143" s="943"/>
      <c r="AM143" s="943"/>
      <c r="AN143" s="943"/>
      <c r="AO143" s="943"/>
      <c r="AP143" s="943"/>
      <c r="AQ143" s="943"/>
    </row>
    <row r="144" spans="1:43" s="633" customFormat="1" x14ac:dyDescent="0.2">
      <c r="A144" s="942"/>
      <c r="AI144" s="943"/>
      <c r="AJ144" s="943"/>
      <c r="AK144" s="943"/>
      <c r="AL144" s="943"/>
      <c r="AM144" s="943"/>
      <c r="AN144" s="943"/>
      <c r="AO144" s="943"/>
      <c r="AP144" s="943"/>
      <c r="AQ144" s="943"/>
    </row>
    <row r="145" spans="1:43" s="633" customFormat="1" x14ac:dyDescent="0.2">
      <c r="A145" s="942"/>
      <c r="D145" s="1116" t="s">
        <v>1454</v>
      </c>
      <c r="E145" s="1116"/>
      <c r="F145" s="1116"/>
      <c r="G145" s="1116"/>
      <c r="H145" s="1116"/>
      <c r="I145" s="1116"/>
      <c r="J145" s="1116"/>
      <c r="K145" s="1116"/>
      <c r="L145" s="1116"/>
      <c r="M145" s="1116"/>
      <c r="N145" s="1116"/>
      <c r="O145" s="1116"/>
      <c r="P145" s="1116"/>
      <c r="Q145" s="1116"/>
      <c r="R145" s="1116"/>
      <c r="S145" s="1116"/>
      <c r="T145" s="1116"/>
      <c r="U145" s="1116"/>
      <c r="V145" s="1116"/>
      <c r="W145" s="1116"/>
      <c r="X145" s="1116"/>
      <c r="Y145" s="1116"/>
      <c r="Z145" s="1116"/>
      <c r="AA145" s="1116"/>
      <c r="AB145" s="1116"/>
      <c r="AC145" s="1116"/>
      <c r="AD145" s="1116"/>
      <c r="AE145" s="1116"/>
      <c r="AF145" s="1116"/>
      <c r="AG145" s="1116"/>
      <c r="AI145" s="943"/>
      <c r="AJ145" s="943"/>
      <c r="AK145" s="943"/>
      <c r="AL145" s="943"/>
      <c r="AM145" s="943"/>
      <c r="AN145" s="943"/>
      <c r="AO145" s="943"/>
      <c r="AP145" s="943"/>
      <c r="AQ145" s="943"/>
    </row>
    <row r="146" spans="1:43" s="633" customFormat="1" x14ac:dyDescent="0.2">
      <c r="A146" s="942"/>
      <c r="D146" s="1116"/>
      <c r="E146" s="1116"/>
      <c r="F146" s="1116"/>
      <c r="G146" s="1116"/>
      <c r="H146" s="1116"/>
      <c r="I146" s="1116"/>
      <c r="J146" s="1116"/>
      <c r="K146" s="1116"/>
      <c r="L146" s="1116"/>
      <c r="M146" s="1116"/>
      <c r="N146" s="1116"/>
      <c r="O146" s="1116"/>
      <c r="P146" s="1116"/>
      <c r="Q146" s="1116"/>
      <c r="R146" s="1116"/>
      <c r="S146" s="1116"/>
      <c r="T146" s="1116"/>
      <c r="U146" s="1116"/>
      <c r="V146" s="1116"/>
      <c r="W146" s="1116"/>
      <c r="X146" s="1116"/>
      <c r="Y146" s="1116"/>
      <c r="Z146" s="1116"/>
      <c r="AA146" s="1116"/>
      <c r="AB146" s="1116"/>
      <c r="AC146" s="1116"/>
      <c r="AD146" s="1116"/>
      <c r="AE146" s="1116"/>
      <c r="AF146" s="1116"/>
      <c r="AG146" s="1116"/>
      <c r="AI146" s="943"/>
      <c r="AJ146" s="943"/>
      <c r="AK146" s="943"/>
      <c r="AL146" s="943"/>
      <c r="AM146" s="943"/>
      <c r="AN146" s="943"/>
      <c r="AO146" s="943"/>
      <c r="AP146" s="943"/>
      <c r="AQ146" s="943"/>
    </row>
    <row r="147" spans="1:43" s="633" customFormat="1" x14ac:dyDescent="0.2">
      <c r="A147" s="942"/>
      <c r="AI147" s="943"/>
      <c r="AJ147" s="943"/>
      <c r="AK147" s="943"/>
      <c r="AL147" s="943"/>
      <c r="AM147" s="943"/>
      <c r="AN147" s="943"/>
      <c r="AO147" s="943"/>
      <c r="AP147" s="943"/>
      <c r="AQ147" s="943"/>
    </row>
    <row r="148" spans="1:43" s="633" customFormat="1" x14ac:dyDescent="0.2">
      <c r="A148" s="942"/>
      <c r="D148" s="632" t="s">
        <v>2018</v>
      </c>
      <c r="AI148" s="943"/>
      <c r="AJ148" s="943"/>
      <c r="AK148" s="943"/>
      <c r="AL148" s="943"/>
      <c r="AM148" s="943"/>
      <c r="AN148" s="943"/>
      <c r="AO148" s="943"/>
      <c r="AP148" s="943"/>
      <c r="AQ148" s="943"/>
    </row>
    <row r="149" spans="1:43" s="633" customFormat="1" x14ac:dyDescent="0.2">
      <c r="A149" s="942"/>
      <c r="AI149" s="943"/>
      <c r="AJ149" s="943"/>
      <c r="AK149" s="943"/>
      <c r="AL149" s="943"/>
      <c r="AM149" s="943"/>
      <c r="AN149" s="943"/>
      <c r="AO149" s="943"/>
      <c r="AP149" s="943"/>
      <c r="AQ149" s="943"/>
    </row>
    <row r="150" spans="1:43" s="633" customFormat="1" x14ac:dyDescent="0.2">
      <c r="A150" s="942"/>
      <c r="D150" s="1116" t="s">
        <v>2050</v>
      </c>
      <c r="E150" s="1116"/>
      <c r="F150" s="1116"/>
      <c r="G150" s="1116"/>
      <c r="H150" s="1116"/>
      <c r="I150" s="1116"/>
      <c r="J150" s="1116"/>
      <c r="K150" s="1116"/>
      <c r="L150" s="1116"/>
      <c r="M150" s="1116"/>
      <c r="N150" s="1116"/>
      <c r="O150" s="1116"/>
      <c r="P150" s="1116"/>
      <c r="Q150" s="1116"/>
      <c r="R150" s="1116"/>
      <c r="S150" s="1116"/>
      <c r="T150" s="1116"/>
      <c r="U150" s="1116"/>
      <c r="V150" s="1116"/>
      <c r="W150" s="1116"/>
      <c r="X150" s="1116"/>
      <c r="Y150" s="1116"/>
      <c r="Z150" s="1116"/>
      <c r="AA150" s="1116"/>
      <c r="AB150" s="1116"/>
      <c r="AC150" s="1116"/>
      <c r="AD150" s="1116"/>
      <c r="AE150" s="1116"/>
      <c r="AF150" s="1116"/>
      <c r="AG150" s="1116"/>
      <c r="AI150" s="943"/>
      <c r="AJ150" s="943"/>
      <c r="AK150" s="943"/>
      <c r="AL150" s="943"/>
      <c r="AM150" s="943"/>
      <c r="AN150" s="943"/>
      <c r="AO150" s="943"/>
      <c r="AP150" s="943"/>
      <c r="AQ150" s="943"/>
    </row>
    <row r="151" spans="1:43" s="633" customFormat="1" x14ac:dyDescent="0.2">
      <c r="A151" s="942"/>
      <c r="AI151" s="943"/>
      <c r="AJ151" s="943"/>
      <c r="AK151" s="943"/>
      <c r="AL151" s="943"/>
      <c r="AM151" s="943"/>
      <c r="AN151" s="943"/>
      <c r="AO151" s="943"/>
      <c r="AP151" s="943"/>
      <c r="AQ151" s="943"/>
    </row>
    <row r="152" spans="1:43" s="633" customFormat="1" x14ac:dyDescent="0.2">
      <c r="A152" s="942"/>
      <c r="D152" s="1116" t="s">
        <v>2051</v>
      </c>
      <c r="E152" s="1116"/>
      <c r="F152" s="1116"/>
      <c r="G152" s="1116"/>
      <c r="H152" s="1116"/>
      <c r="I152" s="1116"/>
      <c r="J152" s="1116"/>
      <c r="K152" s="1116"/>
      <c r="L152" s="1116"/>
      <c r="M152" s="1116"/>
      <c r="N152" s="1116"/>
      <c r="O152" s="1116"/>
      <c r="P152" s="1116"/>
      <c r="Q152" s="1116"/>
      <c r="R152" s="1116"/>
      <c r="S152" s="1116"/>
      <c r="T152" s="1116"/>
      <c r="U152" s="1116"/>
      <c r="V152" s="1116"/>
      <c r="W152" s="1116"/>
      <c r="X152" s="1116"/>
      <c r="Y152" s="1116"/>
      <c r="Z152" s="1116"/>
      <c r="AA152" s="1116"/>
      <c r="AB152" s="1116"/>
      <c r="AC152" s="1116"/>
      <c r="AD152" s="1116"/>
      <c r="AE152" s="1116"/>
      <c r="AF152" s="1116"/>
      <c r="AG152" s="1116"/>
      <c r="AI152" s="943"/>
      <c r="AJ152" s="943"/>
      <c r="AK152" s="943"/>
      <c r="AL152" s="943"/>
      <c r="AM152" s="943"/>
      <c r="AN152" s="943"/>
      <c r="AO152" s="943"/>
      <c r="AP152" s="943"/>
      <c r="AQ152" s="943"/>
    </row>
    <row r="153" spans="1:43" s="633" customFormat="1" x14ac:dyDescent="0.2">
      <c r="A153" s="942"/>
      <c r="D153" s="1116"/>
      <c r="E153" s="1116"/>
      <c r="F153" s="1116"/>
      <c r="G153" s="1116"/>
      <c r="H153" s="1116"/>
      <c r="I153" s="1116"/>
      <c r="J153" s="1116"/>
      <c r="K153" s="1116"/>
      <c r="L153" s="1116"/>
      <c r="M153" s="1116"/>
      <c r="N153" s="1116"/>
      <c r="O153" s="1116"/>
      <c r="P153" s="1116"/>
      <c r="Q153" s="1116"/>
      <c r="R153" s="1116"/>
      <c r="S153" s="1116"/>
      <c r="T153" s="1116"/>
      <c r="U153" s="1116"/>
      <c r="V153" s="1116"/>
      <c r="W153" s="1116"/>
      <c r="X153" s="1116"/>
      <c r="Y153" s="1116"/>
      <c r="Z153" s="1116"/>
      <c r="AA153" s="1116"/>
      <c r="AB153" s="1116"/>
      <c r="AC153" s="1116"/>
      <c r="AD153" s="1116"/>
      <c r="AE153" s="1116"/>
      <c r="AF153" s="1116"/>
      <c r="AG153" s="1116"/>
      <c r="AI153" s="943"/>
      <c r="AJ153" s="943"/>
      <c r="AK153" s="943"/>
      <c r="AL153" s="943"/>
      <c r="AM153" s="943"/>
      <c r="AN153" s="943"/>
      <c r="AO153" s="943"/>
      <c r="AP153" s="943"/>
      <c r="AQ153" s="943"/>
    </row>
    <row r="154" spans="1:43" s="633" customFormat="1" x14ac:dyDescent="0.2">
      <c r="A154" s="942"/>
      <c r="D154" s="1116"/>
      <c r="E154" s="1116"/>
      <c r="F154" s="1116"/>
      <c r="G154" s="1116"/>
      <c r="H154" s="1116"/>
      <c r="I154" s="1116"/>
      <c r="J154" s="1116"/>
      <c r="K154" s="1116"/>
      <c r="L154" s="1116"/>
      <c r="M154" s="1116"/>
      <c r="N154" s="1116"/>
      <c r="O154" s="1116"/>
      <c r="P154" s="1116"/>
      <c r="Q154" s="1116"/>
      <c r="R154" s="1116"/>
      <c r="S154" s="1116"/>
      <c r="T154" s="1116"/>
      <c r="U154" s="1116"/>
      <c r="V154" s="1116"/>
      <c r="W154" s="1116"/>
      <c r="X154" s="1116"/>
      <c r="Y154" s="1116"/>
      <c r="Z154" s="1116"/>
      <c r="AA154" s="1116"/>
      <c r="AB154" s="1116"/>
      <c r="AC154" s="1116"/>
      <c r="AD154" s="1116"/>
      <c r="AE154" s="1116"/>
      <c r="AF154" s="1116"/>
      <c r="AG154" s="1116"/>
      <c r="AI154" s="943"/>
      <c r="AJ154" s="943"/>
      <c r="AK154" s="943"/>
      <c r="AL154" s="943"/>
      <c r="AM154" s="943"/>
      <c r="AN154" s="943"/>
      <c r="AO154" s="943"/>
      <c r="AP154" s="943"/>
      <c r="AQ154" s="943"/>
    </row>
    <row r="155" spans="1:43" s="633" customFormat="1" x14ac:dyDescent="0.2">
      <c r="A155" s="942"/>
      <c r="D155" s="1116"/>
      <c r="E155" s="1116"/>
      <c r="F155" s="1116"/>
      <c r="G155" s="1116"/>
      <c r="H155" s="1116"/>
      <c r="I155" s="1116"/>
      <c r="J155" s="1116"/>
      <c r="K155" s="1116"/>
      <c r="L155" s="1116"/>
      <c r="M155" s="1116"/>
      <c r="N155" s="1116"/>
      <c r="O155" s="1116"/>
      <c r="P155" s="1116"/>
      <c r="Q155" s="1116"/>
      <c r="R155" s="1116"/>
      <c r="S155" s="1116"/>
      <c r="T155" s="1116"/>
      <c r="U155" s="1116"/>
      <c r="V155" s="1116"/>
      <c r="W155" s="1116"/>
      <c r="X155" s="1116"/>
      <c r="Y155" s="1116"/>
      <c r="Z155" s="1116"/>
      <c r="AA155" s="1116"/>
      <c r="AB155" s="1116"/>
      <c r="AC155" s="1116"/>
      <c r="AD155" s="1116"/>
      <c r="AE155" s="1116"/>
      <c r="AF155" s="1116"/>
      <c r="AG155" s="1116"/>
      <c r="AI155" s="943"/>
      <c r="AJ155" s="943"/>
      <c r="AK155" s="943"/>
      <c r="AL155" s="943"/>
      <c r="AM155" s="943"/>
      <c r="AN155" s="943"/>
      <c r="AO155" s="943"/>
      <c r="AP155" s="943"/>
      <c r="AQ155" s="943"/>
    </row>
    <row r="156" spans="1:43" s="633" customFormat="1" x14ac:dyDescent="0.2">
      <c r="A156" s="1017"/>
      <c r="D156" s="1053" t="s">
        <v>2060</v>
      </c>
      <c r="E156" s="1053"/>
      <c r="F156" s="1053"/>
      <c r="G156" s="1053"/>
      <c r="H156" s="1053"/>
      <c r="I156" s="1053"/>
      <c r="J156" s="1053"/>
      <c r="K156" s="1053"/>
      <c r="L156" s="1053"/>
      <c r="M156" s="1053"/>
      <c r="N156" s="1053"/>
      <c r="O156" s="1053"/>
      <c r="P156" s="1053"/>
      <c r="Q156" s="1053"/>
      <c r="R156" s="1053"/>
      <c r="S156" s="1053"/>
      <c r="T156" s="1053"/>
      <c r="U156" s="1053"/>
      <c r="V156" s="1053"/>
      <c r="W156" s="1053"/>
      <c r="X156" s="1053"/>
      <c r="Y156" s="1053"/>
      <c r="Z156" s="1053"/>
      <c r="AA156" s="1053"/>
      <c r="AB156" s="1053"/>
      <c r="AC156" s="1053"/>
      <c r="AD156" s="1053"/>
      <c r="AE156" s="1053"/>
      <c r="AF156" s="1053"/>
      <c r="AG156" s="1053"/>
      <c r="AI156" s="943"/>
      <c r="AJ156" s="943"/>
      <c r="AK156" s="943"/>
      <c r="AL156" s="943"/>
      <c r="AM156" s="943"/>
      <c r="AN156" s="943"/>
      <c r="AO156" s="943"/>
      <c r="AP156" s="943"/>
      <c r="AQ156" s="943"/>
    </row>
    <row r="157" spans="1:43" s="633" customFormat="1" x14ac:dyDescent="0.2">
      <c r="A157" s="1017"/>
      <c r="D157" s="1018"/>
      <c r="E157" s="1018"/>
      <c r="F157" s="1018"/>
      <c r="G157" s="1018"/>
      <c r="H157" s="1018"/>
      <c r="I157" s="1018"/>
      <c r="J157" s="1018"/>
      <c r="K157" s="1018"/>
      <c r="L157" s="1018"/>
      <c r="M157" s="1018"/>
      <c r="N157" s="1018"/>
      <c r="O157" s="1018"/>
      <c r="P157" s="1018"/>
      <c r="Q157" s="1018"/>
      <c r="R157" s="1018"/>
      <c r="S157" s="1018"/>
      <c r="T157" s="1018"/>
      <c r="U157" s="1018"/>
      <c r="V157" s="1018"/>
      <c r="W157" s="1018"/>
      <c r="X157" s="1018"/>
      <c r="Y157" s="1018"/>
      <c r="Z157" s="1018"/>
      <c r="AA157" s="1018"/>
      <c r="AB157" s="1018"/>
      <c r="AC157" s="1018"/>
      <c r="AD157" s="1018"/>
      <c r="AE157" s="1018"/>
      <c r="AF157" s="1018"/>
      <c r="AG157" s="1018"/>
      <c r="AI157" s="943"/>
      <c r="AJ157" s="943"/>
      <c r="AK157" s="943"/>
      <c r="AL157" s="943"/>
      <c r="AM157" s="943"/>
      <c r="AN157" s="943"/>
      <c r="AO157" s="943"/>
      <c r="AP157" s="943"/>
      <c r="AQ157" s="943"/>
    </row>
    <row r="158" spans="1:43" s="633" customFormat="1" x14ac:dyDescent="0.2">
      <c r="A158" s="942"/>
      <c r="D158" s="632" t="s">
        <v>2019</v>
      </c>
      <c r="AI158" s="943"/>
      <c r="AJ158" s="943"/>
      <c r="AK158" s="943"/>
      <c r="AL158" s="943"/>
      <c r="AM158" s="943"/>
      <c r="AN158" s="943"/>
      <c r="AO158" s="943"/>
      <c r="AP158" s="943"/>
      <c r="AQ158" s="943"/>
    </row>
    <row r="159" spans="1:43" s="633" customFormat="1" x14ac:dyDescent="0.2">
      <c r="A159" s="942"/>
      <c r="AI159" s="943"/>
      <c r="AJ159" s="943"/>
      <c r="AK159" s="943"/>
      <c r="AL159" s="943"/>
      <c r="AM159" s="943"/>
      <c r="AN159" s="943"/>
      <c r="AO159" s="943"/>
      <c r="AP159" s="943"/>
      <c r="AQ159" s="943"/>
    </row>
    <row r="160" spans="1:43" s="633" customFormat="1" x14ac:dyDescent="0.2">
      <c r="A160" s="942"/>
      <c r="D160" s="1116" t="s">
        <v>1455</v>
      </c>
      <c r="E160" s="1116"/>
      <c r="F160" s="1116"/>
      <c r="G160" s="1116"/>
      <c r="H160" s="1116"/>
      <c r="I160" s="1116"/>
      <c r="J160" s="1116"/>
      <c r="K160" s="1116"/>
      <c r="L160" s="1116"/>
      <c r="M160" s="1116"/>
      <c r="N160" s="1116"/>
      <c r="O160" s="1116"/>
      <c r="P160" s="1116"/>
      <c r="Q160" s="1116"/>
      <c r="R160" s="1116"/>
      <c r="S160" s="1116"/>
      <c r="T160" s="1116"/>
      <c r="U160" s="1116"/>
      <c r="V160" s="1116"/>
      <c r="W160" s="1116"/>
      <c r="X160" s="1116"/>
      <c r="Y160" s="1116"/>
      <c r="Z160" s="1116"/>
      <c r="AA160" s="1116"/>
      <c r="AB160" s="1116"/>
      <c r="AC160" s="1116"/>
      <c r="AD160" s="1116"/>
      <c r="AE160" s="1116"/>
      <c r="AF160" s="1116"/>
      <c r="AG160" s="1116"/>
      <c r="AI160" s="943"/>
      <c r="AJ160" s="943"/>
      <c r="AK160" s="943"/>
      <c r="AL160" s="943"/>
      <c r="AM160" s="943"/>
      <c r="AN160" s="943"/>
      <c r="AO160" s="943"/>
      <c r="AP160" s="943"/>
      <c r="AQ160" s="943"/>
    </row>
    <row r="161" spans="1:43" s="633" customFormat="1" x14ac:dyDescent="0.2">
      <c r="A161" s="942"/>
      <c r="D161" s="1116"/>
      <c r="E161" s="1116"/>
      <c r="F161" s="1116"/>
      <c r="G161" s="1116"/>
      <c r="H161" s="1116"/>
      <c r="I161" s="1116"/>
      <c r="J161" s="1116"/>
      <c r="K161" s="1116"/>
      <c r="L161" s="1116"/>
      <c r="M161" s="1116"/>
      <c r="N161" s="1116"/>
      <c r="O161" s="1116"/>
      <c r="P161" s="1116"/>
      <c r="Q161" s="1116"/>
      <c r="R161" s="1116"/>
      <c r="S161" s="1116"/>
      <c r="T161" s="1116"/>
      <c r="U161" s="1116"/>
      <c r="V161" s="1116"/>
      <c r="W161" s="1116"/>
      <c r="X161" s="1116"/>
      <c r="Y161" s="1116"/>
      <c r="Z161" s="1116"/>
      <c r="AA161" s="1116"/>
      <c r="AB161" s="1116"/>
      <c r="AC161" s="1116"/>
      <c r="AD161" s="1116"/>
      <c r="AE161" s="1116"/>
      <c r="AF161" s="1116"/>
      <c r="AG161" s="1116"/>
      <c r="AI161" s="943"/>
      <c r="AJ161" s="943"/>
      <c r="AK161" s="943"/>
      <c r="AL161" s="943"/>
      <c r="AM161" s="943"/>
      <c r="AN161" s="943"/>
      <c r="AO161" s="943"/>
      <c r="AP161" s="943"/>
      <c r="AQ161" s="943"/>
    </row>
    <row r="162" spans="1:43" s="633" customFormat="1" x14ac:dyDescent="0.2">
      <c r="A162" s="942"/>
      <c r="D162" s="1116" t="s">
        <v>1456</v>
      </c>
      <c r="E162" s="1116"/>
      <c r="F162" s="1116"/>
      <c r="G162" s="1116"/>
      <c r="H162" s="1116"/>
      <c r="I162" s="1116"/>
      <c r="J162" s="1116"/>
      <c r="K162" s="1116"/>
      <c r="L162" s="1116"/>
      <c r="M162" s="1116"/>
      <c r="N162" s="1116"/>
      <c r="O162" s="1116"/>
      <c r="P162" s="1116"/>
      <c r="Q162" s="1116"/>
      <c r="R162" s="1116"/>
      <c r="S162" s="1116"/>
      <c r="T162" s="1116"/>
      <c r="U162" s="1116"/>
      <c r="V162" s="1116"/>
      <c r="W162" s="1116"/>
      <c r="X162" s="1116"/>
      <c r="Y162" s="1116"/>
      <c r="Z162" s="1116"/>
      <c r="AA162" s="1116"/>
      <c r="AB162" s="1116"/>
      <c r="AC162" s="1116"/>
      <c r="AD162" s="1116"/>
      <c r="AE162" s="1116"/>
      <c r="AF162" s="1116"/>
      <c r="AG162" s="1116"/>
      <c r="AI162" s="943"/>
      <c r="AJ162" s="943"/>
      <c r="AK162" s="943"/>
      <c r="AL162" s="943"/>
      <c r="AM162" s="943"/>
      <c r="AN162" s="943"/>
      <c r="AO162" s="943"/>
      <c r="AP162" s="943"/>
      <c r="AQ162" s="943"/>
    </row>
    <row r="163" spans="1:43" s="633" customFormat="1" x14ac:dyDescent="0.2">
      <c r="A163" s="942"/>
      <c r="D163" s="1116"/>
      <c r="E163" s="1116"/>
      <c r="F163" s="1116"/>
      <c r="G163" s="1116"/>
      <c r="H163" s="1116"/>
      <c r="I163" s="1116"/>
      <c r="J163" s="1116"/>
      <c r="K163" s="1116"/>
      <c r="L163" s="1116"/>
      <c r="M163" s="1116"/>
      <c r="N163" s="1116"/>
      <c r="O163" s="1116"/>
      <c r="P163" s="1116"/>
      <c r="Q163" s="1116"/>
      <c r="R163" s="1116"/>
      <c r="S163" s="1116"/>
      <c r="T163" s="1116"/>
      <c r="U163" s="1116"/>
      <c r="V163" s="1116"/>
      <c r="W163" s="1116"/>
      <c r="X163" s="1116"/>
      <c r="Y163" s="1116"/>
      <c r="Z163" s="1116"/>
      <c r="AA163" s="1116"/>
      <c r="AB163" s="1116"/>
      <c r="AC163" s="1116"/>
      <c r="AD163" s="1116"/>
      <c r="AE163" s="1116"/>
      <c r="AF163" s="1116"/>
      <c r="AG163" s="1116"/>
      <c r="AI163" s="943"/>
      <c r="AJ163" s="943"/>
      <c r="AK163" s="943"/>
      <c r="AL163" s="943"/>
      <c r="AM163" s="943"/>
      <c r="AN163" s="943"/>
      <c r="AO163" s="943"/>
      <c r="AP163" s="943"/>
      <c r="AQ163" s="943"/>
    </row>
    <row r="164" spans="1:43" s="633" customFormat="1" x14ac:dyDescent="0.2">
      <c r="A164" s="942"/>
      <c r="D164" s="1116" t="s">
        <v>1457</v>
      </c>
      <c r="E164" s="1116"/>
      <c r="F164" s="1116"/>
      <c r="G164" s="1116"/>
      <c r="H164" s="1116"/>
      <c r="I164" s="1116"/>
      <c r="J164" s="1116"/>
      <c r="K164" s="1116"/>
      <c r="L164" s="1116"/>
      <c r="M164" s="1116"/>
      <c r="N164" s="1116"/>
      <c r="O164" s="1116"/>
      <c r="P164" s="1116"/>
      <c r="Q164" s="1116"/>
      <c r="R164" s="1116"/>
      <c r="S164" s="1116"/>
      <c r="T164" s="1116"/>
      <c r="U164" s="1116"/>
      <c r="V164" s="1116"/>
      <c r="W164" s="1116"/>
      <c r="X164" s="1116"/>
      <c r="Y164" s="1116"/>
      <c r="Z164" s="1116"/>
      <c r="AA164" s="1116"/>
      <c r="AB164" s="1116"/>
      <c r="AC164" s="1116"/>
      <c r="AD164" s="1116"/>
      <c r="AE164" s="1116"/>
      <c r="AF164" s="1116"/>
      <c r="AG164" s="1116"/>
      <c r="AI164" s="943"/>
      <c r="AJ164" s="943"/>
      <c r="AK164" s="943"/>
      <c r="AL164" s="943"/>
      <c r="AM164" s="943"/>
      <c r="AN164" s="943"/>
      <c r="AO164" s="943"/>
      <c r="AP164" s="943"/>
      <c r="AQ164" s="943"/>
    </row>
    <row r="165" spans="1:43" s="633" customFormat="1" x14ac:dyDescent="0.2">
      <c r="A165" s="942"/>
      <c r="AI165" s="943"/>
      <c r="AJ165" s="943"/>
      <c r="AK165" s="943"/>
      <c r="AL165" s="943"/>
      <c r="AM165" s="943"/>
      <c r="AN165" s="943"/>
      <c r="AO165" s="943"/>
      <c r="AP165" s="943"/>
      <c r="AQ165" s="943"/>
    </row>
    <row r="166" spans="1:43" s="633" customFormat="1" x14ac:dyDescent="0.2">
      <c r="A166" s="942"/>
      <c r="D166" s="632" t="s">
        <v>2020</v>
      </c>
      <c r="AI166" s="943"/>
      <c r="AJ166" s="943"/>
      <c r="AK166" s="943"/>
      <c r="AL166" s="943"/>
      <c r="AM166" s="943"/>
      <c r="AN166" s="943"/>
      <c r="AO166" s="943"/>
      <c r="AP166" s="943"/>
      <c r="AQ166" s="943"/>
    </row>
    <row r="167" spans="1:43" s="633" customFormat="1" x14ac:dyDescent="0.2">
      <c r="A167" s="942"/>
      <c r="AI167" s="943"/>
      <c r="AJ167" s="943"/>
      <c r="AK167" s="943"/>
      <c r="AL167" s="943"/>
      <c r="AM167" s="943"/>
      <c r="AN167" s="943"/>
      <c r="AO167" s="943"/>
      <c r="AP167" s="943"/>
      <c r="AQ167" s="943"/>
    </row>
    <row r="168" spans="1:43" s="633" customFormat="1" x14ac:dyDescent="0.2">
      <c r="A168" s="942"/>
      <c r="D168" s="1116" t="s">
        <v>1458</v>
      </c>
      <c r="E168" s="1116"/>
      <c r="F168" s="1116"/>
      <c r="G168" s="1116"/>
      <c r="H168" s="1116"/>
      <c r="I168" s="1116"/>
      <c r="J168" s="1116"/>
      <c r="K168" s="1116"/>
      <c r="L168" s="1116"/>
      <c r="M168" s="1116"/>
      <c r="N168" s="1116"/>
      <c r="O168" s="1116"/>
      <c r="P168" s="1116"/>
      <c r="Q168" s="1116"/>
      <c r="R168" s="1116"/>
      <c r="S168" s="1116"/>
      <c r="T168" s="1116"/>
      <c r="U168" s="1116"/>
      <c r="V168" s="1116"/>
      <c r="W168" s="1116"/>
      <c r="X168" s="1116"/>
      <c r="Y168" s="1116"/>
      <c r="Z168" s="1116"/>
      <c r="AA168" s="1116"/>
      <c r="AB168" s="1116"/>
      <c r="AC168" s="1116"/>
      <c r="AD168" s="1116"/>
      <c r="AE168" s="1116"/>
      <c r="AF168" s="1116"/>
      <c r="AG168" s="1116"/>
      <c r="AI168" s="943"/>
      <c r="AJ168" s="943"/>
      <c r="AK168" s="943"/>
      <c r="AL168" s="943"/>
      <c r="AM168" s="943"/>
      <c r="AN168" s="943"/>
      <c r="AO168" s="943"/>
      <c r="AP168" s="943"/>
      <c r="AQ168" s="943"/>
    </row>
    <row r="169" spans="1:43" s="633" customFormat="1" x14ac:dyDescent="0.2">
      <c r="A169" s="942"/>
      <c r="D169" s="1116"/>
      <c r="E169" s="1116"/>
      <c r="F169" s="1116"/>
      <c r="G169" s="1116"/>
      <c r="H169" s="1116"/>
      <c r="I169" s="1116"/>
      <c r="J169" s="1116"/>
      <c r="K169" s="1116"/>
      <c r="L169" s="1116"/>
      <c r="M169" s="1116"/>
      <c r="N169" s="1116"/>
      <c r="O169" s="1116"/>
      <c r="P169" s="1116"/>
      <c r="Q169" s="1116"/>
      <c r="R169" s="1116"/>
      <c r="S169" s="1116"/>
      <c r="T169" s="1116"/>
      <c r="U169" s="1116"/>
      <c r="V169" s="1116"/>
      <c r="W169" s="1116"/>
      <c r="X169" s="1116"/>
      <c r="Y169" s="1116"/>
      <c r="Z169" s="1116"/>
      <c r="AA169" s="1116"/>
      <c r="AB169" s="1116"/>
      <c r="AC169" s="1116"/>
      <c r="AD169" s="1116"/>
      <c r="AE169" s="1116"/>
      <c r="AF169" s="1116"/>
      <c r="AG169" s="1116"/>
      <c r="AI169" s="943"/>
      <c r="AJ169" s="943"/>
      <c r="AK169" s="943"/>
      <c r="AL169" s="943"/>
      <c r="AM169" s="943"/>
      <c r="AN169" s="943"/>
      <c r="AO169" s="943"/>
      <c r="AP169" s="943"/>
      <c r="AQ169" s="943"/>
    </row>
    <row r="170" spans="1:43" s="633" customFormat="1" x14ac:dyDescent="0.2">
      <c r="A170" s="942"/>
      <c r="AI170" s="943"/>
      <c r="AJ170" s="943"/>
      <c r="AK170" s="943"/>
      <c r="AL170" s="943"/>
      <c r="AM170" s="943"/>
      <c r="AN170" s="943"/>
      <c r="AO170" s="943"/>
      <c r="AP170" s="943"/>
      <c r="AQ170" s="943"/>
    </row>
    <row r="171" spans="1:43" s="633" customFormat="1" x14ac:dyDescent="0.2">
      <c r="A171" s="942"/>
      <c r="D171" s="632" t="s">
        <v>2021</v>
      </c>
      <c r="AI171" s="943"/>
      <c r="AJ171" s="943"/>
      <c r="AK171" s="943"/>
      <c r="AL171" s="943"/>
      <c r="AM171" s="943"/>
      <c r="AN171" s="943"/>
      <c r="AO171" s="943"/>
      <c r="AP171" s="943"/>
      <c r="AQ171" s="943"/>
    </row>
    <row r="172" spans="1:43" s="633" customFormat="1" x14ac:dyDescent="0.2">
      <c r="A172" s="942"/>
      <c r="AI172" s="943"/>
      <c r="AJ172" s="943"/>
      <c r="AK172" s="943"/>
      <c r="AL172" s="943"/>
      <c r="AM172" s="943"/>
      <c r="AN172" s="943"/>
      <c r="AO172" s="943"/>
      <c r="AP172" s="943"/>
      <c r="AQ172" s="943"/>
    </row>
    <row r="173" spans="1:43" s="633" customFormat="1" ht="14.25" customHeight="1" x14ac:dyDescent="0.2">
      <c r="A173" s="942"/>
      <c r="D173" s="1053" t="s">
        <v>2052</v>
      </c>
      <c r="E173" s="1053"/>
      <c r="F173" s="1053"/>
      <c r="G173" s="1053"/>
      <c r="H173" s="1053"/>
      <c r="I173" s="1053"/>
      <c r="J173" s="1053"/>
      <c r="K173" s="1053"/>
      <c r="L173" s="1053"/>
      <c r="M173" s="1053"/>
      <c r="N173" s="1053"/>
      <c r="O173" s="1053"/>
      <c r="P173" s="1053"/>
      <c r="Q173" s="1053"/>
      <c r="R173" s="1053"/>
      <c r="S173" s="1053"/>
      <c r="T173" s="1053"/>
      <c r="U173" s="1053"/>
      <c r="V173" s="1053"/>
      <c r="W173" s="1053"/>
      <c r="X173" s="1053"/>
      <c r="Y173" s="1053"/>
      <c r="Z173" s="1053"/>
      <c r="AA173" s="1053"/>
      <c r="AB173" s="1053"/>
      <c r="AC173" s="1053"/>
      <c r="AD173" s="1053"/>
      <c r="AE173" s="1053"/>
      <c r="AF173" s="1053"/>
      <c r="AG173" s="1053"/>
      <c r="AI173" s="943"/>
      <c r="AJ173" s="943"/>
      <c r="AK173" s="943"/>
      <c r="AL173" s="943"/>
      <c r="AM173" s="943"/>
      <c r="AN173" s="943"/>
      <c r="AO173" s="943"/>
      <c r="AP173" s="943"/>
      <c r="AQ173" s="943"/>
    </row>
    <row r="174" spans="1:43" s="633" customFormat="1" x14ac:dyDescent="0.2">
      <c r="A174" s="942"/>
      <c r="D174" s="1053"/>
      <c r="E174" s="1053"/>
      <c r="F174" s="1053"/>
      <c r="G174" s="1053"/>
      <c r="H174" s="1053"/>
      <c r="I174" s="1053"/>
      <c r="J174" s="1053"/>
      <c r="K174" s="1053"/>
      <c r="L174" s="1053"/>
      <c r="M174" s="1053"/>
      <c r="N174" s="1053"/>
      <c r="O174" s="1053"/>
      <c r="P174" s="1053"/>
      <c r="Q174" s="1053"/>
      <c r="R174" s="1053"/>
      <c r="S174" s="1053"/>
      <c r="T174" s="1053"/>
      <c r="U174" s="1053"/>
      <c r="V174" s="1053"/>
      <c r="W174" s="1053"/>
      <c r="X174" s="1053"/>
      <c r="Y174" s="1053"/>
      <c r="Z174" s="1053"/>
      <c r="AA174" s="1053"/>
      <c r="AB174" s="1053"/>
      <c r="AC174" s="1053"/>
      <c r="AD174" s="1053"/>
      <c r="AE174" s="1053"/>
      <c r="AF174" s="1053"/>
      <c r="AG174" s="1053"/>
      <c r="AI174" s="943"/>
      <c r="AJ174" s="943"/>
      <c r="AK174" s="943"/>
      <c r="AL174" s="943"/>
      <c r="AM174" s="943"/>
      <c r="AN174" s="943"/>
      <c r="AO174" s="943"/>
      <c r="AP174" s="943"/>
      <c r="AQ174" s="943"/>
    </row>
    <row r="175" spans="1:43" s="633" customFormat="1" x14ac:dyDescent="0.2">
      <c r="A175" s="942"/>
      <c r="D175" s="1053"/>
      <c r="E175" s="1053"/>
      <c r="F175" s="1053"/>
      <c r="G175" s="1053"/>
      <c r="H175" s="1053"/>
      <c r="I175" s="1053"/>
      <c r="J175" s="1053"/>
      <c r="K175" s="1053"/>
      <c r="L175" s="1053"/>
      <c r="M175" s="1053"/>
      <c r="N175" s="1053"/>
      <c r="O175" s="1053"/>
      <c r="P175" s="1053"/>
      <c r="Q175" s="1053"/>
      <c r="R175" s="1053"/>
      <c r="S175" s="1053"/>
      <c r="T175" s="1053"/>
      <c r="U175" s="1053"/>
      <c r="V175" s="1053"/>
      <c r="W175" s="1053"/>
      <c r="X175" s="1053"/>
      <c r="Y175" s="1053"/>
      <c r="Z175" s="1053"/>
      <c r="AA175" s="1053"/>
      <c r="AB175" s="1053"/>
      <c r="AC175" s="1053"/>
      <c r="AD175" s="1053"/>
      <c r="AE175" s="1053"/>
      <c r="AF175" s="1053"/>
      <c r="AG175" s="1053"/>
      <c r="AI175" s="943"/>
      <c r="AJ175" s="943"/>
      <c r="AK175" s="943"/>
      <c r="AL175" s="943"/>
      <c r="AM175" s="943"/>
      <c r="AN175" s="943"/>
      <c r="AO175" s="943"/>
      <c r="AP175" s="943"/>
      <c r="AQ175" s="943"/>
    </row>
    <row r="176" spans="1:43" s="633" customFormat="1" x14ac:dyDescent="0.2">
      <c r="A176" s="942"/>
      <c r="AI176" s="943"/>
      <c r="AJ176" s="943"/>
      <c r="AK176" s="943"/>
      <c r="AL176" s="943"/>
      <c r="AM176" s="943"/>
      <c r="AN176" s="943"/>
      <c r="AO176" s="943"/>
      <c r="AP176" s="943"/>
      <c r="AQ176" s="943"/>
    </row>
    <row r="177" spans="1:43" s="633" customFormat="1" x14ac:dyDescent="0.2">
      <c r="A177" s="942"/>
      <c r="D177" s="1116" t="s">
        <v>1459</v>
      </c>
      <c r="E177" s="1116"/>
      <c r="F177" s="1116"/>
      <c r="G177" s="1116"/>
      <c r="H177" s="1116"/>
      <c r="I177" s="1116"/>
      <c r="J177" s="1116"/>
      <c r="K177" s="1116"/>
      <c r="L177" s="1116"/>
      <c r="M177" s="1116"/>
      <c r="N177" s="1116"/>
      <c r="O177" s="1116"/>
      <c r="P177" s="1116"/>
      <c r="Q177" s="1116"/>
      <c r="R177" s="1116"/>
      <c r="S177" s="1116"/>
      <c r="T177" s="1116"/>
      <c r="U177" s="1116"/>
      <c r="V177" s="1116"/>
      <c r="W177" s="1116"/>
      <c r="X177" s="1116"/>
      <c r="Y177" s="1116"/>
      <c r="Z177" s="1116"/>
      <c r="AA177" s="1116"/>
      <c r="AB177" s="1116"/>
      <c r="AC177" s="1116"/>
      <c r="AD177" s="1116"/>
      <c r="AE177" s="1116"/>
      <c r="AF177" s="1116"/>
      <c r="AG177" s="1116"/>
      <c r="AI177" s="943"/>
      <c r="AJ177" s="943"/>
      <c r="AK177" s="943"/>
      <c r="AL177" s="943"/>
      <c r="AM177" s="943"/>
      <c r="AN177" s="943"/>
      <c r="AO177" s="943"/>
      <c r="AP177" s="943"/>
      <c r="AQ177" s="943"/>
    </row>
    <row r="178" spans="1:43" s="633" customFormat="1" x14ac:dyDescent="0.2">
      <c r="A178" s="942"/>
      <c r="D178" s="1116"/>
      <c r="E178" s="1116"/>
      <c r="F178" s="1116"/>
      <c r="G178" s="1116"/>
      <c r="H178" s="1116"/>
      <c r="I178" s="1116"/>
      <c r="J178" s="1116"/>
      <c r="K178" s="1116"/>
      <c r="L178" s="1116"/>
      <c r="M178" s="1116"/>
      <c r="N178" s="1116"/>
      <c r="O178" s="1116"/>
      <c r="P178" s="1116"/>
      <c r="Q178" s="1116"/>
      <c r="R178" s="1116"/>
      <c r="S178" s="1116"/>
      <c r="T178" s="1116"/>
      <c r="U178" s="1116"/>
      <c r="V178" s="1116"/>
      <c r="W178" s="1116"/>
      <c r="X178" s="1116"/>
      <c r="Y178" s="1116"/>
      <c r="Z178" s="1116"/>
      <c r="AA178" s="1116"/>
      <c r="AB178" s="1116"/>
      <c r="AC178" s="1116"/>
      <c r="AD178" s="1116"/>
      <c r="AE178" s="1116"/>
      <c r="AF178" s="1116"/>
      <c r="AG178" s="1116"/>
      <c r="AI178" s="943"/>
      <c r="AJ178" s="943"/>
      <c r="AK178" s="943"/>
      <c r="AL178" s="943"/>
      <c r="AM178" s="943"/>
      <c r="AN178" s="943"/>
      <c r="AO178" s="943"/>
      <c r="AP178" s="943"/>
      <c r="AQ178" s="943"/>
    </row>
    <row r="179" spans="1:43" s="633" customFormat="1" x14ac:dyDescent="0.2">
      <c r="A179" s="942"/>
      <c r="AI179" s="943"/>
      <c r="AJ179" s="943"/>
      <c r="AK179" s="943"/>
      <c r="AL179" s="943"/>
      <c r="AM179" s="943"/>
      <c r="AN179" s="943"/>
      <c r="AO179" s="943"/>
      <c r="AP179" s="943"/>
      <c r="AQ179" s="943"/>
    </row>
    <row r="180" spans="1:43" s="633" customFormat="1" x14ac:dyDescent="0.2">
      <c r="A180" s="942"/>
      <c r="D180" s="632" t="s">
        <v>2022</v>
      </c>
      <c r="AI180" s="943"/>
      <c r="AJ180" s="943"/>
      <c r="AK180" s="943"/>
      <c r="AL180" s="943"/>
      <c r="AM180" s="943"/>
      <c r="AN180" s="943"/>
      <c r="AO180" s="943"/>
      <c r="AP180" s="943"/>
      <c r="AQ180" s="943"/>
    </row>
    <row r="181" spans="1:43" s="633" customFormat="1" x14ac:dyDescent="0.2">
      <c r="A181" s="942"/>
      <c r="AI181" s="943"/>
      <c r="AJ181" s="943"/>
      <c r="AK181" s="943"/>
      <c r="AL181" s="943"/>
      <c r="AM181" s="943"/>
      <c r="AN181" s="943"/>
      <c r="AO181" s="943"/>
      <c r="AP181" s="943"/>
      <c r="AQ181" s="943"/>
    </row>
    <row r="182" spans="1:43" s="633" customFormat="1" x14ac:dyDescent="0.2">
      <c r="A182" s="942"/>
      <c r="D182" s="1116" t="s">
        <v>1460</v>
      </c>
      <c r="E182" s="1116"/>
      <c r="F182" s="1116"/>
      <c r="G182" s="1116"/>
      <c r="H182" s="1116"/>
      <c r="I182" s="1116"/>
      <c r="J182" s="1116"/>
      <c r="K182" s="1116"/>
      <c r="L182" s="1116"/>
      <c r="M182" s="1116"/>
      <c r="N182" s="1116"/>
      <c r="O182" s="1116"/>
      <c r="P182" s="1116"/>
      <c r="Q182" s="1116"/>
      <c r="R182" s="1116"/>
      <c r="S182" s="1116"/>
      <c r="T182" s="1116"/>
      <c r="U182" s="1116"/>
      <c r="V182" s="1116"/>
      <c r="W182" s="1116"/>
      <c r="X182" s="1116"/>
      <c r="Y182" s="1116"/>
      <c r="Z182" s="1116"/>
      <c r="AA182" s="1116"/>
      <c r="AB182" s="1116"/>
      <c r="AC182" s="1116"/>
      <c r="AD182" s="1116"/>
      <c r="AE182" s="1116"/>
      <c r="AF182" s="1116"/>
      <c r="AG182" s="1116"/>
      <c r="AI182" s="943"/>
      <c r="AJ182" s="943"/>
      <c r="AK182" s="943"/>
      <c r="AL182" s="943"/>
      <c r="AM182" s="943"/>
      <c r="AN182" s="943"/>
      <c r="AO182" s="943"/>
      <c r="AP182" s="943"/>
      <c r="AQ182" s="943"/>
    </row>
    <row r="183" spans="1:43" s="633" customFormat="1" x14ac:dyDescent="0.2">
      <c r="A183" s="942"/>
      <c r="D183" s="1116"/>
      <c r="E183" s="1116"/>
      <c r="F183" s="1116"/>
      <c r="G183" s="1116"/>
      <c r="H183" s="1116"/>
      <c r="I183" s="1116"/>
      <c r="J183" s="1116"/>
      <c r="K183" s="1116"/>
      <c r="L183" s="1116"/>
      <c r="M183" s="1116"/>
      <c r="N183" s="1116"/>
      <c r="O183" s="1116"/>
      <c r="P183" s="1116"/>
      <c r="Q183" s="1116"/>
      <c r="R183" s="1116"/>
      <c r="S183" s="1116"/>
      <c r="T183" s="1116"/>
      <c r="U183" s="1116"/>
      <c r="V183" s="1116"/>
      <c r="W183" s="1116"/>
      <c r="X183" s="1116"/>
      <c r="Y183" s="1116"/>
      <c r="Z183" s="1116"/>
      <c r="AA183" s="1116"/>
      <c r="AB183" s="1116"/>
      <c r="AC183" s="1116"/>
      <c r="AD183" s="1116"/>
      <c r="AE183" s="1116"/>
      <c r="AF183" s="1116"/>
      <c r="AG183" s="1116"/>
      <c r="AI183" s="943"/>
      <c r="AJ183" s="943"/>
      <c r="AK183" s="943"/>
      <c r="AL183" s="943"/>
      <c r="AM183" s="943"/>
      <c r="AN183" s="943"/>
      <c r="AO183" s="943"/>
      <c r="AP183" s="943"/>
      <c r="AQ183" s="943"/>
    </row>
    <row r="184" spans="1:43" s="633" customFormat="1" x14ac:dyDescent="0.2">
      <c r="A184" s="942"/>
      <c r="D184" s="1116"/>
      <c r="E184" s="1116"/>
      <c r="F184" s="1116"/>
      <c r="G184" s="1116"/>
      <c r="H184" s="1116"/>
      <c r="I184" s="1116"/>
      <c r="J184" s="1116"/>
      <c r="K184" s="1116"/>
      <c r="L184" s="1116"/>
      <c r="M184" s="1116"/>
      <c r="N184" s="1116"/>
      <c r="O184" s="1116"/>
      <c r="P184" s="1116"/>
      <c r="Q184" s="1116"/>
      <c r="R184" s="1116"/>
      <c r="S184" s="1116"/>
      <c r="T184" s="1116"/>
      <c r="U184" s="1116"/>
      <c r="V184" s="1116"/>
      <c r="W184" s="1116"/>
      <c r="X184" s="1116"/>
      <c r="Y184" s="1116"/>
      <c r="Z184" s="1116"/>
      <c r="AA184" s="1116"/>
      <c r="AB184" s="1116"/>
      <c r="AC184" s="1116"/>
      <c r="AD184" s="1116"/>
      <c r="AE184" s="1116"/>
      <c r="AF184" s="1116"/>
      <c r="AG184" s="1116"/>
      <c r="AI184" s="943"/>
      <c r="AJ184" s="943"/>
      <c r="AK184" s="943"/>
      <c r="AL184" s="943"/>
      <c r="AM184" s="943"/>
      <c r="AN184" s="943"/>
      <c r="AO184" s="943"/>
      <c r="AP184" s="943"/>
      <c r="AQ184" s="943"/>
    </row>
    <row r="185" spans="1:43" s="633" customFormat="1" x14ac:dyDescent="0.2">
      <c r="A185" s="942"/>
      <c r="D185" s="633" t="s">
        <v>1440</v>
      </c>
      <c r="E185" s="1116" t="s">
        <v>1462</v>
      </c>
      <c r="F185" s="1116"/>
      <c r="G185" s="1116"/>
      <c r="H185" s="1116"/>
      <c r="I185" s="1116"/>
      <c r="J185" s="1116"/>
      <c r="K185" s="1116"/>
      <c r="L185" s="1116"/>
      <c r="M185" s="1116"/>
      <c r="N185" s="1116"/>
      <c r="O185" s="1116"/>
      <c r="P185" s="1116"/>
      <c r="Q185" s="1116"/>
      <c r="R185" s="1116"/>
      <c r="S185" s="1116"/>
      <c r="T185" s="1116"/>
      <c r="U185" s="1116"/>
      <c r="V185" s="1116"/>
      <c r="W185" s="1116"/>
      <c r="X185" s="1116"/>
      <c r="Y185" s="1116"/>
      <c r="Z185" s="1116"/>
      <c r="AA185" s="1116"/>
      <c r="AB185" s="1116"/>
      <c r="AC185" s="1116"/>
      <c r="AD185" s="1116"/>
      <c r="AE185" s="1116"/>
      <c r="AF185" s="1116"/>
      <c r="AG185" s="1116"/>
      <c r="AI185" s="943"/>
      <c r="AJ185" s="943"/>
      <c r="AK185" s="943"/>
      <c r="AL185" s="943"/>
      <c r="AM185" s="943"/>
      <c r="AN185" s="943"/>
      <c r="AO185" s="943"/>
      <c r="AP185" s="943"/>
      <c r="AQ185" s="943"/>
    </row>
    <row r="186" spans="1:43" s="633" customFormat="1" x14ac:dyDescent="0.2">
      <c r="A186" s="942"/>
      <c r="E186" s="1116"/>
      <c r="F186" s="1116"/>
      <c r="G186" s="1116"/>
      <c r="H186" s="1116"/>
      <c r="I186" s="1116"/>
      <c r="J186" s="1116"/>
      <c r="K186" s="1116"/>
      <c r="L186" s="1116"/>
      <c r="M186" s="1116"/>
      <c r="N186" s="1116"/>
      <c r="O186" s="1116"/>
      <c r="P186" s="1116"/>
      <c r="Q186" s="1116"/>
      <c r="R186" s="1116"/>
      <c r="S186" s="1116"/>
      <c r="T186" s="1116"/>
      <c r="U186" s="1116"/>
      <c r="V186" s="1116"/>
      <c r="W186" s="1116"/>
      <c r="X186" s="1116"/>
      <c r="Y186" s="1116"/>
      <c r="Z186" s="1116"/>
      <c r="AA186" s="1116"/>
      <c r="AB186" s="1116"/>
      <c r="AC186" s="1116"/>
      <c r="AD186" s="1116"/>
      <c r="AE186" s="1116"/>
      <c r="AF186" s="1116"/>
      <c r="AG186" s="1116"/>
      <c r="AI186" s="943"/>
      <c r="AJ186" s="943"/>
      <c r="AK186" s="943"/>
      <c r="AL186" s="943"/>
      <c r="AM186" s="943"/>
      <c r="AN186" s="943"/>
      <c r="AO186" s="943"/>
      <c r="AP186" s="943"/>
      <c r="AQ186" s="943"/>
    </row>
    <row r="187" spans="1:43" s="633" customFormat="1" x14ac:dyDescent="0.2">
      <c r="A187" s="942"/>
      <c r="D187" s="633" t="s">
        <v>1440</v>
      </c>
      <c r="E187" s="1116" t="s">
        <v>1461</v>
      </c>
      <c r="F187" s="1116"/>
      <c r="G187" s="1116"/>
      <c r="H187" s="1116"/>
      <c r="I187" s="1116"/>
      <c r="J187" s="1116"/>
      <c r="K187" s="1116"/>
      <c r="L187" s="1116"/>
      <c r="M187" s="1116"/>
      <c r="N187" s="1116"/>
      <c r="O187" s="1116"/>
      <c r="P187" s="1116"/>
      <c r="Q187" s="1116"/>
      <c r="R187" s="1116"/>
      <c r="S187" s="1116"/>
      <c r="T187" s="1116"/>
      <c r="U187" s="1116"/>
      <c r="V187" s="1116"/>
      <c r="W187" s="1116"/>
      <c r="X187" s="1116"/>
      <c r="Y187" s="1116"/>
      <c r="Z187" s="1116"/>
      <c r="AA187" s="1116"/>
      <c r="AB187" s="1116"/>
      <c r="AC187" s="1116"/>
      <c r="AD187" s="1116"/>
      <c r="AE187" s="1116"/>
      <c r="AF187" s="1116"/>
      <c r="AG187" s="1116"/>
      <c r="AI187" s="943"/>
      <c r="AJ187" s="943"/>
      <c r="AK187" s="943"/>
      <c r="AL187" s="943"/>
      <c r="AM187" s="943"/>
      <c r="AN187" s="943"/>
      <c r="AO187" s="943"/>
      <c r="AP187" s="943"/>
      <c r="AQ187" s="943"/>
    </row>
    <row r="188" spans="1:43" s="633" customFormat="1" x14ac:dyDescent="0.2">
      <c r="A188" s="942"/>
      <c r="E188" s="1116"/>
      <c r="F188" s="1116"/>
      <c r="G188" s="1116"/>
      <c r="H188" s="1116"/>
      <c r="I188" s="1116"/>
      <c r="J188" s="1116"/>
      <c r="K188" s="1116"/>
      <c r="L188" s="1116"/>
      <c r="M188" s="1116"/>
      <c r="N188" s="1116"/>
      <c r="O188" s="1116"/>
      <c r="P188" s="1116"/>
      <c r="Q188" s="1116"/>
      <c r="R188" s="1116"/>
      <c r="S188" s="1116"/>
      <c r="T188" s="1116"/>
      <c r="U188" s="1116"/>
      <c r="V188" s="1116"/>
      <c r="W188" s="1116"/>
      <c r="X188" s="1116"/>
      <c r="Y188" s="1116"/>
      <c r="Z188" s="1116"/>
      <c r="AA188" s="1116"/>
      <c r="AB188" s="1116"/>
      <c r="AC188" s="1116"/>
      <c r="AD188" s="1116"/>
      <c r="AE188" s="1116"/>
      <c r="AF188" s="1116"/>
      <c r="AG188" s="1116"/>
      <c r="AI188" s="943"/>
      <c r="AJ188" s="943"/>
      <c r="AK188" s="943"/>
      <c r="AL188" s="943"/>
      <c r="AM188" s="943"/>
      <c r="AN188" s="943"/>
      <c r="AO188" s="943"/>
      <c r="AP188" s="943"/>
      <c r="AQ188" s="943"/>
    </row>
    <row r="189" spans="1:43" s="633" customFormat="1" x14ac:dyDescent="0.2">
      <c r="A189" s="942"/>
      <c r="D189" s="633" t="s">
        <v>1440</v>
      </c>
      <c r="E189" s="1116" t="s">
        <v>1463</v>
      </c>
      <c r="F189" s="1116"/>
      <c r="G189" s="1116"/>
      <c r="H189" s="1116"/>
      <c r="I189" s="1116"/>
      <c r="J189" s="1116"/>
      <c r="K189" s="1116"/>
      <c r="L189" s="1116"/>
      <c r="M189" s="1116"/>
      <c r="N189" s="1116"/>
      <c r="O189" s="1116"/>
      <c r="P189" s="1116"/>
      <c r="Q189" s="1116"/>
      <c r="R189" s="1116"/>
      <c r="S189" s="1116"/>
      <c r="T189" s="1116"/>
      <c r="U189" s="1116"/>
      <c r="V189" s="1116"/>
      <c r="W189" s="1116"/>
      <c r="X189" s="1116"/>
      <c r="Y189" s="1116"/>
      <c r="Z189" s="1116"/>
      <c r="AA189" s="1116"/>
      <c r="AB189" s="1116"/>
      <c r="AC189" s="1116"/>
      <c r="AD189" s="1116"/>
      <c r="AE189" s="1116"/>
      <c r="AF189" s="1116"/>
      <c r="AG189" s="1116"/>
      <c r="AI189" s="943"/>
      <c r="AJ189" s="943"/>
      <c r="AK189" s="943"/>
      <c r="AL189" s="943"/>
      <c r="AM189" s="943"/>
      <c r="AN189" s="943"/>
      <c r="AO189" s="943"/>
      <c r="AP189" s="943"/>
      <c r="AQ189" s="943"/>
    </row>
    <row r="190" spans="1:43" s="633" customFormat="1" x14ac:dyDescent="0.2">
      <c r="A190" s="942"/>
      <c r="AI190" s="943"/>
      <c r="AJ190" s="943"/>
      <c r="AK190" s="943"/>
      <c r="AL190" s="943"/>
      <c r="AM190" s="943"/>
      <c r="AN190" s="943"/>
      <c r="AO190" s="943"/>
      <c r="AP190" s="943"/>
      <c r="AQ190" s="943"/>
    </row>
    <row r="191" spans="1:43" s="633" customFormat="1" x14ac:dyDescent="0.2">
      <c r="A191" s="942"/>
      <c r="D191" s="1116" t="s">
        <v>1464</v>
      </c>
      <c r="E191" s="1116"/>
      <c r="F191" s="1116"/>
      <c r="G191" s="1116"/>
      <c r="H191" s="1116"/>
      <c r="I191" s="1116"/>
      <c r="J191" s="1116"/>
      <c r="K191" s="1116"/>
      <c r="L191" s="1116"/>
      <c r="M191" s="1116"/>
      <c r="N191" s="1116"/>
      <c r="O191" s="1116"/>
      <c r="P191" s="1116"/>
      <c r="Q191" s="1116"/>
      <c r="R191" s="1116"/>
      <c r="S191" s="1116"/>
      <c r="T191" s="1116"/>
      <c r="U191" s="1116"/>
      <c r="V191" s="1116"/>
      <c r="W191" s="1116"/>
      <c r="X191" s="1116"/>
      <c r="Y191" s="1116"/>
      <c r="Z191" s="1116"/>
      <c r="AA191" s="1116"/>
      <c r="AB191" s="1116"/>
      <c r="AC191" s="1116"/>
      <c r="AD191" s="1116"/>
      <c r="AE191" s="1116"/>
      <c r="AF191" s="1116"/>
      <c r="AG191" s="1116"/>
      <c r="AI191" s="943"/>
      <c r="AJ191" s="943"/>
      <c r="AK191" s="943"/>
      <c r="AL191" s="943"/>
      <c r="AM191" s="943"/>
      <c r="AN191" s="943"/>
      <c r="AO191" s="943"/>
      <c r="AP191" s="943"/>
      <c r="AQ191" s="943"/>
    </row>
    <row r="192" spans="1:43" s="633" customFormat="1" x14ac:dyDescent="0.2">
      <c r="A192" s="942"/>
      <c r="D192" s="932"/>
      <c r="E192" s="932"/>
      <c r="F192" s="932"/>
      <c r="G192" s="932"/>
      <c r="H192" s="932"/>
      <c r="I192" s="932"/>
      <c r="J192" s="932"/>
      <c r="K192" s="932"/>
      <c r="L192" s="932"/>
      <c r="M192" s="932"/>
      <c r="N192" s="932"/>
      <c r="O192" s="932"/>
      <c r="P192" s="932"/>
      <c r="Q192" s="932"/>
      <c r="R192" s="932"/>
      <c r="S192" s="932"/>
      <c r="T192" s="932"/>
      <c r="U192" s="932"/>
      <c r="V192" s="932"/>
      <c r="W192" s="932"/>
      <c r="X192" s="932"/>
      <c r="Y192" s="932"/>
      <c r="Z192" s="932"/>
      <c r="AA192" s="932"/>
      <c r="AB192" s="932"/>
      <c r="AC192" s="932"/>
      <c r="AD192" s="932"/>
      <c r="AE192" s="932"/>
      <c r="AF192" s="932"/>
      <c r="AG192" s="932"/>
      <c r="AI192" s="943"/>
      <c r="AJ192" s="943"/>
      <c r="AK192" s="943"/>
      <c r="AL192" s="943"/>
      <c r="AM192" s="943"/>
      <c r="AN192" s="943"/>
      <c r="AO192" s="943"/>
      <c r="AP192" s="943"/>
      <c r="AQ192" s="943"/>
    </row>
    <row r="193" spans="1:60" s="633" customFormat="1" x14ac:dyDescent="0.2">
      <c r="A193" s="942"/>
      <c r="D193" s="922" t="s">
        <v>2023</v>
      </c>
      <c r="E193" s="923"/>
      <c r="F193" s="923"/>
      <c r="G193" s="923"/>
      <c r="H193" s="923"/>
      <c r="I193" s="923"/>
      <c r="J193" s="923"/>
      <c r="K193" s="923"/>
      <c r="L193" s="923"/>
      <c r="M193" s="923"/>
      <c r="N193" s="923"/>
      <c r="O193" s="923"/>
      <c r="P193" s="923"/>
      <c r="Q193" s="923"/>
      <c r="R193" s="923"/>
      <c r="S193" s="923"/>
      <c r="T193" s="923"/>
      <c r="U193" s="923"/>
      <c r="V193" s="923"/>
      <c r="W193" s="923"/>
      <c r="X193" s="923"/>
      <c r="Y193" s="923"/>
      <c r="Z193" s="923"/>
      <c r="AA193" s="923"/>
      <c r="AB193" s="923"/>
      <c r="AC193" s="923"/>
      <c r="AD193" s="923"/>
      <c r="AE193" s="923"/>
      <c r="AF193" s="923"/>
      <c r="AG193" s="923"/>
      <c r="AH193" s="923"/>
      <c r="AI193" s="943"/>
      <c r="AJ193" s="943"/>
      <c r="AK193" s="943"/>
      <c r="AL193" s="943"/>
      <c r="AM193" s="943"/>
      <c r="AN193" s="943"/>
      <c r="AO193" s="943"/>
      <c r="AP193" s="943"/>
      <c r="AQ193" s="943"/>
    </row>
    <row r="194" spans="1:60" s="633" customFormat="1" x14ac:dyDescent="0.2">
      <c r="A194" s="942"/>
      <c r="D194" s="935"/>
      <c r="E194" s="923"/>
      <c r="F194" s="923"/>
      <c r="G194" s="923"/>
      <c r="H194" s="923"/>
      <c r="I194" s="923"/>
      <c r="J194" s="923"/>
      <c r="K194" s="923"/>
      <c r="L194" s="923"/>
      <c r="M194" s="923"/>
      <c r="N194" s="923"/>
      <c r="O194" s="923"/>
      <c r="P194" s="923"/>
      <c r="Q194" s="923"/>
      <c r="R194" s="923"/>
      <c r="S194" s="923"/>
      <c r="T194" s="923"/>
      <c r="U194" s="923"/>
      <c r="V194" s="923"/>
      <c r="W194" s="923"/>
      <c r="X194" s="923"/>
      <c r="Y194" s="923"/>
      <c r="Z194" s="923"/>
      <c r="AA194" s="923"/>
      <c r="AB194" s="923"/>
      <c r="AC194" s="923"/>
      <c r="AD194" s="923"/>
      <c r="AE194" s="923"/>
      <c r="AF194" s="923"/>
      <c r="AG194" s="923"/>
      <c r="AH194" s="923"/>
      <c r="AI194" s="943"/>
      <c r="AJ194" s="943"/>
      <c r="AK194" s="943"/>
      <c r="AL194" s="943"/>
      <c r="AM194" s="943"/>
      <c r="AN194" s="943"/>
      <c r="AO194" s="943"/>
      <c r="AP194" s="943"/>
      <c r="AQ194" s="943"/>
    </row>
    <row r="195" spans="1:60" s="633" customFormat="1" x14ac:dyDescent="0.2">
      <c r="A195" s="942"/>
      <c r="D195" s="930" t="s">
        <v>2061</v>
      </c>
      <c r="E195" s="923"/>
      <c r="F195" s="923"/>
      <c r="G195" s="923"/>
      <c r="H195" s="923"/>
      <c r="I195" s="923"/>
      <c r="J195" s="923"/>
      <c r="K195" s="923"/>
      <c r="L195" s="923"/>
      <c r="M195" s="923"/>
      <c r="N195" s="923"/>
      <c r="O195" s="923"/>
      <c r="P195" s="923"/>
      <c r="Q195" s="923"/>
      <c r="R195" s="923"/>
      <c r="S195" s="923"/>
      <c r="T195" s="923"/>
      <c r="U195" s="923"/>
      <c r="V195" s="923"/>
      <c r="W195" s="923"/>
      <c r="X195" s="923"/>
      <c r="Y195" s="923"/>
      <c r="Z195" s="923"/>
      <c r="AA195" s="923"/>
      <c r="AB195" s="923"/>
      <c r="AC195" s="923"/>
      <c r="AD195" s="923"/>
      <c r="AE195" s="923"/>
      <c r="AF195" s="923"/>
      <c r="AG195" s="923"/>
      <c r="AH195" s="923"/>
      <c r="AI195" s="943"/>
      <c r="AJ195" s="943"/>
      <c r="AK195" s="943"/>
      <c r="AL195" s="943"/>
      <c r="AM195" s="943"/>
      <c r="AN195" s="943"/>
      <c r="AO195" s="943"/>
      <c r="AP195" s="943"/>
      <c r="AQ195" s="943"/>
    </row>
    <row r="196" spans="1:60" s="633" customFormat="1" x14ac:dyDescent="0.2">
      <c r="A196" s="942"/>
      <c r="D196" s="930"/>
      <c r="E196" s="923"/>
      <c r="F196" s="923"/>
      <c r="G196" s="923"/>
      <c r="H196" s="923"/>
      <c r="I196" s="923"/>
      <c r="J196" s="923"/>
      <c r="K196" s="923"/>
      <c r="L196" s="923"/>
      <c r="M196" s="923"/>
      <c r="N196" s="923"/>
      <c r="O196" s="923"/>
      <c r="P196" s="923"/>
      <c r="Q196" s="923"/>
      <c r="R196" s="923"/>
      <c r="S196" s="923"/>
      <c r="T196" s="923"/>
      <c r="U196" s="923"/>
      <c r="V196" s="923"/>
      <c r="W196" s="923"/>
      <c r="X196" s="923"/>
      <c r="Y196" s="923"/>
      <c r="Z196" s="923"/>
      <c r="AA196" s="923"/>
      <c r="AB196" s="923"/>
      <c r="AC196" s="923"/>
      <c r="AD196" s="923"/>
      <c r="AE196" s="923"/>
      <c r="AF196" s="923"/>
      <c r="AG196" s="923"/>
      <c r="AH196" s="923"/>
      <c r="AI196" s="943"/>
      <c r="AJ196" s="943"/>
      <c r="AK196" s="943"/>
      <c r="AL196" s="943"/>
      <c r="AM196" s="943"/>
      <c r="AN196" s="943"/>
      <c r="AO196" s="943"/>
      <c r="AP196" s="943"/>
      <c r="AQ196" s="943"/>
    </row>
    <row r="197" spans="1:60" s="633" customFormat="1" x14ac:dyDescent="0.2">
      <c r="A197" s="942"/>
      <c r="D197" s="632" t="s">
        <v>1465</v>
      </c>
      <c r="AI197" s="943"/>
      <c r="AJ197" s="943"/>
      <c r="AK197" s="943"/>
      <c r="AL197" s="943"/>
      <c r="AM197" s="943"/>
      <c r="AN197" s="943"/>
      <c r="AO197" s="943"/>
      <c r="AP197" s="943"/>
      <c r="AQ197" s="943"/>
    </row>
    <row r="198" spans="1:60" s="633" customFormat="1" x14ac:dyDescent="0.2">
      <c r="A198" s="942"/>
      <c r="AI198" s="943"/>
      <c r="AJ198" s="943"/>
      <c r="AK198" s="943"/>
      <c r="AL198" s="943"/>
      <c r="AM198" s="943"/>
      <c r="AN198" s="943"/>
      <c r="AO198" s="943"/>
      <c r="AP198" s="943"/>
      <c r="AQ198" s="943"/>
    </row>
    <row r="199" spans="1:60" s="633" customFormat="1" x14ac:dyDescent="0.2">
      <c r="A199" s="942"/>
      <c r="D199" s="632" t="s">
        <v>1528</v>
      </c>
      <c r="E199" s="928"/>
      <c r="F199" s="928"/>
      <c r="AI199" s="943"/>
      <c r="AJ199" s="943"/>
      <c r="AK199" s="943"/>
      <c r="AL199" s="943"/>
      <c r="AM199" s="943"/>
      <c r="AN199" s="943"/>
      <c r="AO199" s="943"/>
      <c r="AP199" s="943"/>
      <c r="AQ199" s="943"/>
    </row>
    <row r="200" spans="1:60" s="633" customFormat="1" x14ac:dyDescent="0.2">
      <c r="A200" s="942"/>
      <c r="AI200" s="943"/>
      <c r="AJ200" s="943"/>
      <c r="AK200" s="943"/>
      <c r="AL200" s="943"/>
      <c r="AM200" s="943"/>
      <c r="AN200" s="943"/>
      <c r="AO200" s="943"/>
      <c r="AP200" s="943"/>
      <c r="AQ200" s="943"/>
    </row>
    <row r="201" spans="1:60" s="633" customFormat="1" x14ac:dyDescent="0.2">
      <c r="A201" s="942"/>
      <c r="D201" s="928" t="s">
        <v>1529</v>
      </c>
      <c r="AI201" s="943"/>
      <c r="AJ201" s="943"/>
      <c r="AK201" s="943"/>
      <c r="AL201" s="943"/>
      <c r="AM201" s="943"/>
      <c r="AN201" s="943"/>
      <c r="AO201" s="943"/>
      <c r="AP201" s="943"/>
      <c r="AQ201" s="943"/>
    </row>
    <row r="202" spans="1:60" s="633" customFormat="1" ht="15" thickBot="1" x14ac:dyDescent="0.25">
      <c r="A202" s="942"/>
      <c r="AI202" s="1119" t="s">
        <v>1138</v>
      </c>
      <c r="AJ202" s="1119"/>
      <c r="AK202" s="1119"/>
      <c r="AL202" s="1119"/>
      <c r="AM202" s="1119"/>
      <c r="AN202" s="1119"/>
      <c r="AO202" s="1119"/>
      <c r="AP202" s="1119"/>
      <c r="AQ202" s="949"/>
      <c r="AR202" s="1119" t="s">
        <v>1139</v>
      </c>
      <c r="AS202" s="1119"/>
      <c r="AT202" s="1119"/>
      <c r="AU202" s="1119"/>
      <c r="AV202" s="1119"/>
      <c r="AW202" s="1119"/>
      <c r="AX202" s="1119"/>
      <c r="AY202" s="1119"/>
      <c r="AZ202" s="949"/>
      <c r="BA202" s="1119" t="s">
        <v>1140</v>
      </c>
      <c r="BB202" s="1119"/>
      <c r="BC202" s="1119"/>
      <c r="BD202" s="1119"/>
      <c r="BE202" s="1119"/>
      <c r="BF202" s="1119"/>
      <c r="BG202" s="1119"/>
      <c r="BH202" s="1119"/>
    </row>
    <row r="203" spans="1:60" s="633" customFormat="1" ht="15" customHeight="1" thickBot="1" x14ac:dyDescent="0.25">
      <c r="A203" s="942" t="s">
        <v>1527</v>
      </c>
      <c r="D203" s="1138" t="s">
        <v>20</v>
      </c>
      <c r="E203" s="1138"/>
      <c r="F203" s="1138"/>
      <c r="G203" s="1138"/>
      <c r="H203" s="1138"/>
      <c r="I203" s="1138"/>
      <c r="J203" s="1138" t="s">
        <v>2</v>
      </c>
      <c r="K203" s="1138"/>
      <c r="L203" s="1138"/>
      <c r="M203" s="1138"/>
      <c r="N203" s="1138"/>
      <c r="O203" s="1138"/>
      <c r="P203" s="1138"/>
      <c r="Q203" s="1138"/>
      <c r="R203" s="1138"/>
      <c r="S203" s="1138"/>
      <c r="T203" s="1138"/>
      <c r="U203" s="1138"/>
      <c r="V203" s="1138"/>
      <c r="W203" s="1138"/>
      <c r="X203" s="1138"/>
      <c r="Y203" s="1138"/>
      <c r="Z203" s="1138"/>
      <c r="AA203" s="1138"/>
      <c r="AB203" s="1138"/>
      <c r="AC203" s="1138"/>
      <c r="AD203" s="1138"/>
      <c r="AE203" s="1138"/>
      <c r="AF203" s="1138"/>
      <c r="AG203" s="1138"/>
      <c r="AI203" s="943"/>
      <c r="AJ203" s="943"/>
      <c r="AK203" s="943"/>
      <c r="AL203" s="943"/>
      <c r="AM203" s="943"/>
      <c r="AN203" s="943"/>
      <c r="AO203" s="943"/>
      <c r="AP203" s="943"/>
      <c r="AQ203" s="943"/>
    </row>
    <row r="204" spans="1:60" s="633" customFormat="1" ht="46.5" thickTop="1" thickBot="1" x14ac:dyDescent="0.25">
      <c r="A204" s="942"/>
      <c r="D204" s="1138"/>
      <c r="E204" s="1138"/>
      <c r="F204" s="1138"/>
      <c r="G204" s="1138"/>
      <c r="H204" s="1138"/>
      <c r="I204" s="1138"/>
      <c r="J204" s="1120" t="s">
        <v>441</v>
      </c>
      <c r="K204" s="1120"/>
      <c r="L204" s="1120"/>
      <c r="M204" s="1120" t="s">
        <v>21</v>
      </c>
      <c r="N204" s="1120"/>
      <c r="O204" s="1120"/>
      <c r="P204" s="1120" t="s">
        <v>442</v>
      </c>
      <c r="Q204" s="1120"/>
      <c r="R204" s="1120"/>
      <c r="S204" s="1120" t="s">
        <v>22</v>
      </c>
      <c r="T204" s="1120"/>
      <c r="U204" s="1120"/>
      <c r="V204" s="1120" t="s">
        <v>23</v>
      </c>
      <c r="W204" s="1120"/>
      <c r="X204" s="1120"/>
      <c r="Y204" s="1120" t="s">
        <v>443</v>
      </c>
      <c r="Z204" s="1120"/>
      <c r="AA204" s="1120"/>
      <c r="AB204" s="1120" t="s">
        <v>24</v>
      </c>
      <c r="AC204" s="1120"/>
      <c r="AD204" s="1120"/>
      <c r="AE204" s="1120" t="s">
        <v>14</v>
      </c>
      <c r="AF204" s="1120"/>
      <c r="AG204" s="1120"/>
      <c r="AI204" s="934" t="s">
        <v>441</v>
      </c>
      <c r="AJ204" s="937" t="s">
        <v>21</v>
      </c>
      <c r="AK204" s="937" t="s">
        <v>442</v>
      </c>
      <c r="AL204" s="934" t="s">
        <v>22</v>
      </c>
      <c r="AM204" s="937" t="s">
        <v>23</v>
      </c>
      <c r="AN204" s="937" t="s">
        <v>443</v>
      </c>
      <c r="AO204" s="937" t="s">
        <v>24</v>
      </c>
      <c r="AP204" s="937" t="s">
        <v>14</v>
      </c>
      <c r="AQ204" s="943"/>
      <c r="AR204" s="934" t="s">
        <v>441</v>
      </c>
      <c r="AS204" s="937" t="s">
        <v>21</v>
      </c>
      <c r="AT204" s="937" t="s">
        <v>442</v>
      </c>
      <c r="AU204" s="934" t="s">
        <v>22</v>
      </c>
      <c r="AV204" s="937" t="s">
        <v>23</v>
      </c>
      <c r="AW204" s="937" t="s">
        <v>443</v>
      </c>
      <c r="AX204" s="937" t="s">
        <v>24</v>
      </c>
      <c r="AY204" s="937" t="s">
        <v>14</v>
      </c>
      <c r="BA204" s="934" t="s">
        <v>441</v>
      </c>
      <c r="BB204" s="937" t="s">
        <v>21</v>
      </c>
      <c r="BC204" s="937" t="s">
        <v>442</v>
      </c>
      <c r="BD204" s="934" t="s">
        <v>22</v>
      </c>
      <c r="BE204" s="937" t="s">
        <v>23</v>
      </c>
      <c r="BF204" s="937" t="s">
        <v>443</v>
      </c>
      <c r="BG204" s="937" t="s">
        <v>24</v>
      </c>
      <c r="BH204" s="937" t="s">
        <v>14</v>
      </c>
    </row>
    <row r="205" spans="1:60" s="633" customFormat="1" ht="15" thickBot="1" x14ac:dyDescent="0.25">
      <c r="A205" s="942"/>
      <c r="D205" s="1158" t="s">
        <v>25</v>
      </c>
      <c r="E205" s="1158"/>
      <c r="F205" s="1158"/>
      <c r="G205" s="1158"/>
      <c r="H205" s="1158"/>
      <c r="I205" s="1158"/>
      <c r="J205" s="1158"/>
      <c r="K205" s="1158"/>
      <c r="L205" s="1158"/>
      <c r="M205" s="1158"/>
      <c r="N205" s="1158"/>
      <c r="O205" s="1158"/>
      <c r="P205" s="1158"/>
      <c r="Q205" s="1158"/>
      <c r="R205" s="1158"/>
      <c r="S205" s="1158"/>
      <c r="T205" s="1158"/>
      <c r="U205" s="1158"/>
      <c r="V205" s="1158"/>
      <c r="W205" s="1158"/>
      <c r="X205" s="1158"/>
      <c r="Y205" s="1158"/>
      <c r="Z205" s="1158"/>
      <c r="AA205" s="1158"/>
      <c r="AB205" s="1158"/>
      <c r="AC205" s="1158"/>
      <c r="AD205" s="1158"/>
      <c r="AE205" s="1158"/>
      <c r="AF205" s="1158"/>
      <c r="AG205" s="1158"/>
      <c r="AH205" s="950"/>
      <c r="AI205" s="951"/>
      <c r="AJ205" s="952"/>
      <c r="AK205" s="952"/>
      <c r="AL205" s="952"/>
      <c r="AM205" s="952"/>
      <c r="AN205" s="952"/>
      <c r="AO205" s="952"/>
      <c r="AP205" s="953"/>
      <c r="AQ205" s="943"/>
      <c r="AR205" s="951"/>
      <c r="AS205" s="952"/>
      <c r="AT205" s="952"/>
      <c r="AU205" s="952"/>
      <c r="AV205" s="952"/>
      <c r="AW205" s="952"/>
      <c r="AX205" s="952"/>
      <c r="AY205" s="953"/>
      <c r="BA205" s="951"/>
      <c r="BB205" s="952"/>
      <c r="BC205" s="952"/>
      <c r="BD205" s="952"/>
      <c r="BE205" s="952"/>
      <c r="BF205" s="952"/>
      <c r="BG205" s="952"/>
      <c r="BH205" s="953"/>
    </row>
    <row r="206" spans="1:60" s="633" customFormat="1" ht="21.75" customHeight="1" x14ac:dyDescent="0.2">
      <c r="A206" s="942"/>
      <c r="D206" s="1142" t="s">
        <v>26</v>
      </c>
      <c r="E206" s="1142"/>
      <c r="F206" s="1142"/>
      <c r="G206" s="1142"/>
      <c r="H206" s="1142"/>
      <c r="I206" s="1142"/>
      <c r="J206" s="1167"/>
      <c r="K206" s="1167"/>
      <c r="L206" s="1167"/>
      <c r="M206" s="1167">
        <v>2068</v>
      </c>
      <c r="N206" s="1167"/>
      <c r="O206" s="1167"/>
      <c r="P206" s="1167"/>
      <c r="Q206" s="1167"/>
      <c r="R206" s="1167"/>
      <c r="S206" s="1167"/>
      <c r="T206" s="1167"/>
      <c r="U206" s="1167"/>
      <c r="V206" s="1167"/>
      <c r="W206" s="1167"/>
      <c r="X206" s="1167"/>
      <c r="Y206" s="1167"/>
      <c r="Z206" s="1167"/>
      <c r="AA206" s="1167"/>
      <c r="AB206" s="1167"/>
      <c r="AC206" s="1167"/>
      <c r="AD206" s="1167"/>
      <c r="AE206" s="1147">
        <f>SUM(J206:AD206)</f>
        <v>2068</v>
      </c>
      <c r="AF206" s="1147"/>
      <c r="AG206" s="1147"/>
      <c r="AI206" s="954"/>
      <c r="AJ206" s="949"/>
      <c r="AK206" s="949"/>
      <c r="AL206" s="949"/>
      <c r="AM206" s="949"/>
      <c r="AN206" s="949"/>
      <c r="AO206" s="949"/>
      <c r="AP206" s="955">
        <f>SUM(J206:AD206)-AE206</f>
        <v>0</v>
      </c>
      <c r="AQ206" s="943"/>
      <c r="AR206" s="956">
        <f>J206-J233</f>
        <v>0</v>
      </c>
      <c r="AS206" s="957">
        <f>M206-M233</f>
        <v>0</v>
      </c>
      <c r="AT206" s="957">
        <f>P206-P233</f>
        <v>0</v>
      </c>
      <c r="AU206" s="957">
        <f>S206-S233</f>
        <v>0</v>
      </c>
      <c r="AV206" s="957">
        <f>V206-V233</f>
        <v>0</v>
      </c>
      <c r="AW206" s="957">
        <f>Y206-Y233</f>
        <v>0</v>
      </c>
      <c r="AX206" s="957">
        <f>AB206-AB233</f>
        <v>0</v>
      </c>
      <c r="AY206" s="955">
        <f>AE206-AE233</f>
        <v>0</v>
      </c>
      <c r="BA206" s="954"/>
      <c r="BB206" s="949"/>
      <c r="BC206" s="949"/>
      <c r="BD206" s="949"/>
      <c r="BE206" s="949"/>
      <c r="BF206" s="949"/>
      <c r="BG206" s="949"/>
      <c r="BH206" s="958"/>
    </row>
    <row r="207" spans="1:60" s="633" customFormat="1" x14ac:dyDescent="0.2">
      <c r="A207" s="942"/>
      <c r="D207" s="1105" t="s">
        <v>27</v>
      </c>
      <c r="E207" s="1105"/>
      <c r="F207" s="1105"/>
      <c r="G207" s="1105"/>
      <c r="H207" s="1105"/>
      <c r="I207" s="1105"/>
      <c r="J207" s="1045"/>
      <c r="K207" s="1045"/>
      <c r="L207" s="1045"/>
      <c r="M207" s="1045"/>
      <c r="N207" s="1045"/>
      <c r="O207" s="1045"/>
      <c r="P207" s="1045"/>
      <c r="Q207" s="1045"/>
      <c r="R207" s="1045"/>
      <c r="S207" s="1045"/>
      <c r="T207" s="1045"/>
      <c r="U207" s="1045"/>
      <c r="V207" s="1045"/>
      <c r="W207" s="1045"/>
      <c r="X207" s="1045"/>
      <c r="Y207" s="1045"/>
      <c r="Z207" s="1045"/>
      <c r="AA207" s="1045"/>
      <c r="AB207" s="1045"/>
      <c r="AC207" s="1045"/>
      <c r="AD207" s="1045"/>
      <c r="AE207" s="1139">
        <f>SUM(J207:AD207)</f>
        <v>0</v>
      </c>
      <c r="AF207" s="1139"/>
      <c r="AG207" s="1139"/>
      <c r="AI207" s="954"/>
      <c r="AJ207" s="949"/>
      <c r="AK207" s="949"/>
      <c r="AL207" s="949"/>
      <c r="AM207" s="949"/>
      <c r="AN207" s="949"/>
      <c r="AO207" s="949"/>
      <c r="AP207" s="955">
        <f t="shared" ref="AP207:AP208" si="3">SUM(J207:AD207)-AE207</f>
        <v>0</v>
      </c>
      <c r="AQ207" s="943"/>
      <c r="AR207" s="954"/>
      <c r="AS207" s="949"/>
      <c r="AT207" s="949"/>
      <c r="AU207" s="949"/>
      <c r="AV207" s="949"/>
      <c r="AW207" s="949"/>
      <c r="AX207" s="949"/>
      <c r="AY207" s="958"/>
      <c r="BA207" s="954"/>
      <c r="BB207" s="949"/>
      <c r="BC207" s="949"/>
      <c r="BD207" s="949"/>
      <c r="BE207" s="949"/>
      <c r="BF207" s="949"/>
      <c r="BG207" s="949"/>
      <c r="BH207" s="958"/>
    </row>
    <row r="208" spans="1:60" s="633" customFormat="1" x14ac:dyDescent="0.2">
      <c r="A208" s="942"/>
      <c r="D208" s="1105" t="s">
        <v>28</v>
      </c>
      <c r="E208" s="1105"/>
      <c r="F208" s="1105"/>
      <c r="G208" s="1105"/>
      <c r="H208" s="1105"/>
      <c r="I208" s="1105"/>
      <c r="J208" s="1045"/>
      <c r="K208" s="1045"/>
      <c r="L208" s="1045"/>
      <c r="M208" s="1045"/>
      <c r="N208" s="1045"/>
      <c r="O208" s="1045"/>
      <c r="P208" s="1045"/>
      <c r="Q208" s="1045"/>
      <c r="R208" s="1045"/>
      <c r="S208" s="1045"/>
      <c r="T208" s="1045"/>
      <c r="U208" s="1045"/>
      <c r="V208" s="1045"/>
      <c r="W208" s="1045"/>
      <c r="X208" s="1045"/>
      <c r="Y208" s="1045"/>
      <c r="Z208" s="1045"/>
      <c r="AA208" s="1045"/>
      <c r="AB208" s="1045"/>
      <c r="AC208" s="1045"/>
      <c r="AD208" s="1045"/>
      <c r="AE208" s="1139">
        <f t="shared" ref="AE208" si="4">SUM(J208:AD208)</f>
        <v>0</v>
      </c>
      <c r="AF208" s="1139"/>
      <c r="AG208" s="1139"/>
      <c r="AI208" s="954"/>
      <c r="AJ208" s="949"/>
      <c r="AK208" s="949"/>
      <c r="AL208" s="949"/>
      <c r="AM208" s="949"/>
      <c r="AN208" s="949"/>
      <c r="AO208" s="949"/>
      <c r="AP208" s="955">
        <f t="shared" si="3"/>
        <v>0</v>
      </c>
      <c r="AQ208" s="943"/>
      <c r="AR208" s="954"/>
      <c r="AS208" s="949"/>
      <c r="AT208" s="949"/>
      <c r="AU208" s="949"/>
      <c r="AV208" s="949"/>
      <c r="AW208" s="949"/>
      <c r="AX208" s="949"/>
      <c r="AY208" s="958"/>
      <c r="BA208" s="954"/>
      <c r="BB208" s="949"/>
      <c r="BC208" s="949"/>
      <c r="BD208" s="949"/>
      <c r="BE208" s="949"/>
      <c r="BF208" s="949"/>
      <c r="BG208" s="949"/>
      <c r="BH208" s="958"/>
    </row>
    <row r="209" spans="1:60" s="633" customFormat="1" x14ac:dyDescent="0.2">
      <c r="A209" s="942"/>
      <c r="D209" s="1105" t="s">
        <v>29</v>
      </c>
      <c r="E209" s="1105"/>
      <c r="F209" s="1105"/>
      <c r="G209" s="1105"/>
      <c r="H209" s="1105"/>
      <c r="I209" s="1105"/>
      <c r="J209" s="1045"/>
      <c r="K209" s="1045"/>
      <c r="L209" s="1045"/>
      <c r="M209" s="1045"/>
      <c r="N209" s="1045"/>
      <c r="O209" s="1045"/>
      <c r="P209" s="1045"/>
      <c r="Q209" s="1045"/>
      <c r="R209" s="1045"/>
      <c r="S209" s="1045"/>
      <c r="T209" s="1045"/>
      <c r="U209" s="1045"/>
      <c r="V209" s="1045"/>
      <c r="W209" s="1045"/>
      <c r="X209" s="1045"/>
      <c r="Y209" s="1045"/>
      <c r="Z209" s="1045"/>
      <c r="AA209" s="1045"/>
      <c r="AB209" s="1045"/>
      <c r="AC209" s="1045"/>
      <c r="AD209" s="1045"/>
      <c r="AE209" s="1139">
        <f>SUM(J209:AD209)</f>
        <v>0</v>
      </c>
      <c r="AF209" s="1139"/>
      <c r="AG209" s="1139"/>
      <c r="AI209" s="954"/>
      <c r="AJ209" s="949"/>
      <c r="AK209" s="949"/>
      <c r="AL209" s="949"/>
      <c r="AM209" s="949"/>
      <c r="AN209" s="949"/>
      <c r="AO209" s="949"/>
      <c r="AP209" s="955">
        <f>SUM(J209:AD209)-AE209</f>
        <v>0</v>
      </c>
      <c r="AQ209" s="943"/>
      <c r="AR209" s="954"/>
      <c r="AS209" s="949"/>
      <c r="AT209" s="949"/>
      <c r="AU209" s="949"/>
      <c r="AV209" s="949"/>
      <c r="AW209" s="949"/>
      <c r="AX209" s="949"/>
      <c r="AY209" s="958"/>
      <c r="BA209" s="954"/>
      <c r="BB209" s="949"/>
      <c r="BC209" s="949"/>
      <c r="BD209" s="949"/>
      <c r="BE209" s="949"/>
      <c r="BF209" s="949"/>
      <c r="BG209" s="949"/>
      <c r="BH209" s="958"/>
    </row>
    <row r="210" spans="1:60" s="633" customFormat="1" ht="21.75" customHeight="1" thickBot="1" x14ac:dyDescent="0.25">
      <c r="A210" s="942"/>
      <c r="D210" s="1107" t="s">
        <v>30</v>
      </c>
      <c r="E210" s="1107"/>
      <c r="F210" s="1107"/>
      <c r="G210" s="1107"/>
      <c r="H210" s="1107"/>
      <c r="I210" s="1107"/>
      <c r="J210" s="1160">
        <f>J206+J207-J208+J209</f>
        <v>0</v>
      </c>
      <c r="K210" s="1160"/>
      <c r="L210" s="1160"/>
      <c r="M210" s="1160">
        <f t="shared" ref="M210" si="5">M206+M207-M208+M209</f>
        <v>2068</v>
      </c>
      <c r="N210" s="1160"/>
      <c r="O210" s="1160"/>
      <c r="P210" s="1160">
        <f t="shared" ref="P210" si="6">P206+P207-P208+P209</f>
        <v>0</v>
      </c>
      <c r="Q210" s="1160"/>
      <c r="R210" s="1160"/>
      <c r="S210" s="1160">
        <f t="shared" ref="S210" si="7">S206+S207-S208+S209</f>
        <v>0</v>
      </c>
      <c r="T210" s="1160"/>
      <c r="U210" s="1160"/>
      <c r="V210" s="1160">
        <f t="shared" ref="V210" si="8">V206+V207-V208+V209</f>
        <v>0</v>
      </c>
      <c r="W210" s="1160"/>
      <c r="X210" s="1160"/>
      <c r="Y210" s="1160">
        <f t="shared" ref="Y210" si="9">Y206+Y207-Y208+Y209</f>
        <v>0</v>
      </c>
      <c r="Z210" s="1160"/>
      <c r="AA210" s="1160"/>
      <c r="AB210" s="1160">
        <f t="shared" ref="AB210" si="10">AB206+AB207-AB208+AB209</f>
        <v>0</v>
      </c>
      <c r="AC210" s="1160"/>
      <c r="AD210" s="1160"/>
      <c r="AE210" s="1160">
        <f t="shared" ref="AE210" si="11">AE206+AE207-AE208+AE209</f>
        <v>2068</v>
      </c>
      <c r="AF210" s="1160"/>
      <c r="AG210" s="1160"/>
      <c r="AI210" s="956">
        <f>J206+J207-J208+J209-J210</f>
        <v>0</v>
      </c>
      <c r="AJ210" s="957">
        <f>M206+M207-M208+M209-M210</f>
        <v>0</v>
      </c>
      <c r="AK210" s="957">
        <f>P206+P207-P208+P209-P210</f>
        <v>0</v>
      </c>
      <c r="AL210" s="957">
        <f>S206+S207-S208+S209-S210</f>
        <v>0</v>
      </c>
      <c r="AM210" s="957">
        <f>V206+V207-V208+V209-V210</f>
        <v>0</v>
      </c>
      <c r="AN210" s="957">
        <f>Y206+Y207-Y208+Y209-Y210</f>
        <v>0</v>
      </c>
      <c r="AO210" s="957">
        <f>AB206+AB207-AB208+AB209-AB210</f>
        <v>0</v>
      </c>
      <c r="AP210" s="955">
        <f>AE206+AE207-AE208+AE209-AE210</f>
        <v>0</v>
      </c>
      <c r="AQ210" s="943"/>
      <c r="AR210" s="954"/>
      <c r="AS210" s="949"/>
      <c r="AT210" s="949"/>
      <c r="AU210" s="949"/>
      <c r="AV210" s="949"/>
      <c r="AW210" s="949"/>
      <c r="AX210" s="949"/>
      <c r="AY210" s="958"/>
      <c r="BA210" s="956">
        <f>J210-BS!$D$13</f>
        <v>0</v>
      </c>
      <c r="BB210" s="957">
        <f>M210-BS!$D$14</f>
        <v>0</v>
      </c>
      <c r="BC210" s="957">
        <f>P210-BS!$D$15</f>
        <v>0</v>
      </c>
      <c r="BD210" s="957">
        <f>S210-BS!$D$16</f>
        <v>0</v>
      </c>
      <c r="BE210" s="957">
        <f>V210-BS!$D$17</f>
        <v>0</v>
      </c>
      <c r="BF210" s="957">
        <f>Y210-BS!$D$18</f>
        <v>0</v>
      </c>
      <c r="BG210" s="957">
        <f>AB210-BS!$D$19</f>
        <v>0</v>
      </c>
      <c r="BH210" s="955">
        <f>AE210-BS!$D$12</f>
        <v>0</v>
      </c>
    </row>
    <row r="211" spans="1:60" s="633" customFormat="1" ht="15" thickBot="1" x14ac:dyDescent="0.25">
      <c r="A211" s="942"/>
      <c r="D211" s="1158" t="s">
        <v>31</v>
      </c>
      <c r="E211" s="1158"/>
      <c r="F211" s="1158"/>
      <c r="G211" s="1158"/>
      <c r="H211" s="1158"/>
      <c r="I211" s="1158"/>
      <c r="J211" s="1158"/>
      <c r="K211" s="1158"/>
      <c r="L211" s="1158"/>
      <c r="M211" s="1158"/>
      <c r="N211" s="1158"/>
      <c r="O211" s="1158"/>
      <c r="P211" s="1158"/>
      <c r="Q211" s="1158"/>
      <c r="R211" s="1158"/>
      <c r="S211" s="1158"/>
      <c r="T211" s="1158"/>
      <c r="U211" s="1158"/>
      <c r="V211" s="1158"/>
      <c r="W211" s="1158"/>
      <c r="X211" s="1158"/>
      <c r="Y211" s="1158"/>
      <c r="Z211" s="1158"/>
      <c r="AA211" s="1158"/>
      <c r="AB211" s="1158"/>
      <c r="AC211" s="1158"/>
      <c r="AD211" s="1158"/>
      <c r="AE211" s="1158"/>
      <c r="AF211" s="1158"/>
      <c r="AG211" s="1158"/>
      <c r="AH211" s="950"/>
      <c r="AI211" s="954"/>
      <c r="AJ211" s="949"/>
      <c r="AK211" s="949"/>
      <c r="AL211" s="949"/>
      <c r="AM211" s="949"/>
      <c r="AN211" s="949"/>
      <c r="AO211" s="949"/>
      <c r="AP211" s="955"/>
      <c r="AQ211" s="943"/>
      <c r="AR211" s="954"/>
      <c r="AS211" s="949"/>
      <c r="AT211" s="949"/>
      <c r="AU211" s="949"/>
      <c r="AV211" s="949"/>
      <c r="AW211" s="949"/>
      <c r="AX211" s="949"/>
      <c r="AY211" s="958"/>
      <c r="BA211" s="954"/>
      <c r="BB211" s="949"/>
      <c r="BC211" s="949"/>
      <c r="BD211" s="949"/>
      <c r="BE211" s="949"/>
      <c r="BF211" s="949"/>
      <c r="BG211" s="949"/>
      <c r="BH211" s="958"/>
    </row>
    <row r="212" spans="1:60" s="633" customFormat="1" ht="21.75" customHeight="1" x14ac:dyDescent="0.2">
      <c r="A212" s="942"/>
      <c r="D212" s="1164" t="s">
        <v>32</v>
      </c>
      <c r="E212" s="1165"/>
      <c r="F212" s="1165"/>
      <c r="G212" s="1165"/>
      <c r="H212" s="1165"/>
      <c r="I212" s="1166"/>
      <c r="J212" s="1167"/>
      <c r="K212" s="1167"/>
      <c r="L212" s="1167"/>
      <c r="M212" s="1167">
        <v>2068</v>
      </c>
      <c r="N212" s="1167"/>
      <c r="O212" s="1167"/>
      <c r="P212" s="1167"/>
      <c r="Q212" s="1167"/>
      <c r="R212" s="1167"/>
      <c r="S212" s="1167"/>
      <c r="T212" s="1167"/>
      <c r="U212" s="1167"/>
      <c r="V212" s="1167"/>
      <c r="W212" s="1167"/>
      <c r="X212" s="1167"/>
      <c r="Y212" s="1167"/>
      <c r="Z212" s="1167"/>
      <c r="AA212" s="1167"/>
      <c r="AB212" s="1167"/>
      <c r="AC212" s="1167"/>
      <c r="AD212" s="1167"/>
      <c r="AE212" s="1147">
        <f>SUM(J212:AD212)</f>
        <v>2068</v>
      </c>
      <c r="AF212" s="1147"/>
      <c r="AG212" s="1147"/>
      <c r="AI212" s="954"/>
      <c r="AJ212" s="949"/>
      <c r="AK212" s="949"/>
      <c r="AL212" s="949"/>
      <c r="AM212" s="949"/>
      <c r="AN212" s="949"/>
      <c r="AO212" s="949"/>
      <c r="AP212" s="955">
        <f>SUM(J212:AD212)-AE212</f>
        <v>0</v>
      </c>
      <c r="AQ212" s="943"/>
      <c r="AR212" s="956">
        <f>J212-J238</f>
        <v>0</v>
      </c>
      <c r="AS212" s="957">
        <f>M212-M238</f>
        <v>0</v>
      </c>
      <c r="AT212" s="957">
        <f>P212-P238</f>
        <v>0</v>
      </c>
      <c r="AU212" s="957">
        <f>S212-S238</f>
        <v>0</v>
      </c>
      <c r="AV212" s="957">
        <f>V212-V238</f>
        <v>0</v>
      </c>
      <c r="AW212" s="957">
        <f>Y212-Y238</f>
        <v>0</v>
      </c>
      <c r="AX212" s="957">
        <f>AB212-AB238</f>
        <v>0</v>
      </c>
      <c r="AY212" s="955">
        <f>AE212-AE238</f>
        <v>0</v>
      </c>
      <c r="BA212" s="954"/>
      <c r="BB212" s="949"/>
      <c r="BC212" s="949"/>
      <c r="BD212" s="949"/>
      <c r="BE212" s="949"/>
      <c r="BF212" s="949"/>
      <c r="BG212" s="949"/>
      <c r="BH212" s="958"/>
    </row>
    <row r="213" spans="1:60" s="633" customFormat="1" x14ac:dyDescent="0.2">
      <c r="A213" s="942"/>
      <c r="D213" s="1105" t="s">
        <v>27</v>
      </c>
      <c r="E213" s="1105"/>
      <c r="F213" s="1105"/>
      <c r="G213" s="1105"/>
      <c r="H213" s="1105"/>
      <c r="I213" s="1105"/>
      <c r="J213" s="1045"/>
      <c r="K213" s="1045"/>
      <c r="L213" s="1045"/>
      <c r="M213" s="1045"/>
      <c r="N213" s="1045"/>
      <c r="O213" s="1045"/>
      <c r="P213" s="1045"/>
      <c r="Q213" s="1045"/>
      <c r="R213" s="1045"/>
      <c r="S213" s="1045"/>
      <c r="T213" s="1045"/>
      <c r="U213" s="1045"/>
      <c r="V213" s="1045"/>
      <c r="W213" s="1045"/>
      <c r="X213" s="1045"/>
      <c r="Y213" s="1045"/>
      <c r="Z213" s="1045"/>
      <c r="AA213" s="1045"/>
      <c r="AB213" s="1045"/>
      <c r="AC213" s="1045"/>
      <c r="AD213" s="1045"/>
      <c r="AE213" s="1139">
        <f>SUM(J213:AD213)</f>
        <v>0</v>
      </c>
      <c r="AF213" s="1139"/>
      <c r="AG213" s="1139"/>
      <c r="AI213" s="954"/>
      <c r="AJ213" s="949"/>
      <c r="AK213" s="949"/>
      <c r="AL213" s="949"/>
      <c r="AM213" s="949"/>
      <c r="AN213" s="949"/>
      <c r="AO213" s="949"/>
      <c r="AP213" s="955">
        <f t="shared" ref="AP213:AP214" si="12">SUM(J213:AD213)-AE213</f>
        <v>0</v>
      </c>
      <c r="AQ213" s="943"/>
      <c r="AR213" s="954"/>
      <c r="AS213" s="949"/>
      <c r="AT213" s="949"/>
      <c r="AU213" s="949"/>
      <c r="AV213" s="949"/>
      <c r="AW213" s="949"/>
      <c r="AX213" s="949"/>
      <c r="AY213" s="958"/>
      <c r="BA213" s="954"/>
      <c r="BB213" s="949"/>
      <c r="BC213" s="949"/>
      <c r="BD213" s="949"/>
      <c r="BE213" s="949"/>
      <c r="BF213" s="949"/>
      <c r="BG213" s="949"/>
      <c r="BH213" s="958"/>
    </row>
    <row r="214" spans="1:60" s="633" customFormat="1" x14ac:dyDescent="0.2">
      <c r="A214" s="942"/>
      <c r="D214" s="1105" t="s">
        <v>28</v>
      </c>
      <c r="E214" s="1105"/>
      <c r="F214" s="1105"/>
      <c r="G214" s="1105"/>
      <c r="H214" s="1105"/>
      <c r="I214" s="1105"/>
      <c r="J214" s="1045"/>
      <c r="K214" s="1045"/>
      <c r="L214" s="1045"/>
      <c r="M214" s="1045"/>
      <c r="N214" s="1045"/>
      <c r="O214" s="1045"/>
      <c r="P214" s="1045"/>
      <c r="Q214" s="1045"/>
      <c r="R214" s="1045"/>
      <c r="S214" s="1045"/>
      <c r="T214" s="1045"/>
      <c r="U214" s="1045"/>
      <c r="V214" s="1045"/>
      <c r="W214" s="1045"/>
      <c r="X214" s="1045"/>
      <c r="Y214" s="1045"/>
      <c r="Z214" s="1045"/>
      <c r="AA214" s="1045"/>
      <c r="AB214" s="1045"/>
      <c r="AC214" s="1045"/>
      <c r="AD214" s="1045"/>
      <c r="AE214" s="1139">
        <f>SUM(J214:AD214)</f>
        <v>0</v>
      </c>
      <c r="AF214" s="1139"/>
      <c r="AG214" s="1139"/>
      <c r="AI214" s="954"/>
      <c r="AJ214" s="949"/>
      <c r="AK214" s="949"/>
      <c r="AL214" s="949"/>
      <c r="AM214" s="949"/>
      <c r="AN214" s="949"/>
      <c r="AO214" s="949"/>
      <c r="AP214" s="955">
        <f t="shared" si="12"/>
        <v>0</v>
      </c>
      <c r="AQ214" s="943"/>
      <c r="AR214" s="954"/>
      <c r="AS214" s="949"/>
      <c r="AT214" s="949"/>
      <c r="AU214" s="949"/>
      <c r="AV214" s="949"/>
      <c r="AW214" s="949"/>
      <c r="AX214" s="949"/>
      <c r="AY214" s="958"/>
      <c r="BA214" s="668" t="s">
        <v>1141</v>
      </c>
      <c r="BB214" s="949"/>
      <c r="BC214" s="949"/>
      <c r="BD214" s="949"/>
      <c r="BE214" s="949"/>
      <c r="BF214" s="949"/>
      <c r="BG214" s="949"/>
      <c r="BH214" s="958"/>
    </row>
    <row r="215" spans="1:60" s="633" customFormat="1" ht="21.75" customHeight="1" thickBot="1" x14ac:dyDescent="0.25">
      <c r="A215" s="942"/>
      <c r="D215" s="1107" t="s">
        <v>30</v>
      </c>
      <c r="E215" s="1107"/>
      <c r="F215" s="1107"/>
      <c r="G215" s="1107"/>
      <c r="H215" s="1107"/>
      <c r="I215" s="1107"/>
      <c r="J215" s="1160">
        <f>J212+J213-J214</f>
        <v>0</v>
      </c>
      <c r="K215" s="1160"/>
      <c r="L215" s="1160"/>
      <c r="M215" s="1160">
        <f t="shared" ref="M215" si="13">M212+M213-M214</f>
        <v>2068</v>
      </c>
      <c r="N215" s="1160"/>
      <c r="O215" s="1160"/>
      <c r="P215" s="1160">
        <f t="shared" ref="P215" si="14">P212+P213-P214</f>
        <v>0</v>
      </c>
      <c r="Q215" s="1160"/>
      <c r="R215" s="1160"/>
      <c r="S215" s="1160">
        <f t="shared" ref="S215" si="15">S212+S213-S214</f>
        <v>0</v>
      </c>
      <c r="T215" s="1160"/>
      <c r="U215" s="1160"/>
      <c r="V215" s="1160">
        <f t="shared" ref="V215" si="16">V212+V213-V214</f>
        <v>0</v>
      </c>
      <c r="W215" s="1160"/>
      <c r="X215" s="1160"/>
      <c r="Y215" s="1160">
        <f t="shared" ref="Y215" si="17">Y212+Y213-Y214</f>
        <v>0</v>
      </c>
      <c r="Z215" s="1160"/>
      <c r="AA215" s="1160"/>
      <c r="AB215" s="1160">
        <f t="shared" ref="AB215" si="18">AB212+AB213-AB214</f>
        <v>0</v>
      </c>
      <c r="AC215" s="1160"/>
      <c r="AD215" s="1160"/>
      <c r="AE215" s="1160">
        <f t="shared" ref="AE215" si="19">AE212+AE213-AE214</f>
        <v>2068</v>
      </c>
      <c r="AF215" s="1160"/>
      <c r="AG215" s="1160"/>
      <c r="AI215" s="956">
        <f>J212+J213-J214-J215</f>
        <v>0</v>
      </c>
      <c r="AJ215" s="957">
        <f>M212+M213-M214-M215</f>
        <v>0</v>
      </c>
      <c r="AK215" s="957">
        <f>P212+P213-P214-P215</f>
        <v>0</v>
      </c>
      <c r="AL215" s="957">
        <f>S212+S213-S214-S215</f>
        <v>0</v>
      </c>
      <c r="AM215" s="957">
        <f>V212+V213-V214-V215</f>
        <v>0</v>
      </c>
      <c r="AN215" s="957">
        <f>Y212+Y213-Y214-Y215</f>
        <v>0</v>
      </c>
      <c r="AO215" s="957">
        <f>AB212+AB213-AB214-AB215</f>
        <v>0</v>
      </c>
      <c r="AP215" s="955">
        <f>AE212+AE213-AE214-AE215</f>
        <v>0</v>
      </c>
      <c r="AQ215" s="943"/>
      <c r="AR215" s="954"/>
      <c r="AS215" s="949"/>
      <c r="AT215" s="949"/>
      <c r="AU215" s="949"/>
      <c r="AV215" s="949"/>
      <c r="AW215" s="949"/>
      <c r="AX215" s="949"/>
      <c r="AY215" s="958"/>
      <c r="BA215" s="956">
        <f>J215+J220-BS!$E$13</f>
        <v>0</v>
      </c>
      <c r="BB215" s="957">
        <f>M215+M220-BS!$E$14</f>
        <v>0</v>
      </c>
      <c r="BC215" s="957">
        <f>P215+P220-BS!$E$15</f>
        <v>0</v>
      </c>
      <c r="BD215" s="957">
        <f>S215+S220-BS!$E$16</f>
        <v>0</v>
      </c>
      <c r="BE215" s="957">
        <f>V215+V220-BS!$E$17</f>
        <v>0</v>
      </c>
      <c r="BF215" s="957">
        <f>Y215+Y220-BS!$E$18</f>
        <v>0</v>
      </c>
      <c r="BG215" s="957">
        <f>AB215+AB220-BS!$E$19</f>
        <v>0</v>
      </c>
      <c r="BH215" s="955">
        <f>AE215+AE220-BS!$E$12</f>
        <v>0</v>
      </c>
    </row>
    <row r="216" spans="1:60" s="633" customFormat="1" ht="15" thickBot="1" x14ac:dyDescent="0.25">
      <c r="A216" s="942"/>
      <c r="D216" s="1158" t="s">
        <v>33</v>
      </c>
      <c r="E216" s="1158"/>
      <c r="F216" s="1158"/>
      <c r="G216" s="1158"/>
      <c r="H216" s="1158"/>
      <c r="I216" s="1158"/>
      <c r="J216" s="1158"/>
      <c r="K216" s="1158"/>
      <c r="L216" s="1158"/>
      <c r="M216" s="1158"/>
      <c r="N216" s="1158"/>
      <c r="O216" s="1158"/>
      <c r="P216" s="1158"/>
      <c r="Q216" s="1158"/>
      <c r="R216" s="1158"/>
      <c r="S216" s="1158"/>
      <c r="T216" s="1158"/>
      <c r="U216" s="1158"/>
      <c r="V216" s="1158"/>
      <c r="W216" s="1158"/>
      <c r="X216" s="1158"/>
      <c r="Y216" s="1158"/>
      <c r="Z216" s="1158"/>
      <c r="AA216" s="1158"/>
      <c r="AB216" s="1158"/>
      <c r="AC216" s="1158"/>
      <c r="AD216" s="1158"/>
      <c r="AE216" s="1158"/>
      <c r="AF216" s="1158"/>
      <c r="AG216" s="1158"/>
      <c r="AH216" s="950"/>
      <c r="AI216" s="954"/>
      <c r="AJ216" s="949"/>
      <c r="AK216" s="949"/>
      <c r="AL216" s="949"/>
      <c r="AM216" s="949"/>
      <c r="AN216" s="949"/>
      <c r="AO216" s="949"/>
      <c r="AP216" s="955"/>
      <c r="AQ216" s="943"/>
      <c r="AR216" s="954"/>
      <c r="AS216" s="949"/>
      <c r="AT216" s="949"/>
      <c r="AU216" s="949"/>
      <c r="AV216" s="949"/>
      <c r="AW216" s="949"/>
      <c r="AX216" s="949"/>
      <c r="AY216" s="958"/>
      <c r="BA216" s="954"/>
      <c r="BB216" s="949"/>
      <c r="BC216" s="949"/>
      <c r="BD216" s="949"/>
      <c r="BE216" s="949"/>
      <c r="BF216" s="949"/>
      <c r="BG216" s="949"/>
      <c r="BH216" s="958"/>
    </row>
    <row r="217" spans="1:60" s="633" customFormat="1" ht="21.75" customHeight="1" x14ac:dyDescent="0.2">
      <c r="A217" s="942"/>
      <c r="D217" s="1164" t="s">
        <v>32</v>
      </c>
      <c r="E217" s="1165"/>
      <c r="F217" s="1165"/>
      <c r="G217" s="1165"/>
      <c r="H217" s="1165"/>
      <c r="I217" s="1166"/>
      <c r="J217" s="1167"/>
      <c r="K217" s="1167"/>
      <c r="L217" s="1167"/>
      <c r="M217" s="1167"/>
      <c r="N217" s="1167"/>
      <c r="O217" s="1167"/>
      <c r="P217" s="1167"/>
      <c r="Q217" s="1167"/>
      <c r="R217" s="1167"/>
      <c r="S217" s="1167"/>
      <c r="T217" s="1167"/>
      <c r="U217" s="1167"/>
      <c r="V217" s="1167"/>
      <c r="W217" s="1167"/>
      <c r="X217" s="1167"/>
      <c r="Y217" s="1167"/>
      <c r="Z217" s="1167"/>
      <c r="AA217" s="1167"/>
      <c r="AB217" s="1167"/>
      <c r="AC217" s="1167"/>
      <c r="AD217" s="1167"/>
      <c r="AE217" s="1147">
        <f>SUM(J217:AD217)</f>
        <v>0</v>
      </c>
      <c r="AF217" s="1147"/>
      <c r="AG217" s="1147"/>
      <c r="AI217" s="954"/>
      <c r="AJ217" s="949"/>
      <c r="AK217" s="949"/>
      <c r="AL217" s="949"/>
      <c r="AM217" s="949"/>
      <c r="AN217" s="949"/>
      <c r="AO217" s="949"/>
      <c r="AP217" s="955">
        <f>SUM(J217:AD217)-AE217</f>
        <v>0</v>
      </c>
      <c r="AQ217" s="943"/>
      <c r="AR217" s="956">
        <f>J217-J243</f>
        <v>0</v>
      </c>
      <c r="AS217" s="957">
        <f>M217-M243</f>
        <v>0</v>
      </c>
      <c r="AT217" s="957">
        <f>P217-P243</f>
        <v>0</v>
      </c>
      <c r="AU217" s="957">
        <f>S217-S243</f>
        <v>0</v>
      </c>
      <c r="AV217" s="957">
        <f>V217-V243</f>
        <v>0</v>
      </c>
      <c r="AW217" s="957">
        <f>Y217-Y243</f>
        <v>0</v>
      </c>
      <c r="AX217" s="957">
        <f>AB217-AB243</f>
        <v>0</v>
      </c>
      <c r="AY217" s="955">
        <f>AE217-AE243</f>
        <v>0</v>
      </c>
      <c r="BA217" s="954"/>
      <c r="BB217" s="949"/>
      <c r="BC217" s="949"/>
      <c r="BD217" s="949"/>
      <c r="BE217" s="949"/>
      <c r="BF217" s="949"/>
      <c r="BG217" s="949"/>
      <c r="BH217" s="958"/>
    </row>
    <row r="218" spans="1:60" s="633" customFormat="1" x14ac:dyDescent="0.2">
      <c r="A218" s="942"/>
      <c r="D218" s="1105" t="s">
        <v>27</v>
      </c>
      <c r="E218" s="1105"/>
      <c r="F218" s="1105"/>
      <c r="G218" s="1105"/>
      <c r="H218" s="1105"/>
      <c r="I218" s="1105"/>
      <c r="J218" s="1045"/>
      <c r="K218" s="1045"/>
      <c r="L218" s="1045"/>
      <c r="M218" s="1045"/>
      <c r="N218" s="1045"/>
      <c r="O218" s="1045"/>
      <c r="P218" s="1045"/>
      <c r="Q218" s="1045"/>
      <c r="R218" s="1045"/>
      <c r="S218" s="1045"/>
      <c r="T218" s="1045"/>
      <c r="U218" s="1045"/>
      <c r="V218" s="1045"/>
      <c r="W218" s="1045"/>
      <c r="X218" s="1045"/>
      <c r="Y218" s="1045"/>
      <c r="Z218" s="1045"/>
      <c r="AA218" s="1045"/>
      <c r="AB218" s="1045"/>
      <c r="AC218" s="1045"/>
      <c r="AD218" s="1045"/>
      <c r="AE218" s="1139">
        <f>SUM(J218:AD218)</f>
        <v>0</v>
      </c>
      <c r="AF218" s="1139"/>
      <c r="AG218" s="1139"/>
      <c r="AI218" s="954"/>
      <c r="AJ218" s="949"/>
      <c r="AK218" s="949"/>
      <c r="AL218" s="949"/>
      <c r="AM218" s="949"/>
      <c r="AN218" s="949"/>
      <c r="AO218" s="949"/>
      <c r="AP218" s="955">
        <f t="shared" ref="AP218:AP219" si="20">SUM(J218:AD218)-AE218</f>
        <v>0</v>
      </c>
      <c r="AQ218" s="943"/>
      <c r="AR218" s="954"/>
      <c r="AS218" s="949"/>
      <c r="AT218" s="949"/>
      <c r="AU218" s="949"/>
      <c r="AV218" s="949"/>
      <c r="AW218" s="949"/>
      <c r="AX218" s="949"/>
      <c r="AY218" s="958"/>
      <c r="BA218" s="954"/>
      <c r="BB218" s="949"/>
      <c r="BC218" s="949"/>
      <c r="BD218" s="949"/>
      <c r="BE218" s="949"/>
      <c r="BF218" s="949"/>
      <c r="BG218" s="949"/>
      <c r="BH218" s="958"/>
    </row>
    <row r="219" spans="1:60" s="633" customFormat="1" x14ac:dyDescent="0.2">
      <c r="A219" s="942"/>
      <c r="D219" s="1105" t="s">
        <v>28</v>
      </c>
      <c r="E219" s="1105"/>
      <c r="F219" s="1105"/>
      <c r="G219" s="1105"/>
      <c r="H219" s="1105"/>
      <c r="I219" s="1105"/>
      <c r="J219" s="1045"/>
      <c r="K219" s="1045"/>
      <c r="L219" s="1045"/>
      <c r="M219" s="1045"/>
      <c r="N219" s="1045"/>
      <c r="O219" s="1045"/>
      <c r="P219" s="1045"/>
      <c r="Q219" s="1045"/>
      <c r="R219" s="1045"/>
      <c r="S219" s="1045"/>
      <c r="T219" s="1045"/>
      <c r="U219" s="1045"/>
      <c r="V219" s="1045"/>
      <c r="W219" s="1045"/>
      <c r="X219" s="1045"/>
      <c r="Y219" s="1045"/>
      <c r="Z219" s="1045"/>
      <c r="AA219" s="1045"/>
      <c r="AB219" s="1045"/>
      <c r="AC219" s="1045"/>
      <c r="AD219" s="1045"/>
      <c r="AE219" s="1139">
        <f>SUM(J218:AD218)</f>
        <v>0</v>
      </c>
      <c r="AF219" s="1139"/>
      <c r="AG219" s="1139"/>
      <c r="AI219" s="954"/>
      <c r="AJ219" s="949"/>
      <c r="AK219" s="949"/>
      <c r="AL219" s="949"/>
      <c r="AM219" s="949"/>
      <c r="AN219" s="949"/>
      <c r="AO219" s="949"/>
      <c r="AP219" s="955">
        <f t="shared" si="20"/>
        <v>0</v>
      </c>
      <c r="AQ219" s="943"/>
      <c r="AR219" s="954"/>
      <c r="AS219" s="949"/>
      <c r="AT219" s="949"/>
      <c r="AU219" s="949"/>
      <c r="AV219" s="949"/>
      <c r="AW219" s="949"/>
      <c r="AX219" s="949"/>
      <c r="AY219" s="958"/>
      <c r="BA219" s="954"/>
      <c r="BB219" s="949"/>
      <c r="BC219" s="949"/>
      <c r="BD219" s="949"/>
      <c r="BE219" s="949"/>
      <c r="BF219" s="949"/>
      <c r="BG219" s="949"/>
      <c r="BH219" s="958"/>
    </row>
    <row r="220" spans="1:60" s="633" customFormat="1" ht="21.75" customHeight="1" thickBot="1" x14ac:dyDescent="0.25">
      <c r="A220" s="942"/>
      <c r="D220" s="1161" t="s">
        <v>30</v>
      </c>
      <c r="E220" s="1162"/>
      <c r="F220" s="1162"/>
      <c r="G220" s="1162"/>
      <c r="H220" s="1162"/>
      <c r="I220" s="1163"/>
      <c r="J220" s="1160">
        <f>J217+J218-J219</f>
        <v>0</v>
      </c>
      <c r="K220" s="1160"/>
      <c r="L220" s="1160"/>
      <c r="M220" s="1160">
        <f t="shared" ref="M220" si="21">M217+M218-M219</f>
        <v>0</v>
      </c>
      <c r="N220" s="1160"/>
      <c r="O220" s="1160"/>
      <c r="P220" s="1160">
        <f t="shared" ref="P220" si="22">P217+P218-P219</f>
        <v>0</v>
      </c>
      <c r="Q220" s="1160"/>
      <c r="R220" s="1160"/>
      <c r="S220" s="1160">
        <f t="shared" ref="S220" si="23">S217+S218-S219</f>
        <v>0</v>
      </c>
      <c r="T220" s="1160"/>
      <c r="U220" s="1160"/>
      <c r="V220" s="1160">
        <f t="shared" ref="V220" si="24">V217+V218-V219</f>
        <v>0</v>
      </c>
      <c r="W220" s="1160"/>
      <c r="X220" s="1160"/>
      <c r="Y220" s="1160">
        <f t="shared" ref="Y220" si="25">Y217+Y218-Y219</f>
        <v>0</v>
      </c>
      <c r="Z220" s="1160"/>
      <c r="AA220" s="1160"/>
      <c r="AB220" s="1160">
        <f t="shared" ref="AB220" si="26">AB217+AB218-AB219</f>
        <v>0</v>
      </c>
      <c r="AC220" s="1160"/>
      <c r="AD220" s="1160"/>
      <c r="AE220" s="1160">
        <f>AE217+AE218-AE219</f>
        <v>0</v>
      </c>
      <c r="AF220" s="1160"/>
      <c r="AG220" s="1160"/>
      <c r="AI220" s="956">
        <f>J217+J218-J219-J220</f>
        <v>0</v>
      </c>
      <c r="AJ220" s="957">
        <f>M217+M218-M219-M220</f>
        <v>0</v>
      </c>
      <c r="AK220" s="957">
        <f>P217+P218-P219-P220</f>
        <v>0</v>
      </c>
      <c r="AL220" s="957">
        <f>S217+S218-S219-S220</f>
        <v>0</v>
      </c>
      <c r="AM220" s="957">
        <f>V217+V218-V219-V220</f>
        <v>0</v>
      </c>
      <c r="AN220" s="957">
        <f>Y217+Y218-Y219-Y220</f>
        <v>0</v>
      </c>
      <c r="AO220" s="957">
        <f>AB217+AB218-AB219-AB220</f>
        <v>0</v>
      </c>
      <c r="AP220" s="955">
        <f>AE217+AE218-AE219-AE220</f>
        <v>0</v>
      </c>
      <c r="AQ220" s="943"/>
      <c r="AR220" s="954"/>
      <c r="AS220" s="949"/>
      <c r="AT220" s="949"/>
      <c r="AU220" s="949"/>
      <c r="AV220" s="949"/>
      <c r="AW220" s="949"/>
      <c r="AX220" s="949"/>
      <c r="AY220" s="958"/>
      <c r="BA220" s="954"/>
      <c r="BB220" s="949"/>
      <c r="BC220" s="949"/>
      <c r="BD220" s="949"/>
      <c r="BE220" s="949"/>
      <c r="BF220" s="949"/>
      <c r="BG220" s="949"/>
      <c r="BH220" s="958"/>
    </row>
    <row r="221" spans="1:60" s="633" customFormat="1" ht="15" thickBot="1" x14ac:dyDescent="0.25">
      <c r="A221" s="942"/>
      <c r="D221" s="1158" t="s">
        <v>34</v>
      </c>
      <c r="E221" s="1158"/>
      <c r="F221" s="1158"/>
      <c r="G221" s="1158"/>
      <c r="H221" s="1158"/>
      <c r="I221" s="1158"/>
      <c r="J221" s="1158"/>
      <c r="K221" s="1158"/>
      <c r="L221" s="1158"/>
      <c r="M221" s="1158"/>
      <c r="N221" s="1158"/>
      <c r="O221" s="1158"/>
      <c r="P221" s="1158"/>
      <c r="Q221" s="1158"/>
      <c r="R221" s="1158"/>
      <c r="S221" s="1158"/>
      <c r="T221" s="1158"/>
      <c r="U221" s="1158"/>
      <c r="V221" s="1158"/>
      <c r="W221" s="1158"/>
      <c r="X221" s="1158"/>
      <c r="Y221" s="1158"/>
      <c r="Z221" s="1158"/>
      <c r="AA221" s="1158"/>
      <c r="AB221" s="1158"/>
      <c r="AC221" s="1158"/>
      <c r="AD221" s="1158"/>
      <c r="AE221" s="1158"/>
      <c r="AF221" s="1158"/>
      <c r="AG221" s="1158"/>
      <c r="AH221" s="950"/>
      <c r="AI221" s="954"/>
      <c r="AJ221" s="949"/>
      <c r="AK221" s="949"/>
      <c r="AL221" s="949"/>
      <c r="AM221" s="949"/>
      <c r="AN221" s="949"/>
      <c r="AO221" s="949"/>
      <c r="AP221" s="955"/>
      <c r="AQ221" s="943"/>
      <c r="AR221" s="954"/>
      <c r="AS221" s="949"/>
      <c r="AT221" s="949"/>
      <c r="AU221" s="949"/>
      <c r="AV221" s="949"/>
      <c r="AW221" s="949"/>
      <c r="AX221" s="949"/>
      <c r="AY221" s="958"/>
      <c r="BA221" s="954"/>
      <c r="BB221" s="949"/>
      <c r="BC221" s="949"/>
      <c r="BD221" s="949"/>
      <c r="BE221" s="949"/>
      <c r="BF221" s="949"/>
      <c r="BG221" s="949"/>
      <c r="BH221" s="958"/>
    </row>
    <row r="222" spans="1:60" s="633" customFormat="1" ht="21.75" customHeight="1" x14ac:dyDescent="0.2">
      <c r="A222" s="942"/>
      <c r="D222" s="1044" t="s">
        <v>32</v>
      </c>
      <c r="E222" s="1044"/>
      <c r="F222" s="1044"/>
      <c r="G222" s="1044"/>
      <c r="H222" s="1044"/>
      <c r="I222" s="1044"/>
      <c r="J222" s="1159">
        <f>J206-J212-J217</f>
        <v>0</v>
      </c>
      <c r="K222" s="1159"/>
      <c r="L222" s="1159"/>
      <c r="M222" s="1159">
        <f t="shared" ref="M222" si="27">M206-M212-M217</f>
        <v>0</v>
      </c>
      <c r="N222" s="1159"/>
      <c r="O222" s="1159"/>
      <c r="P222" s="1159">
        <f t="shared" ref="P222" si="28">P206-P212-P217</f>
        <v>0</v>
      </c>
      <c r="Q222" s="1159"/>
      <c r="R222" s="1159"/>
      <c r="S222" s="1159">
        <f t="shared" ref="S222" si="29">S206-S212-S217</f>
        <v>0</v>
      </c>
      <c r="T222" s="1159"/>
      <c r="U222" s="1159"/>
      <c r="V222" s="1159">
        <f t="shared" ref="V222" si="30">V206-V212-V217</f>
        <v>0</v>
      </c>
      <c r="W222" s="1159"/>
      <c r="X222" s="1159"/>
      <c r="Y222" s="1159">
        <f t="shared" ref="Y222" si="31">Y206-Y212-Y217</f>
        <v>0</v>
      </c>
      <c r="Z222" s="1159"/>
      <c r="AA222" s="1159"/>
      <c r="AB222" s="1159">
        <f t="shared" ref="AB222" si="32">AB206-AB212-AB217</f>
        <v>0</v>
      </c>
      <c r="AC222" s="1159"/>
      <c r="AD222" s="1159"/>
      <c r="AE222" s="1159">
        <f>AE206-AE212-AE217</f>
        <v>0</v>
      </c>
      <c r="AF222" s="1159"/>
      <c r="AG222" s="1159"/>
      <c r="AI222" s="956">
        <f>J206-J212-J217-J222</f>
        <v>0</v>
      </c>
      <c r="AJ222" s="957">
        <f>M206-M212-M217-M222</f>
        <v>0</v>
      </c>
      <c r="AK222" s="957">
        <f>P206-P212-P217-P222</f>
        <v>0</v>
      </c>
      <c r="AL222" s="957">
        <f>S206-S212-S217-S222</f>
        <v>0</v>
      </c>
      <c r="AM222" s="957">
        <f>V206-V212-V217-V222</f>
        <v>0</v>
      </c>
      <c r="AN222" s="957">
        <f>Y206-Y212-Y217-Y222</f>
        <v>0</v>
      </c>
      <c r="AO222" s="957">
        <f>AB206-AB212-AB217-AB222</f>
        <v>0</v>
      </c>
      <c r="AP222" s="955">
        <f>SUM(J222:AD222)-AE222</f>
        <v>0</v>
      </c>
      <c r="AQ222" s="943"/>
      <c r="AR222" s="956">
        <f>J222-J246</f>
        <v>0</v>
      </c>
      <c r="AS222" s="957">
        <f>M222-M246</f>
        <v>0</v>
      </c>
      <c r="AT222" s="957">
        <f>P222-P246</f>
        <v>0</v>
      </c>
      <c r="AU222" s="957">
        <f>S222-S246</f>
        <v>0</v>
      </c>
      <c r="AV222" s="957">
        <f>V222-V246</f>
        <v>0</v>
      </c>
      <c r="AW222" s="957">
        <f>Y222-Y246</f>
        <v>0</v>
      </c>
      <c r="AX222" s="957">
        <f>AB222-AB246</f>
        <v>0</v>
      </c>
      <c r="AY222" s="955">
        <f>AE222-AE246</f>
        <v>0</v>
      </c>
      <c r="BA222" s="954"/>
      <c r="BB222" s="949"/>
      <c r="BC222" s="949"/>
      <c r="BD222" s="949"/>
      <c r="BE222" s="949"/>
      <c r="BF222" s="949"/>
      <c r="BG222" s="949"/>
      <c r="BH222" s="958"/>
    </row>
    <row r="223" spans="1:60" s="633" customFormat="1" ht="21.75" customHeight="1" thickBot="1" x14ac:dyDescent="0.25">
      <c r="A223" s="942"/>
      <c r="D223" s="1107" t="s">
        <v>30</v>
      </c>
      <c r="E223" s="1107"/>
      <c r="F223" s="1107"/>
      <c r="G223" s="1107"/>
      <c r="H223" s="1107"/>
      <c r="I223" s="1107"/>
      <c r="J223" s="1160">
        <f>J210-J215-J220</f>
        <v>0</v>
      </c>
      <c r="K223" s="1160"/>
      <c r="L223" s="1160"/>
      <c r="M223" s="1160">
        <f t="shared" ref="M223" si="33">M210-M215-M220</f>
        <v>0</v>
      </c>
      <c r="N223" s="1160"/>
      <c r="O223" s="1160"/>
      <c r="P223" s="1160">
        <f t="shared" ref="P223" si="34">P210-P215-P220</f>
        <v>0</v>
      </c>
      <c r="Q223" s="1160"/>
      <c r="R223" s="1160"/>
      <c r="S223" s="1160">
        <f t="shared" ref="S223" si="35">S210-S215-S220</f>
        <v>0</v>
      </c>
      <c r="T223" s="1160"/>
      <c r="U223" s="1160"/>
      <c r="V223" s="1160">
        <f t="shared" ref="V223" si="36">V210-V215-V220</f>
        <v>0</v>
      </c>
      <c r="W223" s="1160"/>
      <c r="X223" s="1160"/>
      <c r="Y223" s="1160">
        <f t="shared" ref="Y223" si="37">Y210-Y215-Y220</f>
        <v>0</v>
      </c>
      <c r="Z223" s="1160"/>
      <c r="AA223" s="1160"/>
      <c r="AB223" s="1160">
        <f t="shared" ref="AB223" si="38">AB210-AB215-AB220</f>
        <v>0</v>
      </c>
      <c r="AC223" s="1160"/>
      <c r="AD223" s="1160"/>
      <c r="AE223" s="1160">
        <f>AE210-AE215-AE220</f>
        <v>0</v>
      </c>
      <c r="AF223" s="1160"/>
      <c r="AG223" s="1160"/>
      <c r="AI223" s="959">
        <f>J210-J215-J220-J223</f>
        <v>0</v>
      </c>
      <c r="AJ223" s="960">
        <f>M210-M215-M220-M223</f>
        <v>0</v>
      </c>
      <c r="AK223" s="960">
        <f>P210-P215-P220-P223</f>
        <v>0</v>
      </c>
      <c r="AL223" s="960">
        <f>S210-S215-S220-S223</f>
        <v>0</v>
      </c>
      <c r="AM223" s="960">
        <f>V210-V215-V220-V223</f>
        <v>0</v>
      </c>
      <c r="AN223" s="960">
        <f>Y210-Y215-Y220-Y223</f>
        <v>0</v>
      </c>
      <c r="AO223" s="960">
        <f>AB210-AB215-AB220-AB223</f>
        <v>0</v>
      </c>
      <c r="AP223" s="961">
        <f>SUM(J223:AD223)-AE223</f>
        <v>0</v>
      </c>
      <c r="AQ223" s="943"/>
      <c r="AR223" s="772"/>
      <c r="AS223" s="773"/>
      <c r="AT223" s="773"/>
      <c r="AU223" s="773"/>
      <c r="AV223" s="773"/>
      <c r="AW223" s="773"/>
      <c r="AX223" s="773"/>
      <c r="AY223" s="774"/>
      <c r="BA223" s="959">
        <f>J223-BS!$F$13</f>
        <v>0</v>
      </c>
      <c r="BB223" s="960">
        <f>M223-BS!$F$14</f>
        <v>0</v>
      </c>
      <c r="BC223" s="960">
        <f>P223-BS!$F$15</f>
        <v>0</v>
      </c>
      <c r="BD223" s="960">
        <f>S223-BS!$F$16</f>
        <v>0</v>
      </c>
      <c r="BE223" s="960">
        <f>V223-BS!$F$17</f>
        <v>0</v>
      </c>
      <c r="BF223" s="960">
        <f>Y223-BS!$F$18</f>
        <v>0</v>
      </c>
      <c r="BG223" s="960">
        <f>AB223-BS!$F$19</f>
        <v>0</v>
      </c>
      <c r="BH223" s="961">
        <f>AE223-BS!$F$12</f>
        <v>0</v>
      </c>
    </row>
    <row r="224" spans="1:60" s="633" customFormat="1" x14ac:dyDescent="0.2">
      <c r="A224" s="942"/>
      <c r="D224" s="769"/>
      <c r="E224" s="769"/>
      <c r="F224" s="769"/>
      <c r="G224" s="769"/>
      <c r="AI224" s="943"/>
      <c r="AJ224" s="943"/>
      <c r="AK224" s="943"/>
      <c r="AL224" s="943"/>
      <c r="AM224" s="943"/>
      <c r="AN224" s="943"/>
      <c r="AO224" s="943"/>
      <c r="AP224" s="943"/>
      <c r="AQ224" s="943"/>
    </row>
    <row r="225" spans="1:60" s="633" customFormat="1" ht="15" thickBot="1" x14ac:dyDescent="0.25">
      <c r="A225" s="942"/>
      <c r="D225" s="769"/>
      <c r="E225" s="769"/>
      <c r="F225" s="769"/>
      <c r="G225" s="769"/>
      <c r="AI225" s="943"/>
      <c r="AJ225" s="943"/>
      <c r="AK225" s="943"/>
      <c r="AL225" s="943"/>
      <c r="AM225" s="943"/>
      <c r="AN225" s="943"/>
      <c r="AO225" s="943"/>
      <c r="AP225" s="943"/>
      <c r="AQ225" s="943"/>
    </row>
    <row r="226" spans="1:60" s="633" customFormat="1" ht="15" thickBot="1" x14ac:dyDescent="0.25">
      <c r="A226" s="942" t="s">
        <v>1531</v>
      </c>
      <c r="D226" s="1138" t="s">
        <v>20</v>
      </c>
      <c r="E226" s="1138"/>
      <c r="F226" s="1138"/>
      <c r="G226" s="1138"/>
      <c r="H226" s="1138"/>
      <c r="I226" s="1138"/>
      <c r="J226" s="1138" t="s">
        <v>3</v>
      </c>
      <c r="K226" s="1138"/>
      <c r="L226" s="1138"/>
      <c r="M226" s="1138"/>
      <c r="N226" s="1138"/>
      <c r="O226" s="1138"/>
      <c r="P226" s="1138"/>
      <c r="Q226" s="1138"/>
      <c r="R226" s="1138"/>
      <c r="S226" s="1138"/>
      <c r="T226" s="1138"/>
      <c r="U226" s="1138"/>
      <c r="V226" s="1138"/>
      <c r="W226" s="1138"/>
      <c r="X226" s="1138"/>
      <c r="Y226" s="1138"/>
      <c r="Z226" s="1138"/>
      <c r="AA226" s="1138"/>
      <c r="AB226" s="1138"/>
      <c r="AC226" s="1138"/>
      <c r="AD226" s="1138"/>
      <c r="AE226" s="1138"/>
      <c r="AF226" s="1138"/>
      <c r="AG226" s="1138"/>
      <c r="AI226" s="943"/>
      <c r="AJ226" s="943"/>
      <c r="AK226" s="943"/>
      <c r="AL226" s="943"/>
      <c r="AM226" s="943"/>
      <c r="AN226" s="943"/>
      <c r="AO226" s="943"/>
      <c r="AP226" s="943"/>
      <c r="AQ226" s="943"/>
    </row>
    <row r="227" spans="1:60" s="633" customFormat="1" ht="46.5" thickTop="1" thickBot="1" x14ac:dyDescent="0.25">
      <c r="A227" s="942"/>
      <c r="D227" s="1138"/>
      <c r="E227" s="1138"/>
      <c r="F227" s="1138"/>
      <c r="G227" s="1138"/>
      <c r="H227" s="1138"/>
      <c r="I227" s="1138"/>
      <c r="J227" s="1120" t="s">
        <v>441</v>
      </c>
      <c r="K227" s="1120"/>
      <c r="L227" s="1120"/>
      <c r="M227" s="1120" t="s">
        <v>21</v>
      </c>
      <c r="N227" s="1120"/>
      <c r="O227" s="1120"/>
      <c r="P227" s="1120" t="s">
        <v>442</v>
      </c>
      <c r="Q227" s="1120"/>
      <c r="R227" s="1120"/>
      <c r="S227" s="1120" t="s">
        <v>22</v>
      </c>
      <c r="T227" s="1120"/>
      <c r="U227" s="1120"/>
      <c r="V227" s="1120" t="s">
        <v>23</v>
      </c>
      <c r="W227" s="1120"/>
      <c r="X227" s="1120"/>
      <c r="Y227" s="1120" t="s">
        <v>443</v>
      </c>
      <c r="Z227" s="1120"/>
      <c r="AA227" s="1120"/>
      <c r="AB227" s="1120" t="s">
        <v>24</v>
      </c>
      <c r="AC227" s="1120"/>
      <c r="AD227" s="1120"/>
      <c r="AE227" s="1120" t="s">
        <v>14</v>
      </c>
      <c r="AF227" s="1120"/>
      <c r="AG227" s="1120"/>
      <c r="AI227" s="934" t="s">
        <v>441</v>
      </c>
      <c r="AJ227" s="937" t="s">
        <v>21</v>
      </c>
      <c r="AK227" s="937" t="s">
        <v>442</v>
      </c>
      <c r="AL227" s="934" t="s">
        <v>22</v>
      </c>
      <c r="AM227" s="937" t="s">
        <v>23</v>
      </c>
      <c r="AN227" s="937" t="s">
        <v>443</v>
      </c>
      <c r="AO227" s="937" t="s">
        <v>24</v>
      </c>
      <c r="AP227" s="937" t="s">
        <v>14</v>
      </c>
      <c r="AQ227" s="943"/>
      <c r="AR227" s="59" t="s">
        <v>441</v>
      </c>
      <c r="AS227" s="933" t="s">
        <v>21</v>
      </c>
      <c r="AT227" s="933" t="s">
        <v>442</v>
      </c>
      <c r="AU227" s="59" t="s">
        <v>22</v>
      </c>
      <c r="AV227" s="933" t="s">
        <v>23</v>
      </c>
      <c r="AW227" s="933" t="s">
        <v>443</v>
      </c>
      <c r="AX227" s="933" t="s">
        <v>24</v>
      </c>
      <c r="AY227" s="933" t="s">
        <v>14</v>
      </c>
      <c r="BA227" s="934" t="s">
        <v>441</v>
      </c>
      <c r="BB227" s="937" t="s">
        <v>21</v>
      </c>
      <c r="BC227" s="937" t="s">
        <v>442</v>
      </c>
      <c r="BD227" s="934" t="s">
        <v>22</v>
      </c>
      <c r="BE227" s="937" t="s">
        <v>23</v>
      </c>
      <c r="BF227" s="937" t="s">
        <v>443</v>
      </c>
      <c r="BG227" s="937" t="s">
        <v>24</v>
      </c>
      <c r="BH227" s="937" t="s">
        <v>14</v>
      </c>
    </row>
    <row r="228" spans="1:60" s="633" customFormat="1" ht="15" thickBot="1" x14ac:dyDescent="0.25">
      <c r="A228" s="942"/>
      <c r="D228" s="1158" t="s">
        <v>25</v>
      </c>
      <c r="E228" s="1158"/>
      <c r="F228" s="1158"/>
      <c r="G228" s="1158"/>
      <c r="H228" s="1158"/>
      <c r="I228" s="1158"/>
      <c r="J228" s="1158"/>
      <c r="K228" s="1158"/>
      <c r="L228" s="1158"/>
      <c r="M228" s="1158"/>
      <c r="N228" s="1158"/>
      <c r="O228" s="1158"/>
      <c r="P228" s="1158"/>
      <c r="Q228" s="1158"/>
      <c r="R228" s="1158"/>
      <c r="S228" s="1158"/>
      <c r="T228" s="1158"/>
      <c r="U228" s="1158"/>
      <c r="V228" s="1158"/>
      <c r="W228" s="1158"/>
      <c r="X228" s="1158"/>
      <c r="Y228" s="1158"/>
      <c r="Z228" s="1158"/>
      <c r="AA228" s="1158"/>
      <c r="AB228" s="1158"/>
      <c r="AC228" s="1158"/>
      <c r="AD228" s="1158"/>
      <c r="AE228" s="1158"/>
      <c r="AF228" s="1158"/>
      <c r="AG228" s="1158"/>
      <c r="AH228" s="950"/>
      <c r="AI228" s="951"/>
      <c r="AJ228" s="952"/>
      <c r="AK228" s="952"/>
      <c r="AL228" s="952"/>
      <c r="AM228" s="952"/>
      <c r="AN228" s="952"/>
      <c r="AO228" s="952"/>
      <c r="AP228" s="953"/>
      <c r="AQ228" s="943"/>
      <c r="BA228" s="951"/>
      <c r="BB228" s="952"/>
      <c r="BC228" s="952"/>
      <c r="BD228" s="952"/>
      <c r="BE228" s="952"/>
      <c r="BF228" s="952"/>
      <c r="BG228" s="952"/>
      <c r="BH228" s="953"/>
    </row>
    <row r="229" spans="1:60" s="633" customFormat="1" ht="21.75" customHeight="1" x14ac:dyDescent="0.2">
      <c r="A229" s="942"/>
      <c r="D229" s="1142" t="s">
        <v>26</v>
      </c>
      <c r="E229" s="1142"/>
      <c r="F229" s="1142"/>
      <c r="G229" s="1142"/>
      <c r="H229" s="1142"/>
      <c r="I229" s="1142"/>
      <c r="J229" s="1167"/>
      <c r="K229" s="1167"/>
      <c r="L229" s="1167"/>
      <c r="M229" s="1167">
        <v>2068</v>
      </c>
      <c r="N229" s="1167"/>
      <c r="O229" s="1167"/>
      <c r="P229" s="1167"/>
      <c r="Q229" s="1167"/>
      <c r="R229" s="1167"/>
      <c r="S229" s="1167"/>
      <c r="T229" s="1167"/>
      <c r="U229" s="1167"/>
      <c r="V229" s="1167"/>
      <c r="W229" s="1167"/>
      <c r="X229" s="1167"/>
      <c r="Y229" s="1167"/>
      <c r="Z229" s="1167"/>
      <c r="AA229" s="1167"/>
      <c r="AB229" s="1167"/>
      <c r="AC229" s="1167"/>
      <c r="AD229" s="1167"/>
      <c r="AE229" s="1147">
        <f>SUM(J229:AD229)</f>
        <v>2068</v>
      </c>
      <c r="AF229" s="1147"/>
      <c r="AG229" s="1147"/>
      <c r="AI229" s="954"/>
      <c r="AJ229" s="949"/>
      <c r="AK229" s="949"/>
      <c r="AL229" s="949"/>
      <c r="AM229" s="949"/>
      <c r="AN229" s="949"/>
      <c r="AO229" s="949"/>
      <c r="AP229" s="955">
        <f>SUM(J229:AD229)-AE229</f>
        <v>0</v>
      </c>
      <c r="AQ229" s="943"/>
      <c r="BA229" s="954"/>
      <c r="BB229" s="949"/>
      <c r="BC229" s="949"/>
      <c r="BD229" s="949"/>
      <c r="BE229" s="949"/>
      <c r="BF229" s="949"/>
      <c r="BG229" s="949"/>
      <c r="BH229" s="958"/>
    </row>
    <row r="230" spans="1:60" s="633" customFormat="1" x14ac:dyDescent="0.2">
      <c r="A230" s="942"/>
      <c r="D230" s="1105" t="s">
        <v>27</v>
      </c>
      <c r="E230" s="1105"/>
      <c r="F230" s="1105"/>
      <c r="G230" s="1105"/>
      <c r="H230" s="1105"/>
      <c r="I230" s="1105"/>
      <c r="J230" s="1045"/>
      <c r="K230" s="1045"/>
      <c r="L230" s="1045"/>
      <c r="M230" s="1045"/>
      <c r="N230" s="1045"/>
      <c r="O230" s="1045"/>
      <c r="P230" s="1045"/>
      <c r="Q230" s="1045"/>
      <c r="R230" s="1045"/>
      <c r="S230" s="1045"/>
      <c r="T230" s="1045"/>
      <c r="U230" s="1045"/>
      <c r="V230" s="1045"/>
      <c r="W230" s="1045"/>
      <c r="X230" s="1045"/>
      <c r="Y230" s="1045"/>
      <c r="Z230" s="1045"/>
      <c r="AA230" s="1045"/>
      <c r="AB230" s="1045"/>
      <c r="AC230" s="1045"/>
      <c r="AD230" s="1045"/>
      <c r="AE230" s="1139">
        <f>SUM(J230:AD230)</f>
        <v>0</v>
      </c>
      <c r="AF230" s="1139"/>
      <c r="AG230" s="1139"/>
      <c r="AI230" s="954"/>
      <c r="AJ230" s="949"/>
      <c r="AK230" s="949"/>
      <c r="AL230" s="949"/>
      <c r="AM230" s="949"/>
      <c r="AN230" s="949"/>
      <c r="AO230" s="949"/>
      <c r="AP230" s="955">
        <f>SUM(J230:AD230)-AE230</f>
        <v>0</v>
      </c>
      <c r="AQ230" s="943"/>
      <c r="BA230" s="954"/>
      <c r="BB230" s="949"/>
      <c r="BC230" s="949"/>
      <c r="BD230" s="949"/>
      <c r="BE230" s="949"/>
      <c r="BF230" s="949"/>
      <c r="BG230" s="949"/>
      <c r="BH230" s="958"/>
    </row>
    <row r="231" spans="1:60" s="633" customFormat="1" x14ac:dyDescent="0.2">
      <c r="A231" s="942"/>
      <c r="D231" s="1105" t="s">
        <v>28</v>
      </c>
      <c r="E231" s="1105"/>
      <c r="F231" s="1105"/>
      <c r="G231" s="1105"/>
      <c r="H231" s="1105"/>
      <c r="I231" s="1105"/>
      <c r="J231" s="1045"/>
      <c r="K231" s="1045"/>
      <c r="L231" s="1045"/>
      <c r="M231" s="1045"/>
      <c r="N231" s="1045"/>
      <c r="O231" s="1045"/>
      <c r="P231" s="1045"/>
      <c r="Q231" s="1045"/>
      <c r="R231" s="1045"/>
      <c r="S231" s="1045"/>
      <c r="T231" s="1045"/>
      <c r="U231" s="1045"/>
      <c r="V231" s="1045"/>
      <c r="W231" s="1045"/>
      <c r="X231" s="1045"/>
      <c r="Y231" s="1045"/>
      <c r="Z231" s="1045"/>
      <c r="AA231" s="1045"/>
      <c r="AB231" s="1045"/>
      <c r="AC231" s="1045"/>
      <c r="AD231" s="1045"/>
      <c r="AE231" s="1139">
        <f t="shared" ref="AE231" si="39">SUM(J231:AD231)</f>
        <v>0</v>
      </c>
      <c r="AF231" s="1139"/>
      <c r="AG231" s="1139"/>
      <c r="AI231" s="954"/>
      <c r="AJ231" s="949"/>
      <c r="AK231" s="949"/>
      <c r="AL231" s="949"/>
      <c r="AM231" s="949"/>
      <c r="AN231" s="949"/>
      <c r="AO231" s="949"/>
      <c r="AP231" s="955">
        <f t="shared" ref="AP231" si="40">SUM(J231:AD231)-AE231</f>
        <v>0</v>
      </c>
      <c r="AQ231" s="943"/>
      <c r="BA231" s="954"/>
      <c r="BB231" s="949"/>
      <c r="BC231" s="949"/>
      <c r="BD231" s="949"/>
      <c r="BE231" s="949"/>
      <c r="BF231" s="949"/>
      <c r="BG231" s="949"/>
      <c r="BH231" s="958"/>
    </row>
    <row r="232" spans="1:60" s="633" customFormat="1" x14ac:dyDescent="0.2">
      <c r="A232" s="942"/>
      <c r="D232" s="1105" t="s">
        <v>29</v>
      </c>
      <c r="E232" s="1105"/>
      <c r="F232" s="1105"/>
      <c r="G232" s="1105"/>
      <c r="H232" s="1105"/>
      <c r="I232" s="1105"/>
      <c r="J232" s="1045"/>
      <c r="K232" s="1045"/>
      <c r="L232" s="1045"/>
      <c r="M232" s="1045"/>
      <c r="N232" s="1045"/>
      <c r="O232" s="1045"/>
      <c r="P232" s="1045"/>
      <c r="Q232" s="1045"/>
      <c r="R232" s="1045"/>
      <c r="S232" s="1045"/>
      <c r="T232" s="1045"/>
      <c r="U232" s="1045"/>
      <c r="V232" s="1045"/>
      <c r="W232" s="1045"/>
      <c r="X232" s="1045"/>
      <c r="Y232" s="1045"/>
      <c r="Z232" s="1045"/>
      <c r="AA232" s="1045"/>
      <c r="AB232" s="1045"/>
      <c r="AC232" s="1045"/>
      <c r="AD232" s="1045"/>
      <c r="AE232" s="1139">
        <f>SUM(J232:AD232)</f>
        <v>0</v>
      </c>
      <c r="AF232" s="1139"/>
      <c r="AG232" s="1139"/>
      <c r="AI232" s="954"/>
      <c r="AJ232" s="949"/>
      <c r="AK232" s="949"/>
      <c r="AL232" s="949"/>
      <c r="AM232" s="949"/>
      <c r="AN232" s="949"/>
      <c r="AO232" s="949"/>
      <c r="AP232" s="955">
        <f>SUM(J232:AD232)-AE232</f>
        <v>0</v>
      </c>
      <c r="AQ232" s="943"/>
      <c r="BA232" s="954"/>
      <c r="BB232" s="949"/>
      <c r="BC232" s="949"/>
      <c r="BD232" s="949"/>
      <c r="BE232" s="949"/>
      <c r="BF232" s="949"/>
      <c r="BG232" s="949"/>
      <c r="BH232" s="958"/>
    </row>
    <row r="233" spans="1:60" s="633" customFormat="1" ht="21.75" customHeight="1" thickBot="1" x14ac:dyDescent="0.25">
      <c r="A233" s="942"/>
      <c r="D233" s="1107" t="s">
        <v>30</v>
      </c>
      <c r="E233" s="1107"/>
      <c r="F233" s="1107"/>
      <c r="G233" s="1107"/>
      <c r="H233" s="1107"/>
      <c r="I233" s="1107"/>
      <c r="J233" s="1160">
        <f>J229+J230-J231+J232</f>
        <v>0</v>
      </c>
      <c r="K233" s="1160"/>
      <c r="L233" s="1160"/>
      <c r="M233" s="1160">
        <f t="shared" ref="M233" si="41">M229+M230-M231+M232</f>
        <v>2068</v>
      </c>
      <c r="N233" s="1160"/>
      <c r="O233" s="1160"/>
      <c r="P233" s="1160">
        <f t="shared" ref="P233" si="42">P229+P230-P231+P232</f>
        <v>0</v>
      </c>
      <c r="Q233" s="1160"/>
      <c r="R233" s="1160"/>
      <c r="S233" s="1160">
        <f t="shared" ref="S233" si="43">S229+S230-S231+S232</f>
        <v>0</v>
      </c>
      <c r="T233" s="1160"/>
      <c r="U233" s="1160"/>
      <c r="V233" s="1160">
        <f t="shared" ref="V233" si="44">V229+V230-V231+V232</f>
        <v>0</v>
      </c>
      <c r="W233" s="1160"/>
      <c r="X233" s="1160"/>
      <c r="Y233" s="1160">
        <f t="shared" ref="Y233" si="45">Y229+Y230-Y231+Y232</f>
        <v>0</v>
      </c>
      <c r="Z233" s="1160"/>
      <c r="AA233" s="1160"/>
      <c r="AB233" s="1160">
        <f t="shared" ref="AB233" si="46">AB229+AB230-AB231+AB232</f>
        <v>0</v>
      </c>
      <c r="AC233" s="1160"/>
      <c r="AD233" s="1160"/>
      <c r="AE233" s="1160">
        <f t="shared" ref="AE233" si="47">AE229+AE230-AE231+AE232</f>
        <v>2068</v>
      </c>
      <c r="AF233" s="1160"/>
      <c r="AG233" s="1160"/>
      <c r="AI233" s="956">
        <f>J229+J230-J231+J232-J233</f>
        <v>0</v>
      </c>
      <c r="AJ233" s="957">
        <f>M229+M230-M231+M232-M233</f>
        <v>0</v>
      </c>
      <c r="AK233" s="957">
        <f>P229+P230-P231+P232-P233</f>
        <v>0</v>
      </c>
      <c r="AL233" s="957">
        <f>S229+S230-S231+S232-S233</f>
        <v>0</v>
      </c>
      <c r="AM233" s="957">
        <f>V229+V230-V231+V232-V233</f>
        <v>0</v>
      </c>
      <c r="AN233" s="957">
        <f>Y229+Y230-Y231+Y232-Y233</f>
        <v>0</v>
      </c>
      <c r="AO233" s="957">
        <f>AB229+AB230-AB231+AB232-AB233</f>
        <v>0</v>
      </c>
      <c r="AP233" s="955">
        <f>AE229+AE230-AE231+AE232-AE233</f>
        <v>0</v>
      </c>
      <c r="AQ233" s="943"/>
      <c r="BA233" s="956"/>
      <c r="BB233" s="957"/>
      <c r="BC233" s="957"/>
      <c r="BD233" s="957"/>
      <c r="BE233" s="957"/>
      <c r="BF233" s="957"/>
      <c r="BG233" s="957"/>
      <c r="BH233" s="955"/>
    </row>
    <row r="234" spans="1:60" s="633" customFormat="1" ht="15" thickBot="1" x14ac:dyDescent="0.25">
      <c r="A234" s="942"/>
      <c r="D234" s="1158" t="s">
        <v>31</v>
      </c>
      <c r="E234" s="1158"/>
      <c r="F234" s="1158"/>
      <c r="G234" s="1158"/>
      <c r="H234" s="1158"/>
      <c r="I234" s="1158"/>
      <c r="J234" s="1158"/>
      <c r="K234" s="1158"/>
      <c r="L234" s="1158"/>
      <c r="M234" s="1158"/>
      <c r="N234" s="1158"/>
      <c r="O234" s="1158"/>
      <c r="P234" s="1158"/>
      <c r="Q234" s="1158"/>
      <c r="R234" s="1158"/>
      <c r="S234" s="1158"/>
      <c r="T234" s="1158"/>
      <c r="U234" s="1158"/>
      <c r="V234" s="1158"/>
      <c r="W234" s="1158"/>
      <c r="X234" s="1158"/>
      <c r="Y234" s="1158"/>
      <c r="Z234" s="1158"/>
      <c r="AA234" s="1158"/>
      <c r="AB234" s="1158"/>
      <c r="AC234" s="1158"/>
      <c r="AD234" s="1158"/>
      <c r="AE234" s="1158"/>
      <c r="AF234" s="1158"/>
      <c r="AG234" s="1158"/>
      <c r="AH234" s="950"/>
      <c r="AI234" s="954"/>
      <c r="AJ234" s="949"/>
      <c r="AK234" s="949"/>
      <c r="AL234" s="949"/>
      <c r="AM234" s="949"/>
      <c r="AN234" s="949"/>
      <c r="AO234" s="949"/>
      <c r="AP234" s="955"/>
      <c r="AQ234" s="943"/>
      <c r="BA234" s="954"/>
      <c r="BB234" s="949"/>
      <c r="BC234" s="949"/>
      <c r="BD234" s="949"/>
      <c r="BE234" s="949"/>
      <c r="BF234" s="949"/>
      <c r="BG234" s="949"/>
      <c r="BH234" s="958"/>
    </row>
    <row r="235" spans="1:60" s="633" customFormat="1" ht="21.75" customHeight="1" x14ac:dyDescent="0.2">
      <c r="A235" s="942"/>
      <c r="D235" s="1164" t="s">
        <v>32</v>
      </c>
      <c r="E235" s="1165"/>
      <c r="F235" s="1165"/>
      <c r="G235" s="1165"/>
      <c r="H235" s="1165"/>
      <c r="I235" s="1166"/>
      <c r="J235" s="1167"/>
      <c r="K235" s="1167"/>
      <c r="L235" s="1167"/>
      <c r="M235" s="1167">
        <v>2068</v>
      </c>
      <c r="N235" s="1167"/>
      <c r="O235" s="1167"/>
      <c r="P235" s="1167"/>
      <c r="Q235" s="1167"/>
      <c r="R235" s="1167"/>
      <c r="S235" s="1167"/>
      <c r="T235" s="1167"/>
      <c r="U235" s="1167"/>
      <c r="V235" s="1167"/>
      <c r="W235" s="1167"/>
      <c r="X235" s="1167"/>
      <c r="Y235" s="1167"/>
      <c r="Z235" s="1167"/>
      <c r="AA235" s="1167"/>
      <c r="AB235" s="1167"/>
      <c r="AC235" s="1167"/>
      <c r="AD235" s="1167"/>
      <c r="AE235" s="1147">
        <f>SUM(J235:AD235)</f>
        <v>2068</v>
      </c>
      <c r="AF235" s="1147"/>
      <c r="AG235" s="1147"/>
      <c r="AI235" s="954"/>
      <c r="AJ235" s="949"/>
      <c r="AK235" s="949"/>
      <c r="AL235" s="949"/>
      <c r="AM235" s="949"/>
      <c r="AN235" s="949"/>
      <c r="AO235" s="949"/>
      <c r="AP235" s="955">
        <f>SUM(J235:AD235)-AE235</f>
        <v>0</v>
      </c>
      <c r="AQ235" s="943"/>
      <c r="BA235" s="954"/>
      <c r="BB235" s="949"/>
      <c r="BC235" s="949"/>
      <c r="BD235" s="949"/>
      <c r="BE235" s="949"/>
      <c r="BF235" s="949"/>
      <c r="BG235" s="949"/>
      <c r="BH235" s="958"/>
    </row>
    <row r="236" spans="1:60" s="633" customFormat="1" x14ac:dyDescent="0.2">
      <c r="A236" s="942"/>
      <c r="D236" s="1105" t="s">
        <v>27</v>
      </c>
      <c r="E236" s="1105"/>
      <c r="F236" s="1105"/>
      <c r="G236" s="1105"/>
      <c r="H236" s="1105"/>
      <c r="I236" s="1105"/>
      <c r="J236" s="1045"/>
      <c r="K236" s="1045"/>
      <c r="L236" s="1045"/>
      <c r="M236" s="1045"/>
      <c r="N236" s="1045"/>
      <c r="O236" s="1045"/>
      <c r="P236" s="1045"/>
      <c r="Q236" s="1045"/>
      <c r="R236" s="1045"/>
      <c r="S236" s="1045"/>
      <c r="T236" s="1045"/>
      <c r="U236" s="1045"/>
      <c r="V236" s="1045"/>
      <c r="W236" s="1045"/>
      <c r="X236" s="1045"/>
      <c r="Y236" s="1045"/>
      <c r="Z236" s="1045"/>
      <c r="AA236" s="1045"/>
      <c r="AB236" s="1045"/>
      <c r="AC236" s="1045"/>
      <c r="AD236" s="1045"/>
      <c r="AE236" s="1139">
        <f>SUM(J236:AD236)</f>
        <v>0</v>
      </c>
      <c r="AF236" s="1139"/>
      <c r="AG236" s="1139"/>
      <c r="AI236" s="954"/>
      <c r="AJ236" s="949"/>
      <c r="AK236" s="949"/>
      <c r="AL236" s="949"/>
      <c r="AM236" s="949"/>
      <c r="AN236" s="949"/>
      <c r="AO236" s="949"/>
      <c r="AP236" s="955">
        <f t="shared" ref="AP236:AP237" si="48">SUM(J236:AD236)-AE236</f>
        <v>0</v>
      </c>
      <c r="AQ236" s="943"/>
      <c r="BA236" s="954"/>
      <c r="BB236" s="949"/>
      <c r="BC236" s="949"/>
      <c r="BD236" s="949"/>
      <c r="BE236" s="949"/>
      <c r="BF236" s="949"/>
      <c r="BG236" s="949"/>
      <c r="BH236" s="958"/>
    </row>
    <row r="237" spans="1:60" s="633" customFormat="1" x14ac:dyDescent="0.2">
      <c r="A237" s="942"/>
      <c r="D237" s="1105" t="s">
        <v>28</v>
      </c>
      <c r="E237" s="1105"/>
      <c r="F237" s="1105"/>
      <c r="G237" s="1105"/>
      <c r="H237" s="1105"/>
      <c r="I237" s="1105"/>
      <c r="J237" s="1045"/>
      <c r="K237" s="1045"/>
      <c r="L237" s="1045"/>
      <c r="M237" s="1045"/>
      <c r="N237" s="1045"/>
      <c r="O237" s="1045"/>
      <c r="P237" s="1045"/>
      <c r="Q237" s="1045"/>
      <c r="R237" s="1045"/>
      <c r="S237" s="1045"/>
      <c r="T237" s="1045"/>
      <c r="U237" s="1045"/>
      <c r="V237" s="1045"/>
      <c r="W237" s="1045"/>
      <c r="X237" s="1045"/>
      <c r="Y237" s="1045"/>
      <c r="Z237" s="1045"/>
      <c r="AA237" s="1045"/>
      <c r="AB237" s="1045"/>
      <c r="AC237" s="1045"/>
      <c r="AD237" s="1045"/>
      <c r="AE237" s="1139">
        <f>SUM(J237:AD237)</f>
        <v>0</v>
      </c>
      <c r="AF237" s="1139"/>
      <c r="AG237" s="1139"/>
      <c r="AI237" s="954"/>
      <c r="AJ237" s="949"/>
      <c r="AK237" s="949"/>
      <c r="AL237" s="949"/>
      <c r="AM237" s="949"/>
      <c r="AN237" s="949"/>
      <c r="AO237" s="949"/>
      <c r="AP237" s="955">
        <f t="shared" si="48"/>
        <v>0</v>
      </c>
      <c r="AQ237" s="943"/>
      <c r="BA237" s="668"/>
      <c r="BB237" s="949"/>
      <c r="BC237" s="949"/>
      <c r="BD237" s="949"/>
      <c r="BE237" s="949"/>
      <c r="BF237" s="949"/>
      <c r="BG237" s="949"/>
      <c r="BH237" s="958"/>
    </row>
    <row r="238" spans="1:60" s="633" customFormat="1" ht="21.75" customHeight="1" thickBot="1" x14ac:dyDescent="0.25">
      <c r="A238" s="942"/>
      <c r="D238" s="1107" t="s">
        <v>30</v>
      </c>
      <c r="E238" s="1107"/>
      <c r="F238" s="1107"/>
      <c r="G238" s="1107"/>
      <c r="H238" s="1107"/>
      <c r="I238" s="1107"/>
      <c r="J238" s="1160">
        <f>J235+J236-J237</f>
        <v>0</v>
      </c>
      <c r="K238" s="1160"/>
      <c r="L238" s="1160"/>
      <c r="M238" s="1160">
        <f t="shared" ref="M238" si="49">M235+M236-M237</f>
        <v>2068</v>
      </c>
      <c r="N238" s="1160"/>
      <c r="O238" s="1160"/>
      <c r="P238" s="1160">
        <f t="shared" ref="P238" si="50">P235+P236-P237</f>
        <v>0</v>
      </c>
      <c r="Q238" s="1160"/>
      <c r="R238" s="1160"/>
      <c r="S238" s="1160">
        <f t="shared" ref="S238" si="51">S235+S236-S237</f>
        <v>0</v>
      </c>
      <c r="T238" s="1160"/>
      <c r="U238" s="1160"/>
      <c r="V238" s="1160">
        <f t="shared" ref="V238" si="52">V235+V236-V237</f>
        <v>0</v>
      </c>
      <c r="W238" s="1160"/>
      <c r="X238" s="1160"/>
      <c r="Y238" s="1160">
        <f t="shared" ref="Y238" si="53">Y235+Y236-Y237</f>
        <v>0</v>
      </c>
      <c r="Z238" s="1160"/>
      <c r="AA238" s="1160"/>
      <c r="AB238" s="1160">
        <f t="shared" ref="AB238" si="54">AB235+AB236-AB237</f>
        <v>0</v>
      </c>
      <c r="AC238" s="1160"/>
      <c r="AD238" s="1160"/>
      <c r="AE238" s="1160">
        <f t="shared" ref="AE238" si="55">AE235+AE236-AE237</f>
        <v>2068</v>
      </c>
      <c r="AF238" s="1160"/>
      <c r="AG238" s="1160"/>
      <c r="AI238" s="956">
        <f>J235+J236-J237-J238</f>
        <v>0</v>
      </c>
      <c r="AJ238" s="957">
        <f>M235+M236-M237-M238</f>
        <v>0</v>
      </c>
      <c r="AK238" s="957">
        <f>P235+P236-P237-P238</f>
        <v>0</v>
      </c>
      <c r="AL238" s="957">
        <f>S235+S236-S237-S238</f>
        <v>0</v>
      </c>
      <c r="AM238" s="957">
        <f>V235+V236-V237-V238</f>
        <v>0</v>
      </c>
      <c r="AN238" s="957">
        <f>Y235+Y236-Y237-Y238</f>
        <v>0</v>
      </c>
      <c r="AO238" s="957">
        <f>AB235+AB236-AB237-AB238</f>
        <v>0</v>
      </c>
      <c r="AP238" s="955">
        <f>AE235+AE236-AE237-AE238</f>
        <v>0</v>
      </c>
      <c r="AQ238" s="943"/>
      <c r="BA238" s="956"/>
      <c r="BB238" s="957"/>
      <c r="BC238" s="957"/>
      <c r="BD238" s="957"/>
      <c r="BE238" s="957"/>
      <c r="BF238" s="957"/>
      <c r="BG238" s="957"/>
      <c r="BH238" s="955"/>
    </row>
    <row r="239" spans="1:60" s="633" customFormat="1" ht="15" thickBot="1" x14ac:dyDescent="0.25">
      <c r="A239" s="942"/>
      <c r="D239" s="1158" t="s">
        <v>33</v>
      </c>
      <c r="E239" s="1158"/>
      <c r="F239" s="1158"/>
      <c r="G239" s="1158"/>
      <c r="H239" s="1158"/>
      <c r="I239" s="1158"/>
      <c r="J239" s="1158"/>
      <c r="K239" s="1158"/>
      <c r="L239" s="1158"/>
      <c r="M239" s="1158"/>
      <c r="N239" s="1158"/>
      <c r="O239" s="1158"/>
      <c r="P239" s="1158"/>
      <c r="Q239" s="1158"/>
      <c r="R239" s="1158"/>
      <c r="S239" s="1158"/>
      <c r="T239" s="1158"/>
      <c r="U239" s="1158"/>
      <c r="V239" s="1158"/>
      <c r="W239" s="1158"/>
      <c r="X239" s="1158"/>
      <c r="Y239" s="1158"/>
      <c r="Z239" s="1158"/>
      <c r="AA239" s="1158"/>
      <c r="AB239" s="1158"/>
      <c r="AC239" s="1158"/>
      <c r="AD239" s="1158"/>
      <c r="AE239" s="1158"/>
      <c r="AF239" s="1158"/>
      <c r="AG239" s="1158"/>
      <c r="AH239" s="950"/>
      <c r="AI239" s="954"/>
      <c r="AJ239" s="949"/>
      <c r="AK239" s="949"/>
      <c r="AL239" s="949"/>
      <c r="AM239" s="949"/>
      <c r="AN239" s="949"/>
      <c r="AO239" s="949"/>
      <c r="AP239" s="955"/>
      <c r="AQ239" s="943"/>
      <c r="BA239" s="954"/>
      <c r="BB239" s="949"/>
      <c r="BC239" s="949"/>
      <c r="BD239" s="949"/>
      <c r="BE239" s="949"/>
      <c r="BF239" s="949"/>
      <c r="BG239" s="949"/>
      <c r="BH239" s="958"/>
    </row>
    <row r="240" spans="1:60" s="633" customFormat="1" ht="21.75" customHeight="1" x14ac:dyDescent="0.2">
      <c r="A240" s="942"/>
      <c r="D240" s="1164" t="s">
        <v>32</v>
      </c>
      <c r="E240" s="1165"/>
      <c r="F240" s="1165"/>
      <c r="G240" s="1165"/>
      <c r="H240" s="1165"/>
      <c r="I240" s="1166"/>
      <c r="J240" s="1167"/>
      <c r="K240" s="1167"/>
      <c r="L240" s="1167"/>
      <c r="M240" s="1167"/>
      <c r="N240" s="1167"/>
      <c r="O240" s="1167"/>
      <c r="P240" s="1167"/>
      <c r="Q240" s="1167"/>
      <c r="R240" s="1167"/>
      <c r="S240" s="1167"/>
      <c r="T240" s="1167"/>
      <c r="U240" s="1167"/>
      <c r="V240" s="1167"/>
      <c r="W240" s="1167"/>
      <c r="X240" s="1167"/>
      <c r="Y240" s="1167"/>
      <c r="Z240" s="1167"/>
      <c r="AA240" s="1167"/>
      <c r="AB240" s="1167"/>
      <c r="AC240" s="1167"/>
      <c r="AD240" s="1167"/>
      <c r="AE240" s="1147">
        <f>SUM(J240:AD240)</f>
        <v>0</v>
      </c>
      <c r="AF240" s="1147"/>
      <c r="AG240" s="1147"/>
      <c r="AI240" s="954"/>
      <c r="AJ240" s="949"/>
      <c r="AK240" s="949"/>
      <c r="AL240" s="949"/>
      <c r="AM240" s="949"/>
      <c r="AN240" s="949"/>
      <c r="AO240" s="949"/>
      <c r="AP240" s="955">
        <f>SUM(J240:AD240)-AE240</f>
        <v>0</v>
      </c>
      <c r="AQ240" s="943"/>
      <c r="BA240" s="954"/>
      <c r="BB240" s="949"/>
      <c r="BC240" s="949"/>
      <c r="BD240" s="949"/>
      <c r="BE240" s="949"/>
      <c r="BF240" s="949"/>
      <c r="BG240" s="949"/>
      <c r="BH240" s="958"/>
    </row>
    <row r="241" spans="1:60" s="633" customFormat="1" x14ac:dyDescent="0.2">
      <c r="A241" s="942"/>
      <c r="D241" s="1105" t="s">
        <v>27</v>
      </c>
      <c r="E241" s="1105"/>
      <c r="F241" s="1105"/>
      <c r="G241" s="1105"/>
      <c r="H241" s="1105"/>
      <c r="I241" s="1105"/>
      <c r="J241" s="1045"/>
      <c r="K241" s="1045"/>
      <c r="L241" s="1045"/>
      <c r="M241" s="1045"/>
      <c r="N241" s="1045"/>
      <c r="O241" s="1045"/>
      <c r="P241" s="1045"/>
      <c r="Q241" s="1045"/>
      <c r="R241" s="1045"/>
      <c r="S241" s="1045"/>
      <c r="T241" s="1045"/>
      <c r="U241" s="1045"/>
      <c r="V241" s="1045"/>
      <c r="W241" s="1045"/>
      <c r="X241" s="1045"/>
      <c r="Y241" s="1045"/>
      <c r="Z241" s="1045"/>
      <c r="AA241" s="1045"/>
      <c r="AB241" s="1045"/>
      <c r="AC241" s="1045"/>
      <c r="AD241" s="1045"/>
      <c r="AE241" s="1139">
        <f>SUM(J241:AD241)</f>
        <v>0</v>
      </c>
      <c r="AF241" s="1139"/>
      <c r="AG241" s="1139"/>
      <c r="AI241" s="954"/>
      <c r="AJ241" s="949"/>
      <c r="AK241" s="949"/>
      <c r="AL241" s="949"/>
      <c r="AM241" s="949"/>
      <c r="AN241" s="949"/>
      <c r="AO241" s="949"/>
      <c r="AP241" s="955">
        <f t="shared" ref="AP241:AP242" si="56">SUM(J241:AD241)-AE241</f>
        <v>0</v>
      </c>
      <c r="AQ241" s="943"/>
      <c r="BA241" s="954"/>
      <c r="BB241" s="949"/>
      <c r="BC241" s="949"/>
      <c r="BD241" s="949"/>
      <c r="BE241" s="949"/>
      <c r="BF241" s="949"/>
      <c r="BG241" s="949"/>
      <c r="BH241" s="958"/>
    </row>
    <row r="242" spans="1:60" s="633" customFormat="1" x14ac:dyDescent="0.2">
      <c r="A242" s="942"/>
      <c r="D242" s="1105" t="s">
        <v>28</v>
      </c>
      <c r="E242" s="1105"/>
      <c r="F242" s="1105"/>
      <c r="G242" s="1105"/>
      <c r="H242" s="1105"/>
      <c r="I242" s="1105"/>
      <c r="J242" s="1045"/>
      <c r="K242" s="1045"/>
      <c r="L242" s="1045"/>
      <c r="M242" s="1045"/>
      <c r="N242" s="1045"/>
      <c r="O242" s="1045"/>
      <c r="P242" s="1045"/>
      <c r="Q242" s="1045"/>
      <c r="R242" s="1045"/>
      <c r="S242" s="1045"/>
      <c r="T242" s="1045"/>
      <c r="U242" s="1045"/>
      <c r="V242" s="1045"/>
      <c r="W242" s="1045"/>
      <c r="X242" s="1045"/>
      <c r="Y242" s="1045"/>
      <c r="Z242" s="1045"/>
      <c r="AA242" s="1045"/>
      <c r="AB242" s="1045"/>
      <c r="AC242" s="1045"/>
      <c r="AD242" s="1045"/>
      <c r="AE242" s="1139">
        <f>SUM(J241:AD241)</f>
        <v>0</v>
      </c>
      <c r="AF242" s="1139"/>
      <c r="AG242" s="1139"/>
      <c r="AI242" s="954"/>
      <c r="AJ242" s="949"/>
      <c r="AK242" s="949"/>
      <c r="AL242" s="949"/>
      <c r="AM242" s="949"/>
      <c r="AN242" s="949"/>
      <c r="AO242" s="949"/>
      <c r="AP242" s="955">
        <f t="shared" si="56"/>
        <v>0</v>
      </c>
      <c r="AQ242" s="943"/>
      <c r="BA242" s="954"/>
      <c r="BB242" s="949"/>
      <c r="BC242" s="949"/>
      <c r="BD242" s="949"/>
      <c r="BE242" s="949"/>
      <c r="BF242" s="949"/>
      <c r="BG242" s="949"/>
      <c r="BH242" s="958"/>
    </row>
    <row r="243" spans="1:60" s="633" customFormat="1" ht="21.75" customHeight="1" thickBot="1" x14ac:dyDescent="0.25">
      <c r="A243" s="942"/>
      <c r="D243" s="1161" t="s">
        <v>30</v>
      </c>
      <c r="E243" s="1162"/>
      <c r="F243" s="1162"/>
      <c r="G243" s="1162"/>
      <c r="H243" s="1162"/>
      <c r="I243" s="1163"/>
      <c r="J243" s="1160">
        <f>J240+J241-J242</f>
        <v>0</v>
      </c>
      <c r="K243" s="1160"/>
      <c r="L243" s="1160"/>
      <c r="M243" s="1160">
        <f t="shared" ref="M243" si="57">M240+M241-M242</f>
        <v>0</v>
      </c>
      <c r="N243" s="1160"/>
      <c r="O243" s="1160"/>
      <c r="P243" s="1160">
        <f t="shared" ref="P243" si="58">P240+P241-P242</f>
        <v>0</v>
      </c>
      <c r="Q243" s="1160"/>
      <c r="R243" s="1160"/>
      <c r="S243" s="1160">
        <f t="shared" ref="S243" si="59">S240+S241-S242</f>
        <v>0</v>
      </c>
      <c r="T243" s="1160"/>
      <c r="U243" s="1160"/>
      <c r="V243" s="1160">
        <f t="shared" ref="V243" si="60">V240+V241-V242</f>
        <v>0</v>
      </c>
      <c r="W243" s="1160"/>
      <c r="X243" s="1160"/>
      <c r="Y243" s="1160">
        <f t="shared" ref="Y243" si="61">Y240+Y241-Y242</f>
        <v>0</v>
      </c>
      <c r="Z243" s="1160"/>
      <c r="AA243" s="1160"/>
      <c r="AB243" s="1160">
        <f t="shared" ref="AB243" si="62">AB240+AB241-AB242</f>
        <v>0</v>
      </c>
      <c r="AC243" s="1160"/>
      <c r="AD243" s="1160"/>
      <c r="AE243" s="1160">
        <f>AE240+AE241-AE242</f>
        <v>0</v>
      </c>
      <c r="AF243" s="1160"/>
      <c r="AG243" s="1160"/>
      <c r="AI243" s="956">
        <f>J240+J241-J242-J243</f>
        <v>0</v>
      </c>
      <c r="AJ243" s="957">
        <f>M240+M241-M242-M243</f>
        <v>0</v>
      </c>
      <c r="AK243" s="957">
        <f>P240+P241-P242-P243</f>
        <v>0</v>
      </c>
      <c r="AL243" s="957">
        <f>S240+S241-S242-S243</f>
        <v>0</v>
      </c>
      <c r="AM243" s="957">
        <f>V240+V241-V242-V243</f>
        <v>0</v>
      </c>
      <c r="AN243" s="957">
        <f>Y240+Y241-Y242-Y243</f>
        <v>0</v>
      </c>
      <c r="AO243" s="957">
        <f>AB240+AB241-AB242-AB243</f>
        <v>0</v>
      </c>
      <c r="AP243" s="955">
        <f>AE240+AE241-AE242-AE243</f>
        <v>0</v>
      </c>
      <c r="AQ243" s="943"/>
      <c r="BA243" s="954"/>
      <c r="BB243" s="949"/>
      <c r="BC243" s="949"/>
      <c r="BD243" s="949"/>
      <c r="BE243" s="949"/>
      <c r="BF243" s="949"/>
      <c r="BG243" s="949"/>
      <c r="BH243" s="958"/>
    </row>
    <row r="244" spans="1:60" s="633" customFormat="1" ht="15" thickBot="1" x14ac:dyDescent="0.25">
      <c r="A244" s="942"/>
      <c r="D244" s="1158" t="s">
        <v>34</v>
      </c>
      <c r="E244" s="1158"/>
      <c r="F244" s="1158"/>
      <c r="G244" s="1158"/>
      <c r="H244" s="1158"/>
      <c r="I244" s="1158"/>
      <c r="J244" s="1158"/>
      <c r="K244" s="1158"/>
      <c r="L244" s="1158"/>
      <c r="M244" s="1158"/>
      <c r="N244" s="1158"/>
      <c r="O244" s="1158"/>
      <c r="P244" s="1158"/>
      <c r="Q244" s="1158"/>
      <c r="R244" s="1158"/>
      <c r="S244" s="1158"/>
      <c r="T244" s="1158"/>
      <c r="U244" s="1158"/>
      <c r="V244" s="1158"/>
      <c r="W244" s="1158"/>
      <c r="X244" s="1158"/>
      <c r="Y244" s="1158"/>
      <c r="Z244" s="1158"/>
      <c r="AA244" s="1158"/>
      <c r="AB244" s="1158"/>
      <c r="AC244" s="1158"/>
      <c r="AD244" s="1158"/>
      <c r="AE244" s="1158"/>
      <c r="AF244" s="1158"/>
      <c r="AG244" s="1158"/>
      <c r="AH244" s="950"/>
      <c r="AI244" s="954"/>
      <c r="AJ244" s="949"/>
      <c r="AK244" s="949"/>
      <c r="AL244" s="949"/>
      <c r="AM244" s="949"/>
      <c r="AN244" s="949"/>
      <c r="AO244" s="949"/>
      <c r="AP244" s="955"/>
      <c r="AQ244" s="943"/>
      <c r="BA244" s="954"/>
      <c r="BB244" s="949"/>
      <c r="BC244" s="949"/>
      <c r="BD244" s="949"/>
      <c r="BE244" s="949"/>
      <c r="BF244" s="949"/>
      <c r="BG244" s="949"/>
      <c r="BH244" s="958"/>
    </row>
    <row r="245" spans="1:60" s="633" customFormat="1" ht="21.75" customHeight="1" x14ac:dyDescent="0.2">
      <c r="A245" s="942"/>
      <c r="D245" s="1044" t="s">
        <v>32</v>
      </c>
      <c r="E245" s="1044"/>
      <c r="F245" s="1044"/>
      <c r="G245" s="1044"/>
      <c r="H245" s="1044"/>
      <c r="I245" s="1044"/>
      <c r="J245" s="1159">
        <f>J229-J235-J240</f>
        <v>0</v>
      </c>
      <c r="K245" s="1159"/>
      <c r="L245" s="1159"/>
      <c r="M245" s="1159">
        <f t="shared" ref="M245" si="63">M229-M235-M240</f>
        <v>0</v>
      </c>
      <c r="N245" s="1159"/>
      <c r="O245" s="1159"/>
      <c r="P245" s="1159">
        <f t="shared" ref="P245" si="64">P229-P235-P240</f>
        <v>0</v>
      </c>
      <c r="Q245" s="1159"/>
      <c r="R245" s="1159"/>
      <c r="S245" s="1159">
        <f t="shared" ref="S245" si="65">S229-S235-S240</f>
        <v>0</v>
      </c>
      <c r="T245" s="1159"/>
      <c r="U245" s="1159"/>
      <c r="V245" s="1159">
        <f t="shared" ref="V245" si="66">V229-V235-V240</f>
        <v>0</v>
      </c>
      <c r="W245" s="1159"/>
      <c r="X245" s="1159"/>
      <c r="Y245" s="1159">
        <f t="shared" ref="Y245" si="67">Y229-Y235-Y240</f>
        <v>0</v>
      </c>
      <c r="Z245" s="1159"/>
      <c r="AA245" s="1159"/>
      <c r="AB245" s="1159">
        <f t="shared" ref="AB245" si="68">AB229-AB235-AB240</f>
        <v>0</v>
      </c>
      <c r="AC245" s="1159"/>
      <c r="AD245" s="1159"/>
      <c r="AE245" s="1159">
        <f>AE229-AE235-AE240</f>
        <v>0</v>
      </c>
      <c r="AF245" s="1159"/>
      <c r="AG245" s="1159"/>
      <c r="AI245" s="956">
        <f>J229-J235-J240-J245</f>
        <v>0</v>
      </c>
      <c r="AJ245" s="957">
        <f>M229-M235-M240-M245</f>
        <v>0</v>
      </c>
      <c r="AK245" s="957">
        <f>P229-P235-P240-P245</f>
        <v>0</v>
      </c>
      <c r="AL245" s="957">
        <f>S229-S235-S240-S245</f>
        <v>0</v>
      </c>
      <c r="AM245" s="957">
        <f>V229-V235-V240-V245</f>
        <v>0</v>
      </c>
      <c r="AN245" s="957">
        <f>Y229-Y235-Y240-Y245</f>
        <v>0</v>
      </c>
      <c r="AO245" s="957">
        <f>AB229-AB235-AB240-AB245</f>
        <v>0</v>
      </c>
      <c r="AP245" s="955">
        <f>SUM(J245:AD245)-AE245</f>
        <v>0</v>
      </c>
      <c r="AQ245" s="943"/>
      <c r="BA245" s="954"/>
      <c r="BB245" s="949"/>
      <c r="BC245" s="949"/>
      <c r="BD245" s="949"/>
      <c r="BE245" s="949"/>
      <c r="BF245" s="949"/>
      <c r="BG245" s="949"/>
      <c r="BH245" s="958"/>
    </row>
    <row r="246" spans="1:60" s="633" customFormat="1" ht="21.75" customHeight="1" thickBot="1" x14ac:dyDescent="0.25">
      <c r="A246" s="942"/>
      <c r="D246" s="1107" t="s">
        <v>30</v>
      </c>
      <c r="E246" s="1107"/>
      <c r="F246" s="1107"/>
      <c r="G246" s="1107"/>
      <c r="H246" s="1107"/>
      <c r="I246" s="1107"/>
      <c r="J246" s="1160">
        <f>J233-J238-J243</f>
        <v>0</v>
      </c>
      <c r="K246" s="1160"/>
      <c r="L246" s="1160"/>
      <c r="M246" s="1160">
        <f t="shared" ref="M246" si="69">M233-M238-M243</f>
        <v>0</v>
      </c>
      <c r="N246" s="1160"/>
      <c r="O246" s="1160"/>
      <c r="P246" s="1160">
        <f t="shared" ref="P246" si="70">P233-P238-P243</f>
        <v>0</v>
      </c>
      <c r="Q246" s="1160"/>
      <c r="R246" s="1160"/>
      <c r="S246" s="1160">
        <f t="shared" ref="S246" si="71">S233-S238-S243</f>
        <v>0</v>
      </c>
      <c r="T246" s="1160"/>
      <c r="U246" s="1160"/>
      <c r="V246" s="1160">
        <f t="shared" ref="V246" si="72">V233-V238-V243</f>
        <v>0</v>
      </c>
      <c r="W246" s="1160"/>
      <c r="X246" s="1160"/>
      <c r="Y246" s="1160">
        <f t="shared" ref="Y246" si="73">Y233-Y238-Y243</f>
        <v>0</v>
      </c>
      <c r="Z246" s="1160"/>
      <c r="AA246" s="1160"/>
      <c r="AB246" s="1160">
        <f t="shared" ref="AB246" si="74">AB233-AB238-AB243</f>
        <v>0</v>
      </c>
      <c r="AC246" s="1160"/>
      <c r="AD246" s="1160"/>
      <c r="AE246" s="1160">
        <f>AE233-AE238-AE243</f>
        <v>0</v>
      </c>
      <c r="AF246" s="1160"/>
      <c r="AG246" s="1160"/>
      <c r="AI246" s="959">
        <f>J233-J238-J243-J246</f>
        <v>0</v>
      </c>
      <c r="AJ246" s="960">
        <f>M233-M238-M243-M246</f>
        <v>0</v>
      </c>
      <c r="AK246" s="960">
        <f>P233-P238-P243-P246</f>
        <v>0</v>
      </c>
      <c r="AL246" s="960">
        <f>S233-S238-S243-S246</f>
        <v>0</v>
      </c>
      <c r="AM246" s="960">
        <f>V233-V238-V243-V246</f>
        <v>0</v>
      </c>
      <c r="AN246" s="960">
        <f>Y233-Y238-Y243-Y246</f>
        <v>0</v>
      </c>
      <c r="AO246" s="960">
        <f>AB233-AB238-AB243-AB246</f>
        <v>0</v>
      </c>
      <c r="AP246" s="961">
        <f>SUM(J246:AD246)-AE246</f>
        <v>0</v>
      </c>
      <c r="AQ246" s="943"/>
      <c r="BA246" s="959">
        <f>J246-BS!$G$13</f>
        <v>0</v>
      </c>
      <c r="BB246" s="960">
        <f>M246-BS!$G$14</f>
        <v>0</v>
      </c>
      <c r="BC246" s="960">
        <f>P246-BS!$IB$15</f>
        <v>0</v>
      </c>
      <c r="BD246" s="960">
        <f>S246-BS!$G$16</f>
        <v>0</v>
      </c>
      <c r="BE246" s="960">
        <f>V246-BS!$G$17</f>
        <v>0</v>
      </c>
      <c r="BF246" s="960">
        <f>Y246-BS!$G$18</f>
        <v>0</v>
      </c>
      <c r="BG246" s="960">
        <f>AB246-BS!$G$19</f>
        <v>0</v>
      </c>
      <c r="BH246" s="961">
        <f>AE246-BS!$G$12</f>
        <v>0</v>
      </c>
    </row>
    <row r="247" spans="1:60" s="633" customFormat="1" x14ac:dyDescent="0.2">
      <c r="A247" s="942"/>
      <c r="D247" s="769"/>
      <c r="E247" s="769"/>
      <c r="F247" s="769"/>
      <c r="G247" s="769"/>
      <c r="AI247" s="943"/>
      <c r="AJ247" s="943"/>
      <c r="AK247" s="943"/>
      <c r="AL247" s="943"/>
      <c r="AM247" s="943"/>
      <c r="AN247" s="943"/>
      <c r="AO247" s="943"/>
      <c r="AP247" s="943"/>
      <c r="AQ247" s="943"/>
    </row>
    <row r="248" spans="1:60" s="633" customFormat="1" x14ac:dyDescent="0.2">
      <c r="A248" s="942"/>
      <c r="D248" s="769"/>
      <c r="E248" s="769"/>
      <c r="F248" s="769"/>
      <c r="G248" s="769"/>
      <c r="AI248" s="943"/>
      <c r="AJ248" s="943"/>
      <c r="AK248" s="943"/>
      <c r="AL248" s="943"/>
      <c r="AM248" s="943"/>
      <c r="AN248" s="943"/>
      <c r="AO248" s="943"/>
      <c r="AP248" s="943"/>
      <c r="AQ248" s="943"/>
    </row>
    <row r="249" spans="1:60" s="633" customFormat="1" x14ac:dyDescent="0.2">
      <c r="A249" s="942"/>
      <c r="D249" s="769"/>
      <c r="E249" s="769"/>
      <c r="F249" s="769"/>
      <c r="G249" s="769"/>
      <c r="AI249" s="943"/>
      <c r="AJ249" s="943"/>
      <c r="AK249" s="943"/>
      <c r="AL249" s="943"/>
      <c r="AM249" s="943"/>
      <c r="AN249" s="943"/>
      <c r="AO249" s="943"/>
      <c r="AP249" s="943"/>
      <c r="AQ249" s="943"/>
    </row>
    <row r="250" spans="1:60" s="633" customFormat="1" ht="15" thickBot="1" x14ac:dyDescent="0.25">
      <c r="A250" s="942"/>
      <c r="AI250" s="943"/>
      <c r="AJ250" s="943"/>
      <c r="AK250" s="943"/>
      <c r="AL250" s="943"/>
      <c r="AM250" s="943"/>
      <c r="AN250" s="943"/>
      <c r="AO250" s="943"/>
      <c r="AP250" s="943"/>
      <c r="AQ250" s="943"/>
    </row>
    <row r="251" spans="1:60" s="633" customFormat="1" ht="31.5" customHeight="1" thickBot="1" x14ac:dyDescent="0.25">
      <c r="A251" s="942">
        <v>4</v>
      </c>
      <c r="D251" s="1138" t="s">
        <v>20</v>
      </c>
      <c r="E251" s="1138"/>
      <c r="F251" s="1138"/>
      <c r="G251" s="1138"/>
      <c r="H251" s="1138"/>
      <c r="I251" s="1138"/>
      <c r="J251" s="1138"/>
      <c r="K251" s="1138"/>
      <c r="L251" s="1138"/>
      <c r="M251" s="1138"/>
      <c r="N251" s="1138"/>
      <c r="O251" s="1138"/>
      <c r="P251" s="1138"/>
      <c r="Q251" s="1138"/>
      <c r="R251" s="1138"/>
      <c r="S251" s="1138" t="s">
        <v>36</v>
      </c>
      <c r="T251" s="1138"/>
      <c r="U251" s="1138"/>
      <c r="V251" s="1138"/>
      <c r="W251" s="1138"/>
      <c r="X251" s="1138"/>
      <c r="Y251" s="1138"/>
      <c r="Z251" s="1138"/>
      <c r="AA251" s="1138"/>
      <c r="AB251" s="1138"/>
      <c r="AC251" s="1138"/>
      <c r="AD251" s="1138"/>
      <c r="AE251" s="1138"/>
      <c r="AF251" s="1138"/>
      <c r="AG251" s="1138"/>
      <c r="AI251" s="943"/>
      <c r="AJ251" s="943"/>
      <c r="AK251" s="943"/>
      <c r="AL251" s="943"/>
      <c r="AM251" s="943"/>
      <c r="AN251" s="943"/>
      <c r="AO251" s="943"/>
      <c r="AP251" s="943"/>
      <c r="AQ251" s="943"/>
    </row>
    <row r="252" spans="1:60" s="633" customFormat="1" ht="31.5" customHeight="1" x14ac:dyDescent="0.2">
      <c r="A252" s="942"/>
      <c r="D252" s="1255" t="s">
        <v>37</v>
      </c>
      <c r="E252" s="1255"/>
      <c r="F252" s="1255"/>
      <c r="G252" s="1255"/>
      <c r="H252" s="1255"/>
      <c r="I252" s="1255"/>
      <c r="J252" s="1255"/>
      <c r="K252" s="1255"/>
      <c r="L252" s="1255"/>
      <c r="M252" s="1255"/>
      <c r="N252" s="1255"/>
      <c r="O252" s="1255"/>
      <c r="P252" s="1255"/>
      <c r="Q252" s="1255"/>
      <c r="R252" s="1255"/>
      <c r="S252" s="1256">
        <v>0</v>
      </c>
      <c r="T252" s="1256"/>
      <c r="U252" s="1256"/>
      <c r="V252" s="1256"/>
      <c r="W252" s="1256"/>
      <c r="X252" s="1256"/>
      <c r="Y252" s="1256"/>
      <c r="Z252" s="1256"/>
      <c r="AA252" s="1256"/>
      <c r="AB252" s="1256"/>
      <c r="AC252" s="1256"/>
      <c r="AD252" s="1256"/>
      <c r="AE252" s="1256"/>
      <c r="AF252" s="1256"/>
      <c r="AG252" s="1256"/>
      <c r="AI252" s="943"/>
      <c r="AJ252" s="943"/>
      <c r="AK252" s="943"/>
      <c r="AL252" s="943"/>
      <c r="AM252" s="943"/>
      <c r="AN252" s="943"/>
      <c r="AO252" s="943"/>
      <c r="AP252" s="943"/>
      <c r="AQ252" s="943"/>
    </row>
    <row r="253" spans="1:60" s="633" customFormat="1" ht="31.5" customHeight="1" thickBot="1" x14ac:dyDescent="0.25">
      <c r="A253" s="942"/>
      <c r="D253" s="1324" t="s">
        <v>38</v>
      </c>
      <c r="E253" s="1324"/>
      <c r="F253" s="1324"/>
      <c r="G253" s="1324"/>
      <c r="H253" s="1324"/>
      <c r="I253" s="1324"/>
      <c r="J253" s="1324"/>
      <c r="K253" s="1324"/>
      <c r="L253" s="1324"/>
      <c r="M253" s="1324"/>
      <c r="N253" s="1324"/>
      <c r="O253" s="1324"/>
      <c r="P253" s="1324"/>
      <c r="Q253" s="1324"/>
      <c r="R253" s="1324"/>
      <c r="S253" s="1171">
        <v>0</v>
      </c>
      <c r="T253" s="1171"/>
      <c r="U253" s="1171"/>
      <c r="V253" s="1171"/>
      <c r="W253" s="1171"/>
      <c r="X253" s="1171"/>
      <c r="Y253" s="1171"/>
      <c r="Z253" s="1171"/>
      <c r="AA253" s="1171"/>
      <c r="AB253" s="1171"/>
      <c r="AC253" s="1171"/>
      <c r="AD253" s="1171"/>
      <c r="AE253" s="1171"/>
      <c r="AF253" s="1171"/>
      <c r="AG253" s="1171"/>
      <c r="AI253" s="943"/>
      <c r="AJ253" s="943"/>
      <c r="AK253" s="943"/>
      <c r="AL253" s="943"/>
      <c r="AM253" s="943"/>
      <c r="AN253" s="943"/>
      <c r="AO253" s="943"/>
      <c r="AP253" s="943"/>
      <c r="AQ253" s="943"/>
    </row>
    <row r="254" spans="1:60" s="633" customFormat="1" x14ac:dyDescent="0.2">
      <c r="A254" s="942"/>
      <c r="AI254" s="943"/>
      <c r="AJ254" s="943"/>
      <c r="AK254" s="943"/>
      <c r="AL254" s="943"/>
      <c r="AM254" s="943"/>
      <c r="AN254" s="943"/>
      <c r="AO254" s="943"/>
      <c r="AP254" s="943"/>
      <c r="AQ254" s="943"/>
    </row>
    <row r="255" spans="1:60" s="633" customFormat="1" hidden="1" x14ac:dyDescent="0.2">
      <c r="A255" s="942"/>
      <c r="D255" s="1116" t="s">
        <v>1466</v>
      </c>
      <c r="E255" s="1116"/>
      <c r="F255" s="1116"/>
      <c r="G255" s="1116"/>
      <c r="H255" s="1116"/>
      <c r="I255" s="1116"/>
      <c r="J255" s="1116"/>
      <c r="K255" s="1116"/>
      <c r="L255" s="1116"/>
      <c r="M255" s="1116"/>
      <c r="N255" s="1116"/>
      <c r="O255" s="1116"/>
      <c r="P255" s="1116"/>
      <c r="Q255" s="1116"/>
      <c r="R255" s="1116"/>
      <c r="S255" s="1116"/>
      <c r="T255" s="1116"/>
      <c r="U255" s="1116"/>
      <c r="V255" s="1116"/>
      <c r="W255" s="1116"/>
      <c r="X255" s="1116"/>
      <c r="Y255" s="1116"/>
      <c r="Z255" s="1116"/>
      <c r="AA255" s="1116"/>
      <c r="AB255" s="1116"/>
      <c r="AC255" s="1116"/>
      <c r="AD255" s="1116"/>
      <c r="AE255" s="1116"/>
      <c r="AF255" s="1116"/>
      <c r="AG255" s="1116"/>
      <c r="AI255" s="943"/>
      <c r="AJ255" s="943"/>
      <c r="AK255" s="943"/>
      <c r="AL255" s="943"/>
      <c r="AM255" s="943"/>
      <c r="AN255" s="943"/>
      <c r="AO255" s="943"/>
      <c r="AP255" s="943"/>
      <c r="AQ255" s="943"/>
    </row>
    <row r="256" spans="1:60" s="633" customFormat="1" hidden="1" x14ac:dyDescent="0.2">
      <c r="A256" s="942"/>
      <c r="AI256" s="943"/>
      <c r="AJ256" s="943"/>
      <c r="AK256" s="943"/>
      <c r="AL256" s="943"/>
      <c r="AM256" s="943"/>
      <c r="AN256" s="943"/>
      <c r="AO256" s="943"/>
      <c r="AP256" s="943"/>
      <c r="AQ256" s="943"/>
    </row>
    <row r="257" spans="1:43" s="633" customFormat="1" hidden="1" x14ac:dyDescent="0.2">
      <c r="A257" s="942"/>
      <c r="D257" s="633" t="s">
        <v>1440</v>
      </c>
      <c r="E257" s="1116" t="s">
        <v>1947</v>
      </c>
      <c r="F257" s="1116"/>
      <c r="G257" s="1116"/>
      <c r="H257" s="1116"/>
      <c r="I257" s="1116"/>
      <c r="J257" s="1116"/>
      <c r="K257" s="1116"/>
      <c r="L257" s="1116"/>
      <c r="M257" s="1116"/>
      <c r="N257" s="1116"/>
      <c r="O257" s="1116"/>
      <c r="P257" s="1116"/>
      <c r="Q257" s="1116"/>
      <c r="R257" s="1116"/>
      <c r="S257" s="1116"/>
      <c r="T257" s="1116"/>
      <c r="U257" s="1116"/>
      <c r="V257" s="1116"/>
      <c r="W257" s="1116"/>
      <c r="X257" s="1116"/>
      <c r="Y257" s="1116"/>
      <c r="Z257" s="1116"/>
      <c r="AA257" s="1116"/>
      <c r="AB257" s="1116"/>
      <c r="AC257" s="1116"/>
      <c r="AD257" s="1116"/>
      <c r="AE257" s="1116"/>
      <c r="AF257" s="1116"/>
      <c r="AG257" s="1116"/>
      <c r="AI257" s="943"/>
      <c r="AJ257" s="943"/>
      <c r="AK257" s="943"/>
      <c r="AL257" s="943"/>
      <c r="AM257" s="943"/>
      <c r="AN257" s="943"/>
      <c r="AO257" s="943"/>
      <c r="AP257" s="943"/>
      <c r="AQ257" s="943"/>
    </row>
    <row r="258" spans="1:43" s="633" customFormat="1" hidden="1" x14ac:dyDescent="0.2">
      <c r="A258" s="942"/>
      <c r="E258" s="948"/>
      <c r="F258" s="948"/>
      <c r="G258" s="948"/>
      <c r="H258" s="948"/>
      <c r="I258" s="948"/>
      <c r="J258" s="948"/>
      <c r="K258" s="948"/>
      <c r="L258" s="948"/>
      <c r="M258" s="948"/>
      <c r="N258" s="948"/>
      <c r="O258" s="948"/>
      <c r="P258" s="948"/>
      <c r="Q258" s="948"/>
      <c r="R258" s="948"/>
      <c r="S258" s="948"/>
      <c r="T258" s="948"/>
      <c r="U258" s="948"/>
      <c r="V258" s="948"/>
      <c r="W258" s="948"/>
      <c r="X258" s="948"/>
      <c r="Y258" s="948"/>
      <c r="Z258" s="948"/>
      <c r="AA258" s="948"/>
      <c r="AB258" s="948"/>
      <c r="AC258" s="948"/>
      <c r="AD258" s="948"/>
      <c r="AE258" s="948"/>
      <c r="AF258" s="948"/>
      <c r="AG258" s="948"/>
      <c r="AI258" s="943"/>
      <c r="AJ258" s="943"/>
      <c r="AK258" s="943"/>
      <c r="AL258" s="943"/>
      <c r="AM258" s="943"/>
      <c r="AN258" s="943"/>
      <c r="AO258" s="943"/>
      <c r="AP258" s="943"/>
      <c r="AQ258" s="943"/>
    </row>
    <row r="259" spans="1:43" s="633" customFormat="1" hidden="1" x14ac:dyDescent="0.2">
      <c r="A259" s="942"/>
      <c r="D259" s="633" t="s">
        <v>1440</v>
      </c>
      <c r="E259" s="1116" t="s">
        <v>1948</v>
      </c>
      <c r="F259" s="1116"/>
      <c r="G259" s="1116"/>
      <c r="H259" s="1116"/>
      <c r="I259" s="1116"/>
      <c r="J259" s="1116"/>
      <c r="K259" s="1116"/>
      <c r="L259" s="1116"/>
      <c r="M259" s="1116"/>
      <c r="N259" s="1116"/>
      <c r="O259" s="1116"/>
      <c r="P259" s="1116"/>
      <c r="Q259" s="1116"/>
      <c r="R259" s="1116"/>
      <c r="S259" s="1116"/>
      <c r="T259" s="1116"/>
      <c r="U259" s="1116"/>
      <c r="V259" s="1116"/>
      <c r="W259" s="1116"/>
      <c r="X259" s="1116"/>
      <c r="Y259" s="1116"/>
      <c r="Z259" s="1116"/>
      <c r="AA259" s="1116"/>
      <c r="AB259" s="1116"/>
      <c r="AC259" s="1116"/>
      <c r="AD259" s="1116"/>
      <c r="AE259" s="1116"/>
      <c r="AF259" s="1116"/>
      <c r="AG259" s="1116"/>
      <c r="AI259" s="943"/>
      <c r="AJ259" s="943"/>
      <c r="AK259" s="943"/>
      <c r="AL259" s="943"/>
      <c r="AM259" s="943"/>
      <c r="AN259" s="943"/>
      <c r="AO259" s="943"/>
      <c r="AP259" s="943"/>
      <c r="AQ259" s="943"/>
    </row>
    <row r="260" spans="1:43" s="633" customFormat="1" hidden="1" x14ac:dyDescent="0.2">
      <c r="A260" s="942"/>
      <c r="AI260" s="943"/>
      <c r="AJ260" s="943"/>
      <c r="AK260" s="943"/>
      <c r="AL260" s="943"/>
      <c r="AM260" s="943"/>
      <c r="AN260" s="943"/>
      <c r="AO260" s="943"/>
      <c r="AP260" s="943"/>
      <c r="AQ260" s="943"/>
    </row>
    <row r="261" spans="1:43" s="633" customFormat="1" hidden="1" x14ac:dyDescent="0.2">
      <c r="A261" s="942"/>
      <c r="D261" s="633" t="s">
        <v>1440</v>
      </c>
      <c r="E261" s="1116" t="s">
        <v>1949</v>
      </c>
      <c r="F261" s="1116"/>
      <c r="G261" s="1116"/>
      <c r="H261" s="1116"/>
      <c r="I261" s="1116"/>
      <c r="J261" s="1116"/>
      <c r="K261" s="1116"/>
      <c r="L261" s="1116"/>
      <c r="M261" s="1116"/>
      <c r="N261" s="1116"/>
      <c r="O261" s="1116"/>
      <c r="P261" s="1116"/>
      <c r="Q261" s="1116"/>
      <c r="R261" s="1116"/>
      <c r="S261" s="1116"/>
      <c r="T261" s="1116"/>
      <c r="U261" s="1116"/>
      <c r="V261" s="1116"/>
      <c r="W261" s="1116"/>
      <c r="X261" s="1116"/>
      <c r="Y261" s="1116"/>
      <c r="Z261" s="1116"/>
      <c r="AA261" s="1116"/>
      <c r="AB261" s="1116"/>
      <c r="AC261" s="1116"/>
      <c r="AD261" s="1116"/>
      <c r="AE261" s="1116"/>
      <c r="AF261" s="1116"/>
      <c r="AG261" s="1116"/>
      <c r="AI261" s="943"/>
      <c r="AJ261" s="943"/>
      <c r="AK261" s="943"/>
      <c r="AL261" s="943"/>
      <c r="AM261" s="943"/>
      <c r="AN261" s="943"/>
      <c r="AO261" s="943"/>
      <c r="AP261" s="943"/>
      <c r="AQ261" s="943"/>
    </row>
    <row r="262" spans="1:43" s="633" customFormat="1" hidden="1" x14ac:dyDescent="0.2">
      <c r="A262" s="942"/>
      <c r="AI262" s="943"/>
      <c r="AJ262" s="943"/>
      <c r="AK262" s="943"/>
      <c r="AL262" s="943"/>
      <c r="AM262" s="943"/>
      <c r="AN262" s="943"/>
      <c r="AO262" s="943"/>
      <c r="AP262" s="943"/>
      <c r="AQ262" s="943"/>
    </row>
    <row r="263" spans="1:43" s="633" customFormat="1" hidden="1" x14ac:dyDescent="0.2">
      <c r="A263" s="942"/>
      <c r="D263" s="1116" t="s">
        <v>1950</v>
      </c>
      <c r="E263" s="1116"/>
      <c r="F263" s="1116"/>
      <c r="G263" s="1116"/>
      <c r="H263" s="1116"/>
      <c r="I263" s="1116"/>
      <c r="J263" s="1116"/>
      <c r="K263" s="1116"/>
      <c r="L263" s="1116"/>
      <c r="M263" s="1116"/>
      <c r="N263" s="1116"/>
      <c r="O263" s="1116"/>
      <c r="P263" s="1116"/>
      <c r="Q263" s="1116"/>
      <c r="R263" s="1116"/>
      <c r="S263" s="1116"/>
      <c r="T263" s="1116"/>
      <c r="U263" s="1116"/>
      <c r="V263" s="1116"/>
      <c r="W263" s="1116"/>
      <c r="X263" s="1116"/>
      <c r="Y263" s="1116"/>
      <c r="Z263" s="1116"/>
      <c r="AA263" s="1116"/>
      <c r="AB263" s="1116"/>
      <c r="AC263" s="1116"/>
      <c r="AD263" s="1116"/>
      <c r="AE263" s="1116"/>
      <c r="AF263" s="1116"/>
      <c r="AG263" s="1116"/>
      <c r="AI263" s="943"/>
      <c r="AJ263" s="943"/>
      <c r="AK263" s="943"/>
      <c r="AL263" s="943"/>
      <c r="AM263" s="943"/>
      <c r="AN263" s="943"/>
      <c r="AO263" s="943"/>
      <c r="AP263" s="943"/>
      <c r="AQ263" s="943"/>
    </row>
    <row r="264" spans="1:43" s="633" customFormat="1" hidden="1" x14ac:dyDescent="0.2">
      <c r="A264" s="942"/>
      <c r="D264" s="1116"/>
      <c r="E264" s="1116"/>
      <c r="F264" s="1116"/>
      <c r="G264" s="1116"/>
      <c r="H264" s="1116"/>
      <c r="I264" s="1116"/>
      <c r="J264" s="1116"/>
      <c r="K264" s="1116"/>
      <c r="L264" s="1116"/>
      <c r="M264" s="1116"/>
      <c r="N264" s="1116"/>
      <c r="O264" s="1116"/>
      <c r="P264" s="1116"/>
      <c r="Q264" s="1116"/>
      <c r="R264" s="1116"/>
      <c r="S264" s="1116"/>
      <c r="T264" s="1116"/>
      <c r="U264" s="1116"/>
      <c r="V264" s="1116"/>
      <c r="W264" s="1116"/>
      <c r="X264" s="1116"/>
      <c r="Y264" s="1116"/>
      <c r="Z264" s="1116"/>
      <c r="AA264" s="1116"/>
      <c r="AB264" s="1116"/>
      <c r="AC264" s="1116"/>
      <c r="AD264" s="1116"/>
      <c r="AE264" s="1116"/>
      <c r="AF264" s="1116"/>
      <c r="AG264" s="1116"/>
      <c r="AI264" s="943"/>
      <c r="AJ264" s="943"/>
      <c r="AK264" s="943"/>
      <c r="AL264" s="943"/>
      <c r="AM264" s="943"/>
      <c r="AN264" s="943"/>
      <c r="AO264" s="943"/>
      <c r="AP264" s="943"/>
      <c r="AQ264" s="943"/>
    </row>
    <row r="265" spans="1:43" s="633" customFormat="1" hidden="1" x14ac:dyDescent="0.2">
      <c r="A265" s="942"/>
      <c r="D265" s="1116"/>
      <c r="E265" s="1116"/>
      <c r="F265" s="1116"/>
      <c r="G265" s="1116"/>
      <c r="H265" s="1116"/>
      <c r="I265" s="1116"/>
      <c r="J265" s="1116"/>
      <c r="K265" s="1116"/>
      <c r="L265" s="1116"/>
      <c r="M265" s="1116"/>
      <c r="N265" s="1116"/>
      <c r="O265" s="1116"/>
      <c r="P265" s="1116"/>
      <c r="Q265" s="1116"/>
      <c r="R265" s="1116"/>
      <c r="S265" s="1116"/>
      <c r="T265" s="1116"/>
      <c r="U265" s="1116"/>
      <c r="V265" s="1116"/>
      <c r="W265" s="1116"/>
      <c r="X265" s="1116"/>
      <c r="Y265" s="1116"/>
      <c r="Z265" s="1116"/>
      <c r="AA265" s="1116"/>
      <c r="AB265" s="1116"/>
      <c r="AC265" s="1116"/>
      <c r="AD265" s="1116"/>
      <c r="AE265" s="1116"/>
      <c r="AF265" s="1116"/>
      <c r="AG265" s="1116"/>
      <c r="AI265" s="943"/>
      <c r="AJ265" s="943"/>
      <c r="AK265" s="943"/>
      <c r="AL265" s="943"/>
      <c r="AM265" s="943"/>
      <c r="AN265" s="943"/>
      <c r="AO265" s="943"/>
      <c r="AP265" s="943"/>
      <c r="AQ265" s="943"/>
    </row>
    <row r="266" spans="1:43" s="633" customFormat="1" hidden="1" x14ac:dyDescent="0.2">
      <c r="A266" s="942"/>
      <c r="D266" s="1116"/>
      <c r="E266" s="1116"/>
      <c r="F266" s="1116"/>
      <c r="G266" s="1116"/>
      <c r="H266" s="1116"/>
      <c r="I266" s="1116"/>
      <c r="J266" s="1116"/>
      <c r="K266" s="1116"/>
      <c r="L266" s="1116"/>
      <c r="M266" s="1116"/>
      <c r="N266" s="1116"/>
      <c r="O266" s="1116"/>
      <c r="P266" s="1116"/>
      <c r="Q266" s="1116"/>
      <c r="R266" s="1116"/>
      <c r="S266" s="1116"/>
      <c r="T266" s="1116"/>
      <c r="U266" s="1116"/>
      <c r="V266" s="1116"/>
      <c r="W266" s="1116"/>
      <c r="X266" s="1116"/>
      <c r="Y266" s="1116"/>
      <c r="Z266" s="1116"/>
      <c r="AA266" s="1116"/>
      <c r="AB266" s="1116"/>
      <c r="AC266" s="1116"/>
      <c r="AD266" s="1116"/>
      <c r="AE266" s="1116"/>
      <c r="AF266" s="1116"/>
      <c r="AG266" s="1116"/>
      <c r="AI266" s="943"/>
      <c r="AJ266" s="943"/>
      <c r="AK266" s="943"/>
      <c r="AL266" s="943"/>
      <c r="AM266" s="943"/>
      <c r="AN266" s="943"/>
      <c r="AO266" s="943"/>
      <c r="AP266" s="943"/>
      <c r="AQ266" s="943"/>
    </row>
    <row r="267" spans="1:43" s="633" customFormat="1" hidden="1" x14ac:dyDescent="0.2">
      <c r="A267" s="942"/>
      <c r="D267" s="1116" t="s">
        <v>1951</v>
      </c>
      <c r="E267" s="1116"/>
      <c r="F267" s="1116"/>
      <c r="G267" s="1116"/>
      <c r="H267" s="1116"/>
      <c r="I267" s="1116"/>
      <c r="J267" s="1116"/>
      <c r="K267" s="1116"/>
      <c r="L267" s="1116"/>
      <c r="M267" s="1116"/>
      <c r="N267" s="1116"/>
      <c r="O267" s="1116"/>
      <c r="P267" s="1116"/>
      <c r="Q267" s="1116"/>
      <c r="R267" s="1116"/>
      <c r="S267" s="1116"/>
      <c r="T267" s="1116"/>
      <c r="U267" s="1116"/>
      <c r="V267" s="1116"/>
      <c r="W267" s="1116"/>
      <c r="X267" s="1116"/>
      <c r="Y267" s="1116"/>
      <c r="Z267" s="1116"/>
      <c r="AA267" s="1116"/>
      <c r="AB267" s="1116"/>
      <c r="AC267" s="1116"/>
      <c r="AD267" s="1116"/>
      <c r="AE267" s="1116"/>
      <c r="AF267" s="1116"/>
      <c r="AG267" s="1116"/>
      <c r="AI267" s="943"/>
      <c r="AJ267" s="943"/>
      <c r="AK267" s="943"/>
      <c r="AL267" s="943"/>
      <c r="AM267" s="943"/>
      <c r="AN267" s="943"/>
      <c r="AO267" s="943"/>
      <c r="AP267" s="943"/>
      <c r="AQ267" s="943"/>
    </row>
    <row r="268" spans="1:43" s="633" customFormat="1" hidden="1" x14ac:dyDescent="0.2">
      <c r="A268" s="942"/>
      <c r="D268" s="1116"/>
      <c r="E268" s="1116"/>
      <c r="F268" s="1116"/>
      <c r="G268" s="1116"/>
      <c r="H268" s="1116"/>
      <c r="I268" s="1116"/>
      <c r="J268" s="1116"/>
      <c r="K268" s="1116"/>
      <c r="L268" s="1116"/>
      <c r="M268" s="1116"/>
      <c r="N268" s="1116"/>
      <c r="O268" s="1116"/>
      <c r="P268" s="1116"/>
      <c r="Q268" s="1116"/>
      <c r="R268" s="1116"/>
      <c r="S268" s="1116"/>
      <c r="T268" s="1116"/>
      <c r="U268" s="1116"/>
      <c r="V268" s="1116"/>
      <c r="W268" s="1116"/>
      <c r="X268" s="1116"/>
      <c r="Y268" s="1116"/>
      <c r="Z268" s="1116"/>
      <c r="AA268" s="1116"/>
      <c r="AB268" s="1116"/>
      <c r="AC268" s="1116"/>
      <c r="AD268" s="1116"/>
      <c r="AE268" s="1116"/>
      <c r="AF268" s="1116"/>
      <c r="AG268" s="1116"/>
      <c r="AI268" s="943"/>
      <c r="AJ268" s="943"/>
      <c r="AK268" s="943"/>
      <c r="AL268" s="943"/>
      <c r="AM268" s="943"/>
      <c r="AN268" s="943"/>
      <c r="AO268" s="943"/>
      <c r="AP268" s="943"/>
      <c r="AQ268" s="943"/>
    </row>
    <row r="269" spans="1:43" s="633" customFormat="1" hidden="1" x14ac:dyDescent="0.2">
      <c r="A269" s="942"/>
      <c r="D269" s="1116" t="s">
        <v>1952</v>
      </c>
      <c r="E269" s="1116"/>
      <c r="F269" s="1116"/>
      <c r="G269" s="1116"/>
      <c r="H269" s="1116"/>
      <c r="I269" s="1116"/>
      <c r="J269" s="1116"/>
      <c r="K269" s="1116"/>
      <c r="L269" s="1116"/>
      <c r="M269" s="1116"/>
      <c r="N269" s="1116"/>
      <c r="O269" s="1116"/>
      <c r="P269" s="1116"/>
      <c r="Q269" s="1116"/>
      <c r="R269" s="1116"/>
      <c r="S269" s="1116"/>
      <c r="T269" s="1116"/>
      <c r="U269" s="1116"/>
      <c r="V269" s="1116"/>
      <c r="W269" s="1116"/>
      <c r="X269" s="1116"/>
      <c r="Y269" s="1116"/>
      <c r="Z269" s="1116"/>
      <c r="AA269" s="1116"/>
      <c r="AB269" s="1116"/>
      <c r="AC269" s="1116"/>
      <c r="AD269" s="1116"/>
      <c r="AE269" s="1116"/>
      <c r="AF269" s="1116"/>
      <c r="AG269" s="1116"/>
      <c r="AI269" s="943"/>
      <c r="AJ269" s="943"/>
      <c r="AK269" s="943"/>
      <c r="AL269" s="943"/>
      <c r="AM269" s="943"/>
      <c r="AN269" s="943"/>
      <c r="AO269" s="943"/>
      <c r="AP269" s="943"/>
      <c r="AQ269" s="943"/>
    </row>
    <row r="270" spans="1:43" s="633" customFormat="1" hidden="1" x14ac:dyDescent="0.2">
      <c r="A270" s="942"/>
      <c r="D270" s="932"/>
      <c r="E270" s="932"/>
      <c r="F270" s="932"/>
      <c r="G270" s="932"/>
      <c r="H270" s="932"/>
      <c r="I270" s="932"/>
      <c r="J270" s="932"/>
      <c r="K270" s="932"/>
      <c r="L270" s="932"/>
      <c r="M270" s="932"/>
      <c r="N270" s="932"/>
      <c r="O270" s="932"/>
      <c r="P270" s="932"/>
      <c r="Q270" s="932"/>
      <c r="R270" s="932"/>
      <c r="S270" s="932"/>
      <c r="T270" s="932"/>
      <c r="U270" s="932"/>
      <c r="V270" s="932"/>
      <c r="W270" s="932"/>
      <c r="X270" s="932"/>
      <c r="Y270" s="932"/>
      <c r="Z270" s="932"/>
      <c r="AA270" s="932"/>
      <c r="AB270" s="932"/>
      <c r="AC270" s="932"/>
      <c r="AD270" s="932"/>
      <c r="AE270" s="932"/>
      <c r="AF270" s="932"/>
      <c r="AG270" s="932"/>
      <c r="AI270" s="943"/>
      <c r="AJ270" s="943"/>
      <c r="AK270" s="943"/>
      <c r="AL270" s="943"/>
      <c r="AM270" s="943"/>
      <c r="AN270" s="943"/>
      <c r="AO270" s="943"/>
      <c r="AP270" s="943"/>
      <c r="AQ270" s="943"/>
    </row>
    <row r="271" spans="1:43" s="633" customFormat="1" hidden="1" x14ac:dyDescent="0.2">
      <c r="A271" s="942"/>
      <c r="D271" s="1116"/>
      <c r="E271" s="1116"/>
      <c r="F271" s="1116"/>
      <c r="G271" s="1116"/>
      <c r="H271" s="1116"/>
      <c r="I271" s="1116"/>
      <c r="J271" s="1116"/>
      <c r="K271" s="1116"/>
      <c r="L271" s="1116"/>
      <c r="M271" s="1116"/>
      <c r="N271" s="1116"/>
      <c r="O271" s="1116"/>
      <c r="P271" s="1116"/>
      <c r="Q271" s="1116"/>
      <c r="R271" s="1116"/>
      <c r="S271" s="1116"/>
      <c r="T271" s="1116"/>
      <c r="U271" s="1116"/>
      <c r="V271" s="1116"/>
      <c r="W271" s="1116"/>
      <c r="X271" s="1116"/>
      <c r="Y271" s="1116"/>
      <c r="Z271" s="1116"/>
      <c r="AA271" s="1116"/>
      <c r="AB271" s="1116"/>
      <c r="AC271" s="1116"/>
      <c r="AD271" s="1116"/>
      <c r="AE271" s="1116"/>
      <c r="AF271" s="1116"/>
      <c r="AG271" s="1116"/>
      <c r="AI271" s="943"/>
      <c r="AJ271" s="943"/>
      <c r="AK271" s="943"/>
      <c r="AL271" s="943"/>
      <c r="AM271" s="943"/>
      <c r="AN271" s="943"/>
      <c r="AO271" s="943"/>
      <c r="AP271" s="943"/>
      <c r="AQ271" s="943"/>
    </row>
    <row r="272" spans="1:43" s="633" customFormat="1" hidden="1" x14ac:dyDescent="0.2">
      <c r="A272" s="942"/>
      <c r="D272" s="932"/>
      <c r="E272" s="932"/>
      <c r="F272" s="932"/>
      <c r="G272" s="932"/>
      <c r="H272" s="932"/>
      <c r="I272" s="932"/>
      <c r="J272" s="932"/>
      <c r="K272" s="932"/>
      <c r="L272" s="932"/>
      <c r="M272" s="932"/>
      <c r="N272" s="932"/>
      <c r="O272" s="932"/>
      <c r="P272" s="932"/>
      <c r="Q272" s="932"/>
      <c r="R272" s="932"/>
      <c r="S272" s="932"/>
      <c r="T272" s="932"/>
      <c r="U272" s="932"/>
      <c r="V272" s="932"/>
      <c r="W272" s="932"/>
      <c r="X272" s="932"/>
      <c r="Y272" s="932"/>
      <c r="Z272" s="932"/>
      <c r="AA272" s="932"/>
      <c r="AB272" s="932"/>
      <c r="AC272" s="932"/>
      <c r="AD272" s="932"/>
      <c r="AE272" s="932"/>
      <c r="AF272" s="932"/>
      <c r="AG272" s="932"/>
      <c r="AI272" s="943"/>
      <c r="AJ272" s="943"/>
      <c r="AK272" s="943"/>
      <c r="AL272" s="943"/>
      <c r="AM272" s="943"/>
      <c r="AN272" s="943"/>
      <c r="AO272" s="943"/>
      <c r="AP272" s="943"/>
      <c r="AQ272" s="943"/>
    </row>
    <row r="273" spans="1:63" s="633" customFormat="1" hidden="1" x14ac:dyDescent="0.2">
      <c r="A273" s="942"/>
      <c r="D273" s="932"/>
      <c r="E273" s="932"/>
      <c r="F273" s="932"/>
      <c r="G273" s="932"/>
      <c r="H273" s="932"/>
      <c r="I273" s="932"/>
      <c r="J273" s="932"/>
      <c r="K273" s="932"/>
      <c r="L273" s="932"/>
      <c r="M273" s="932"/>
      <c r="N273" s="932"/>
      <c r="O273" s="932"/>
      <c r="P273" s="932"/>
      <c r="Q273" s="932"/>
      <c r="R273" s="932"/>
      <c r="S273" s="932"/>
      <c r="T273" s="932"/>
      <c r="U273" s="932"/>
      <c r="V273" s="932"/>
      <c r="W273" s="932"/>
      <c r="X273" s="932"/>
      <c r="Y273" s="932"/>
      <c r="Z273" s="932"/>
      <c r="AA273" s="932"/>
      <c r="AB273" s="932"/>
      <c r="AC273" s="932"/>
      <c r="AD273" s="932"/>
      <c r="AE273" s="932"/>
      <c r="AF273" s="932"/>
      <c r="AG273" s="932"/>
      <c r="AI273" s="943"/>
      <c r="AJ273" s="943"/>
      <c r="AK273" s="943"/>
      <c r="AL273" s="943"/>
      <c r="AM273" s="943"/>
      <c r="AN273" s="943"/>
      <c r="AO273" s="943"/>
      <c r="AP273" s="943"/>
      <c r="AQ273" s="943"/>
    </row>
    <row r="274" spans="1:63" s="633" customFormat="1" x14ac:dyDescent="0.2">
      <c r="A274" s="942"/>
      <c r="D274" s="632" t="s">
        <v>1532</v>
      </c>
      <c r="E274" s="932"/>
      <c r="F274" s="932"/>
      <c r="G274" s="932"/>
      <c r="H274" s="932"/>
      <c r="I274" s="932"/>
      <c r="J274" s="932"/>
      <c r="K274" s="932"/>
      <c r="L274" s="932"/>
      <c r="M274" s="932"/>
      <c r="N274" s="932"/>
      <c r="O274" s="932"/>
      <c r="P274" s="932"/>
      <c r="Q274" s="932"/>
      <c r="R274" s="932"/>
      <c r="S274" s="932"/>
      <c r="T274" s="932"/>
      <c r="U274" s="932"/>
      <c r="V274" s="932"/>
      <c r="W274" s="932"/>
      <c r="X274" s="932"/>
      <c r="Y274" s="932"/>
      <c r="Z274" s="932"/>
      <c r="AA274" s="932"/>
      <c r="AB274" s="932"/>
      <c r="AC274" s="932"/>
      <c r="AD274" s="932"/>
      <c r="AE274" s="932"/>
      <c r="AF274" s="932"/>
      <c r="AG274" s="932"/>
      <c r="AI274" s="943"/>
      <c r="AJ274" s="943"/>
      <c r="AK274" s="943"/>
      <c r="AL274" s="943"/>
      <c r="AM274" s="943"/>
      <c r="AN274" s="943"/>
      <c r="AO274" s="943"/>
      <c r="AP274" s="943"/>
      <c r="AQ274" s="943"/>
    </row>
    <row r="275" spans="1:63" s="633" customFormat="1" x14ac:dyDescent="0.2">
      <c r="A275" s="942"/>
      <c r="E275" s="932"/>
      <c r="F275" s="932"/>
      <c r="G275" s="932"/>
      <c r="H275" s="932"/>
      <c r="I275" s="932"/>
      <c r="J275" s="932"/>
      <c r="K275" s="932"/>
      <c r="L275" s="932"/>
      <c r="M275" s="932"/>
      <c r="N275" s="932"/>
      <c r="O275" s="932"/>
      <c r="P275" s="932"/>
      <c r="Q275" s="932"/>
      <c r="R275" s="932"/>
      <c r="S275" s="932"/>
      <c r="T275" s="932"/>
      <c r="U275" s="932"/>
      <c r="V275" s="932"/>
      <c r="W275" s="932"/>
      <c r="X275" s="932"/>
      <c r="Y275" s="932"/>
      <c r="Z275" s="932"/>
      <c r="AA275" s="932"/>
      <c r="AB275" s="932"/>
      <c r="AC275" s="932"/>
      <c r="AD275" s="932"/>
      <c r="AE275" s="932"/>
      <c r="AF275" s="932"/>
      <c r="AG275" s="932"/>
      <c r="AI275" s="943"/>
      <c r="AJ275" s="943"/>
      <c r="AK275" s="943"/>
      <c r="AL275" s="943"/>
      <c r="AM275" s="943"/>
      <c r="AN275" s="943"/>
      <c r="AO275" s="943"/>
      <c r="AP275" s="943"/>
      <c r="AQ275" s="943"/>
    </row>
    <row r="276" spans="1:63" s="633" customFormat="1" x14ac:dyDescent="0.2">
      <c r="A276" s="942"/>
      <c r="D276" s="928" t="s">
        <v>1533</v>
      </c>
      <c r="E276" s="932"/>
      <c r="F276" s="932"/>
      <c r="G276" s="932"/>
      <c r="H276" s="932"/>
      <c r="I276" s="932"/>
      <c r="J276" s="932"/>
      <c r="K276" s="932"/>
      <c r="L276" s="932"/>
      <c r="M276" s="932"/>
      <c r="N276" s="932"/>
      <c r="O276" s="932"/>
      <c r="P276" s="932"/>
      <c r="Q276" s="932"/>
      <c r="R276" s="932"/>
      <c r="S276" s="932"/>
      <c r="T276" s="932"/>
      <c r="U276" s="932"/>
      <c r="V276" s="932"/>
      <c r="W276" s="932"/>
      <c r="X276" s="932"/>
      <c r="Y276" s="932"/>
      <c r="Z276" s="932"/>
      <c r="AA276" s="932"/>
      <c r="AB276" s="932"/>
      <c r="AC276" s="932"/>
      <c r="AD276" s="932"/>
      <c r="AE276" s="932"/>
      <c r="AF276" s="932"/>
      <c r="AG276" s="932"/>
      <c r="AI276" s="943"/>
      <c r="AJ276" s="943"/>
      <c r="AK276" s="943"/>
      <c r="AL276" s="943"/>
      <c r="AM276" s="943"/>
      <c r="AN276" s="943"/>
      <c r="AO276" s="943"/>
      <c r="AP276" s="943"/>
      <c r="AQ276" s="943"/>
    </row>
    <row r="277" spans="1:63" s="633" customFormat="1" ht="15" thickBot="1" x14ac:dyDescent="0.25">
      <c r="A277" s="942"/>
      <c r="D277" s="932"/>
      <c r="E277" s="932"/>
      <c r="F277" s="932"/>
      <c r="G277" s="932"/>
      <c r="H277" s="932"/>
      <c r="I277" s="932"/>
      <c r="J277" s="932"/>
      <c r="K277" s="932"/>
      <c r="L277" s="932"/>
      <c r="M277" s="932"/>
      <c r="N277" s="932"/>
      <c r="O277" s="932"/>
      <c r="P277" s="932"/>
      <c r="Q277" s="932"/>
      <c r="R277" s="932"/>
      <c r="S277" s="932"/>
      <c r="T277" s="932"/>
      <c r="U277" s="932"/>
      <c r="V277" s="932"/>
      <c r="W277" s="932"/>
      <c r="X277" s="932"/>
      <c r="Y277" s="932"/>
      <c r="Z277" s="932"/>
      <c r="AA277" s="932"/>
      <c r="AB277" s="932"/>
      <c r="AC277" s="932"/>
      <c r="AD277" s="932"/>
      <c r="AE277" s="932"/>
      <c r="AF277" s="932"/>
      <c r="AG277" s="932"/>
      <c r="AI277" s="1119" t="s">
        <v>1138</v>
      </c>
      <c r="AJ277" s="1119"/>
      <c r="AK277" s="1119"/>
      <c r="AL277" s="1119"/>
      <c r="AM277" s="1119"/>
      <c r="AN277" s="1119"/>
      <c r="AO277" s="1119"/>
      <c r="AP277" s="1119"/>
      <c r="AQ277" s="1119"/>
      <c r="AR277" s="949"/>
      <c r="AS277" s="1119" t="s">
        <v>1139</v>
      </c>
      <c r="AT277" s="1119"/>
      <c r="AU277" s="1119"/>
      <c r="AV277" s="1119"/>
      <c r="AW277" s="1119"/>
      <c r="AX277" s="1119"/>
      <c r="AY277" s="1119"/>
      <c r="AZ277" s="1119"/>
      <c r="BA277" s="1119"/>
      <c r="BB277" s="949"/>
      <c r="BC277" s="1119" t="s">
        <v>1140</v>
      </c>
      <c r="BD277" s="1119"/>
      <c r="BE277" s="1119"/>
      <c r="BF277" s="1119"/>
      <c r="BG277" s="1119"/>
      <c r="BH277" s="1119"/>
      <c r="BI277" s="1119"/>
      <c r="BJ277" s="1119"/>
      <c r="BK277" s="1119"/>
    </row>
    <row r="278" spans="1:63" s="633" customFormat="1" ht="15.75" customHeight="1" thickBot="1" x14ac:dyDescent="0.25">
      <c r="A278" s="942" t="s">
        <v>1534</v>
      </c>
      <c r="D278" s="1132" t="s">
        <v>40</v>
      </c>
      <c r="E278" s="1133"/>
      <c r="F278" s="1133"/>
      <c r="G278" s="1134"/>
      <c r="H278" s="1138" t="s">
        <v>2</v>
      </c>
      <c r="I278" s="1138"/>
      <c r="J278" s="1138"/>
      <c r="K278" s="1138"/>
      <c r="L278" s="1138"/>
      <c r="M278" s="1138"/>
      <c r="N278" s="1138"/>
      <c r="O278" s="1138"/>
      <c r="P278" s="1138"/>
      <c r="Q278" s="1138"/>
      <c r="R278" s="1138"/>
      <c r="S278" s="1138"/>
      <c r="T278" s="1138"/>
      <c r="U278" s="1138"/>
      <c r="V278" s="1138"/>
      <c r="W278" s="1138"/>
      <c r="X278" s="1138"/>
      <c r="Y278" s="1138"/>
      <c r="Z278" s="1138"/>
      <c r="AA278" s="1138"/>
      <c r="AB278" s="1138"/>
      <c r="AC278" s="1138"/>
      <c r="AD278" s="1138"/>
      <c r="AE278" s="1138"/>
      <c r="AF278" s="1138"/>
      <c r="AG278" s="1138"/>
      <c r="AH278" s="1138"/>
      <c r="AI278" s="943"/>
      <c r="AJ278" s="943"/>
      <c r="AK278" s="943"/>
      <c r="AL278" s="943"/>
      <c r="AM278" s="943"/>
      <c r="AN278" s="943"/>
      <c r="AO278" s="943"/>
      <c r="AP278" s="943"/>
      <c r="AQ278" s="943"/>
    </row>
    <row r="279" spans="1:63" s="633" customFormat="1" ht="55.5" customHeight="1" thickTop="1" thickBot="1" x14ac:dyDescent="0.25">
      <c r="A279" s="942"/>
      <c r="D279" s="1135"/>
      <c r="E279" s="1136"/>
      <c r="F279" s="1136"/>
      <c r="G279" s="1137"/>
      <c r="H279" s="1120" t="s">
        <v>41</v>
      </c>
      <c r="I279" s="1120"/>
      <c r="J279" s="1120"/>
      <c r="K279" s="1120" t="s">
        <v>42</v>
      </c>
      <c r="L279" s="1120"/>
      <c r="M279" s="1120"/>
      <c r="N279" s="1120" t="s">
        <v>43</v>
      </c>
      <c r="O279" s="1120"/>
      <c r="P279" s="1120"/>
      <c r="Q279" s="1120" t="s">
        <v>1535</v>
      </c>
      <c r="R279" s="1120"/>
      <c r="S279" s="1120"/>
      <c r="T279" s="1120" t="s">
        <v>44</v>
      </c>
      <c r="U279" s="1120"/>
      <c r="V279" s="1120"/>
      <c r="W279" s="1120" t="s">
        <v>45</v>
      </c>
      <c r="X279" s="1120"/>
      <c r="Y279" s="1120"/>
      <c r="Z279" s="1120" t="s">
        <v>445</v>
      </c>
      <c r="AA279" s="1120"/>
      <c r="AB279" s="1120"/>
      <c r="AC279" s="1120" t="s">
        <v>46</v>
      </c>
      <c r="AD279" s="1120"/>
      <c r="AE279" s="1120"/>
      <c r="AF279" s="1120" t="s">
        <v>14</v>
      </c>
      <c r="AG279" s="1120"/>
      <c r="AH279" s="1120"/>
      <c r="AI279" s="934" t="s">
        <v>41</v>
      </c>
      <c r="AJ279" s="934" t="s">
        <v>42</v>
      </c>
      <c r="AK279" s="934" t="s">
        <v>43</v>
      </c>
      <c r="AL279" s="934" t="s">
        <v>444</v>
      </c>
      <c r="AM279" s="934" t="s">
        <v>44</v>
      </c>
      <c r="AN279" s="934" t="s">
        <v>45</v>
      </c>
      <c r="AO279" s="934" t="s">
        <v>445</v>
      </c>
      <c r="AP279" s="934" t="s">
        <v>46</v>
      </c>
      <c r="AQ279" s="934" t="s">
        <v>14</v>
      </c>
      <c r="AS279" s="934" t="s">
        <v>41</v>
      </c>
      <c r="AT279" s="934" t="s">
        <v>42</v>
      </c>
      <c r="AU279" s="934" t="s">
        <v>43</v>
      </c>
      <c r="AV279" s="934" t="s">
        <v>444</v>
      </c>
      <c r="AW279" s="934" t="s">
        <v>44</v>
      </c>
      <c r="AX279" s="934" t="s">
        <v>45</v>
      </c>
      <c r="AY279" s="934" t="s">
        <v>445</v>
      </c>
      <c r="AZ279" s="934" t="s">
        <v>46</v>
      </c>
      <c r="BA279" s="934" t="s">
        <v>14</v>
      </c>
      <c r="BC279" s="934" t="s">
        <v>41</v>
      </c>
      <c r="BD279" s="934" t="s">
        <v>42</v>
      </c>
      <c r="BE279" s="934" t="s">
        <v>43</v>
      </c>
      <c r="BF279" s="934" t="s">
        <v>444</v>
      </c>
      <c r="BG279" s="934" t="s">
        <v>44</v>
      </c>
      <c r="BH279" s="934" t="s">
        <v>45</v>
      </c>
      <c r="BI279" s="934" t="s">
        <v>445</v>
      </c>
      <c r="BJ279" s="934" t="s">
        <v>46</v>
      </c>
      <c r="BK279" s="934" t="s">
        <v>14</v>
      </c>
    </row>
    <row r="280" spans="1:63" s="633" customFormat="1" ht="15.75" customHeight="1" thickBot="1" x14ac:dyDescent="0.25">
      <c r="A280" s="942"/>
      <c r="D280" s="1121"/>
      <c r="E280" s="1122"/>
      <c r="F280" s="1122"/>
      <c r="G280" s="1122"/>
      <c r="H280" s="1122"/>
      <c r="I280" s="1122"/>
      <c r="J280" s="1122"/>
      <c r="K280" s="1122"/>
      <c r="L280" s="1122"/>
      <c r="M280" s="1122"/>
      <c r="N280" s="1122"/>
      <c r="O280" s="1122"/>
      <c r="P280" s="1122"/>
      <c r="Q280" s="1122"/>
      <c r="R280" s="1122"/>
      <c r="S280" s="1122"/>
      <c r="T280" s="1122"/>
      <c r="U280" s="1122"/>
      <c r="V280" s="1122"/>
      <c r="W280" s="1122"/>
      <c r="X280" s="1122"/>
      <c r="Y280" s="1122"/>
      <c r="Z280" s="1122"/>
      <c r="AA280" s="1122"/>
      <c r="AB280" s="1122"/>
      <c r="AC280" s="1122"/>
      <c r="AD280" s="1122"/>
      <c r="AE280" s="1122"/>
      <c r="AF280" s="1122"/>
      <c r="AG280" s="1122"/>
      <c r="AH280" s="1122"/>
      <c r="AI280" s="951"/>
      <c r="AJ280" s="952"/>
      <c r="AK280" s="952"/>
      <c r="AL280" s="952"/>
      <c r="AM280" s="952"/>
      <c r="AN280" s="952"/>
      <c r="AO280" s="952"/>
      <c r="AP280" s="952"/>
      <c r="AQ280" s="953"/>
      <c r="AS280" s="951"/>
      <c r="AT280" s="952"/>
      <c r="AU280" s="952"/>
      <c r="AV280" s="952"/>
      <c r="AW280" s="952"/>
      <c r="AX280" s="952"/>
      <c r="AY280" s="952"/>
      <c r="AZ280" s="952"/>
      <c r="BA280" s="953"/>
      <c r="BC280" s="951"/>
      <c r="BD280" s="952"/>
      <c r="BE280" s="952"/>
      <c r="BF280" s="952"/>
      <c r="BG280" s="952"/>
      <c r="BH280" s="952"/>
      <c r="BI280" s="952"/>
      <c r="BJ280" s="952"/>
      <c r="BK280" s="953"/>
    </row>
    <row r="281" spans="1:63" s="633" customFormat="1" ht="21.75" customHeight="1" x14ac:dyDescent="0.2">
      <c r="A281" s="942"/>
      <c r="D281" s="1142" t="s">
        <v>26</v>
      </c>
      <c r="E281" s="1142"/>
      <c r="F281" s="1142"/>
      <c r="G281" s="1142"/>
      <c r="H281" s="1143"/>
      <c r="I281" s="1143"/>
      <c r="J281" s="1143"/>
      <c r="K281" s="1125">
        <v>18949</v>
      </c>
      <c r="L281" s="1125"/>
      <c r="M281" s="1125"/>
      <c r="N281" s="1125">
        <v>143304</v>
      </c>
      <c r="O281" s="1125"/>
      <c r="P281" s="1125"/>
      <c r="Q281" s="1125"/>
      <c r="R281" s="1125"/>
      <c r="S281" s="1125"/>
      <c r="T281" s="1125"/>
      <c r="U281" s="1125"/>
      <c r="V281" s="1125"/>
      <c r="W281" s="1125"/>
      <c r="X281" s="1125"/>
      <c r="Y281" s="1125"/>
      <c r="Z281" s="1125">
        <v>48074</v>
      </c>
      <c r="AA281" s="1125"/>
      <c r="AB281" s="1125"/>
      <c r="AC281" s="1125"/>
      <c r="AD281" s="1125"/>
      <c r="AE281" s="1125"/>
      <c r="AF281" s="1147">
        <f>SUM(H281:AE281)</f>
        <v>210327</v>
      </c>
      <c r="AG281" s="1147"/>
      <c r="AH281" s="1148"/>
      <c r="AI281" s="954"/>
      <c r="AJ281" s="949"/>
      <c r="AK281" s="949"/>
      <c r="AL281" s="949"/>
      <c r="AM281" s="949"/>
      <c r="AN281" s="949"/>
      <c r="AO281" s="949"/>
      <c r="AP281" s="949"/>
      <c r="AQ281" s="955">
        <f>SUM(H281:AE281)-AF281</f>
        <v>0</v>
      </c>
      <c r="AS281" s="956">
        <f>H281-H309</f>
        <v>0</v>
      </c>
      <c r="AT281" s="957">
        <f>K281-K309</f>
        <v>0</v>
      </c>
      <c r="AU281" s="957">
        <f>N281-N309</f>
        <v>0</v>
      </c>
      <c r="AV281" s="957">
        <f>Q281-Q309</f>
        <v>0</v>
      </c>
      <c r="AW281" s="957">
        <f>T281-T309</f>
        <v>0</v>
      </c>
      <c r="AX281" s="957">
        <f>W281-W309</f>
        <v>0</v>
      </c>
      <c r="AY281" s="957">
        <f>Z281-Z309</f>
        <v>0</v>
      </c>
      <c r="AZ281" s="957">
        <f>AC281-AC309</f>
        <v>0</v>
      </c>
      <c r="BA281" s="955">
        <f>AF281-AF309</f>
        <v>0</v>
      </c>
      <c r="BC281" s="954"/>
      <c r="BD281" s="949"/>
      <c r="BE281" s="949"/>
      <c r="BF281" s="949"/>
      <c r="BG281" s="949"/>
      <c r="BH281" s="949"/>
      <c r="BI281" s="949"/>
      <c r="BJ281" s="949"/>
      <c r="BK281" s="958"/>
    </row>
    <row r="282" spans="1:63" s="633" customFormat="1" x14ac:dyDescent="0.2">
      <c r="A282" s="942"/>
      <c r="D282" s="1105" t="s">
        <v>27</v>
      </c>
      <c r="E282" s="1105"/>
      <c r="F282" s="1105"/>
      <c r="G282" s="1105"/>
      <c r="H282" s="1156"/>
      <c r="I282" s="1156"/>
      <c r="J282" s="1156"/>
      <c r="K282" s="1104"/>
      <c r="L282" s="1104"/>
      <c r="M282" s="1104"/>
      <c r="N282" s="1104">
        <f>191172-185080</f>
        <v>6092</v>
      </c>
      <c r="O282" s="1104"/>
      <c r="P282" s="1104"/>
      <c r="Q282" s="1104"/>
      <c r="R282" s="1104"/>
      <c r="S282" s="1104"/>
      <c r="T282" s="1104"/>
      <c r="U282" s="1104"/>
      <c r="V282" s="1104"/>
      <c r="W282" s="1104"/>
      <c r="X282" s="1104"/>
      <c r="Y282" s="1104"/>
      <c r="Z282" s="1104"/>
      <c r="AA282" s="1104"/>
      <c r="AB282" s="1104"/>
      <c r="AC282" s="1104"/>
      <c r="AD282" s="1104"/>
      <c r="AE282" s="1104"/>
      <c r="AF282" s="1139">
        <f>SUM(H282:AE282)</f>
        <v>6092</v>
      </c>
      <c r="AG282" s="1139"/>
      <c r="AH282" s="1140"/>
      <c r="AI282" s="954"/>
      <c r="AJ282" s="949"/>
      <c r="AK282" s="949"/>
      <c r="AL282" s="949"/>
      <c r="AM282" s="949"/>
      <c r="AN282" s="949"/>
      <c r="AO282" s="949"/>
      <c r="AP282" s="949"/>
      <c r="AQ282" s="955">
        <f t="shared" ref="AQ282:AQ283" si="75">SUM(H282:AE282)-AF282</f>
        <v>0</v>
      </c>
      <c r="AS282" s="954"/>
      <c r="AT282" s="949"/>
      <c r="AU282" s="949"/>
      <c r="AV282" s="949"/>
      <c r="AW282" s="949"/>
      <c r="AX282" s="949"/>
      <c r="AY282" s="949"/>
      <c r="AZ282" s="949"/>
      <c r="BA282" s="958"/>
      <c r="BC282" s="954"/>
      <c r="BD282" s="949"/>
      <c r="BE282" s="949"/>
      <c r="BF282" s="949"/>
      <c r="BG282" s="949"/>
      <c r="BH282" s="949"/>
      <c r="BI282" s="949"/>
      <c r="BJ282" s="949"/>
      <c r="BK282" s="958"/>
    </row>
    <row r="283" spans="1:63" s="633" customFormat="1" x14ac:dyDescent="0.2">
      <c r="A283" s="942"/>
      <c r="D283" s="1105" t="s">
        <v>28</v>
      </c>
      <c r="E283" s="1105"/>
      <c r="F283" s="1105"/>
      <c r="G283" s="1105"/>
      <c r="H283" s="1156"/>
      <c r="I283" s="1156"/>
      <c r="J283" s="1156"/>
      <c r="K283" s="1104"/>
      <c r="L283" s="1104"/>
      <c r="M283" s="1104"/>
      <c r="N283" s="1104">
        <v>6298</v>
      </c>
      <c r="O283" s="1104"/>
      <c r="P283" s="1104"/>
      <c r="Q283" s="1104"/>
      <c r="R283" s="1104"/>
      <c r="S283" s="1104"/>
      <c r="T283" s="1104"/>
      <c r="U283" s="1104"/>
      <c r="V283" s="1104"/>
      <c r="W283" s="1104"/>
      <c r="X283" s="1104"/>
      <c r="Y283" s="1104"/>
      <c r="Z283" s="1104"/>
      <c r="AA283" s="1104"/>
      <c r="AB283" s="1104"/>
      <c r="AC283" s="1104"/>
      <c r="AD283" s="1104"/>
      <c r="AE283" s="1104"/>
      <c r="AF283" s="1139">
        <f>SUM(H283:AE283)</f>
        <v>6298</v>
      </c>
      <c r="AG283" s="1139"/>
      <c r="AH283" s="1140"/>
      <c r="AI283" s="954"/>
      <c r="AJ283" s="949"/>
      <c r="AK283" s="949"/>
      <c r="AL283" s="949"/>
      <c r="AM283" s="949"/>
      <c r="AN283" s="949"/>
      <c r="AO283" s="949"/>
      <c r="AP283" s="949"/>
      <c r="AQ283" s="955">
        <f t="shared" si="75"/>
        <v>0</v>
      </c>
      <c r="AS283" s="954"/>
      <c r="AT283" s="949"/>
      <c r="AU283" s="949"/>
      <c r="AV283" s="949"/>
      <c r="AW283" s="949"/>
      <c r="AX283" s="949"/>
      <c r="AY283" s="949"/>
      <c r="AZ283" s="949"/>
      <c r="BA283" s="958"/>
      <c r="BC283" s="954"/>
      <c r="BD283" s="949"/>
      <c r="BE283" s="949"/>
      <c r="BF283" s="949"/>
      <c r="BG283" s="949"/>
      <c r="BH283" s="949"/>
      <c r="BI283" s="949"/>
      <c r="BJ283" s="949"/>
      <c r="BK283" s="958"/>
    </row>
    <row r="284" spans="1:63" s="633" customFormat="1" x14ac:dyDescent="0.2">
      <c r="A284" s="942"/>
      <c r="D284" s="1105" t="s">
        <v>29</v>
      </c>
      <c r="E284" s="1105"/>
      <c r="F284" s="1105"/>
      <c r="G284" s="1105"/>
      <c r="H284" s="1156"/>
      <c r="I284" s="1156"/>
      <c r="J284" s="1156"/>
      <c r="K284" s="1104"/>
      <c r="L284" s="1104"/>
      <c r="M284" s="1104"/>
      <c r="N284" s="1104">
        <v>48074</v>
      </c>
      <c r="O284" s="1104"/>
      <c r="P284" s="1104"/>
      <c r="Q284" s="1104"/>
      <c r="R284" s="1104"/>
      <c r="S284" s="1104"/>
      <c r="T284" s="1104"/>
      <c r="U284" s="1104"/>
      <c r="V284" s="1104"/>
      <c r="W284" s="1104"/>
      <c r="X284" s="1104"/>
      <c r="Y284" s="1104"/>
      <c r="Z284" s="1104">
        <f>-Z281</f>
        <v>-48074</v>
      </c>
      <c r="AA284" s="1104"/>
      <c r="AB284" s="1104"/>
      <c r="AC284" s="1104"/>
      <c r="AD284" s="1104"/>
      <c r="AE284" s="1104"/>
      <c r="AF284" s="1139">
        <f>SUM(H284:AE284)</f>
        <v>0</v>
      </c>
      <c r="AG284" s="1139"/>
      <c r="AH284" s="1140"/>
      <c r="AI284" s="954"/>
      <c r="AJ284" s="949"/>
      <c r="AK284" s="949"/>
      <c r="AL284" s="949"/>
      <c r="AM284" s="949"/>
      <c r="AN284" s="949"/>
      <c r="AO284" s="949"/>
      <c r="AP284" s="949"/>
      <c r="AQ284" s="955">
        <f>SUM(H284:AE284)-AF284</f>
        <v>0</v>
      </c>
      <c r="AS284" s="954"/>
      <c r="AT284" s="949"/>
      <c r="AU284" s="949"/>
      <c r="AV284" s="949"/>
      <c r="AW284" s="949"/>
      <c r="AX284" s="949"/>
      <c r="AY284" s="949"/>
      <c r="AZ284" s="949"/>
      <c r="BA284" s="958"/>
      <c r="BC284" s="954"/>
      <c r="BD284" s="949"/>
      <c r="BE284" s="949"/>
      <c r="BF284" s="949"/>
      <c r="BG284" s="949"/>
      <c r="BH284" s="949"/>
      <c r="BI284" s="949"/>
      <c r="BJ284" s="949"/>
      <c r="BK284" s="958"/>
    </row>
    <row r="285" spans="1:63" s="633" customFormat="1" ht="22.5" customHeight="1" thickBot="1" x14ac:dyDescent="0.25">
      <c r="A285" s="942"/>
      <c r="D285" s="1107" t="s">
        <v>30</v>
      </c>
      <c r="E285" s="1107"/>
      <c r="F285" s="1107"/>
      <c r="G285" s="1107"/>
      <c r="H285" s="1108">
        <f>H281+H282-H283+H284</f>
        <v>0</v>
      </c>
      <c r="I285" s="1108"/>
      <c r="J285" s="1108"/>
      <c r="K285" s="1108">
        <f t="shared" ref="K285" si="76">K281+K282-K283+K284</f>
        <v>18949</v>
      </c>
      <c r="L285" s="1108"/>
      <c r="M285" s="1108"/>
      <c r="N285" s="1108">
        <f t="shared" ref="N285" si="77">N281+N282-N283+N284</f>
        <v>191172</v>
      </c>
      <c r="O285" s="1108"/>
      <c r="P285" s="1108"/>
      <c r="Q285" s="1108">
        <f t="shared" ref="Q285" si="78">Q281+Q282-Q283+Q284</f>
        <v>0</v>
      </c>
      <c r="R285" s="1108"/>
      <c r="S285" s="1108"/>
      <c r="T285" s="1108">
        <f t="shared" ref="T285" si="79">T281+T282-T283+T284</f>
        <v>0</v>
      </c>
      <c r="U285" s="1108"/>
      <c r="V285" s="1108"/>
      <c r="W285" s="1108">
        <f t="shared" ref="W285" si="80">W281+W282-W283+W284</f>
        <v>0</v>
      </c>
      <c r="X285" s="1108"/>
      <c r="Y285" s="1108"/>
      <c r="Z285" s="1108">
        <f t="shared" ref="Z285" si="81">Z281+Z282-Z283+Z284</f>
        <v>0</v>
      </c>
      <c r="AA285" s="1108"/>
      <c r="AB285" s="1108"/>
      <c r="AC285" s="1108">
        <f t="shared" ref="AC285" si="82">AC281+AC282-AC283+AC284</f>
        <v>0</v>
      </c>
      <c r="AD285" s="1108"/>
      <c r="AE285" s="1108"/>
      <c r="AF285" s="1108">
        <f t="shared" ref="AF285" si="83">AF281+AF282-AF283+AF284</f>
        <v>210121</v>
      </c>
      <c r="AG285" s="1108"/>
      <c r="AH285" s="1124"/>
      <c r="AI285" s="956">
        <f>H281+H282-H283+H284-H285</f>
        <v>0</v>
      </c>
      <c r="AJ285" s="957">
        <f>K281+K282-K283+K284-K285</f>
        <v>0</v>
      </c>
      <c r="AK285" s="957">
        <f>N281+N282-N283+N284-N285</f>
        <v>0</v>
      </c>
      <c r="AL285" s="957">
        <f>Q281+Q282-Q283+Q284-Q285</f>
        <v>0</v>
      </c>
      <c r="AM285" s="957">
        <f>T281+T282-T283+T284-T284</f>
        <v>0</v>
      </c>
      <c r="AN285" s="957">
        <f>W281+W282-W283+W284-W285</f>
        <v>0</v>
      </c>
      <c r="AO285" s="957">
        <f>Z281+Z282-Z283+Z284-Z285</f>
        <v>0</v>
      </c>
      <c r="AP285" s="957">
        <f>AC281+AC282-AC283+AC284-AC285</f>
        <v>0</v>
      </c>
      <c r="AQ285" s="955">
        <f>AF281+AF282-AF283+AF284-AF285</f>
        <v>0</v>
      </c>
      <c r="AS285" s="954"/>
      <c r="AT285" s="949"/>
      <c r="AU285" s="949"/>
      <c r="AV285" s="949"/>
      <c r="AW285" s="949"/>
      <c r="AX285" s="949"/>
      <c r="AY285" s="949"/>
      <c r="AZ285" s="949"/>
      <c r="BA285" s="958"/>
      <c r="BC285" s="956">
        <f>H285-BS!$D$21</f>
        <v>0</v>
      </c>
      <c r="BD285" s="957">
        <f>K285-BS!$D$22</f>
        <v>0</v>
      </c>
      <c r="BE285" s="957">
        <f>N285-BS!$D$23</f>
        <v>0</v>
      </c>
      <c r="BF285" s="957">
        <f>Q285-BS!$D$24</f>
        <v>0</v>
      </c>
      <c r="BG285" s="957">
        <f>T285-BS!$D$25</f>
        <v>0</v>
      </c>
      <c r="BH285" s="957">
        <f>W285-BS!$D$26</f>
        <v>0</v>
      </c>
      <c r="BI285" s="957">
        <f>Z285-BS!$D$27</f>
        <v>0</v>
      </c>
      <c r="BJ285" s="957">
        <f>AC285-BS!$D$28</f>
        <v>0</v>
      </c>
      <c r="BK285" s="955">
        <f>AF285-BS!$D$20</f>
        <v>0</v>
      </c>
    </row>
    <row r="286" spans="1:63" s="633" customFormat="1" ht="15.75" customHeight="1" thickBot="1" x14ac:dyDescent="0.25">
      <c r="A286" s="942"/>
      <c r="D286" s="1121" t="s">
        <v>31</v>
      </c>
      <c r="E286" s="1122"/>
      <c r="F286" s="1122"/>
      <c r="G286" s="1122"/>
      <c r="H286" s="1122"/>
      <c r="I286" s="1122"/>
      <c r="J286" s="1122"/>
      <c r="K286" s="1122"/>
      <c r="L286" s="1122"/>
      <c r="M286" s="1122"/>
      <c r="N286" s="1122"/>
      <c r="O286" s="1122"/>
      <c r="P286" s="1122"/>
      <c r="Q286" s="1122"/>
      <c r="R286" s="1122"/>
      <c r="S286" s="1122"/>
      <c r="T286" s="1122"/>
      <c r="U286" s="1122"/>
      <c r="V286" s="1122"/>
      <c r="W286" s="1122"/>
      <c r="X286" s="1122"/>
      <c r="Y286" s="1122"/>
      <c r="Z286" s="1122"/>
      <c r="AA286" s="1122"/>
      <c r="AB286" s="1122"/>
      <c r="AC286" s="1122"/>
      <c r="AD286" s="1122"/>
      <c r="AE286" s="1122"/>
      <c r="AF286" s="1122"/>
      <c r="AG286" s="1122"/>
      <c r="AH286" s="1122"/>
      <c r="AI286" s="954"/>
      <c r="AJ286" s="949"/>
      <c r="AK286" s="949"/>
      <c r="AL286" s="949"/>
      <c r="AM286" s="949"/>
      <c r="AN286" s="949"/>
      <c r="AO286" s="949"/>
      <c r="AP286" s="949"/>
      <c r="AQ286" s="955"/>
      <c r="AS286" s="954"/>
      <c r="AT286" s="949"/>
      <c r="AU286" s="949"/>
      <c r="AV286" s="949"/>
      <c r="AW286" s="949"/>
      <c r="AX286" s="949"/>
      <c r="AY286" s="949"/>
      <c r="AZ286" s="949"/>
      <c r="BA286" s="958"/>
      <c r="BC286" s="954"/>
      <c r="BD286" s="949"/>
      <c r="BE286" s="949"/>
      <c r="BF286" s="949"/>
      <c r="BG286" s="949"/>
      <c r="BH286" s="949"/>
      <c r="BI286" s="949"/>
      <c r="BJ286" s="949"/>
      <c r="BK286" s="958"/>
    </row>
    <row r="287" spans="1:63" s="633" customFormat="1" ht="22.5" customHeight="1" x14ac:dyDescent="0.2">
      <c r="A287" s="942"/>
      <c r="D287" s="1142" t="s">
        <v>32</v>
      </c>
      <c r="E287" s="1142"/>
      <c r="F287" s="1142"/>
      <c r="G287" s="1142"/>
      <c r="H287" s="1143"/>
      <c r="I287" s="1143"/>
      <c r="J287" s="1143"/>
      <c r="K287" s="1125">
        <v>1956</v>
      </c>
      <c r="L287" s="1125"/>
      <c r="M287" s="1125"/>
      <c r="N287" s="1125">
        <v>94287</v>
      </c>
      <c r="O287" s="1125"/>
      <c r="P287" s="1125"/>
      <c r="Q287" s="1125"/>
      <c r="R287" s="1125"/>
      <c r="S287" s="1125"/>
      <c r="T287" s="1125"/>
      <c r="U287" s="1125"/>
      <c r="V287" s="1125"/>
      <c r="W287" s="1125"/>
      <c r="X287" s="1125"/>
      <c r="Y287" s="1125"/>
      <c r="Z287" s="1125"/>
      <c r="AA287" s="1125"/>
      <c r="AB287" s="1125"/>
      <c r="AC287" s="1125"/>
      <c r="AD287" s="1125"/>
      <c r="AE287" s="1125"/>
      <c r="AF287" s="1147">
        <f>SUM(H287:AE287)</f>
        <v>96243</v>
      </c>
      <c r="AG287" s="1147"/>
      <c r="AH287" s="1148"/>
      <c r="AI287" s="954"/>
      <c r="AJ287" s="949"/>
      <c r="AK287" s="949"/>
      <c r="AL287" s="949"/>
      <c r="AM287" s="949"/>
      <c r="AN287" s="949"/>
      <c r="AO287" s="949"/>
      <c r="AP287" s="949"/>
      <c r="AQ287" s="955">
        <f>SUM(H287:AE287)-AF287</f>
        <v>0</v>
      </c>
      <c r="AS287" s="956">
        <f>H287-H314</f>
        <v>0</v>
      </c>
      <c r="AT287" s="957">
        <f>K287-K314</f>
        <v>0</v>
      </c>
      <c r="AU287" s="957">
        <f>N287-N314</f>
        <v>0</v>
      </c>
      <c r="AV287" s="957">
        <f>Q287-Q314</f>
        <v>0</v>
      </c>
      <c r="AW287" s="957">
        <f>T287-T314</f>
        <v>0</v>
      </c>
      <c r="AX287" s="957">
        <f>W287-W314</f>
        <v>0</v>
      </c>
      <c r="AY287" s="957">
        <f>Z287-Z314</f>
        <v>0</v>
      </c>
      <c r="AZ287" s="957">
        <f>AC287-AC314</f>
        <v>0</v>
      </c>
      <c r="BA287" s="955">
        <f>AF287-AF314</f>
        <v>0</v>
      </c>
      <c r="BC287" s="954"/>
      <c r="BD287" s="949"/>
      <c r="BE287" s="949"/>
      <c r="BF287" s="949"/>
      <c r="BG287" s="949"/>
      <c r="BH287" s="949"/>
      <c r="BI287" s="949"/>
      <c r="BJ287" s="949"/>
      <c r="BK287" s="958"/>
    </row>
    <row r="288" spans="1:63" s="633" customFormat="1" x14ac:dyDescent="0.2">
      <c r="A288" s="942"/>
      <c r="D288" s="1105" t="s">
        <v>27</v>
      </c>
      <c r="E288" s="1105"/>
      <c r="F288" s="1105"/>
      <c r="G288" s="1105"/>
      <c r="H288" s="1156"/>
      <c r="I288" s="1156"/>
      <c r="J288" s="1156"/>
      <c r="K288" s="1104">
        <v>1380</v>
      </c>
      <c r="L288" s="1104"/>
      <c r="M288" s="1104"/>
      <c r="N288" s="1104">
        <v>23241</v>
      </c>
      <c r="O288" s="1104"/>
      <c r="P288" s="1104"/>
      <c r="Q288" s="1104"/>
      <c r="R288" s="1104"/>
      <c r="S288" s="1104"/>
      <c r="T288" s="1104"/>
      <c r="U288" s="1104"/>
      <c r="V288" s="1104"/>
      <c r="W288" s="1104"/>
      <c r="X288" s="1104"/>
      <c r="Y288" s="1104"/>
      <c r="Z288" s="1104"/>
      <c r="AA288" s="1104"/>
      <c r="AB288" s="1104"/>
      <c r="AC288" s="1104"/>
      <c r="AD288" s="1104"/>
      <c r="AE288" s="1104"/>
      <c r="AF288" s="1139">
        <f>SUM(H288:AE288)</f>
        <v>24621</v>
      </c>
      <c r="AG288" s="1139"/>
      <c r="AH288" s="1140"/>
      <c r="AI288" s="954"/>
      <c r="AJ288" s="949"/>
      <c r="AK288" s="949"/>
      <c r="AL288" s="949"/>
      <c r="AM288" s="949"/>
      <c r="AN288" s="949"/>
      <c r="AO288" s="949"/>
      <c r="AP288" s="949"/>
      <c r="AQ288" s="955">
        <f t="shared" ref="AQ288:AQ289" si="84">SUM(H288:AE288)-AF288</f>
        <v>0</v>
      </c>
      <c r="AS288" s="954"/>
      <c r="AT288" s="949"/>
      <c r="AU288" s="949"/>
      <c r="AV288" s="949"/>
      <c r="AW288" s="949"/>
      <c r="AX288" s="949"/>
      <c r="AY288" s="949"/>
      <c r="AZ288" s="949"/>
      <c r="BA288" s="958"/>
      <c r="BC288" s="954"/>
      <c r="BD288" s="949"/>
      <c r="BE288" s="949"/>
      <c r="BF288" s="949"/>
      <c r="BG288" s="949"/>
      <c r="BH288" s="949"/>
      <c r="BI288" s="949"/>
      <c r="BJ288" s="949"/>
      <c r="BK288" s="958"/>
    </row>
    <row r="289" spans="1:63" s="633" customFormat="1" x14ac:dyDescent="0.2">
      <c r="A289" s="942"/>
      <c r="D289" s="1105" t="s">
        <v>28</v>
      </c>
      <c r="E289" s="1105"/>
      <c r="F289" s="1105"/>
      <c r="G289" s="1105"/>
      <c r="H289" s="1156"/>
      <c r="I289" s="1156"/>
      <c r="J289" s="1156"/>
      <c r="K289" s="1104"/>
      <c r="L289" s="1104"/>
      <c r="M289" s="1104"/>
      <c r="N289" s="1104">
        <v>6298</v>
      </c>
      <c r="O289" s="1104"/>
      <c r="P289" s="1104"/>
      <c r="Q289" s="1104"/>
      <c r="R289" s="1104"/>
      <c r="S289" s="1104"/>
      <c r="T289" s="1104"/>
      <c r="U289" s="1104"/>
      <c r="V289" s="1104"/>
      <c r="W289" s="1104"/>
      <c r="X289" s="1104"/>
      <c r="Y289" s="1104"/>
      <c r="Z289" s="1104"/>
      <c r="AA289" s="1104"/>
      <c r="AB289" s="1104"/>
      <c r="AC289" s="1104"/>
      <c r="AD289" s="1104"/>
      <c r="AE289" s="1104"/>
      <c r="AF289" s="1139">
        <f>SUM(H289:AE289)</f>
        <v>6298</v>
      </c>
      <c r="AG289" s="1139"/>
      <c r="AH289" s="1140"/>
      <c r="AI289" s="954"/>
      <c r="AJ289" s="949"/>
      <c r="AK289" s="949"/>
      <c r="AL289" s="949"/>
      <c r="AM289" s="949"/>
      <c r="AN289" s="949"/>
      <c r="AO289" s="949"/>
      <c r="AP289" s="949"/>
      <c r="AQ289" s="955">
        <f t="shared" si="84"/>
        <v>0</v>
      </c>
      <c r="AS289" s="954"/>
      <c r="AT289" s="949"/>
      <c r="AU289" s="949"/>
      <c r="AV289" s="949"/>
      <c r="AW289" s="949"/>
      <c r="AX289" s="949"/>
      <c r="AY289" s="949"/>
      <c r="AZ289" s="949"/>
      <c r="BA289" s="958"/>
      <c r="BC289" s="668" t="s">
        <v>1141</v>
      </c>
      <c r="BD289" s="949"/>
      <c r="BE289" s="949"/>
      <c r="BF289" s="949"/>
      <c r="BG289" s="949"/>
      <c r="BH289" s="949"/>
      <c r="BI289" s="949"/>
      <c r="BJ289" s="949"/>
      <c r="BK289" s="958"/>
    </row>
    <row r="290" spans="1:63" s="633" customFormat="1" ht="22.5" customHeight="1" thickBot="1" x14ac:dyDescent="0.25">
      <c r="A290" s="942"/>
      <c r="D290" s="1107" t="s">
        <v>30</v>
      </c>
      <c r="E290" s="1107"/>
      <c r="F290" s="1107"/>
      <c r="G290" s="1107"/>
      <c r="H290" s="1108">
        <f>H287+H288-H289</f>
        <v>0</v>
      </c>
      <c r="I290" s="1108"/>
      <c r="J290" s="1108"/>
      <c r="K290" s="1108">
        <f t="shared" ref="K290" si="85">K287+K288-K289</f>
        <v>3336</v>
      </c>
      <c r="L290" s="1108"/>
      <c r="M290" s="1108"/>
      <c r="N290" s="1108">
        <f t="shared" ref="N290" si="86">N287+N288-N289</f>
        <v>111230</v>
      </c>
      <c r="O290" s="1108"/>
      <c r="P290" s="1108"/>
      <c r="Q290" s="1108">
        <f t="shared" ref="Q290" si="87">Q287+Q288-Q289</f>
        <v>0</v>
      </c>
      <c r="R290" s="1108"/>
      <c r="S290" s="1108"/>
      <c r="T290" s="1108">
        <f t="shared" ref="T290" si="88">T287+T288-T289</f>
        <v>0</v>
      </c>
      <c r="U290" s="1108"/>
      <c r="V290" s="1108"/>
      <c r="W290" s="1108">
        <f t="shared" ref="W290" si="89">W287+W288-W289</f>
        <v>0</v>
      </c>
      <c r="X290" s="1108"/>
      <c r="Y290" s="1108"/>
      <c r="Z290" s="1108">
        <f t="shared" ref="Z290" si="90">Z287+Z288-Z289</f>
        <v>0</v>
      </c>
      <c r="AA290" s="1108"/>
      <c r="AB290" s="1108"/>
      <c r="AC290" s="1108">
        <f t="shared" ref="AC290" si="91">AC287+AC288-AC289</f>
        <v>0</v>
      </c>
      <c r="AD290" s="1108"/>
      <c r="AE290" s="1108"/>
      <c r="AF290" s="1108">
        <f t="shared" ref="AF290" si="92">AF287+AF288-AF289</f>
        <v>114566</v>
      </c>
      <c r="AG290" s="1108"/>
      <c r="AH290" s="1124"/>
      <c r="AI290" s="956">
        <f>H287+H288-H289-H290</f>
        <v>0</v>
      </c>
      <c r="AJ290" s="957">
        <f>K287+K288-K289-K290</f>
        <v>0</v>
      </c>
      <c r="AK290" s="957">
        <f>N287+N288-N289-N290</f>
        <v>0</v>
      </c>
      <c r="AL290" s="957">
        <f>Q287+Q288-Q289-Q290</f>
        <v>0</v>
      </c>
      <c r="AM290" s="957">
        <f>T287+T288-T289-T290</f>
        <v>0</v>
      </c>
      <c r="AN290" s="957">
        <f>W287+W288-W289-W290</f>
        <v>0</v>
      </c>
      <c r="AO290" s="957">
        <f>Z287+Z288-Z289-Z290</f>
        <v>0</v>
      </c>
      <c r="AP290" s="957">
        <f>AC287+AC288-AC289-AC290</f>
        <v>0</v>
      </c>
      <c r="AQ290" s="955">
        <f>AF287+AF288-AF289-AF290</f>
        <v>0</v>
      </c>
      <c r="AS290" s="954"/>
      <c r="AT290" s="949"/>
      <c r="AU290" s="949"/>
      <c r="AV290" s="949"/>
      <c r="AW290" s="949"/>
      <c r="AX290" s="949"/>
      <c r="AY290" s="949"/>
      <c r="AZ290" s="949"/>
      <c r="BA290" s="958"/>
      <c r="BC290" s="956">
        <f>H290+H295-BS!$E$21</f>
        <v>0</v>
      </c>
      <c r="BD290" s="957">
        <f>K290+K295-BS!$E$22</f>
        <v>0</v>
      </c>
      <c r="BE290" s="957">
        <f>N290+N295-BS!$E$23</f>
        <v>0</v>
      </c>
      <c r="BF290" s="957">
        <f>Q290+Q295-BS!$E$24</f>
        <v>0</v>
      </c>
      <c r="BG290" s="957">
        <f>T290+T295-BS!$E$25</f>
        <v>0</v>
      </c>
      <c r="BH290" s="957">
        <f>W290+W295-BS!$E$26</f>
        <v>0</v>
      </c>
      <c r="BI290" s="957">
        <f>Z290+Z295-BS!$E$27</f>
        <v>0</v>
      </c>
      <c r="BJ290" s="957">
        <f>AC290+AC295-BS!$E$28</f>
        <v>0</v>
      </c>
      <c r="BK290" s="955">
        <f>AF290+AF295-BS!$E$20</f>
        <v>0</v>
      </c>
    </row>
    <row r="291" spans="1:63" s="633" customFormat="1" ht="15.75" customHeight="1" thickBot="1" x14ac:dyDescent="0.25">
      <c r="A291" s="942"/>
      <c r="D291" s="1121" t="s">
        <v>33</v>
      </c>
      <c r="E291" s="1122"/>
      <c r="F291" s="1122"/>
      <c r="G291" s="1122"/>
      <c r="H291" s="1122"/>
      <c r="I291" s="1122"/>
      <c r="J291" s="1122"/>
      <c r="K291" s="1122"/>
      <c r="L291" s="1122"/>
      <c r="M291" s="1122"/>
      <c r="N291" s="1122"/>
      <c r="O291" s="1122"/>
      <c r="P291" s="1122"/>
      <c r="Q291" s="1122"/>
      <c r="R291" s="1122"/>
      <c r="S291" s="1122"/>
      <c r="T291" s="1122"/>
      <c r="U291" s="1122"/>
      <c r="V291" s="1122"/>
      <c r="W291" s="1122"/>
      <c r="X291" s="1122"/>
      <c r="Y291" s="1122"/>
      <c r="Z291" s="1122"/>
      <c r="AA291" s="1122"/>
      <c r="AB291" s="1122"/>
      <c r="AC291" s="1122"/>
      <c r="AD291" s="1122"/>
      <c r="AE291" s="1122"/>
      <c r="AF291" s="1122"/>
      <c r="AG291" s="1122"/>
      <c r="AH291" s="1122"/>
      <c r="AI291" s="954"/>
      <c r="AJ291" s="949"/>
      <c r="AK291" s="949"/>
      <c r="AL291" s="949"/>
      <c r="AM291" s="949"/>
      <c r="AN291" s="949"/>
      <c r="AO291" s="949"/>
      <c r="AP291" s="949"/>
      <c r="AQ291" s="955"/>
      <c r="AS291" s="954"/>
      <c r="AT291" s="949"/>
      <c r="AU291" s="949"/>
      <c r="AV291" s="949"/>
      <c r="AW291" s="949"/>
      <c r="AX291" s="949"/>
      <c r="AY291" s="949"/>
      <c r="AZ291" s="949"/>
      <c r="BA291" s="958"/>
      <c r="BC291" s="954"/>
      <c r="BD291" s="949"/>
      <c r="BE291" s="949"/>
      <c r="BF291" s="949"/>
      <c r="BG291" s="949"/>
      <c r="BH291" s="949"/>
      <c r="BI291" s="949"/>
      <c r="BJ291" s="949"/>
      <c r="BK291" s="958"/>
    </row>
    <row r="292" spans="1:63" s="633" customFormat="1" ht="22.5" customHeight="1" x14ac:dyDescent="0.2">
      <c r="A292" s="942"/>
      <c r="D292" s="1142" t="s">
        <v>32</v>
      </c>
      <c r="E292" s="1142"/>
      <c r="F292" s="1142"/>
      <c r="G292" s="1142"/>
      <c r="H292" s="1143"/>
      <c r="I292" s="1143"/>
      <c r="J292" s="1143"/>
      <c r="K292" s="1125"/>
      <c r="L292" s="1125"/>
      <c r="M292" s="1125"/>
      <c r="N292" s="1125"/>
      <c r="O292" s="1125"/>
      <c r="P292" s="1125"/>
      <c r="Q292" s="1125"/>
      <c r="R292" s="1125"/>
      <c r="S292" s="1125"/>
      <c r="T292" s="1125"/>
      <c r="U292" s="1125"/>
      <c r="V292" s="1125"/>
      <c r="W292" s="1125"/>
      <c r="X292" s="1125"/>
      <c r="Y292" s="1125"/>
      <c r="Z292" s="1125"/>
      <c r="AA292" s="1125"/>
      <c r="AB292" s="1125"/>
      <c r="AC292" s="1125"/>
      <c r="AD292" s="1125"/>
      <c r="AE292" s="1125"/>
      <c r="AF292" s="1147">
        <f>SUM(H292:AE292)</f>
        <v>0</v>
      </c>
      <c r="AG292" s="1147"/>
      <c r="AH292" s="1148"/>
      <c r="AI292" s="954"/>
      <c r="AJ292" s="949"/>
      <c r="AK292" s="949"/>
      <c r="AL292" s="949"/>
      <c r="AM292" s="949"/>
      <c r="AN292" s="949"/>
      <c r="AO292" s="949"/>
      <c r="AP292" s="949"/>
      <c r="AQ292" s="955">
        <f>SUM(H292:AE292)-AF292</f>
        <v>0</v>
      </c>
      <c r="AS292" s="956">
        <f>H292-H319</f>
        <v>0</v>
      </c>
      <c r="AT292" s="957">
        <f>K292-K319</f>
        <v>0</v>
      </c>
      <c r="AU292" s="957">
        <f>N292-N319</f>
        <v>0</v>
      </c>
      <c r="AV292" s="957">
        <f>Q292-Q319</f>
        <v>0</v>
      </c>
      <c r="AW292" s="957">
        <f>T292-T319</f>
        <v>0</v>
      </c>
      <c r="AX292" s="957">
        <f>W292-W319</f>
        <v>0</v>
      </c>
      <c r="AY292" s="957">
        <f>Z292-Z319</f>
        <v>0</v>
      </c>
      <c r="AZ292" s="957">
        <f>AC292-AC319</f>
        <v>0</v>
      </c>
      <c r="BA292" s="955">
        <f>AF292-AF319</f>
        <v>0</v>
      </c>
      <c r="BC292" s="954"/>
      <c r="BD292" s="949"/>
      <c r="BE292" s="949"/>
      <c r="BF292" s="949"/>
      <c r="BG292" s="949"/>
      <c r="BH292" s="949"/>
      <c r="BI292" s="949"/>
      <c r="BJ292" s="949"/>
      <c r="BK292" s="958"/>
    </row>
    <row r="293" spans="1:63" s="633" customFormat="1" ht="15" customHeight="1" x14ac:dyDescent="0.2">
      <c r="A293" s="942"/>
      <c r="D293" s="1105" t="s">
        <v>27</v>
      </c>
      <c r="E293" s="1105"/>
      <c r="F293" s="1105"/>
      <c r="G293" s="1105"/>
      <c r="H293" s="1156"/>
      <c r="I293" s="1156"/>
      <c r="J293" s="1156"/>
      <c r="K293" s="1104"/>
      <c r="L293" s="1104"/>
      <c r="M293" s="1104"/>
      <c r="N293" s="1104"/>
      <c r="O293" s="1104"/>
      <c r="P293" s="1104"/>
      <c r="Q293" s="1104"/>
      <c r="R293" s="1104"/>
      <c r="S293" s="1104"/>
      <c r="T293" s="1104"/>
      <c r="U293" s="1104"/>
      <c r="V293" s="1104"/>
      <c r="W293" s="1104"/>
      <c r="X293" s="1104"/>
      <c r="Y293" s="1104"/>
      <c r="Z293" s="1104"/>
      <c r="AA293" s="1104"/>
      <c r="AB293" s="1104"/>
      <c r="AC293" s="1104"/>
      <c r="AD293" s="1104"/>
      <c r="AE293" s="1104"/>
      <c r="AF293" s="1139">
        <f>SUM(H293:AE293)</f>
        <v>0</v>
      </c>
      <c r="AG293" s="1139"/>
      <c r="AH293" s="1140"/>
      <c r="AI293" s="954"/>
      <c r="AJ293" s="949"/>
      <c r="AK293" s="949"/>
      <c r="AL293" s="949"/>
      <c r="AM293" s="949"/>
      <c r="AN293" s="949"/>
      <c r="AO293" s="949"/>
      <c r="AP293" s="949"/>
      <c r="AQ293" s="955">
        <f>SUM(H293:AE293)-AF293</f>
        <v>0</v>
      </c>
      <c r="AS293" s="954"/>
      <c r="AT293" s="949"/>
      <c r="AU293" s="949"/>
      <c r="AV293" s="949"/>
      <c r="AW293" s="949"/>
      <c r="AX293" s="949"/>
      <c r="AY293" s="949"/>
      <c r="AZ293" s="949"/>
      <c r="BA293" s="958"/>
      <c r="BC293" s="954"/>
      <c r="BD293" s="949"/>
      <c r="BE293" s="949"/>
      <c r="BF293" s="949"/>
      <c r="BG293" s="949"/>
      <c r="BH293" s="949"/>
      <c r="BI293" s="949"/>
      <c r="BJ293" s="949"/>
      <c r="BK293" s="958"/>
    </row>
    <row r="294" spans="1:63" s="633" customFormat="1" ht="15" customHeight="1" x14ac:dyDescent="0.2">
      <c r="A294" s="942"/>
      <c r="D294" s="1105" t="s">
        <v>28</v>
      </c>
      <c r="E294" s="1105"/>
      <c r="F294" s="1105"/>
      <c r="G294" s="1105"/>
      <c r="H294" s="1156"/>
      <c r="I294" s="1156"/>
      <c r="J294" s="1156"/>
      <c r="K294" s="1104"/>
      <c r="L294" s="1104"/>
      <c r="M294" s="1104"/>
      <c r="N294" s="1104"/>
      <c r="O294" s="1104"/>
      <c r="P294" s="1104"/>
      <c r="Q294" s="1104"/>
      <c r="R294" s="1104"/>
      <c r="S294" s="1104"/>
      <c r="T294" s="1104"/>
      <c r="U294" s="1104"/>
      <c r="V294" s="1104"/>
      <c r="W294" s="1104"/>
      <c r="X294" s="1104"/>
      <c r="Y294" s="1104"/>
      <c r="Z294" s="1104"/>
      <c r="AA294" s="1104"/>
      <c r="AB294" s="1104"/>
      <c r="AC294" s="1104"/>
      <c r="AD294" s="1104"/>
      <c r="AE294" s="1104"/>
      <c r="AF294" s="1139">
        <f>SUM(H294:AE294)</f>
        <v>0</v>
      </c>
      <c r="AG294" s="1139"/>
      <c r="AH294" s="1140"/>
      <c r="AI294" s="954"/>
      <c r="AJ294" s="949"/>
      <c r="AK294" s="949"/>
      <c r="AL294" s="949"/>
      <c r="AM294" s="949"/>
      <c r="AN294" s="949"/>
      <c r="AO294" s="949"/>
      <c r="AP294" s="949"/>
      <c r="AQ294" s="955">
        <f t="shared" ref="AQ294" si="93">SUM(H294:AE294)-AF294</f>
        <v>0</v>
      </c>
      <c r="AS294" s="954"/>
      <c r="AT294" s="949"/>
      <c r="AU294" s="949"/>
      <c r="AV294" s="949"/>
      <c r="AW294" s="949"/>
      <c r="AX294" s="949"/>
      <c r="AY294" s="949"/>
      <c r="AZ294" s="949"/>
      <c r="BA294" s="958"/>
      <c r="BC294" s="954"/>
      <c r="BD294" s="949"/>
      <c r="BE294" s="949"/>
      <c r="BF294" s="949"/>
      <c r="BG294" s="949"/>
      <c r="BH294" s="949"/>
      <c r="BI294" s="949"/>
      <c r="BJ294" s="949"/>
      <c r="BK294" s="958"/>
    </row>
    <row r="295" spans="1:63" s="633" customFormat="1" ht="22.5" customHeight="1" thickBot="1" x14ac:dyDescent="0.25">
      <c r="A295" s="942"/>
      <c r="D295" s="1107" t="s">
        <v>30</v>
      </c>
      <c r="E295" s="1107"/>
      <c r="F295" s="1107"/>
      <c r="G295" s="1107"/>
      <c r="H295" s="1108">
        <f>H292+H293-H294</f>
        <v>0</v>
      </c>
      <c r="I295" s="1108"/>
      <c r="J295" s="1108"/>
      <c r="K295" s="1108">
        <f t="shared" ref="K295" si="94">K292+K293-K294</f>
        <v>0</v>
      </c>
      <c r="L295" s="1108"/>
      <c r="M295" s="1108"/>
      <c r="N295" s="1108">
        <f t="shared" ref="N295" si="95">N292+N293-N294</f>
        <v>0</v>
      </c>
      <c r="O295" s="1108"/>
      <c r="P295" s="1108"/>
      <c r="Q295" s="1108">
        <f t="shared" ref="Q295" si="96">Q292+Q293-Q294</f>
        <v>0</v>
      </c>
      <c r="R295" s="1108"/>
      <c r="S295" s="1108"/>
      <c r="T295" s="1108">
        <f t="shared" ref="T295" si="97">T292+T293-T294</f>
        <v>0</v>
      </c>
      <c r="U295" s="1108"/>
      <c r="V295" s="1108"/>
      <c r="W295" s="1108">
        <f t="shared" ref="W295" si="98">W292+W293-W294</f>
        <v>0</v>
      </c>
      <c r="X295" s="1108"/>
      <c r="Y295" s="1108"/>
      <c r="Z295" s="1108">
        <f t="shared" ref="Z295" si="99">Z292+Z293-Z294</f>
        <v>0</v>
      </c>
      <c r="AA295" s="1108"/>
      <c r="AB295" s="1108"/>
      <c r="AC295" s="1108">
        <f t="shared" ref="AC295" si="100">AC292+AC293-AC294</f>
        <v>0</v>
      </c>
      <c r="AD295" s="1108"/>
      <c r="AE295" s="1108"/>
      <c r="AF295" s="1108">
        <f t="shared" ref="AF295" si="101">AF292+AF293-AF294</f>
        <v>0</v>
      </c>
      <c r="AG295" s="1108"/>
      <c r="AH295" s="1124"/>
      <c r="AI295" s="956">
        <f>H292+H293-H294-H295</f>
        <v>0</v>
      </c>
      <c r="AJ295" s="957">
        <f>K292+K293-K294-K295</f>
        <v>0</v>
      </c>
      <c r="AK295" s="957">
        <f>N292+N293-N294-N295</f>
        <v>0</v>
      </c>
      <c r="AL295" s="957">
        <f>Q292+Q293-Q294-Q295</f>
        <v>0</v>
      </c>
      <c r="AM295" s="957">
        <f>T292+T293-T294-T295</f>
        <v>0</v>
      </c>
      <c r="AN295" s="957">
        <f>W292+W293-W294-W295</f>
        <v>0</v>
      </c>
      <c r="AO295" s="957">
        <f>Z292+Z293-Z294-Z295</f>
        <v>0</v>
      </c>
      <c r="AP295" s="957">
        <f>AC292+AC293-AC294-AC295</f>
        <v>0</v>
      </c>
      <c r="AQ295" s="955">
        <f>AF292+AF293-AF294-AF295</f>
        <v>0</v>
      </c>
      <c r="AS295" s="954"/>
      <c r="AT295" s="949"/>
      <c r="AU295" s="949"/>
      <c r="AV295" s="949"/>
      <c r="AW295" s="949"/>
      <c r="AX295" s="949"/>
      <c r="AY295" s="949"/>
      <c r="AZ295" s="949"/>
      <c r="BA295" s="958"/>
      <c r="BC295" s="954"/>
      <c r="BD295" s="949"/>
      <c r="BE295" s="949"/>
      <c r="BF295" s="949"/>
      <c r="BG295" s="949"/>
      <c r="BH295" s="949"/>
      <c r="BI295" s="949"/>
      <c r="BJ295" s="949"/>
      <c r="BK295" s="958"/>
    </row>
    <row r="296" spans="1:63" s="633" customFormat="1" ht="15.75" customHeight="1" thickBot="1" x14ac:dyDescent="0.25">
      <c r="A296" s="942"/>
      <c r="D296" s="1121" t="s">
        <v>34</v>
      </c>
      <c r="E296" s="1122"/>
      <c r="F296" s="1122"/>
      <c r="G296" s="1122"/>
      <c r="H296" s="1122"/>
      <c r="I296" s="1122"/>
      <c r="J296" s="1122"/>
      <c r="K296" s="1122"/>
      <c r="L296" s="1122"/>
      <c r="M296" s="1122"/>
      <c r="N296" s="1122"/>
      <c r="O296" s="1122"/>
      <c r="P296" s="1122"/>
      <c r="Q296" s="1122"/>
      <c r="R296" s="1122"/>
      <c r="S296" s="1122"/>
      <c r="T296" s="1122"/>
      <c r="U296" s="1122"/>
      <c r="V296" s="1122"/>
      <c r="W296" s="1122"/>
      <c r="X296" s="1122"/>
      <c r="Y296" s="1122"/>
      <c r="Z296" s="1122"/>
      <c r="AA296" s="1122"/>
      <c r="AB296" s="1122"/>
      <c r="AC296" s="1122"/>
      <c r="AD296" s="1122"/>
      <c r="AE296" s="1122"/>
      <c r="AF296" s="1122"/>
      <c r="AG296" s="1122"/>
      <c r="AH296" s="1122"/>
      <c r="AI296" s="954"/>
      <c r="AJ296" s="949"/>
      <c r="AK296" s="949"/>
      <c r="AL296" s="949"/>
      <c r="AM296" s="949"/>
      <c r="AN296" s="949"/>
      <c r="AO296" s="949"/>
      <c r="AP296" s="949"/>
      <c r="AQ296" s="955"/>
      <c r="AS296" s="954"/>
      <c r="AT296" s="949"/>
      <c r="AU296" s="949"/>
      <c r="AV296" s="949"/>
      <c r="AW296" s="949"/>
      <c r="AX296" s="949"/>
      <c r="AY296" s="949"/>
      <c r="AZ296" s="949"/>
      <c r="BA296" s="958"/>
      <c r="BC296" s="954"/>
      <c r="BD296" s="949"/>
      <c r="BE296" s="949"/>
      <c r="BF296" s="949"/>
      <c r="BG296" s="949"/>
      <c r="BH296" s="949"/>
      <c r="BI296" s="949"/>
      <c r="BJ296" s="949"/>
      <c r="BK296" s="958"/>
    </row>
    <row r="297" spans="1:63" s="633" customFormat="1" ht="22.5" customHeight="1" x14ac:dyDescent="0.2">
      <c r="A297" s="942"/>
      <c r="D297" s="1044" t="s">
        <v>32</v>
      </c>
      <c r="E297" s="1044"/>
      <c r="F297" s="1044"/>
      <c r="G297" s="1044"/>
      <c r="H297" s="1114">
        <f>H281-H287-H292</f>
        <v>0</v>
      </c>
      <c r="I297" s="1114"/>
      <c r="J297" s="1114"/>
      <c r="K297" s="1114">
        <f t="shared" ref="K297" si="102">K281-K287-K292</f>
        <v>16993</v>
      </c>
      <c r="L297" s="1114"/>
      <c r="M297" s="1114"/>
      <c r="N297" s="1114">
        <f t="shared" ref="N297" si="103">N281-N287-N292</f>
        <v>49017</v>
      </c>
      <c r="O297" s="1114"/>
      <c r="P297" s="1114"/>
      <c r="Q297" s="1114">
        <f t="shared" ref="Q297" si="104">Q281-Q287-Q292</f>
        <v>0</v>
      </c>
      <c r="R297" s="1114"/>
      <c r="S297" s="1114"/>
      <c r="T297" s="1114">
        <f t="shared" ref="T297" si="105">T281-T287-T292</f>
        <v>0</v>
      </c>
      <c r="U297" s="1114"/>
      <c r="V297" s="1114"/>
      <c r="W297" s="1114">
        <f t="shared" ref="W297" si="106">W281-W287-W292</f>
        <v>0</v>
      </c>
      <c r="X297" s="1114"/>
      <c r="Y297" s="1114"/>
      <c r="Z297" s="1114">
        <f t="shared" ref="Z297" si="107">Z281-Z287-Z292</f>
        <v>48074</v>
      </c>
      <c r="AA297" s="1114"/>
      <c r="AB297" s="1114"/>
      <c r="AC297" s="1114">
        <f t="shared" ref="AC297" si="108">AC281-AC287-AC292</f>
        <v>0</v>
      </c>
      <c r="AD297" s="1114"/>
      <c r="AE297" s="1114"/>
      <c r="AF297" s="1114">
        <f t="shared" ref="AF297" si="109">AF281-AF287-AF292</f>
        <v>114084</v>
      </c>
      <c r="AG297" s="1114"/>
      <c r="AH297" s="1157"/>
      <c r="AI297" s="956">
        <f>H281-H287-H292-H297</f>
        <v>0</v>
      </c>
      <c r="AJ297" s="957">
        <f>K281-K287-K292-K297</f>
        <v>0</v>
      </c>
      <c r="AK297" s="957">
        <f>N281-N287-N292-N297</f>
        <v>0</v>
      </c>
      <c r="AL297" s="957">
        <f>Q281-Q287-Q292-Q297</f>
        <v>0</v>
      </c>
      <c r="AM297" s="957">
        <f>T281-T287-T292-T297</f>
        <v>0</v>
      </c>
      <c r="AN297" s="957">
        <f>W281-W287-W292-W297</f>
        <v>0</v>
      </c>
      <c r="AO297" s="957">
        <f>Z281-Z287-Z292-Z297</f>
        <v>0</v>
      </c>
      <c r="AP297" s="957">
        <f>AC281-AC287-AC292-AC297</f>
        <v>0</v>
      </c>
      <c r="AQ297" s="955">
        <f>SUM(H297:AE297)-AF297</f>
        <v>0</v>
      </c>
      <c r="AS297" s="956">
        <f>H297-H322</f>
        <v>0</v>
      </c>
      <c r="AT297" s="957">
        <f>K297-K322</f>
        <v>0</v>
      </c>
      <c r="AU297" s="957">
        <f>N297-N322</f>
        <v>0</v>
      </c>
      <c r="AV297" s="957">
        <f>Q297-Q322</f>
        <v>0</v>
      </c>
      <c r="AW297" s="957">
        <f>T297-T322</f>
        <v>0</v>
      </c>
      <c r="AX297" s="957">
        <f>W297-W322</f>
        <v>0</v>
      </c>
      <c r="AY297" s="957">
        <f>Z297-Z322</f>
        <v>0</v>
      </c>
      <c r="AZ297" s="957">
        <f>AC297-AC322</f>
        <v>0</v>
      </c>
      <c r="BA297" s="955">
        <f>AF297-AF322</f>
        <v>0</v>
      </c>
      <c r="BC297" s="954"/>
      <c r="BD297" s="949"/>
      <c r="BE297" s="949"/>
      <c r="BF297" s="949"/>
      <c r="BG297" s="949"/>
      <c r="BH297" s="949"/>
      <c r="BI297" s="949"/>
      <c r="BJ297" s="949"/>
      <c r="BK297" s="958"/>
    </row>
    <row r="298" spans="1:63" s="633" customFormat="1" ht="22.5" customHeight="1" thickBot="1" x14ac:dyDescent="0.25">
      <c r="A298" s="942"/>
      <c r="D298" s="1107" t="s">
        <v>30</v>
      </c>
      <c r="E298" s="1107"/>
      <c r="F298" s="1107"/>
      <c r="G298" s="1107"/>
      <c r="H298" s="1108">
        <f>H285-H290-H295</f>
        <v>0</v>
      </c>
      <c r="I298" s="1108"/>
      <c r="J298" s="1108"/>
      <c r="K298" s="1108">
        <f t="shared" ref="K298" si="110">K285-K290-K295</f>
        <v>15613</v>
      </c>
      <c r="L298" s="1108"/>
      <c r="M298" s="1108"/>
      <c r="N298" s="1108">
        <f t="shared" ref="N298" si="111">N285-N290-N295</f>
        <v>79942</v>
      </c>
      <c r="O298" s="1108"/>
      <c r="P298" s="1108"/>
      <c r="Q298" s="1108">
        <f t="shared" ref="Q298" si="112">Q285-Q290-Q295</f>
        <v>0</v>
      </c>
      <c r="R298" s="1108"/>
      <c r="S298" s="1108"/>
      <c r="T298" s="1108">
        <f t="shared" ref="T298" si="113">T285-T290-T295</f>
        <v>0</v>
      </c>
      <c r="U298" s="1108"/>
      <c r="V298" s="1108"/>
      <c r="W298" s="1108">
        <f t="shared" ref="W298" si="114">W285-W290-W295</f>
        <v>0</v>
      </c>
      <c r="X298" s="1108"/>
      <c r="Y298" s="1108"/>
      <c r="Z298" s="1108">
        <f t="shared" ref="Z298" si="115">Z285-Z290-Z295</f>
        <v>0</v>
      </c>
      <c r="AA298" s="1108"/>
      <c r="AB298" s="1108"/>
      <c r="AC298" s="1108">
        <f t="shared" ref="AC298" si="116">AC285-AC290-AC295</f>
        <v>0</v>
      </c>
      <c r="AD298" s="1108"/>
      <c r="AE298" s="1108"/>
      <c r="AF298" s="1108">
        <f t="shared" ref="AF298" si="117">AF285-AF290-AF295</f>
        <v>95555</v>
      </c>
      <c r="AG298" s="1108"/>
      <c r="AH298" s="1124"/>
      <c r="AI298" s="959">
        <f>H285-H290-H295-H298</f>
        <v>0</v>
      </c>
      <c r="AJ298" s="960">
        <f>K285-K290-K295-K298</f>
        <v>0</v>
      </c>
      <c r="AK298" s="960">
        <f>N285-N290-N295-N298</f>
        <v>0</v>
      </c>
      <c r="AL298" s="960">
        <f>Q285-Q290-Q295-Q298</f>
        <v>0</v>
      </c>
      <c r="AM298" s="960">
        <f>T285-T290-T295-T298</f>
        <v>0</v>
      </c>
      <c r="AN298" s="960">
        <f>W285-W290-W295-W298</f>
        <v>0</v>
      </c>
      <c r="AO298" s="960">
        <f>Z285-Z290-Z295-Z298</f>
        <v>0</v>
      </c>
      <c r="AP298" s="960">
        <f>AC285-AC290-AC295-AC298</f>
        <v>0</v>
      </c>
      <c r="AQ298" s="961">
        <f>SUM(H298:AE298)-AF298</f>
        <v>0</v>
      </c>
      <c r="AS298" s="962"/>
      <c r="AT298" s="963"/>
      <c r="AU298" s="963"/>
      <c r="AV298" s="963"/>
      <c r="AW298" s="963"/>
      <c r="AX298" s="963"/>
      <c r="AY298" s="963"/>
      <c r="AZ298" s="963"/>
      <c r="BA298" s="964"/>
      <c r="BC298" s="959">
        <f>H298-BS!$F$21</f>
        <v>0</v>
      </c>
      <c r="BD298" s="960">
        <f>K298-BS!$F$22</f>
        <v>0</v>
      </c>
      <c r="BE298" s="960">
        <f>N298-BS!$F$23</f>
        <v>0</v>
      </c>
      <c r="BF298" s="960">
        <f>Q298-BS!$F$24</f>
        <v>0</v>
      </c>
      <c r="BG298" s="960">
        <f>T298-BS!$F$25</f>
        <v>0</v>
      </c>
      <c r="BH298" s="960">
        <f>W298-BS!$F$26</f>
        <v>0</v>
      </c>
      <c r="BI298" s="960">
        <f>Z298-BS!$F$27</f>
        <v>0</v>
      </c>
      <c r="BJ298" s="960">
        <f>AC298-BS!$F$28</f>
        <v>0</v>
      </c>
      <c r="BK298" s="961">
        <f>AF298-BS!$F$20</f>
        <v>0</v>
      </c>
    </row>
    <row r="299" spans="1:63" s="633" customFormat="1" ht="22.5" customHeight="1" x14ac:dyDescent="0.2">
      <c r="A299" s="942"/>
      <c r="D299" s="666"/>
      <c r="E299" s="666"/>
      <c r="F299" s="666"/>
      <c r="G299" s="666"/>
      <c r="H299" s="965"/>
      <c r="I299" s="965"/>
      <c r="J299" s="965"/>
      <c r="K299" s="965"/>
      <c r="L299" s="965"/>
      <c r="M299" s="965"/>
      <c r="N299" s="965"/>
      <c r="O299" s="965"/>
      <c r="P299" s="965"/>
      <c r="Q299" s="965"/>
      <c r="R299" s="965"/>
      <c r="S299" s="965"/>
      <c r="T299" s="965"/>
      <c r="U299" s="965"/>
      <c r="V299" s="965"/>
      <c r="W299" s="965"/>
      <c r="X299" s="965"/>
      <c r="Y299" s="965"/>
      <c r="Z299" s="965"/>
      <c r="AA299" s="965"/>
      <c r="AB299" s="965"/>
      <c r="AC299" s="965"/>
      <c r="AD299" s="965"/>
      <c r="AE299" s="965"/>
      <c r="AF299" s="965"/>
      <c r="AG299" s="965"/>
      <c r="AH299" s="965"/>
      <c r="AI299" s="957"/>
      <c r="AJ299" s="957"/>
      <c r="AK299" s="957"/>
      <c r="AL299" s="957"/>
      <c r="AM299" s="957"/>
      <c r="AN299" s="957"/>
      <c r="AO299" s="957"/>
      <c r="AP299" s="957"/>
      <c r="AQ299" s="957"/>
      <c r="AS299" s="949"/>
      <c r="AT299" s="949"/>
      <c r="AU299" s="949"/>
      <c r="AV299" s="949"/>
      <c r="AW299" s="949"/>
      <c r="AX299" s="949"/>
      <c r="AY299" s="949"/>
      <c r="AZ299" s="949"/>
      <c r="BA299" s="949"/>
      <c r="BC299" s="957"/>
      <c r="BD299" s="957"/>
      <c r="BE299" s="957"/>
      <c r="BF299" s="957"/>
      <c r="BG299" s="957"/>
      <c r="BH299" s="957"/>
      <c r="BI299" s="957"/>
      <c r="BJ299" s="957"/>
      <c r="BK299" s="957"/>
    </row>
    <row r="300" spans="1:63" s="633" customFormat="1" x14ac:dyDescent="0.2">
      <c r="A300" s="942"/>
      <c r="D300" s="932"/>
      <c r="E300" s="932"/>
      <c r="F300" s="932"/>
      <c r="G300" s="932"/>
      <c r="H300" s="932"/>
      <c r="I300" s="932"/>
      <c r="J300" s="932"/>
      <c r="K300" s="932"/>
      <c r="L300" s="932"/>
      <c r="M300" s="932"/>
      <c r="N300" s="932"/>
      <c r="O300" s="932"/>
      <c r="P300" s="932"/>
      <c r="Q300" s="932"/>
      <c r="R300" s="932"/>
      <c r="S300" s="932"/>
      <c r="T300" s="932"/>
      <c r="U300" s="932"/>
      <c r="V300" s="932"/>
      <c r="W300" s="932"/>
      <c r="X300" s="932"/>
      <c r="Y300" s="932"/>
      <c r="Z300" s="932"/>
      <c r="AA300" s="932"/>
      <c r="AB300" s="932"/>
      <c r="AC300" s="932"/>
      <c r="AD300" s="932"/>
      <c r="AE300" s="932"/>
      <c r="AF300" s="932"/>
      <c r="AG300" s="932"/>
      <c r="AI300" s="943"/>
      <c r="AJ300" s="943"/>
      <c r="AK300" s="943"/>
      <c r="AL300" s="943"/>
      <c r="AM300" s="943"/>
      <c r="AN300" s="943"/>
      <c r="AO300" s="943"/>
      <c r="AP300" s="943"/>
      <c r="AQ300" s="943"/>
    </row>
    <row r="301" spans="1:63" s="633" customFormat="1" ht="15" thickBot="1" x14ac:dyDescent="0.25">
      <c r="A301" s="942"/>
      <c r="D301" s="932"/>
      <c r="E301" s="932"/>
      <c r="F301" s="932"/>
      <c r="G301" s="932"/>
      <c r="H301" s="932"/>
      <c r="I301" s="932"/>
      <c r="J301" s="932"/>
      <c r="K301" s="932"/>
      <c r="L301" s="932"/>
      <c r="M301" s="932"/>
      <c r="N301" s="932"/>
      <c r="O301" s="932"/>
      <c r="P301" s="932"/>
      <c r="Q301" s="932"/>
      <c r="R301" s="932"/>
      <c r="S301" s="932"/>
      <c r="T301" s="932"/>
      <c r="U301" s="932"/>
      <c r="V301" s="932"/>
      <c r="W301" s="932"/>
      <c r="X301" s="932"/>
      <c r="Y301" s="932"/>
      <c r="Z301" s="932"/>
      <c r="AA301" s="932"/>
      <c r="AB301" s="932"/>
      <c r="AC301" s="932"/>
      <c r="AD301" s="932"/>
      <c r="AE301" s="932"/>
      <c r="AF301" s="932"/>
      <c r="AG301" s="932"/>
      <c r="AI301" s="943"/>
      <c r="AJ301" s="943"/>
      <c r="AK301" s="943"/>
      <c r="AL301" s="943"/>
      <c r="AM301" s="943"/>
      <c r="AN301" s="943"/>
      <c r="AO301" s="943"/>
      <c r="AP301" s="943"/>
      <c r="AQ301" s="943"/>
    </row>
    <row r="302" spans="1:63" s="633" customFormat="1" ht="15" thickBot="1" x14ac:dyDescent="0.25">
      <c r="A302" s="942" t="s">
        <v>1536</v>
      </c>
      <c r="D302" s="1132" t="s">
        <v>40</v>
      </c>
      <c r="E302" s="1133"/>
      <c r="F302" s="1133"/>
      <c r="G302" s="1134"/>
      <c r="H302" s="1138" t="s">
        <v>3</v>
      </c>
      <c r="I302" s="1138"/>
      <c r="J302" s="1138"/>
      <c r="K302" s="1138"/>
      <c r="L302" s="1138"/>
      <c r="M302" s="1138"/>
      <c r="N302" s="1138"/>
      <c r="O302" s="1138"/>
      <c r="P302" s="1138"/>
      <c r="Q302" s="1138"/>
      <c r="R302" s="1138"/>
      <c r="S302" s="1138"/>
      <c r="T302" s="1138"/>
      <c r="U302" s="1138"/>
      <c r="V302" s="1138"/>
      <c r="W302" s="1138"/>
      <c r="X302" s="1138"/>
      <c r="Y302" s="1138"/>
      <c r="Z302" s="1138"/>
      <c r="AA302" s="1138"/>
      <c r="AB302" s="1138"/>
      <c r="AC302" s="1138"/>
      <c r="AD302" s="1138"/>
      <c r="AE302" s="1138"/>
      <c r="AF302" s="1138"/>
      <c r="AG302" s="1138"/>
      <c r="AH302" s="1138"/>
      <c r="AI302" s="943"/>
      <c r="AJ302" s="943"/>
      <c r="AK302" s="943"/>
      <c r="AL302" s="943"/>
      <c r="AM302" s="943"/>
      <c r="AN302" s="943"/>
      <c r="AO302" s="943"/>
      <c r="AP302" s="943"/>
      <c r="AQ302" s="943"/>
      <c r="BC302" s="640"/>
      <c r="BD302" s="640"/>
      <c r="BE302" s="640"/>
      <c r="BF302" s="640"/>
      <c r="BG302" s="640"/>
      <c r="BH302" s="640"/>
      <c r="BI302" s="640"/>
      <c r="BJ302" s="640"/>
      <c r="BK302" s="640"/>
    </row>
    <row r="303" spans="1:63" s="633" customFormat="1" ht="55.5" customHeight="1" thickTop="1" thickBot="1" x14ac:dyDescent="0.25">
      <c r="A303" s="942"/>
      <c r="D303" s="1135"/>
      <c r="E303" s="1136"/>
      <c r="F303" s="1136"/>
      <c r="G303" s="1137"/>
      <c r="H303" s="1120" t="s">
        <v>41</v>
      </c>
      <c r="I303" s="1120"/>
      <c r="J303" s="1120"/>
      <c r="K303" s="1120" t="s">
        <v>42</v>
      </c>
      <c r="L303" s="1120"/>
      <c r="M303" s="1120"/>
      <c r="N303" s="1120" t="s">
        <v>43</v>
      </c>
      <c r="O303" s="1120"/>
      <c r="P303" s="1120"/>
      <c r="Q303" s="1120" t="s">
        <v>1535</v>
      </c>
      <c r="R303" s="1120"/>
      <c r="S303" s="1120"/>
      <c r="T303" s="1120" t="s">
        <v>44</v>
      </c>
      <c r="U303" s="1120"/>
      <c r="V303" s="1120"/>
      <c r="W303" s="1120" t="s">
        <v>45</v>
      </c>
      <c r="X303" s="1120"/>
      <c r="Y303" s="1120"/>
      <c r="Z303" s="1120" t="s">
        <v>445</v>
      </c>
      <c r="AA303" s="1120"/>
      <c r="AB303" s="1120"/>
      <c r="AC303" s="1120" t="s">
        <v>46</v>
      </c>
      <c r="AD303" s="1120"/>
      <c r="AE303" s="1120"/>
      <c r="AF303" s="1120" t="s">
        <v>14</v>
      </c>
      <c r="AG303" s="1120"/>
      <c r="AH303" s="1120"/>
      <c r="AI303" s="934" t="s">
        <v>41</v>
      </c>
      <c r="AJ303" s="934" t="s">
        <v>42</v>
      </c>
      <c r="AK303" s="934" t="s">
        <v>43</v>
      </c>
      <c r="AL303" s="934" t="s">
        <v>444</v>
      </c>
      <c r="AM303" s="934" t="s">
        <v>44</v>
      </c>
      <c r="AN303" s="934" t="s">
        <v>45</v>
      </c>
      <c r="AO303" s="934" t="s">
        <v>445</v>
      </c>
      <c r="AP303" s="934" t="s">
        <v>46</v>
      </c>
      <c r="AQ303" s="934" t="s">
        <v>14</v>
      </c>
      <c r="BC303" s="640"/>
      <c r="BD303" s="640"/>
      <c r="BE303" s="640"/>
      <c r="BF303" s="640"/>
      <c r="BG303" s="640"/>
      <c r="BH303" s="640"/>
      <c r="BI303" s="640"/>
      <c r="BJ303" s="640"/>
      <c r="BK303" s="640"/>
    </row>
    <row r="304" spans="1:63" s="633" customFormat="1" ht="15" thickBot="1" x14ac:dyDescent="0.25">
      <c r="A304" s="942"/>
      <c r="D304" s="1121" t="s">
        <v>25</v>
      </c>
      <c r="E304" s="1122"/>
      <c r="F304" s="1122"/>
      <c r="G304" s="1122"/>
      <c r="H304" s="1122"/>
      <c r="I304" s="1122"/>
      <c r="J304" s="1122"/>
      <c r="K304" s="1122"/>
      <c r="L304" s="1122"/>
      <c r="M304" s="1122"/>
      <c r="N304" s="1122"/>
      <c r="O304" s="1122"/>
      <c r="P304" s="1122"/>
      <c r="Q304" s="1122"/>
      <c r="R304" s="1122"/>
      <c r="S304" s="1122"/>
      <c r="T304" s="1122"/>
      <c r="U304" s="1122"/>
      <c r="V304" s="1122"/>
      <c r="W304" s="1122"/>
      <c r="X304" s="1122"/>
      <c r="Y304" s="1122"/>
      <c r="Z304" s="1122"/>
      <c r="AA304" s="1122"/>
      <c r="AB304" s="1122"/>
      <c r="AC304" s="1122"/>
      <c r="AD304" s="1122"/>
      <c r="AE304" s="1122"/>
      <c r="AF304" s="1122"/>
      <c r="AG304" s="1122"/>
      <c r="AH304" s="1123"/>
      <c r="AI304" s="951"/>
      <c r="AJ304" s="952"/>
      <c r="AK304" s="952"/>
      <c r="AL304" s="952"/>
      <c r="AM304" s="952"/>
      <c r="AN304" s="952"/>
      <c r="AO304" s="952"/>
      <c r="AP304" s="952"/>
      <c r="AQ304" s="953"/>
      <c r="BC304" s="775"/>
      <c r="BD304" s="776"/>
      <c r="BE304" s="776"/>
      <c r="BF304" s="776"/>
      <c r="BG304" s="776"/>
      <c r="BH304" s="776"/>
      <c r="BI304" s="776"/>
      <c r="BJ304" s="776"/>
      <c r="BK304" s="777"/>
    </row>
    <row r="305" spans="1:63" s="633" customFormat="1" ht="22.5" customHeight="1" x14ac:dyDescent="0.2">
      <c r="A305" s="942"/>
      <c r="D305" s="1142" t="s">
        <v>26</v>
      </c>
      <c r="E305" s="1142"/>
      <c r="F305" s="1142"/>
      <c r="G305" s="1142"/>
      <c r="H305" s="1143"/>
      <c r="I305" s="1143"/>
      <c r="J305" s="1143"/>
      <c r="K305" s="1125">
        <v>5788</v>
      </c>
      <c r="L305" s="1125"/>
      <c r="M305" s="1125"/>
      <c r="N305" s="1125">
        <v>132831</v>
      </c>
      <c r="O305" s="1125"/>
      <c r="P305" s="1125"/>
      <c r="Q305" s="1125"/>
      <c r="R305" s="1125"/>
      <c r="S305" s="1125"/>
      <c r="T305" s="1125"/>
      <c r="U305" s="1125"/>
      <c r="V305" s="1125"/>
      <c r="W305" s="1125"/>
      <c r="X305" s="1125"/>
      <c r="Y305" s="1125"/>
      <c r="Z305" s="1125"/>
      <c r="AA305" s="1125"/>
      <c r="AB305" s="1125"/>
      <c r="AC305" s="1125"/>
      <c r="AD305" s="1125"/>
      <c r="AE305" s="1125"/>
      <c r="AF305" s="1147">
        <f>SUM(H305:AE305)</f>
        <v>138619</v>
      </c>
      <c r="AG305" s="1147"/>
      <c r="AH305" s="1147"/>
      <c r="AI305" s="954"/>
      <c r="AJ305" s="949"/>
      <c r="AK305" s="949"/>
      <c r="AL305" s="949"/>
      <c r="AM305" s="949"/>
      <c r="AN305" s="949"/>
      <c r="AO305" s="949"/>
      <c r="AP305" s="949"/>
      <c r="AQ305" s="955">
        <f>SUM(H305:AE305)-AF305</f>
        <v>0</v>
      </c>
      <c r="BC305" s="771"/>
      <c r="BD305" s="640"/>
      <c r="BE305" s="640"/>
      <c r="BF305" s="640"/>
      <c r="BG305" s="640"/>
      <c r="BH305" s="640"/>
      <c r="BI305" s="640"/>
      <c r="BJ305" s="640"/>
      <c r="BK305" s="770"/>
    </row>
    <row r="306" spans="1:63" s="633" customFormat="1" x14ac:dyDescent="0.2">
      <c r="A306" s="942"/>
      <c r="D306" s="1105" t="s">
        <v>27</v>
      </c>
      <c r="E306" s="1105"/>
      <c r="F306" s="1105"/>
      <c r="G306" s="1105"/>
      <c r="H306" s="1156"/>
      <c r="I306" s="1156"/>
      <c r="J306" s="1156"/>
      <c r="K306" s="1104">
        <v>13161</v>
      </c>
      <c r="L306" s="1104"/>
      <c r="M306" s="1104"/>
      <c r="N306" s="1104">
        <v>10473</v>
      </c>
      <c r="O306" s="1104"/>
      <c r="P306" s="1104"/>
      <c r="Q306" s="1104"/>
      <c r="R306" s="1104"/>
      <c r="S306" s="1104"/>
      <c r="T306" s="1104"/>
      <c r="U306" s="1104"/>
      <c r="V306" s="1104"/>
      <c r="W306" s="1104"/>
      <c r="X306" s="1104"/>
      <c r="Y306" s="1104"/>
      <c r="Z306" s="1104">
        <v>48074</v>
      </c>
      <c r="AA306" s="1104"/>
      <c r="AB306" s="1104"/>
      <c r="AC306" s="1104"/>
      <c r="AD306" s="1104"/>
      <c r="AE306" s="1104"/>
      <c r="AF306" s="1139">
        <f>SUM(H306:AE306)</f>
        <v>71708</v>
      </c>
      <c r="AG306" s="1139"/>
      <c r="AH306" s="1139"/>
      <c r="AI306" s="954"/>
      <c r="AJ306" s="949"/>
      <c r="AK306" s="949"/>
      <c r="AL306" s="949"/>
      <c r="AM306" s="949"/>
      <c r="AN306" s="949"/>
      <c r="AO306" s="949"/>
      <c r="AP306" s="949"/>
      <c r="AQ306" s="955">
        <f t="shared" ref="AQ306:AQ307" si="118">SUM(H306:AE306)-AF306</f>
        <v>0</v>
      </c>
      <c r="BC306" s="771"/>
      <c r="BD306" s="640"/>
      <c r="BE306" s="640"/>
      <c r="BF306" s="640"/>
      <c r="BG306" s="640"/>
      <c r="BH306" s="640"/>
      <c r="BI306" s="640"/>
      <c r="BJ306" s="640"/>
      <c r="BK306" s="770"/>
    </row>
    <row r="307" spans="1:63" s="633" customFormat="1" x14ac:dyDescent="0.2">
      <c r="A307" s="942"/>
      <c r="D307" s="1105" t="s">
        <v>28</v>
      </c>
      <c r="E307" s="1105"/>
      <c r="F307" s="1105"/>
      <c r="G307" s="1105"/>
      <c r="H307" s="1156"/>
      <c r="I307" s="1156"/>
      <c r="J307" s="1156"/>
      <c r="K307" s="1104"/>
      <c r="L307" s="1104"/>
      <c r="M307" s="1104"/>
      <c r="N307" s="1104"/>
      <c r="O307" s="1104"/>
      <c r="P307" s="1104"/>
      <c r="Q307" s="1104"/>
      <c r="R307" s="1104"/>
      <c r="S307" s="1104"/>
      <c r="T307" s="1104"/>
      <c r="U307" s="1104"/>
      <c r="V307" s="1104"/>
      <c r="W307" s="1104"/>
      <c r="X307" s="1104"/>
      <c r="Y307" s="1104"/>
      <c r="Z307" s="1104"/>
      <c r="AA307" s="1104"/>
      <c r="AB307" s="1104"/>
      <c r="AC307" s="1104"/>
      <c r="AD307" s="1104"/>
      <c r="AE307" s="1104"/>
      <c r="AF307" s="1139">
        <f>SUM(H307:AE307)</f>
        <v>0</v>
      </c>
      <c r="AG307" s="1139"/>
      <c r="AH307" s="1139"/>
      <c r="AI307" s="954"/>
      <c r="AJ307" s="949"/>
      <c r="AK307" s="949"/>
      <c r="AL307" s="949"/>
      <c r="AM307" s="949"/>
      <c r="AN307" s="949"/>
      <c r="AO307" s="949"/>
      <c r="AP307" s="949"/>
      <c r="AQ307" s="955">
        <f t="shared" si="118"/>
        <v>0</v>
      </c>
      <c r="BC307" s="771"/>
      <c r="BD307" s="640"/>
      <c r="BE307" s="640"/>
      <c r="BF307" s="640"/>
      <c r="BG307" s="640"/>
      <c r="BH307" s="640"/>
      <c r="BI307" s="640"/>
      <c r="BJ307" s="640"/>
      <c r="BK307" s="770"/>
    </row>
    <row r="308" spans="1:63" s="633" customFormat="1" x14ac:dyDescent="0.2">
      <c r="A308" s="942"/>
      <c r="D308" s="1105" t="s">
        <v>29</v>
      </c>
      <c r="E308" s="1105"/>
      <c r="F308" s="1105"/>
      <c r="G308" s="1105"/>
      <c r="H308" s="1156"/>
      <c r="I308" s="1156"/>
      <c r="J308" s="1156"/>
      <c r="K308" s="1104"/>
      <c r="L308" s="1104"/>
      <c r="M308" s="1104"/>
      <c r="N308" s="1104"/>
      <c r="O308" s="1104"/>
      <c r="P308" s="1104"/>
      <c r="Q308" s="1104"/>
      <c r="R308" s="1104"/>
      <c r="S308" s="1104"/>
      <c r="T308" s="1104"/>
      <c r="U308" s="1104"/>
      <c r="V308" s="1104"/>
      <c r="W308" s="1104"/>
      <c r="X308" s="1104"/>
      <c r="Y308" s="1104"/>
      <c r="Z308" s="1104"/>
      <c r="AA308" s="1104"/>
      <c r="AB308" s="1104"/>
      <c r="AC308" s="1104"/>
      <c r="AD308" s="1104"/>
      <c r="AE308" s="1104"/>
      <c r="AF308" s="1139">
        <f>SUM(H308:AE308)</f>
        <v>0</v>
      </c>
      <c r="AG308" s="1139"/>
      <c r="AH308" s="1139"/>
      <c r="AI308" s="954"/>
      <c r="AJ308" s="949"/>
      <c r="AK308" s="949"/>
      <c r="AL308" s="949"/>
      <c r="AM308" s="949"/>
      <c r="AN308" s="949"/>
      <c r="AO308" s="949"/>
      <c r="AP308" s="949"/>
      <c r="AQ308" s="955">
        <f>SUM(H308:AE308)-AF308</f>
        <v>0</v>
      </c>
      <c r="BC308" s="771"/>
      <c r="BD308" s="640"/>
      <c r="BE308" s="640"/>
      <c r="BF308" s="640"/>
      <c r="BG308" s="640"/>
      <c r="BH308" s="640"/>
      <c r="BI308" s="640"/>
      <c r="BJ308" s="640"/>
      <c r="BK308" s="770"/>
    </row>
    <row r="309" spans="1:63" s="633" customFormat="1" ht="22.5" customHeight="1" thickBot="1" x14ac:dyDescent="0.25">
      <c r="A309" s="942"/>
      <c r="D309" s="1107" t="s">
        <v>30</v>
      </c>
      <c r="E309" s="1107"/>
      <c r="F309" s="1107"/>
      <c r="G309" s="1107"/>
      <c r="H309" s="1108">
        <f>H305+H306-H307+H308</f>
        <v>0</v>
      </c>
      <c r="I309" s="1108"/>
      <c r="J309" s="1108"/>
      <c r="K309" s="1108">
        <f>K305+K306-K307+K308</f>
        <v>18949</v>
      </c>
      <c r="L309" s="1108"/>
      <c r="M309" s="1108"/>
      <c r="N309" s="1108">
        <f t="shared" ref="N309" si="119">N305+N306-N307+N308</f>
        <v>143304</v>
      </c>
      <c r="O309" s="1108"/>
      <c r="P309" s="1108"/>
      <c r="Q309" s="1108">
        <f t="shared" ref="Q309" si="120">Q305+Q306-Q307+Q308</f>
        <v>0</v>
      </c>
      <c r="R309" s="1108"/>
      <c r="S309" s="1108"/>
      <c r="T309" s="1108">
        <f t="shared" ref="T309" si="121">T305+T306-T307+T308</f>
        <v>0</v>
      </c>
      <c r="U309" s="1108"/>
      <c r="V309" s="1108"/>
      <c r="W309" s="1108">
        <f t="shared" ref="W309" si="122">W305+W306-W307+W308</f>
        <v>0</v>
      </c>
      <c r="X309" s="1108"/>
      <c r="Y309" s="1108"/>
      <c r="Z309" s="1108">
        <f t="shared" ref="Z309" si="123">Z305+Z306-Z307+Z308</f>
        <v>48074</v>
      </c>
      <c r="AA309" s="1108"/>
      <c r="AB309" s="1108"/>
      <c r="AC309" s="1108">
        <f t="shared" ref="AC309" si="124">AC305+AC306-AC307+AC308</f>
        <v>0</v>
      </c>
      <c r="AD309" s="1108"/>
      <c r="AE309" s="1108"/>
      <c r="AF309" s="1108">
        <f t="shared" ref="AF309" si="125">AF305+AF306-AF307+AF308</f>
        <v>210327</v>
      </c>
      <c r="AG309" s="1108"/>
      <c r="AH309" s="1108"/>
      <c r="AI309" s="956">
        <f>H305+H306-H307+H308-H309</f>
        <v>0</v>
      </c>
      <c r="AJ309" s="957">
        <f>K305+K306-K307+K308-K309</f>
        <v>0</v>
      </c>
      <c r="AK309" s="957">
        <f>N305+N306-N307+N308-N309</f>
        <v>0</v>
      </c>
      <c r="AL309" s="957">
        <f>Q305+Q306-Q307+Q308-Q309</f>
        <v>0</v>
      </c>
      <c r="AM309" s="957">
        <f>T305+T306-T307+T308-T308</f>
        <v>0</v>
      </c>
      <c r="AN309" s="957">
        <f>W305+W306-W307+W308-W309</f>
        <v>0</v>
      </c>
      <c r="AO309" s="957">
        <f>Z305+Z306-Z307+Z308-Z309</f>
        <v>0</v>
      </c>
      <c r="AP309" s="957">
        <f>AC305+AC306-AC307+AC308-AC309</f>
        <v>0</v>
      </c>
      <c r="AQ309" s="955">
        <f>AF305+AF306-AF307+AF308-AF309</f>
        <v>0</v>
      </c>
      <c r="BC309" s="771"/>
      <c r="BD309" s="640"/>
      <c r="BE309" s="640"/>
      <c r="BF309" s="640"/>
      <c r="BG309" s="640"/>
      <c r="BH309" s="640"/>
      <c r="BI309" s="640"/>
      <c r="BJ309" s="640"/>
      <c r="BK309" s="770"/>
    </row>
    <row r="310" spans="1:63" s="633" customFormat="1" ht="15" thickBot="1" x14ac:dyDescent="0.25">
      <c r="A310" s="942"/>
      <c r="D310" s="1121" t="s">
        <v>31</v>
      </c>
      <c r="E310" s="1122"/>
      <c r="F310" s="1122"/>
      <c r="G310" s="1122"/>
      <c r="H310" s="1122"/>
      <c r="I310" s="1122"/>
      <c r="J310" s="1122"/>
      <c r="K310" s="1122"/>
      <c r="L310" s="1122"/>
      <c r="M310" s="1122"/>
      <c r="N310" s="1122"/>
      <c r="O310" s="1122"/>
      <c r="P310" s="1122"/>
      <c r="Q310" s="1122"/>
      <c r="R310" s="1122"/>
      <c r="S310" s="1122"/>
      <c r="T310" s="1122"/>
      <c r="U310" s="1122"/>
      <c r="V310" s="1122"/>
      <c r="W310" s="1122"/>
      <c r="X310" s="1122"/>
      <c r="Y310" s="1122"/>
      <c r="Z310" s="1122"/>
      <c r="AA310" s="1122"/>
      <c r="AB310" s="1122"/>
      <c r="AC310" s="1122"/>
      <c r="AD310" s="1122"/>
      <c r="AE310" s="1122"/>
      <c r="AF310" s="1122"/>
      <c r="AG310" s="1122"/>
      <c r="AH310" s="1123"/>
      <c r="AI310" s="954"/>
      <c r="AJ310" s="949"/>
      <c r="AK310" s="949"/>
      <c r="AL310" s="949"/>
      <c r="AM310" s="949"/>
      <c r="AN310" s="949"/>
      <c r="AO310" s="949"/>
      <c r="AP310" s="949"/>
      <c r="AQ310" s="955"/>
      <c r="BC310" s="771"/>
      <c r="BD310" s="640"/>
      <c r="BE310" s="640"/>
      <c r="BF310" s="640"/>
      <c r="BG310" s="640"/>
      <c r="BH310" s="640"/>
      <c r="BI310" s="640"/>
      <c r="BJ310" s="640"/>
      <c r="BK310" s="770"/>
    </row>
    <row r="311" spans="1:63" s="633" customFormat="1" ht="22.5" customHeight="1" x14ac:dyDescent="0.2">
      <c r="A311" s="942"/>
      <c r="D311" s="1142" t="s">
        <v>32</v>
      </c>
      <c r="E311" s="1142"/>
      <c r="F311" s="1142"/>
      <c r="G311" s="1142"/>
      <c r="H311" s="1143"/>
      <c r="I311" s="1143"/>
      <c r="J311" s="1143"/>
      <c r="K311" s="1125">
        <v>1395</v>
      </c>
      <c r="L311" s="1125"/>
      <c r="M311" s="1125"/>
      <c r="N311" s="1125">
        <v>77590</v>
      </c>
      <c r="O311" s="1125"/>
      <c r="P311" s="1125"/>
      <c r="Q311" s="1125"/>
      <c r="R311" s="1125"/>
      <c r="S311" s="1125"/>
      <c r="T311" s="1125"/>
      <c r="U311" s="1125"/>
      <c r="V311" s="1125"/>
      <c r="W311" s="1125"/>
      <c r="X311" s="1125"/>
      <c r="Y311" s="1125"/>
      <c r="Z311" s="1125"/>
      <c r="AA311" s="1125"/>
      <c r="AB311" s="1125"/>
      <c r="AC311" s="1125"/>
      <c r="AD311" s="1125"/>
      <c r="AE311" s="1125"/>
      <c r="AF311" s="1147">
        <f>SUM(H311:AE311)</f>
        <v>78985</v>
      </c>
      <c r="AG311" s="1147"/>
      <c r="AH311" s="1147"/>
      <c r="AI311" s="954"/>
      <c r="AJ311" s="949"/>
      <c r="AK311" s="949"/>
      <c r="AL311" s="949"/>
      <c r="AM311" s="949"/>
      <c r="AN311" s="949"/>
      <c r="AO311" s="949"/>
      <c r="AP311" s="949"/>
      <c r="AQ311" s="955">
        <f>SUM(H311:AE311)-AF311</f>
        <v>0</v>
      </c>
      <c r="BC311" s="771"/>
      <c r="BD311" s="640"/>
      <c r="BE311" s="640"/>
      <c r="BF311" s="640"/>
      <c r="BG311" s="640"/>
      <c r="BH311" s="640"/>
      <c r="BI311" s="640"/>
      <c r="BJ311" s="640"/>
      <c r="BK311" s="770"/>
    </row>
    <row r="312" spans="1:63" s="633" customFormat="1" x14ac:dyDescent="0.2">
      <c r="A312" s="942"/>
      <c r="D312" s="1105" t="s">
        <v>27</v>
      </c>
      <c r="E312" s="1105"/>
      <c r="F312" s="1105"/>
      <c r="G312" s="1105"/>
      <c r="H312" s="1156"/>
      <c r="I312" s="1156"/>
      <c r="J312" s="1156"/>
      <c r="K312" s="1104">
        <v>561</v>
      </c>
      <c r="L312" s="1104"/>
      <c r="M312" s="1104"/>
      <c r="N312" s="1104">
        <v>16697</v>
      </c>
      <c r="O312" s="1104"/>
      <c r="P312" s="1104"/>
      <c r="Q312" s="1104"/>
      <c r="R312" s="1104"/>
      <c r="S312" s="1104"/>
      <c r="T312" s="1104"/>
      <c r="U312" s="1104"/>
      <c r="V312" s="1104"/>
      <c r="W312" s="1104"/>
      <c r="X312" s="1104"/>
      <c r="Y312" s="1104"/>
      <c r="Z312" s="1104"/>
      <c r="AA312" s="1104"/>
      <c r="AB312" s="1104"/>
      <c r="AC312" s="1104"/>
      <c r="AD312" s="1104"/>
      <c r="AE312" s="1104"/>
      <c r="AF312" s="1139">
        <f>SUM(H312:AE312)</f>
        <v>17258</v>
      </c>
      <c r="AG312" s="1139"/>
      <c r="AH312" s="1139"/>
      <c r="AI312" s="954"/>
      <c r="AJ312" s="949"/>
      <c r="AK312" s="949"/>
      <c r="AL312" s="949"/>
      <c r="AM312" s="949"/>
      <c r="AN312" s="949"/>
      <c r="AO312" s="949"/>
      <c r="AP312" s="949"/>
      <c r="AQ312" s="955">
        <f t="shared" ref="AQ312:AQ313" si="126">SUM(H312:AE312)-AF312</f>
        <v>0</v>
      </c>
      <c r="BC312" s="771"/>
      <c r="BD312" s="640"/>
      <c r="BE312" s="640"/>
      <c r="BF312" s="640"/>
      <c r="BG312" s="640"/>
      <c r="BH312" s="640"/>
      <c r="BI312" s="640"/>
      <c r="BJ312" s="640"/>
      <c r="BK312" s="770"/>
    </row>
    <row r="313" spans="1:63" s="633" customFormat="1" x14ac:dyDescent="0.2">
      <c r="A313" s="942"/>
      <c r="D313" s="1105" t="s">
        <v>28</v>
      </c>
      <c r="E313" s="1105"/>
      <c r="F313" s="1105"/>
      <c r="G313" s="1105"/>
      <c r="H313" s="1156"/>
      <c r="I313" s="1156"/>
      <c r="J313" s="1156"/>
      <c r="K313" s="1104"/>
      <c r="L313" s="1104"/>
      <c r="M313" s="1104"/>
      <c r="N313" s="1104"/>
      <c r="O313" s="1104"/>
      <c r="P313" s="1104"/>
      <c r="Q313" s="1104"/>
      <c r="R313" s="1104"/>
      <c r="S313" s="1104"/>
      <c r="T313" s="1104"/>
      <c r="U313" s="1104"/>
      <c r="V313" s="1104"/>
      <c r="W313" s="1104"/>
      <c r="X313" s="1104"/>
      <c r="Y313" s="1104"/>
      <c r="Z313" s="1104"/>
      <c r="AA313" s="1104"/>
      <c r="AB313" s="1104"/>
      <c r="AC313" s="1104"/>
      <c r="AD313" s="1104"/>
      <c r="AE313" s="1104"/>
      <c r="AF313" s="1139">
        <f>SUM(H313:AE313)</f>
        <v>0</v>
      </c>
      <c r="AG313" s="1139"/>
      <c r="AH313" s="1139"/>
      <c r="AI313" s="954"/>
      <c r="AJ313" s="949"/>
      <c r="AK313" s="949"/>
      <c r="AL313" s="949"/>
      <c r="AM313" s="949"/>
      <c r="AN313" s="949"/>
      <c r="AO313" s="949"/>
      <c r="AP313" s="949"/>
      <c r="AQ313" s="955">
        <f t="shared" si="126"/>
        <v>0</v>
      </c>
      <c r="BC313" s="771"/>
      <c r="BD313" s="640"/>
      <c r="BE313" s="640"/>
      <c r="BF313" s="640"/>
      <c r="BG313" s="640"/>
      <c r="BH313" s="640"/>
      <c r="BI313" s="640"/>
      <c r="BJ313" s="640"/>
      <c r="BK313" s="770"/>
    </row>
    <row r="314" spans="1:63" s="633" customFormat="1" ht="22.5" customHeight="1" thickBot="1" x14ac:dyDescent="0.25">
      <c r="A314" s="942"/>
      <c r="D314" s="1107" t="s">
        <v>30</v>
      </c>
      <c r="E314" s="1107"/>
      <c r="F314" s="1107"/>
      <c r="G314" s="1107"/>
      <c r="H314" s="1108">
        <f>H311+H312-H313</f>
        <v>0</v>
      </c>
      <c r="I314" s="1108"/>
      <c r="J314" s="1108"/>
      <c r="K314" s="1108">
        <f t="shared" ref="K314" si="127">K311+K312-K313</f>
        <v>1956</v>
      </c>
      <c r="L314" s="1108"/>
      <c r="M314" s="1108"/>
      <c r="N314" s="1108">
        <f t="shared" ref="N314" si="128">N311+N312-N313</f>
        <v>94287</v>
      </c>
      <c r="O314" s="1108"/>
      <c r="P314" s="1108"/>
      <c r="Q314" s="1108">
        <f t="shared" ref="Q314" si="129">Q311+Q312-Q313</f>
        <v>0</v>
      </c>
      <c r="R314" s="1108"/>
      <c r="S314" s="1108"/>
      <c r="T314" s="1108">
        <f t="shared" ref="T314" si="130">T311+T312-T313</f>
        <v>0</v>
      </c>
      <c r="U314" s="1108"/>
      <c r="V314" s="1108"/>
      <c r="W314" s="1108">
        <f t="shared" ref="W314" si="131">W311+W312-W313</f>
        <v>0</v>
      </c>
      <c r="X314" s="1108"/>
      <c r="Y314" s="1108"/>
      <c r="Z314" s="1108">
        <f t="shared" ref="Z314" si="132">Z311+Z312-Z313</f>
        <v>0</v>
      </c>
      <c r="AA314" s="1108"/>
      <c r="AB314" s="1108"/>
      <c r="AC314" s="1108">
        <f t="shared" ref="AC314" si="133">AC311+AC312-AC313</f>
        <v>0</v>
      </c>
      <c r="AD314" s="1108"/>
      <c r="AE314" s="1108"/>
      <c r="AF314" s="1108">
        <f t="shared" ref="AF314" si="134">AF311+AF312-AF313</f>
        <v>96243</v>
      </c>
      <c r="AG314" s="1108"/>
      <c r="AH314" s="1108"/>
      <c r="AI314" s="956">
        <f>H311+H312-H313-H314</f>
        <v>0</v>
      </c>
      <c r="AJ314" s="957">
        <f>K311+K312-K313-K314</f>
        <v>0</v>
      </c>
      <c r="AK314" s="957">
        <f>N311+N312-N313-N314</f>
        <v>0</v>
      </c>
      <c r="AL314" s="957">
        <f>Q311+Q312-Q313-Q314</f>
        <v>0</v>
      </c>
      <c r="AM314" s="957">
        <f>T311+T312-T313-T314</f>
        <v>0</v>
      </c>
      <c r="AN314" s="957">
        <f>W311+W312-W313-W314</f>
        <v>0</v>
      </c>
      <c r="AO314" s="957">
        <f>Z311+Z312-Z313-Z314</f>
        <v>0</v>
      </c>
      <c r="AP314" s="957">
        <f>AC311+AC312-AC313-AC314</f>
        <v>0</v>
      </c>
      <c r="AQ314" s="955">
        <f>AF311+AF312-AF313-AF314</f>
        <v>0</v>
      </c>
      <c r="BC314" s="771"/>
      <c r="BD314" s="640"/>
      <c r="BE314" s="640"/>
      <c r="BF314" s="640"/>
      <c r="BG314" s="640"/>
      <c r="BH314" s="640"/>
      <c r="BI314" s="640"/>
      <c r="BJ314" s="640"/>
      <c r="BK314" s="770"/>
    </row>
    <row r="315" spans="1:63" s="633" customFormat="1" ht="15" thickBot="1" x14ac:dyDescent="0.25">
      <c r="A315" s="942"/>
      <c r="D315" s="1121" t="s">
        <v>33</v>
      </c>
      <c r="E315" s="1122"/>
      <c r="F315" s="1122"/>
      <c r="G315" s="1122"/>
      <c r="H315" s="1122"/>
      <c r="I315" s="1122"/>
      <c r="J315" s="1122"/>
      <c r="K315" s="1122"/>
      <c r="L315" s="1122"/>
      <c r="M315" s="1122"/>
      <c r="N315" s="1122"/>
      <c r="O315" s="1122"/>
      <c r="P315" s="1122"/>
      <c r="Q315" s="1122"/>
      <c r="R315" s="1122"/>
      <c r="S315" s="1122"/>
      <c r="T315" s="1122"/>
      <c r="U315" s="1122"/>
      <c r="V315" s="1122"/>
      <c r="W315" s="1122"/>
      <c r="X315" s="1122"/>
      <c r="Y315" s="1122"/>
      <c r="Z315" s="1122"/>
      <c r="AA315" s="1122"/>
      <c r="AB315" s="1122"/>
      <c r="AC315" s="1122"/>
      <c r="AD315" s="1122"/>
      <c r="AE315" s="1122"/>
      <c r="AF315" s="1122"/>
      <c r="AG315" s="1122"/>
      <c r="AH315" s="1123"/>
      <c r="AI315" s="954"/>
      <c r="AJ315" s="949"/>
      <c r="AK315" s="949"/>
      <c r="AL315" s="949"/>
      <c r="AM315" s="949"/>
      <c r="AN315" s="949"/>
      <c r="AO315" s="949"/>
      <c r="AP315" s="949"/>
      <c r="AQ315" s="955"/>
      <c r="BC315" s="771"/>
      <c r="BD315" s="640"/>
      <c r="BE315" s="640"/>
      <c r="BF315" s="640"/>
      <c r="BG315" s="640"/>
      <c r="BH315" s="640"/>
      <c r="BI315" s="640"/>
      <c r="BJ315" s="640"/>
      <c r="BK315" s="770"/>
    </row>
    <row r="316" spans="1:63" s="633" customFormat="1" ht="22.5" customHeight="1" x14ac:dyDescent="0.2">
      <c r="A316" s="942"/>
      <c r="D316" s="1142" t="s">
        <v>32</v>
      </c>
      <c r="E316" s="1142"/>
      <c r="F316" s="1142"/>
      <c r="G316" s="1142"/>
      <c r="H316" s="1143"/>
      <c r="I316" s="1143"/>
      <c r="J316" s="1143"/>
      <c r="K316" s="1125"/>
      <c r="L316" s="1125"/>
      <c r="M316" s="1125"/>
      <c r="N316" s="1125"/>
      <c r="O316" s="1125"/>
      <c r="P316" s="1125"/>
      <c r="Q316" s="1125"/>
      <c r="R316" s="1125"/>
      <c r="S316" s="1125"/>
      <c r="T316" s="1125"/>
      <c r="U316" s="1125"/>
      <c r="V316" s="1125"/>
      <c r="W316" s="1125"/>
      <c r="X316" s="1125"/>
      <c r="Y316" s="1125"/>
      <c r="Z316" s="1125"/>
      <c r="AA316" s="1125"/>
      <c r="AB316" s="1125"/>
      <c r="AC316" s="1125"/>
      <c r="AD316" s="1125"/>
      <c r="AE316" s="1125"/>
      <c r="AF316" s="1147">
        <f>SUM(H316:AE316)</f>
        <v>0</v>
      </c>
      <c r="AG316" s="1147"/>
      <c r="AH316" s="1147"/>
      <c r="AI316" s="954"/>
      <c r="AJ316" s="949"/>
      <c r="AK316" s="949"/>
      <c r="AL316" s="949"/>
      <c r="AM316" s="949"/>
      <c r="AN316" s="949"/>
      <c r="AO316" s="949"/>
      <c r="AP316" s="949"/>
      <c r="AQ316" s="955">
        <f>SUM(H316:AE316)-AF316</f>
        <v>0</v>
      </c>
      <c r="BC316" s="771"/>
      <c r="BD316" s="640"/>
      <c r="BE316" s="640"/>
      <c r="BF316" s="640"/>
      <c r="BG316" s="640"/>
      <c r="BH316" s="640"/>
      <c r="BI316" s="640"/>
      <c r="BJ316" s="640"/>
      <c r="BK316" s="770"/>
    </row>
    <row r="317" spans="1:63" s="633" customFormat="1" x14ac:dyDescent="0.2">
      <c r="A317" s="942"/>
      <c r="D317" s="1105" t="s">
        <v>27</v>
      </c>
      <c r="E317" s="1105"/>
      <c r="F317" s="1105"/>
      <c r="G317" s="1105"/>
      <c r="H317" s="1156"/>
      <c r="I317" s="1156"/>
      <c r="J317" s="1156"/>
      <c r="K317" s="1104"/>
      <c r="L317" s="1104"/>
      <c r="M317" s="1104"/>
      <c r="N317" s="1104"/>
      <c r="O317" s="1104"/>
      <c r="P317" s="1104"/>
      <c r="Q317" s="1104"/>
      <c r="R317" s="1104"/>
      <c r="S317" s="1104"/>
      <c r="T317" s="1104"/>
      <c r="U317" s="1104"/>
      <c r="V317" s="1104"/>
      <c r="W317" s="1104"/>
      <c r="X317" s="1104"/>
      <c r="Y317" s="1104"/>
      <c r="Z317" s="1104"/>
      <c r="AA317" s="1104"/>
      <c r="AB317" s="1104"/>
      <c r="AC317" s="1104"/>
      <c r="AD317" s="1104"/>
      <c r="AE317" s="1104"/>
      <c r="AF317" s="1139">
        <f>SUM(H317:AE317)</f>
        <v>0</v>
      </c>
      <c r="AG317" s="1139"/>
      <c r="AH317" s="1139"/>
      <c r="AI317" s="954"/>
      <c r="AJ317" s="949"/>
      <c r="AK317" s="949"/>
      <c r="AL317" s="949"/>
      <c r="AM317" s="949"/>
      <c r="AN317" s="949"/>
      <c r="AO317" s="949"/>
      <c r="AP317" s="949"/>
      <c r="AQ317" s="955">
        <f>SUM(H317:AE317)-AF317</f>
        <v>0</v>
      </c>
      <c r="BC317" s="771"/>
      <c r="BD317" s="640"/>
      <c r="BE317" s="640"/>
      <c r="BF317" s="640"/>
      <c r="BG317" s="640"/>
      <c r="BH317" s="640"/>
      <c r="BI317" s="640"/>
      <c r="BJ317" s="640"/>
      <c r="BK317" s="770"/>
    </row>
    <row r="318" spans="1:63" s="633" customFormat="1" x14ac:dyDescent="0.2">
      <c r="A318" s="942"/>
      <c r="D318" s="1105" t="s">
        <v>28</v>
      </c>
      <c r="E318" s="1105"/>
      <c r="F318" s="1105"/>
      <c r="G318" s="1105"/>
      <c r="H318" s="1156"/>
      <c r="I318" s="1156"/>
      <c r="J318" s="1156"/>
      <c r="K318" s="1104"/>
      <c r="L318" s="1104"/>
      <c r="M318" s="1104"/>
      <c r="N318" s="1104"/>
      <c r="O318" s="1104"/>
      <c r="P318" s="1104"/>
      <c r="Q318" s="1104"/>
      <c r="R318" s="1104"/>
      <c r="S318" s="1104"/>
      <c r="T318" s="1104"/>
      <c r="U318" s="1104"/>
      <c r="V318" s="1104"/>
      <c r="W318" s="1104"/>
      <c r="X318" s="1104"/>
      <c r="Y318" s="1104"/>
      <c r="Z318" s="1104"/>
      <c r="AA318" s="1104"/>
      <c r="AB318" s="1104"/>
      <c r="AC318" s="1104"/>
      <c r="AD318" s="1104"/>
      <c r="AE318" s="1104"/>
      <c r="AF318" s="1139">
        <f>SUM(H318:AE318)</f>
        <v>0</v>
      </c>
      <c r="AG318" s="1139"/>
      <c r="AH318" s="1139"/>
      <c r="AI318" s="954"/>
      <c r="AJ318" s="949"/>
      <c r="AK318" s="949"/>
      <c r="AL318" s="949"/>
      <c r="AM318" s="949"/>
      <c r="AN318" s="949"/>
      <c r="AO318" s="949"/>
      <c r="AP318" s="949"/>
      <c r="AQ318" s="955">
        <f t="shared" ref="AQ318" si="135">SUM(H318:AE318)-AF318</f>
        <v>0</v>
      </c>
      <c r="BC318" s="771"/>
      <c r="BD318" s="640"/>
      <c r="BE318" s="640"/>
      <c r="BF318" s="640"/>
      <c r="BG318" s="640"/>
      <c r="BH318" s="640"/>
      <c r="BI318" s="640"/>
      <c r="BJ318" s="640"/>
      <c r="BK318" s="770"/>
    </row>
    <row r="319" spans="1:63" s="633" customFormat="1" ht="22.5" customHeight="1" thickBot="1" x14ac:dyDescent="0.25">
      <c r="A319" s="942"/>
      <c r="D319" s="1107" t="s">
        <v>30</v>
      </c>
      <c r="E319" s="1107"/>
      <c r="F319" s="1107"/>
      <c r="G319" s="1107"/>
      <c r="H319" s="1108">
        <f>H316+H317-H318</f>
        <v>0</v>
      </c>
      <c r="I319" s="1108"/>
      <c r="J319" s="1108"/>
      <c r="K319" s="1108">
        <f t="shared" ref="K319" si="136">K316+K317-K318</f>
        <v>0</v>
      </c>
      <c r="L319" s="1108"/>
      <c r="M319" s="1108"/>
      <c r="N319" s="1108">
        <f t="shared" ref="N319" si="137">N316+N317-N318</f>
        <v>0</v>
      </c>
      <c r="O319" s="1108"/>
      <c r="P319" s="1108"/>
      <c r="Q319" s="1108">
        <f t="shared" ref="Q319" si="138">Q316+Q317-Q318</f>
        <v>0</v>
      </c>
      <c r="R319" s="1108"/>
      <c r="S319" s="1108"/>
      <c r="T319" s="1108">
        <f t="shared" ref="T319" si="139">T316+T317-T318</f>
        <v>0</v>
      </c>
      <c r="U319" s="1108"/>
      <c r="V319" s="1108"/>
      <c r="W319" s="1108">
        <f t="shared" ref="W319" si="140">W316+W317-W318</f>
        <v>0</v>
      </c>
      <c r="X319" s="1108"/>
      <c r="Y319" s="1108"/>
      <c r="Z319" s="1108">
        <f t="shared" ref="Z319" si="141">Z316+Z317-Z318</f>
        <v>0</v>
      </c>
      <c r="AA319" s="1108"/>
      <c r="AB319" s="1108"/>
      <c r="AC319" s="1108">
        <f t="shared" ref="AC319" si="142">AC316+AC317-AC318</f>
        <v>0</v>
      </c>
      <c r="AD319" s="1108"/>
      <c r="AE319" s="1108"/>
      <c r="AF319" s="1108">
        <f t="shared" ref="AF319" si="143">AF316+AF317-AF318</f>
        <v>0</v>
      </c>
      <c r="AG319" s="1108"/>
      <c r="AH319" s="1108"/>
      <c r="AI319" s="956">
        <f>H316+H317-H318-H319</f>
        <v>0</v>
      </c>
      <c r="AJ319" s="957">
        <f>K316+K317-K318-K319</f>
        <v>0</v>
      </c>
      <c r="AK319" s="957">
        <f>N316+N317-N318-N319</f>
        <v>0</v>
      </c>
      <c r="AL319" s="957">
        <f>Q316+Q317-Q318-Q319</f>
        <v>0</v>
      </c>
      <c r="AM319" s="957">
        <f>T316+T317-T318-T319</f>
        <v>0</v>
      </c>
      <c r="AN319" s="957">
        <f>W316+W317-W318-W319</f>
        <v>0</v>
      </c>
      <c r="AO319" s="957">
        <f>Z316+Z317-Z318-Z319</f>
        <v>0</v>
      </c>
      <c r="AP319" s="957">
        <f>AC316+AC317-AC318-AC319</f>
        <v>0</v>
      </c>
      <c r="AQ319" s="955">
        <f>AF316+AF317-AF318-AF319</f>
        <v>0</v>
      </c>
      <c r="BC319" s="771"/>
      <c r="BD319" s="640"/>
      <c r="BE319" s="640"/>
      <c r="BF319" s="640"/>
      <c r="BG319" s="640"/>
      <c r="BH319" s="640"/>
      <c r="BI319" s="640"/>
      <c r="BJ319" s="640"/>
      <c r="BK319" s="770"/>
    </row>
    <row r="320" spans="1:63" s="633" customFormat="1" ht="15" thickBot="1" x14ac:dyDescent="0.25">
      <c r="A320" s="942"/>
      <c r="D320" s="1121" t="s">
        <v>34</v>
      </c>
      <c r="E320" s="1122"/>
      <c r="F320" s="1122"/>
      <c r="G320" s="1122"/>
      <c r="H320" s="1122"/>
      <c r="I320" s="1122"/>
      <c r="J320" s="1122"/>
      <c r="K320" s="1122"/>
      <c r="L320" s="1122"/>
      <c r="M320" s="1122"/>
      <c r="N320" s="1122"/>
      <c r="O320" s="1122"/>
      <c r="P320" s="1122"/>
      <c r="Q320" s="1122"/>
      <c r="R320" s="1122"/>
      <c r="S320" s="1122"/>
      <c r="T320" s="1122"/>
      <c r="U320" s="1122"/>
      <c r="V320" s="1122"/>
      <c r="W320" s="1122"/>
      <c r="X320" s="1122"/>
      <c r="Y320" s="1122"/>
      <c r="Z320" s="1122"/>
      <c r="AA320" s="1122"/>
      <c r="AB320" s="1122"/>
      <c r="AC320" s="1122"/>
      <c r="AD320" s="1122"/>
      <c r="AE320" s="1122"/>
      <c r="AF320" s="1122"/>
      <c r="AG320" s="1122"/>
      <c r="AH320" s="1123"/>
      <c r="AI320" s="954"/>
      <c r="AJ320" s="949"/>
      <c r="AK320" s="949"/>
      <c r="AL320" s="949"/>
      <c r="AM320" s="949"/>
      <c r="AN320" s="949"/>
      <c r="AO320" s="949"/>
      <c r="AP320" s="949"/>
      <c r="AQ320" s="955"/>
      <c r="BC320" s="771"/>
      <c r="BD320" s="640"/>
      <c r="BE320" s="640"/>
      <c r="BF320" s="640"/>
      <c r="BG320" s="640"/>
      <c r="BH320" s="640"/>
      <c r="BI320" s="640"/>
      <c r="BJ320" s="640"/>
      <c r="BK320" s="770"/>
    </row>
    <row r="321" spans="1:63" s="633" customFormat="1" ht="22.5" customHeight="1" x14ac:dyDescent="0.2">
      <c r="A321" s="942"/>
      <c r="D321" s="1044" t="s">
        <v>32</v>
      </c>
      <c r="E321" s="1044"/>
      <c r="F321" s="1044"/>
      <c r="G321" s="1044"/>
      <c r="H321" s="1114">
        <f>H305-H311-H316</f>
        <v>0</v>
      </c>
      <c r="I321" s="1114"/>
      <c r="J321" s="1114"/>
      <c r="K321" s="1114">
        <f t="shared" ref="K321" si="144">K305-K311-K316</f>
        <v>4393</v>
      </c>
      <c r="L321" s="1114"/>
      <c r="M321" s="1114"/>
      <c r="N321" s="1114">
        <f t="shared" ref="N321" si="145">N305-N311-N316</f>
        <v>55241</v>
      </c>
      <c r="O321" s="1114"/>
      <c r="P321" s="1114"/>
      <c r="Q321" s="1114">
        <f t="shared" ref="Q321" si="146">Q305-Q311-Q316</f>
        <v>0</v>
      </c>
      <c r="R321" s="1114"/>
      <c r="S321" s="1114"/>
      <c r="T321" s="1114">
        <f t="shared" ref="T321" si="147">T305-T311-T316</f>
        <v>0</v>
      </c>
      <c r="U321" s="1114"/>
      <c r="V321" s="1114"/>
      <c r="W321" s="1114">
        <f t="shared" ref="W321" si="148">W305-W311-W316</f>
        <v>0</v>
      </c>
      <c r="X321" s="1114"/>
      <c r="Y321" s="1114"/>
      <c r="Z321" s="1114">
        <f t="shared" ref="Z321" si="149">Z305-Z311-Z316</f>
        <v>0</v>
      </c>
      <c r="AA321" s="1114"/>
      <c r="AB321" s="1114"/>
      <c r="AC321" s="1114">
        <f t="shared" ref="AC321" si="150">AC305-AC311-AC316</f>
        <v>0</v>
      </c>
      <c r="AD321" s="1114"/>
      <c r="AE321" s="1114"/>
      <c r="AF321" s="1114">
        <f t="shared" ref="AF321" si="151">AF305-AF311-AF316</f>
        <v>59634</v>
      </c>
      <c r="AG321" s="1114"/>
      <c r="AH321" s="1114"/>
      <c r="AI321" s="956">
        <f>H305-H311-H316-H321</f>
        <v>0</v>
      </c>
      <c r="AJ321" s="957">
        <f>K305-K311-K316-K321</f>
        <v>0</v>
      </c>
      <c r="AK321" s="957">
        <f>N305-N311-N316-N321</f>
        <v>0</v>
      </c>
      <c r="AL321" s="957">
        <f>Q305-Q311-Q316-Q321</f>
        <v>0</v>
      </c>
      <c r="AM321" s="957">
        <f>T305-T311-T316-T321</f>
        <v>0</v>
      </c>
      <c r="AN321" s="957">
        <f>W305-W311-W316-W321</f>
        <v>0</v>
      </c>
      <c r="AO321" s="957">
        <f>Z305-Z311-Z316-Z321</f>
        <v>0</v>
      </c>
      <c r="AP321" s="957">
        <f>AC305-AC311-AC316-AC321</f>
        <v>0</v>
      </c>
      <c r="AQ321" s="955">
        <f>SUM(H321:AE321)-AF321</f>
        <v>0</v>
      </c>
      <c r="BC321" s="771"/>
      <c r="BD321" s="640"/>
      <c r="BE321" s="640"/>
      <c r="BF321" s="640"/>
      <c r="BG321" s="640"/>
      <c r="BH321" s="640"/>
      <c r="BI321" s="640"/>
      <c r="BJ321" s="640"/>
      <c r="BK321" s="770"/>
    </row>
    <row r="322" spans="1:63" s="633" customFormat="1" ht="22.5" customHeight="1" thickBot="1" x14ac:dyDescent="0.25">
      <c r="A322" s="942"/>
      <c r="D322" s="1107" t="s">
        <v>30</v>
      </c>
      <c r="E322" s="1107"/>
      <c r="F322" s="1107"/>
      <c r="G322" s="1107"/>
      <c r="H322" s="1108">
        <f>H309-H314-H319</f>
        <v>0</v>
      </c>
      <c r="I322" s="1108"/>
      <c r="J322" s="1108"/>
      <c r="K322" s="1108">
        <f t="shared" ref="K322" si="152">K309-K314-K319</f>
        <v>16993</v>
      </c>
      <c r="L322" s="1108"/>
      <c r="M322" s="1108"/>
      <c r="N322" s="1108">
        <f t="shared" ref="N322" si="153">N309-N314-N319</f>
        <v>49017</v>
      </c>
      <c r="O322" s="1108"/>
      <c r="P322" s="1108"/>
      <c r="Q322" s="1108">
        <f t="shared" ref="Q322" si="154">Q309-Q314-Q319</f>
        <v>0</v>
      </c>
      <c r="R322" s="1108"/>
      <c r="S322" s="1108"/>
      <c r="T322" s="1108">
        <f t="shared" ref="T322" si="155">T309-T314-T319</f>
        <v>0</v>
      </c>
      <c r="U322" s="1108"/>
      <c r="V322" s="1108"/>
      <c r="W322" s="1108">
        <f t="shared" ref="W322" si="156">W309-W314-W319</f>
        <v>0</v>
      </c>
      <c r="X322" s="1108"/>
      <c r="Y322" s="1108"/>
      <c r="Z322" s="1108">
        <f>Z309-Z314-Z319</f>
        <v>48074</v>
      </c>
      <c r="AA322" s="1108"/>
      <c r="AB322" s="1108"/>
      <c r="AC322" s="1108">
        <f t="shared" ref="AC322" si="157">AC309-AC314-AC319</f>
        <v>0</v>
      </c>
      <c r="AD322" s="1108"/>
      <c r="AE322" s="1108"/>
      <c r="AF322" s="1108">
        <f t="shared" ref="AF322" si="158">AF309-AF314-AF319</f>
        <v>114084</v>
      </c>
      <c r="AG322" s="1108"/>
      <c r="AH322" s="1108"/>
      <c r="AI322" s="959">
        <f>H309-H314-H319-H322</f>
        <v>0</v>
      </c>
      <c r="AJ322" s="960">
        <f>K309-K314-K319-K322</f>
        <v>0</v>
      </c>
      <c r="AK322" s="960">
        <f>N309-N314-N319-N322</f>
        <v>0</v>
      </c>
      <c r="AL322" s="960">
        <f>Q309-Q314-Q319-Q322</f>
        <v>0</v>
      </c>
      <c r="AM322" s="960">
        <f>T309-T314-T319-T322</f>
        <v>0</v>
      </c>
      <c r="AN322" s="960">
        <f>W309-W314-W319-W322</f>
        <v>0</v>
      </c>
      <c r="AO322" s="960">
        <f>Z309-Z314-Z319-Z322</f>
        <v>0</v>
      </c>
      <c r="AP322" s="960">
        <f>AC309-AC314-AC319-AC322</f>
        <v>0</v>
      </c>
      <c r="AQ322" s="961">
        <f>SUM(H322:AE322)-AF322</f>
        <v>0</v>
      </c>
      <c r="BC322" s="959">
        <f>H322-BS!$G$21</f>
        <v>0</v>
      </c>
      <c r="BD322" s="960">
        <f>K322-BS!$G$22</f>
        <v>0</v>
      </c>
      <c r="BE322" s="960">
        <f>N322-BS!$G$23</f>
        <v>0</v>
      </c>
      <c r="BF322" s="960">
        <f>Q322-BS!$G$24</f>
        <v>0</v>
      </c>
      <c r="BG322" s="960">
        <f>T322-BS!$G$25</f>
        <v>0</v>
      </c>
      <c r="BH322" s="960">
        <f>W322-BS!$G$26</f>
        <v>0</v>
      </c>
      <c r="BI322" s="960">
        <f>Z322-BS!$G$27</f>
        <v>0</v>
      </c>
      <c r="BJ322" s="960">
        <f>AC322-BS!$G$28</f>
        <v>0</v>
      </c>
      <c r="BK322" s="961">
        <f>AF322-BS!$G$20</f>
        <v>0</v>
      </c>
    </row>
    <row r="323" spans="1:63" s="633" customFormat="1" x14ac:dyDescent="0.2">
      <c r="A323" s="942"/>
      <c r="D323" s="932"/>
      <c r="E323" s="932"/>
      <c r="F323" s="932"/>
      <c r="G323" s="932"/>
      <c r="H323" s="932"/>
      <c r="I323" s="932"/>
      <c r="J323" s="932"/>
      <c r="K323" s="932"/>
      <c r="L323" s="932"/>
      <c r="M323" s="932"/>
      <c r="N323" s="932"/>
      <c r="O323" s="932"/>
      <c r="P323" s="932"/>
      <c r="Q323" s="932"/>
      <c r="R323" s="932"/>
      <c r="S323" s="932"/>
      <c r="T323" s="932"/>
      <c r="U323" s="932"/>
      <c r="V323" s="932"/>
      <c r="W323" s="932"/>
      <c r="X323" s="932"/>
      <c r="Y323" s="932"/>
      <c r="Z323" s="932"/>
      <c r="AA323" s="932"/>
      <c r="AB323" s="932"/>
      <c r="AC323" s="932"/>
      <c r="AD323" s="932"/>
      <c r="AE323" s="932"/>
      <c r="AF323" s="932"/>
      <c r="AG323" s="932"/>
      <c r="AI323" s="943"/>
      <c r="AJ323" s="943"/>
      <c r="AK323" s="943"/>
      <c r="AL323" s="943"/>
      <c r="AM323" s="943"/>
      <c r="AN323" s="943"/>
      <c r="AO323" s="943"/>
      <c r="AP323" s="943"/>
      <c r="AQ323" s="943"/>
    </row>
    <row r="324" spans="1:63" s="633" customFormat="1" ht="15" thickBot="1" x14ac:dyDescent="0.25">
      <c r="A324" s="942"/>
      <c r="AI324" s="943"/>
      <c r="AJ324" s="943"/>
      <c r="AK324" s="943"/>
      <c r="AL324" s="943"/>
      <c r="AM324" s="943"/>
      <c r="AN324" s="943"/>
      <c r="AO324" s="943"/>
      <c r="AP324" s="943"/>
      <c r="AQ324" s="943"/>
    </row>
    <row r="325" spans="1:63" s="633" customFormat="1" ht="29.25" customHeight="1" thickBot="1" x14ac:dyDescent="0.25">
      <c r="A325" s="942">
        <v>6</v>
      </c>
      <c r="D325" s="1138" t="s">
        <v>40</v>
      </c>
      <c r="E325" s="1138"/>
      <c r="F325" s="1138"/>
      <c r="G325" s="1138"/>
      <c r="H325" s="1138"/>
      <c r="I325" s="1138"/>
      <c r="J325" s="1138"/>
      <c r="K325" s="1138"/>
      <c r="L325" s="1138"/>
      <c r="M325" s="1138"/>
      <c r="N325" s="1138"/>
      <c r="O325" s="1138"/>
      <c r="P325" s="1138"/>
      <c r="Q325" s="1138"/>
      <c r="R325" s="1138"/>
      <c r="S325" s="1138" t="s">
        <v>36</v>
      </c>
      <c r="T325" s="1138"/>
      <c r="U325" s="1138"/>
      <c r="V325" s="1138"/>
      <c r="W325" s="1138"/>
      <c r="X325" s="1138"/>
      <c r="Y325" s="1138"/>
      <c r="Z325" s="1138"/>
      <c r="AA325" s="1138"/>
      <c r="AB325" s="1138"/>
      <c r="AC325" s="1138"/>
      <c r="AD325" s="1138"/>
      <c r="AE325" s="1138"/>
      <c r="AF325" s="1138"/>
      <c r="AG325" s="1138"/>
      <c r="AI325" s="943"/>
      <c r="AJ325" s="943"/>
      <c r="AK325" s="943"/>
      <c r="AL325" s="943"/>
      <c r="AM325" s="943"/>
      <c r="AN325" s="943"/>
      <c r="AO325" s="943"/>
      <c r="AP325" s="943"/>
      <c r="AQ325" s="943"/>
    </row>
    <row r="326" spans="1:63" s="633" customFormat="1" ht="29.25" customHeight="1" x14ac:dyDescent="0.2">
      <c r="A326" s="942"/>
      <c r="D326" s="1255" t="s">
        <v>48</v>
      </c>
      <c r="E326" s="1255"/>
      <c r="F326" s="1255"/>
      <c r="G326" s="1255"/>
      <c r="H326" s="1255"/>
      <c r="I326" s="1255"/>
      <c r="J326" s="1255"/>
      <c r="K326" s="1255"/>
      <c r="L326" s="1255"/>
      <c r="M326" s="1255"/>
      <c r="N326" s="1255"/>
      <c r="O326" s="1255"/>
      <c r="P326" s="1255"/>
      <c r="Q326" s="1255"/>
      <c r="R326" s="1255"/>
      <c r="S326" s="1256">
        <v>0</v>
      </c>
      <c r="T326" s="1256"/>
      <c r="U326" s="1256"/>
      <c r="V326" s="1256"/>
      <c r="W326" s="1256"/>
      <c r="X326" s="1256"/>
      <c r="Y326" s="1256"/>
      <c r="Z326" s="1256"/>
      <c r="AA326" s="1256"/>
      <c r="AB326" s="1256"/>
      <c r="AC326" s="1256"/>
      <c r="AD326" s="1256"/>
      <c r="AE326" s="1256"/>
      <c r="AF326" s="1256"/>
      <c r="AG326" s="1256"/>
      <c r="AI326" s="943"/>
      <c r="AJ326" s="943"/>
      <c r="AK326" s="943"/>
      <c r="AL326" s="943"/>
      <c r="AM326" s="943"/>
      <c r="AN326" s="943"/>
      <c r="AO326" s="943"/>
      <c r="AP326" s="943"/>
      <c r="AQ326" s="943"/>
    </row>
    <row r="327" spans="1:63" s="633" customFormat="1" ht="29.25" customHeight="1" thickBot="1" x14ac:dyDescent="0.25">
      <c r="A327" s="942"/>
      <c r="D327" s="1324" t="s">
        <v>49</v>
      </c>
      <c r="E327" s="1324"/>
      <c r="F327" s="1324"/>
      <c r="G327" s="1324"/>
      <c r="H327" s="1324"/>
      <c r="I327" s="1324"/>
      <c r="J327" s="1324"/>
      <c r="K327" s="1324"/>
      <c r="L327" s="1324"/>
      <c r="M327" s="1324"/>
      <c r="N327" s="1324"/>
      <c r="O327" s="1324"/>
      <c r="P327" s="1324"/>
      <c r="Q327" s="1324"/>
      <c r="R327" s="1324"/>
      <c r="S327" s="1171">
        <v>0</v>
      </c>
      <c r="T327" s="1171"/>
      <c r="U327" s="1171"/>
      <c r="V327" s="1171"/>
      <c r="W327" s="1171"/>
      <c r="X327" s="1171"/>
      <c r="Y327" s="1171"/>
      <c r="Z327" s="1171"/>
      <c r="AA327" s="1171"/>
      <c r="AB327" s="1171"/>
      <c r="AC327" s="1171"/>
      <c r="AD327" s="1171"/>
      <c r="AE327" s="1171"/>
      <c r="AF327" s="1171"/>
      <c r="AG327" s="1171"/>
      <c r="AI327" s="943"/>
      <c r="AJ327" s="943"/>
      <c r="AK327" s="943"/>
      <c r="AL327" s="943"/>
      <c r="AM327" s="943"/>
      <c r="AN327" s="943"/>
      <c r="AO327" s="943"/>
      <c r="AP327" s="943"/>
      <c r="AQ327" s="943"/>
    </row>
    <row r="328" spans="1:63" s="633" customFormat="1" x14ac:dyDescent="0.2">
      <c r="A328" s="942"/>
      <c r="AI328" s="943"/>
      <c r="AJ328" s="943"/>
      <c r="AK328" s="943"/>
      <c r="AL328" s="943"/>
      <c r="AM328" s="943"/>
      <c r="AN328" s="943"/>
      <c r="AO328" s="943"/>
      <c r="AP328" s="943"/>
      <c r="AQ328" s="943"/>
    </row>
    <row r="329" spans="1:63" s="633" customFormat="1" hidden="1" x14ac:dyDescent="0.2">
      <c r="A329" s="942"/>
      <c r="D329" s="1116"/>
      <c r="E329" s="1116"/>
      <c r="F329" s="1116"/>
      <c r="G329" s="1116"/>
      <c r="H329" s="1116"/>
      <c r="I329" s="1116"/>
      <c r="J329" s="1116"/>
      <c r="K329" s="1116"/>
      <c r="L329" s="1116"/>
      <c r="M329" s="1116"/>
      <c r="N329" s="1116"/>
      <c r="O329" s="1116"/>
      <c r="P329" s="1116"/>
      <c r="Q329" s="1116"/>
      <c r="R329" s="1116"/>
      <c r="S329" s="1116"/>
      <c r="T329" s="1116"/>
      <c r="U329" s="1116"/>
      <c r="V329" s="1116"/>
      <c r="W329" s="1116"/>
      <c r="X329" s="1116"/>
      <c r="Y329" s="1116"/>
      <c r="Z329" s="1116"/>
      <c r="AA329" s="1116"/>
      <c r="AB329" s="1116"/>
      <c r="AC329" s="1116"/>
      <c r="AD329" s="1116"/>
      <c r="AE329" s="1116"/>
      <c r="AF329" s="1116"/>
      <c r="AG329" s="1116"/>
      <c r="AI329" s="943"/>
      <c r="AJ329" s="943"/>
      <c r="AK329" s="943"/>
      <c r="AL329" s="943"/>
      <c r="AM329" s="943"/>
      <c r="AN329" s="943"/>
      <c r="AO329" s="943"/>
      <c r="AP329" s="943"/>
      <c r="AQ329" s="943"/>
    </row>
    <row r="330" spans="1:63" s="633" customFormat="1" hidden="1" x14ac:dyDescent="0.2">
      <c r="A330" s="942"/>
      <c r="D330" s="1116"/>
      <c r="E330" s="1116"/>
      <c r="F330" s="1116"/>
      <c r="G330" s="1116"/>
      <c r="H330" s="1116"/>
      <c r="I330" s="1116"/>
      <c r="J330" s="1116"/>
      <c r="K330" s="1116"/>
      <c r="L330" s="1116"/>
      <c r="M330" s="1116"/>
      <c r="N330" s="1116"/>
      <c r="O330" s="1116"/>
      <c r="P330" s="1116"/>
      <c r="Q330" s="1116"/>
      <c r="R330" s="1116"/>
      <c r="S330" s="1116"/>
      <c r="T330" s="1116"/>
      <c r="U330" s="1116"/>
      <c r="V330" s="1116"/>
      <c r="W330" s="1116"/>
      <c r="X330" s="1116"/>
      <c r="Y330" s="1116"/>
      <c r="Z330" s="1116"/>
      <c r="AA330" s="1116"/>
      <c r="AB330" s="1116"/>
      <c r="AC330" s="1116"/>
      <c r="AD330" s="1116"/>
      <c r="AE330" s="1116"/>
      <c r="AF330" s="1116"/>
      <c r="AG330" s="1116"/>
      <c r="AI330" s="943"/>
      <c r="AJ330" s="943"/>
      <c r="AK330" s="943"/>
      <c r="AL330" s="943"/>
      <c r="AM330" s="943"/>
      <c r="AN330" s="943"/>
      <c r="AO330" s="943"/>
      <c r="AP330" s="943"/>
      <c r="AQ330" s="943"/>
    </row>
    <row r="331" spans="1:63" s="633" customFormat="1" hidden="1" x14ac:dyDescent="0.2">
      <c r="A331" s="942"/>
      <c r="D331" s="1116"/>
      <c r="E331" s="1116"/>
      <c r="F331" s="1116"/>
      <c r="G331" s="1116"/>
      <c r="H331" s="1116"/>
      <c r="I331" s="1116"/>
      <c r="J331" s="1116"/>
      <c r="K331" s="1116"/>
      <c r="L331" s="1116"/>
      <c r="M331" s="1116"/>
      <c r="N331" s="1116"/>
      <c r="O331" s="1116"/>
      <c r="P331" s="1116"/>
      <c r="Q331" s="1116"/>
      <c r="R331" s="1116"/>
      <c r="S331" s="1116"/>
      <c r="T331" s="1116"/>
      <c r="U331" s="1116"/>
      <c r="V331" s="1116"/>
      <c r="W331" s="1116"/>
      <c r="X331" s="1116"/>
      <c r="Y331" s="1116"/>
      <c r="Z331" s="1116"/>
      <c r="AA331" s="1116"/>
      <c r="AB331" s="1116"/>
      <c r="AC331" s="1116"/>
      <c r="AD331" s="1116"/>
      <c r="AE331" s="1116"/>
      <c r="AF331" s="1116"/>
      <c r="AG331" s="1116"/>
      <c r="AI331" s="943"/>
      <c r="AJ331" s="943"/>
      <c r="AK331" s="943"/>
      <c r="AL331" s="943"/>
      <c r="AM331" s="943"/>
      <c r="AN331" s="943"/>
      <c r="AO331" s="943"/>
      <c r="AP331" s="943"/>
      <c r="AQ331" s="943"/>
    </row>
    <row r="332" spans="1:63" s="633" customFormat="1" hidden="1" x14ac:dyDescent="0.2">
      <c r="A332" s="942"/>
      <c r="AI332" s="943"/>
      <c r="AJ332" s="943"/>
      <c r="AK332" s="943"/>
      <c r="AL332" s="943"/>
      <c r="AM332" s="943"/>
      <c r="AN332" s="943"/>
      <c r="AO332" s="943"/>
      <c r="AP332" s="943"/>
      <c r="AQ332" s="943"/>
    </row>
    <row r="333" spans="1:63" s="633" customFormat="1" hidden="1" x14ac:dyDescent="0.2">
      <c r="A333" s="942"/>
      <c r="D333" s="1116" t="s">
        <v>1953</v>
      </c>
      <c r="E333" s="1116"/>
      <c r="F333" s="1116"/>
      <c r="G333" s="1116"/>
      <c r="H333" s="1116"/>
      <c r="I333" s="1116"/>
      <c r="J333" s="1116"/>
      <c r="K333" s="1116"/>
      <c r="L333" s="1116"/>
      <c r="M333" s="1116"/>
      <c r="N333" s="1116"/>
      <c r="O333" s="1116"/>
      <c r="P333" s="1116"/>
      <c r="Q333" s="1116"/>
      <c r="R333" s="1116"/>
      <c r="S333" s="1116"/>
      <c r="T333" s="1116"/>
      <c r="U333" s="1116"/>
      <c r="V333" s="1116"/>
      <c r="W333" s="1116"/>
      <c r="X333" s="1116"/>
      <c r="Y333" s="1116"/>
      <c r="Z333" s="1116"/>
      <c r="AA333" s="1116"/>
      <c r="AB333" s="1116"/>
      <c r="AC333" s="1116"/>
      <c r="AD333" s="1116"/>
      <c r="AE333" s="1116"/>
      <c r="AF333" s="1116"/>
      <c r="AG333" s="1116"/>
      <c r="AI333" s="943"/>
      <c r="AJ333" s="943"/>
      <c r="AK333" s="943"/>
      <c r="AL333" s="943"/>
      <c r="AM333" s="943"/>
      <c r="AN333" s="943"/>
      <c r="AO333" s="943"/>
      <c r="AP333" s="943"/>
      <c r="AQ333" s="943"/>
    </row>
    <row r="334" spans="1:63" s="633" customFormat="1" hidden="1" x14ac:dyDescent="0.2">
      <c r="A334" s="942"/>
      <c r="AI334" s="943"/>
      <c r="AJ334" s="943"/>
      <c r="AK334" s="943"/>
      <c r="AL334" s="943"/>
      <c r="AM334" s="943"/>
      <c r="AN334" s="943"/>
      <c r="AO334" s="943"/>
      <c r="AP334" s="943"/>
      <c r="AQ334" s="943"/>
    </row>
    <row r="335" spans="1:63" s="633" customFormat="1" hidden="1" x14ac:dyDescent="0.2">
      <c r="A335" s="942"/>
      <c r="D335" s="1116"/>
      <c r="E335" s="1116"/>
      <c r="F335" s="1116"/>
      <c r="G335" s="1116"/>
      <c r="H335" s="1116"/>
      <c r="I335" s="1116"/>
      <c r="J335" s="1116"/>
      <c r="K335" s="1116"/>
      <c r="L335" s="1116"/>
      <c r="M335" s="1116"/>
      <c r="N335" s="1116"/>
      <c r="O335" s="1116"/>
      <c r="P335" s="1116"/>
      <c r="Q335" s="1116"/>
      <c r="R335" s="1116"/>
      <c r="S335" s="1116"/>
      <c r="T335" s="1116"/>
      <c r="U335" s="1116"/>
      <c r="V335" s="1116"/>
      <c r="W335" s="1116"/>
      <c r="X335" s="1116"/>
      <c r="Y335" s="1116"/>
      <c r="Z335" s="1116"/>
      <c r="AA335" s="1116"/>
      <c r="AB335" s="1116"/>
      <c r="AC335" s="1116"/>
      <c r="AD335" s="1116"/>
      <c r="AE335" s="1116"/>
      <c r="AF335" s="1116"/>
      <c r="AG335" s="1116"/>
      <c r="AI335" s="943"/>
      <c r="AJ335" s="943"/>
      <c r="AK335" s="943"/>
      <c r="AL335" s="943"/>
      <c r="AM335" s="943"/>
      <c r="AN335" s="943"/>
      <c r="AO335" s="943"/>
      <c r="AP335" s="943"/>
      <c r="AQ335" s="943"/>
    </row>
    <row r="336" spans="1:63" s="633" customFormat="1" hidden="1" x14ac:dyDescent="0.2">
      <c r="A336" s="942"/>
      <c r="D336" s="1116"/>
      <c r="E336" s="1116"/>
      <c r="F336" s="1116"/>
      <c r="G336" s="1116"/>
      <c r="H336" s="1116"/>
      <c r="I336" s="1116"/>
      <c r="J336" s="1116"/>
      <c r="K336" s="1116"/>
      <c r="L336" s="1116"/>
      <c r="M336" s="1116"/>
      <c r="N336" s="1116"/>
      <c r="O336" s="1116"/>
      <c r="P336" s="1116"/>
      <c r="Q336" s="1116"/>
      <c r="R336" s="1116"/>
      <c r="S336" s="1116"/>
      <c r="T336" s="1116"/>
      <c r="U336" s="1116"/>
      <c r="V336" s="1116"/>
      <c r="W336" s="1116"/>
      <c r="X336" s="1116"/>
      <c r="Y336" s="1116"/>
      <c r="Z336" s="1116"/>
      <c r="AA336" s="1116"/>
      <c r="AB336" s="1116"/>
      <c r="AC336" s="1116"/>
      <c r="AD336" s="1116"/>
      <c r="AE336" s="1116"/>
      <c r="AF336" s="1116"/>
      <c r="AG336" s="1116"/>
      <c r="AI336" s="943"/>
      <c r="AJ336" s="943"/>
      <c r="AK336" s="943"/>
      <c r="AL336" s="943"/>
      <c r="AM336" s="943"/>
      <c r="AN336" s="943"/>
      <c r="AO336" s="943"/>
      <c r="AP336" s="943"/>
      <c r="AQ336" s="943"/>
    </row>
    <row r="337" spans="1:43" s="633" customFormat="1" hidden="1" x14ac:dyDescent="0.2">
      <c r="A337" s="942"/>
      <c r="D337" s="1116"/>
      <c r="E337" s="1116"/>
      <c r="F337" s="1116"/>
      <c r="G337" s="1116"/>
      <c r="H337" s="1116"/>
      <c r="I337" s="1116"/>
      <c r="J337" s="1116"/>
      <c r="K337" s="1116"/>
      <c r="L337" s="1116"/>
      <c r="M337" s="1116"/>
      <c r="N337" s="1116"/>
      <c r="O337" s="1116"/>
      <c r="P337" s="1116"/>
      <c r="Q337" s="1116"/>
      <c r="R337" s="1116"/>
      <c r="S337" s="1116"/>
      <c r="T337" s="1116"/>
      <c r="U337" s="1116"/>
      <c r="V337" s="1116"/>
      <c r="W337" s="1116"/>
      <c r="X337" s="1116"/>
      <c r="Y337" s="1116"/>
      <c r="Z337" s="1116"/>
      <c r="AA337" s="1116"/>
      <c r="AB337" s="1116"/>
      <c r="AC337" s="1116"/>
      <c r="AD337" s="1116"/>
      <c r="AE337" s="1116"/>
      <c r="AF337" s="1116"/>
      <c r="AG337" s="1116"/>
      <c r="AI337" s="943"/>
      <c r="AJ337" s="943"/>
      <c r="AK337" s="943"/>
      <c r="AL337" s="943"/>
      <c r="AM337" s="943"/>
      <c r="AN337" s="943"/>
      <c r="AO337" s="943"/>
      <c r="AP337" s="943"/>
      <c r="AQ337" s="943"/>
    </row>
    <row r="338" spans="1:43" s="633" customFormat="1" hidden="1" x14ac:dyDescent="0.2">
      <c r="A338" s="942"/>
      <c r="D338" s="1116"/>
      <c r="E338" s="1116"/>
      <c r="F338" s="1116"/>
      <c r="G338" s="1116"/>
      <c r="H338" s="1116"/>
      <c r="I338" s="1116"/>
      <c r="J338" s="1116"/>
      <c r="K338" s="1116"/>
      <c r="L338" s="1116"/>
      <c r="M338" s="1116"/>
      <c r="N338" s="1116"/>
      <c r="O338" s="1116"/>
      <c r="P338" s="1116"/>
      <c r="Q338" s="1116"/>
      <c r="R338" s="1116"/>
      <c r="S338" s="1116"/>
      <c r="T338" s="1116"/>
      <c r="U338" s="1116"/>
      <c r="V338" s="1116"/>
      <c r="W338" s="1116"/>
      <c r="X338" s="1116"/>
      <c r="Y338" s="1116"/>
      <c r="Z338" s="1116"/>
      <c r="AA338" s="1116"/>
      <c r="AB338" s="1116"/>
      <c r="AC338" s="1116"/>
      <c r="AD338" s="1116"/>
      <c r="AE338" s="1116"/>
      <c r="AF338" s="1116"/>
      <c r="AG338" s="1116"/>
      <c r="AI338" s="943"/>
      <c r="AJ338" s="943"/>
      <c r="AK338" s="943"/>
      <c r="AL338" s="943"/>
      <c r="AM338" s="943"/>
      <c r="AN338" s="943"/>
      <c r="AO338" s="943"/>
      <c r="AP338" s="943"/>
      <c r="AQ338" s="943"/>
    </row>
    <row r="339" spans="1:43" s="633" customFormat="1" hidden="1" x14ac:dyDescent="0.2">
      <c r="A339" s="942"/>
      <c r="D339" s="1116" t="s">
        <v>1467</v>
      </c>
      <c r="E339" s="1116"/>
      <c r="F339" s="1116"/>
      <c r="G339" s="1116"/>
      <c r="H339" s="1116"/>
      <c r="I339" s="1116"/>
      <c r="J339" s="1116"/>
      <c r="K339" s="1116"/>
      <c r="L339" s="1116"/>
      <c r="M339" s="1116"/>
      <c r="N339" s="1116"/>
      <c r="O339" s="1116"/>
      <c r="P339" s="1116"/>
      <c r="Q339" s="1116"/>
      <c r="R339" s="1116"/>
      <c r="S339" s="1116"/>
      <c r="T339" s="1116"/>
      <c r="U339" s="1116"/>
      <c r="V339" s="1116"/>
      <c r="W339" s="1116"/>
      <c r="X339" s="1116"/>
      <c r="Y339" s="1116"/>
      <c r="Z339" s="1116"/>
      <c r="AA339" s="1116"/>
      <c r="AB339" s="1116"/>
      <c r="AC339" s="1116"/>
      <c r="AD339" s="1116"/>
      <c r="AE339" s="1116"/>
      <c r="AF339" s="1116"/>
      <c r="AG339" s="1116"/>
      <c r="AI339" s="943"/>
      <c r="AJ339" s="943"/>
      <c r="AK339" s="943"/>
      <c r="AL339" s="943"/>
      <c r="AM339" s="943"/>
      <c r="AN339" s="943"/>
      <c r="AO339" s="943"/>
      <c r="AP339" s="943"/>
      <c r="AQ339" s="943"/>
    </row>
    <row r="340" spans="1:43" s="633" customFormat="1" hidden="1" x14ac:dyDescent="0.2">
      <c r="A340" s="942"/>
      <c r="AI340" s="943"/>
      <c r="AJ340" s="943"/>
      <c r="AK340" s="943"/>
      <c r="AL340" s="943"/>
      <c r="AM340" s="943"/>
      <c r="AN340" s="943"/>
      <c r="AO340" s="943"/>
      <c r="AP340" s="943"/>
      <c r="AQ340" s="943"/>
    </row>
    <row r="341" spans="1:43" s="633" customFormat="1" x14ac:dyDescent="0.2">
      <c r="A341" s="942"/>
      <c r="D341" s="632" t="s">
        <v>1468</v>
      </c>
      <c r="AI341" s="943"/>
      <c r="AJ341" s="943"/>
      <c r="AK341" s="943"/>
      <c r="AL341" s="943"/>
      <c r="AM341" s="943"/>
      <c r="AN341" s="943"/>
      <c r="AO341" s="943"/>
      <c r="AP341" s="943"/>
      <c r="AQ341" s="943"/>
    </row>
    <row r="342" spans="1:43" s="633" customFormat="1" x14ac:dyDescent="0.2">
      <c r="A342" s="942"/>
      <c r="AI342" s="943"/>
      <c r="AJ342" s="943"/>
      <c r="AK342" s="943"/>
      <c r="AL342" s="943"/>
      <c r="AM342" s="943"/>
      <c r="AN342" s="943"/>
      <c r="AO342" s="943"/>
      <c r="AP342" s="943"/>
      <c r="AQ342" s="943"/>
    </row>
    <row r="343" spans="1:43" s="633" customFormat="1" x14ac:dyDescent="0.2">
      <c r="A343" s="942"/>
      <c r="D343" s="1116" t="s">
        <v>2053</v>
      </c>
      <c r="E343" s="1116"/>
      <c r="F343" s="1116"/>
      <c r="G343" s="1116"/>
      <c r="H343" s="1116"/>
      <c r="I343" s="1116"/>
      <c r="J343" s="1116"/>
      <c r="K343" s="1116"/>
      <c r="L343" s="1116"/>
      <c r="M343" s="1116"/>
      <c r="N343" s="1116"/>
      <c r="O343" s="1116"/>
      <c r="P343" s="1116"/>
      <c r="Q343" s="1116"/>
      <c r="R343" s="1116"/>
      <c r="S343" s="1116"/>
      <c r="T343" s="1116"/>
      <c r="U343" s="1116"/>
      <c r="V343" s="1116"/>
      <c r="W343" s="1116"/>
      <c r="X343" s="1116"/>
      <c r="Y343" s="1116"/>
      <c r="Z343" s="1116"/>
      <c r="AA343" s="1116"/>
      <c r="AB343" s="1116"/>
      <c r="AC343" s="1116"/>
      <c r="AD343" s="1116"/>
      <c r="AE343" s="1116"/>
      <c r="AF343" s="1116"/>
      <c r="AG343" s="1116"/>
      <c r="AI343" s="943"/>
      <c r="AJ343" s="943"/>
      <c r="AK343" s="943"/>
      <c r="AL343" s="943"/>
      <c r="AM343" s="943"/>
      <c r="AN343" s="943"/>
      <c r="AO343" s="943"/>
      <c r="AP343" s="943"/>
      <c r="AQ343" s="943"/>
    </row>
    <row r="344" spans="1:43" s="633" customFormat="1" x14ac:dyDescent="0.2">
      <c r="A344" s="942"/>
      <c r="D344" s="1116"/>
      <c r="E344" s="1116"/>
      <c r="F344" s="1116"/>
      <c r="G344" s="1116"/>
      <c r="H344" s="1116"/>
      <c r="I344" s="1116"/>
      <c r="J344" s="1116"/>
      <c r="K344" s="1116"/>
      <c r="L344" s="1116"/>
      <c r="M344" s="1116"/>
      <c r="N344" s="1116"/>
      <c r="O344" s="1116"/>
      <c r="P344" s="1116"/>
      <c r="Q344" s="1116"/>
      <c r="R344" s="1116"/>
      <c r="S344" s="1116"/>
      <c r="T344" s="1116"/>
      <c r="U344" s="1116"/>
      <c r="V344" s="1116"/>
      <c r="W344" s="1116"/>
      <c r="X344" s="1116"/>
      <c r="Y344" s="1116"/>
      <c r="Z344" s="1116"/>
      <c r="AA344" s="1116"/>
      <c r="AB344" s="1116"/>
      <c r="AC344" s="1116"/>
      <c r="AD344" s="1116"/>
      <c r="AE344" s="1116"/>
      <c r="AF344" s="1116"/>
      <c r="AG344" s="1116"/>
      <c r="AI344" s="943"/>
      <c r="AJ344" s="943"/>
      <c r="AK344" s="943"/>
      <c r="AL344" s="943"/>
      <c r="AM344" s="943"/>
      <c r="AN344" s="943"/>
      <c r="AO344" s="943"/>
      <c r="AP344" s="943"/>
      <c r="AQ344" s="943"/>
    </row>
    <row r="345" spans="1:43" s="633" customFormat="1" x14ac:dyDescent="0.2">
      <c r="A345" s="942"/>
      <c r="D345" s="1116"/>
      <c r="E345" s="1116"/>
      <c r="F345" s="1116"/>
      <c r="G345" s="1116"/>
      <c r="H345" s="1116"/>
      <c r="I345" s="1116"/>
      <c r="J345" s="1116"/>
      <c r="K345" s="1116"/>
      <c r="L345" s="1116"/>
      <c r="M345" s="1116"/>
      <c r="N345" s="1116"/>
      <c r="O345" s="1116"/>
      <c r="P345" s="1116"/>
      <c r="Q345" s="1116"/>
      <c r="R345" s="1116"/>
      <c r="S345" s="1116"/>
      <c r="T345" s="1116"/>
      <c r="U345" s="1116"/>
      <c r="V345" s="1116"/>
      <c r="W345" s="1116"/>
      <c r="X345" s="1116"/>
      <c r="Y345" s="1116"/>
      <c r="Z345" s="1116"/>
      <c r="AA345" s="1116"/>
      <c r="AB345" s="1116"/>
      <c r="AC345" s="1116"/>
      <c r="AD345" s="1116"/>
      <c r="AE345" s="1116"/>
      <c r="AF345" s="1116"/>
      <c r="AG345" s="1116"/>
      <c r="AI345" s="943"/>
      <c r="AJ345" s="943"/>
      <c r="AK345" s="943"/>
      <c r="AL345" s="943"/>
      <c r="AM345" s="943"/>
      <c r="AN345" s="943"/>
      <c r="AO345" s="943"/>
      <c r="AP345" s="943"/>
      <c r="AQ345" s="943"/>
    </row>
    <row r="346" spans="1:43" s="633" customFormat="1" x14ac:dyDescent="0.2">
      <c r="A346" s="942"/>
      <c r="D346" s="932"/>
      <c r="E346" s="932"/>
      <c r="F346" s="932"/>
      <c r="G346" s="932"/>
      <c r="H346" s="932"/>
      <c r="I346" s="932"/>
      <c r="J346" s="932"/>
      <c r="K346" s="932"/>
      <c r="L346" s="932"/>
      <c r="M346" s="932"/>
      <c r="N346" s="932"/>
      <c r="O346" s="932"/>
      <c r="P346" s="932"/>
      <c r="Q346" s="932"/>
      <c r="R346" s="932"/>
      <c r="S346" s="932"/>
      <c r="T346" s="932"/>
      <c r="U346" s="932"/>
      <c r="V346" s="932"/>
      <c r="W346" s="932"/>
      <c r="X346" s="932"/>
      <c r="Y346" s="932"/>
      <c r="Z346" s="932"/>
      <c r="AA346" s="932"/>
      <c r="AB346" s="932"/>
      <c r="AC346" s="932"/>
      <c r="AD346" s="932"/>
      <c r="AE346" s="932"/>
      <c r="AF346" s="932"/>
      <c r="AG346" s="932"/>
      <c r="AI346" s="943"/>
      <c r="AJ346" s="943"/>
      <c r="AK346" s="943"/>
      <c r="AL346" s="943"/>
      <c r="AM346" s="943"/>
      <c r="AN346" s="943"/>
      <c r="AO346" s="943"/>
      <c r="AP346" s="943"/>
      <c r="AQ346" s="943"/>
    </row>
    <row r="347" spans="1:43" s="633" customFormat="1" hidden="1" x14ac:dyDescent="0.2">
      <c r="A347" s="942"/>
      <c r="D347" s="932"/>
      <c r="E347" s="932"/>
      <c r="F347" s="932"/>
      <c r="G347" s="932"/>
      <c r="H347" s="932"/>
      <c r="I347" s="932"/>
      <c r="J347" s="932"/>
      <c r="K347" s="932"/>
      <c r="L347" s="932"/>
      <c r="M347" s="932"/>
      <c r="N347" s="932"/>
      <c r="O347" s="932"/>
      <c r="P347" s="932"/>
      <c r="Q347" s="932"/>
      <c r="R347" s="932"/>
      <c r="S347" s="932"/>
      <c r="T347" s="932"/>
      <c r="U347" s="932"/>
      <c r="V347" s="932"/>
      <c r="W347" s="932"/>
      <c r="X347" s="932"/>
      <c r="Y347" s="932"/>
      <c r="Z347" s="932"/>
      <c r="AA347" s="932"/>
      <c r="AB347" s="932"/>
      <c r="AC347" s="932"/>
      <c r="AD347" s="932"/>
      <c r="AE347" s="932"/>
      <c r="AF347" s="932"/>
      <c r="AG347" s="932"/>
      <c r="AI347" s="943"/>
      <c r="AJ347" s="943"/>
      <c r="AK347" s="943"/>
      <c r="AL347" s="943"/>
      <c r="AM347" s="943"/>
      <c r="AN347" s="943"/>
      <c r="AO347" s="943"/>
      <c r="AP347" s="943"/>
      <c r="AQ347" s="943"/>
    </row>
    <row r="348" spans="1:43" s="633" customFormat="1" hidden="1" x14ac:dyDescent="0.2">
      <c r="A348" s="942"/>
      <c r="D348" s="932"/>
      <c r="E348" s="932"/>
      <c r="F348" s="932"/>
      <c r="G348" s="932"/>
      <c r="H348" s="932"/>
      <c r="I348" s="932"/>
      <c r="J348" s="932"/>
      <c r="K348" s="932"/>
      <c r="L348" s="932"/>
      <c r="M348" s="932"/>
      <c r="N348" s="932"/>
      <c r="O348" s="932"/>
      <c r="P348" s="932"/>
      <c r="Q348" s="932"/>
      <c r="R348" s="932"/>
      <c r="S348" s="932"/>
      <c r="T348" s="932"/>
      <c r="U348" s="932"/>
      <c r="V348" s="932"/>
      <c r="W348" s="932"/>
      <c r="X348" s="932"/>
      <c r="Y348" s="932"/>
      <c r="Z348" s="932"/>
      <c r="AA348" s="932"/>
      <c r="AB348" s="932"/>
      <c r="AC348" s="932"/>
      <c r="AD348" s="932"/>
      <c r="AE348" s="932"/>
      <c r="AF348" s="932"/>
      <c r="AG348" s="932"/>
      <c r="AI348" s="943"/>
      <c r="AJ348" s="943"/>
      <c r="AK348" s="943"/>
      <c r="AL348" s="943"/>
      <c r="AM348" s="943"/>
      <c r="AN348" s="943"/>
      <c r="AO348" s="943"/>
      <c r="AP348" s="943"/>
      <c r="AQ348" s="943"/>
    </row>
    <row r="349" spans="1:43" s="633" customFormat="1" hidden="1" x14ac:dyDescent="0.2">
      <c r="A349" s="942"/>
      <c r="D349" s="932"/>
      <c r="E349" s="932"/>
      <c r="F349" s="932"/>
      <c r="G349" s="932"/>
      <c r="H349" s="932"/>
      <c r="I349" s="932"/>
      <c r="J349" s="932"/>
      <c r="K349" s="932"/>
      <c r="L349" s="932"/>
      <c r="M349" s="932"/>
      <c r="N349" s="932"/>
      <c r="O349" s="932"/>
      <c r="P349" s="932"/>
      <c r="Q349" s="932"/>
      <c r="R349" s="932"/>
      <c r="S349" s="932"/>
      <c r="T349" s="932"/>
      <c r="U349" s="932"/>
      <c r="V349" s="932"/>
      <c r="W349" s="932"/>
      <c r="X349" s="932"/>
      <c r="Y349" s="932"/>
      <c r="Z349" s="932"/>
      <c r="AA349" s="932"/>
      <c r="AB349" s="932"/>
      <c r="AC349" s="932"/>
      <c r="AD349" s="932"/>
      <c r="AE349" s="932"/>
      <c r="AF349" s="932"/>
      <c r="AG349" s="932"/>
      <c r="AI349" s="943"/>
      <c r="AJ349" s="943"/>
      <c r="AK349" s="943"/>
      <c r="AL349" s="943"/>
      <c r="AM349" s="943"/>
      <c r="AN349" s="943"/>
      <c r="AO349" s="943"/>
      <c r="AP349" s="943"/>
      <c r="AQ349" s="943"/>
    </row>
    <row r="350" spans="1:43" s="633" customFormat="1" hidden="1" x14ac:dyDescent="0.2">
      <c r="A350" s="942"/>
      <c r="D350" s="632" t="s">
        <v>1537</v>
      </c>
      <c r="E350" s="932"/>
      <c r="F350" s="932"/>
      <c r="AI350" s="943"/>
      <c r="AJ350" s="943"/>
      <c r="AK350" s="943"/>
      <c r="AL350" s="943"/>
      <c r="AM350" s="943"/>
      <c r="AN350" s="943"/>
      <c r="AO350" s="943"/>
      <c r="AP350" s="943"/>
      <c r="AQ350" s="943"/>
    </row>
    <row r="351" spans="1:43" s="769" customFormat="1" hidden="1" x14ac:dyDescent="0.2">
      <c r="A351" s="966"/>
      <c r="E351" s="967"/>
      <c r="F351" s="967"/>
      <c r="AI351" s="968"/>
      <c r="AJ351" s="968"/>
      <c r="AK351" s="968"/>
      <c r="AL351" s="968"/>
      <c r="AM351" s="968"/>
      <c r="AN351" s="968"/>
      <c r="AO351" s="968"/>
      <c r="AP351" s="968"/>
      <c r="AQ351" s="968"/>
    </row>
    <row r="352" spans="1:43" s="633" customFormat="1" hidden="1" x14ac:dyDescent="0.2">
      <c r="A352" s="942"/>
      <c r="D352" s="928" t="s">
        <v>1538</v>
      </c>
      <c r="E352" s="932"/>
      <c r="F352" s="932"/>
      <c r="AI352" s="943"/>
      <c r="AJ352" s="943"/>
      <c r="AK352" s="943"/>
      <c r="AL352" s="943"/>
      <c r="AM352" s="943"/>
      <c r="AN352" s="943"/>
      <c r="AO352" s="943"/>
      <c r="AP352" s="943"/>
      <c r="AQ352" s="943"/>
    </row>
    <row r="353" spans="1:63" s="633" customFormat="1" hidden="1" x14ac:dyDescent="0.2">
      <c r="A353" s="942"/>
      <c r="D353" s="928"/>
      <c r="E353" s="932"/>
      <c r="F353" s="932"/>
      <c r="AI353" s="943"/>
      <c r="AJ353" s="943"/>
      <c r="AK353" s="943"/>
      <c r="AL353" s="943"/>
      <c r="AM353" s="943"/>
      <c r="AN353" s="943"/>
      <c r="AO353" s="943"/>
      <c r="AP353" s="943"/>
      <c r="AQ353" s="943"/>
    </row>
    <row r="354" spans="1:63" s="633" customFormat="1" hidden="1" x14ac:dyDescent="0.2">
      <c r="A354" s="942"/>
      <c r="D354" s="928"/>
      <c r="E354" s="932"/>
      <c r="F354" s="932"/>
      <c r="AI354" s="943"/>
      <c r="AJ354" s="943"/>
      <c r="AK354" s="943"/>
      <c r="AL354" s="943"/>
      <c r="AM354" s="943"/>
      <c r="AN354" s="943"/>
      <c r="AO354" s="943"/>
      <c r="AP354" s="943"/>
      <c r="AQ354" s="943"/>
    </row>
    <row r="355" spans="1:63" s="633" customFormat="1" hidden="1" x14ac:dyDescent="0.2">
      <c r="A355" s="942"/>
      <c r="D355" s="928"/>
      <c r="E355" s="932"/>
      <c r="F355" s="932"/>
      <c r="AI355" s="943"/>
      <c r="AJ355" s="943"/>
      <c r="AK355" s="943"/>
      <c r="AL355" s="943"/>
      <c r="AM355" s="943"/>
      <c r="AN355" s="943"/>
      <c r="AO355" s="943"/>
      <c r="AP355" s="943"/>
      <c r="AQ355" s="943"/>
    </row>
    <row r="356" spans="1:63" s="633" customFormat="1" ht="15" hidden="1" thickBot="1" x14ac:dyDescent="0.25">
      <c r="A356" s="942"/>
      <c r="D356" s="928"/>
      <c r="E356" s="932"/>
      <c r="F356" s="932"/>
      <c r="AI356" s="943"/>
      <c r="AJ356" s="943"/>
      <c r="AK356" s="943"/>
      <c r="AL356" s="943"/>
      <c r="AM356" s="943"/>
      <c r="AN356" s="943"/>
      <c r="AO356" s="943"/>
      <c r="AP356" s="943"/>
      <c r="AQ356" s="943"/>
    </row>
    <row r="357" spans="1:63" s="633" customFormat="1" ht="15" hidden="1" customHeight="1" thickBot="1" x14ac:dyDescent="0.25">
      <c r="A357" s="942" t="s">
        <v>1539</v>
      </c>
      <c r="D357" s="1132" t="s">
        <v>55</v>
      </c>
      <c r="E357" s="1133"/>
      <c r="F357" s="1133"/>
      <c r="G357" s="1134"/>
      <c r="H357" s="1138" t="s">
        <v>2</v>
      </c>
      <c r="I357" s="1138"/>
      <c r="J357" s="1138"/>
      <c r="K357" s="1138"/>
      <c r="L357" s="1138"/>
      <c r="M357" s="1138"/>
      <c r="N357" s="1138"/>
      <c r="O357" s="1138"/>
      <c r="P357" s="1138"/>
      <c r="Q357" s="1138"/>
      <c r="R357" s="1138"/>
      <c r="S357" s="1138"/>
      <c r="T357" s="1138"/>
      <c r="U357" s="1138"/>
      <c r="V357" s="1138"/>
      <c r="W357" s="1138"/>
      <c r="X357" s="1138"/>
      <c r="Y357" s="1138"/>
      <c r="Z357" s="1138"/>
      <c r="AA357" s="1138"/>
      <c r="AB357" s="1138"/>
      <c r="AC357" s="1138"/>
      <c r="AD357" s="1138"/>
      <c r="AE357" s="1138"/>
      <c r="AF357" s="1138"/>
      <c r="AG357" s="1138"/>
      <c r="AH357" s="1138"/>
      <c r="AI357" s="943"/>
      <c r="AJ357" s="943"/>
      <c r="AK357" s="943"/>
      <c r="AL357" s="943"/>
      <c r="AM357" s="943"/>
      <c r="AN357" s="943"/>
      <c r="AO357" s="943"/>
      <c r="AP357" s="943"/>
      <c r="AQ357" s="943"/>
    </row>
    <row r="358" spans="1:63" s="633" customFormat="1" ht="80.25" hidden="1" customHeight="1" thickTop="1" thickBot="1" x14ac:dyDescent="0.3">
      <c r="A358" s="942"/>
      <c r="D358" s="1135"/>
      <c r="E358" s="1136"/>
      <c r="F358" s="1136"/>
      <c r="G358" s="1137"/>
      <c r="H358" s="1120" t="s">
        <v>51</v>
      </c>
      <c r="I358" s="1120"/>
      <c r="J358" s="1120"/>
      <c r="K358" s="1120" t="s">
        <v>495</v>
      </c>
      <c r="L358" s="1120"/>
      <c r="M358" s="1120"/>
      <c r="N358" s="1120" t="s">
        <v>52</v>
      </c>
      <c r="O358" s="1120"/>
      <c r="P358" s="1120"/>
      <c r="Q358" s="1120" t="s">
        <v>1541</v>
      </c>
      <c r="R358" s="1120"/>
      <c r="S358" s="1120"/>
      <c r="T358" s="1120" t="s">
        <v>53</v>
      </c>
      <c r="U358" s="1120"/>
      <c r="V358" s="1120"/>
      <c r="W358" s="1120" t="s">
        <v>54</v>
      </c>
      <c r="X358" s="1120"/>
      <c r="Y358" s="1120"/>
      <c r="Z358" s="1120" t="s">
        <v>446</v>
      </c>
      <c r="AA358" s="1120"/>
      <c r="AB358" s="1120"/>
      <c r="AC358" s="1120" t="s">
        <v>447</v>
      </c>
      <c r="AD358" s="1120"/>
      <c r="AE358" s="1120"/>
      <c r="AF358" s="1120" t="s">
        <v>14</v>
      </c>
      <c r="AG358" s="1120"/>
      <c r="AH358" s="1120"/>
      <c r="AI358" s="59" t="s">
        <v>51</v>
      </c>
      <c r="AJ358" s="933" t="s">
        <v>495</v>
      </c>
      <c r="AK358" s="59" t="s">
        <v>52</v>
      </c>
      <c r="AL358" s="933" t="s">
        <v>494</v>
      </c>
      <c r="AM358" s="59" t="s">
        <v>53</v>
      </c>
      <c r="AN358" s="59" t="s">
        <v>54</v>
      </c>
      <c r="AO358" s="933" t="s">
        <v>446</v>
      </c>
      <c r="AP358" s="59" t="s">
        <v>447</v>
      </c>
      <c r="AQ358" s="59" t="s">
        <v>14</v>
      </c>
      <c r="AR358" s="969"/>
      <c r="AS358" s="59" t="s">
        <v>51</v>
      </c>
      <c r="AT358" s="933" t="s">
        <v>495</v>
      </c>
      <c r="AU358" s="59" t="s">
        <v>52</v>
      </c>
      <c r="AV358" s="933" t="s">
        <v>494</v>
      </c>
      <c r="AW358" s="59" t="s">
        <v>53</v>
      </c>
      <c r="AX358" s="59" t="s">
        <v>54</v>
      </c>
      <c r="AY358" s="933" t="s">
        <v>446</v>
      </c>
      <c r="AZ358" s="59" t="s">
        <v>447</v>
      </c>
      <c r="BA358" s="59" t="s">
        <v>14</v>
      </c>
      <c r="BB358" s="969"/>
      <c r="BC358" s="59" t="s">
        <v>51</v>
      </c>
      <c r="BD358" s="933" t="s">
        <v>495</v>
      </c>
      <c r="BE358" s="59" t="s">
        <v>52</v>
      </c>
      <c r="BF358" s="933" t="s">
        <v>494</v>
      </c>
      <c r="BG358" s="59" t="s">
        <v>53</v>
      </c>
      <c r="BH358" s="59" t="s">
        <v>54</v>
      </c>
      <c r="BI358" s="933" t="s">
        <v>446</v>
      </c>
      <c r="BJ358" s="59" t="s">
        <v>447</v>
      </c>
      <c r="BK358" s="59" t="s">
        <v>14</v>
      </c>
    </row>
    <row r="359" spans="1:63" s="633" customFormat="1" ht="15" hidden="1" thickBot="1" x14ac:dyDescent="0.25">
      <c r="A359" s="942"/>
      <c r="D359" s="1121" t="s">
        <v>25</v>
      </c>
      <c r="E359" s="1122"/>
      <c r="F359" s="1122"/>
      <c r="G359" s="1122"/>
      <c r="H359" s="1122"/>
      <c r="I359" s="1122"/>
      <c r="J359" s="1122"/>
      <c r="K359" s="1122"/>
      <c r="L359" s="1122"/>
      <c r="M359" s="1122"/>
      <c r="N359" s="1122"/>
      <c r="O359" s="1122"/>
      <c r="P359" s="1122"/>
      <c r="Q359" s="1122"/>
      <c r="R359" s="1122"/>
      <c r="S359" s="1122"/>
      <c r="T359" s="1122"/>
      <c r="U359" s="1122"/>
      <c r="V359" s="1122"/>
      <c r="W359" s="1122"/>
      <c r="X359" s="1122"/>
      <c r="Y359" s="1122"/>
      <c r="Z359" s="1122"/>
      <c r="AA359" s="1122"/>
      <c r="AB359" s="1122"/>
      <c r="AC359" s="1122"/>
      <c r="AD359" s="1122"/>
      <c r="AE359" s="1122"/>
      <c r="AF359" s="1122"/>
      <c r="AG359" s="1122"/>
      <c r="AH359" s="1122"/>
      <c r="AI359" s="951"/>
      <c r="AJ359" s="952"/>
      <c r="AK359" s="952"/>
      <c r="AL359" s="952"/>
      <c r="AM359" s="952"/>
      <c r="AN359" s="952"/>
      <c r="AO359" s="952"/>
      <c r="AP359" s="952"/>
      <c r="AQ359" s="953"/>
      <c r="AS359" s="951"/>
      <c r="AT359" s="952"/>
      <c r="AU359" s="952"/>
      <c r="AV359" s="952"/>
      <c r="AW359" s="952"/>
      <c r="AX359" s="952"/>
      <c r="AY359" s="952"/>
      <c r="AZ359" s="952"/>
      <c r="BA359" s="953"/>
      <c r="BC359" s="951"/>
      <c r="BD359" s="952"/>
      <c r="BE359" s="952"/>
      <c r="BF359" s="952"/>
      <c r="BG359" s="952"/>
      <c r="BH359" s="952"/>
      <c r="BI359" s="952"/>
      <c r="BJ359" s="952"/>
      <c r="BK359" s="953"/>
    </row>
    <row r="360" spans="1:63" s="633" customFormat="1" ht="22.5" hidden="1" customHeight="1" x14ac:dyDescent="0.2">
      <c r="A360" s="942"/>
      <c r="D360" s="1142" t="s">
        <v>26</v>
      </c>
      <c r="E360" s="1142"/>
      <c r="F360" s="1142"/>
      <c r="G360" s="1142"/>
      <c r="H360" s="1143"/>
      <c r="I360" s="1143"/>
      <c r="J360" s="1143"/>
      <c r="K360" s="1125"/>
      <c r="L360" s="1125"/>
      <c r="M360" s="1125"/>
      <c r="N360" s="1125"/>
      <c r="O360" s="1125"/>
      <c r="P360" s="1125"/>
      <c r="Q360" s="1125"/>
      <c r="R360" s="1125"/>
      <c r="S360" s="1125"/>
      <c r="T360" s="1125"/>
      <c r="U360" s="1125"/>
      <c r="V360" s="1125"/>
      <c r="W360" s="1125"/>
      <c r="X360" s="1125"/>
      <c r="Y360" s="1125"/>
      <c r="Z360" s="1125"/>
      <c r="AA360" s="1125"/>
      <c r="AB360" s="1125"/>
      <c r="AC360" s="1125"/>
      <c r="AD360" s="1125"/>
      <c r="AE360" s="1125"/>
      <c r="AF360" s="1147">
        <f>SUM(H360:AE360)</f>
        <v>0</v>
      </c>
      <c r="AG360" s="1147"/>
      <c r="AH360" s="1148"/>
      <c r="AI360" s="954"/>
      <c r="AJ360" s="949"/>
      <c r="AK360" s="949"/>
      <c r="AL360" s="949"/>
      <c r="AM360" s="949"/>
      <c r="AN360" s="949"/>
      <c r="AO360" s="949"/>
      <c r="AP360" s="949"/>
      <c r="AQ360" s="955">
        <f>SUM(H360:AE360)-AF360</f>
        <v>0</v>
      </c>
      <c r="AS360" s="956">
        <f>H360-H388</f>
        <v>0</v>
      </c>
      <c r="AT360" s="957">
        <f>K360-K388</f>
        <v>0</v>
      </c>
      <c r="AU360" s="957">
        <f>N360-N388</f>
        <v>0</v>
      </c>
      <c r="AV360" s="957">
        <f>Q360-Q388</f>
        <v>0</v>
      </c>
      <c r="AW360" s="957">
        <f>T360-T388</f>
        <v>0</v>
      </c>
      <c r="AX360" s="957">
        <f>W360-W388</f>
        <v>0</v>
      </c>
      <c r="AY360" s="957">
        <f>Z360-Z388</f>
        <v>0</v>
      </c>
      <c r="AZ360" s="957">
        <f>AC360-AC388</f>
        <v>0</v>
      </c>
      <c r="BA360" s="955">
        <f>AF360-AF388</f>
        <v>0</v>
      </c>
      <c r="BC360" s="954"/>
      <c r="BD360" s="949"/>
      <c r="BE360" s="949"/>
      <c r="BF360" s="949"/>
      <c r="BG360" s="949"/>
      <c r="BH360" s="949"/>
      <c r="BI360" s="949"/>
      <c r="BJ360" s="949"/>
      <c r="BK360" s="958"/>
    </row>
    <row r="361" spans="1:63" s="633" customFormat="1" hidden="1" x14ac:dyDescent="0.2">
      <c r="A361" s="942"/>
      <c r="D361" s="1105" t="s">
        <v>27</v>
      </c>
      <c r="E361" s="1105"/>
      <c r="F361" s="1105"/>
      <c r="G361" s="1105"/>
      <c r="H361" s="1106"/>
      <c r="I361" s="1106"/>
      <c r="J361" s="1106"/>
      <c r="K361" s="1103"/>
      <c r="L361" s="1103"/>
      <c r="M361" s="1103"/>
      <c r="N361" s="1103"/>
      <c r="O361" s="1103"/>
      <c r="P361" s="1103"/>
      <c r="Q361" s="1103"/>
      <c r="R361" s="1103"/>
      <c r="S361" s="1103"/>
      <c r="T361" s="1103"/>
      <c r="U361" s="1103"/>
      <c r="V361" s="1103"/>
      <c r="W361" s="1103"/>
      <c r="X361" s="1103"/>
      <c r="Y361" s="1103"/>
      <c r="Z361" s="1103"/>
      <c r="AA361" s="1103"/>
      <c r="AB361" s="1103"/>
      <c r="AC361" s="1104"/>
      <c r="AD361" s="1104"/>
      <c r="AE361" s="1104"/>
      <c r="AF361" s="1139">
        <f>SUM(H361:AE361)</f>
        <v>0</v>
      </c>
      <c r="AG361" s="1139"/>
      <c r="AH361" s="1140"/>
      <c r="AI361" s="954"/>
      <c r="AJ361" s="949"/>
      <c r="AK361" s="949"/>
      <c r="AL361" s="949"/>
      <c r="AM361" s="949"/>
      <c r="AN361" s="949"/>
      <c r="AO361" s="949"/>
      <c r="AP361" s="949"/>
      <c r="AQ361" s="955">
        <f t="shared" ref="AQ361:AQ362" si="159">SUM(H361:AE361)-AF361</f>
        <v>0</v>
      </c>
      <c r="AS361" s="954"/>
      <c r="AT361" s="949"/>
      <c r="AU361" s="949"/>
      <c r="AV361" s="949"/>
      <c r="AW361" s="949"/>
      <c r="AX361" s="949"/>
      <c r="AY361" s="949"/>
      <c r="AZ361" s="949"/>
      <c r="BA361" s="958"/>
      <c r="BC361" s="954"/>
      <c r="BD361" s="949"/>
      <c r="BE361" s="949"/>
      <c r="BF361" s="949"/>
      <c r="BG361" s="949"/>
      <c r="BH361" s="949"/>
      <c r="BI361" s="949"/>
      <c r="BJ361" s="949"/>
      <c r="BK361" s="958"/>
    </row>
    <row r="362" spans="1:63" s="633" customFormat="1" hidden="1" x14ac:dyDescent="0.2">
      <c r="A362" s="942"/>
      <c r="D362" s="1105" t="s">
        <v>28</v>
      </c>
      <c r="E362" s="1105"/>
      <c r="F362" s="1105"/>
      <c r="G362" s="1105"/>
      <c r="H362" s="1106"/>
      <c r="I362" s="1106"/>
      <c r="J362" s="1106"/>
      <c r="K362" s="1103"/>
      <c r="L362" s="1103"/>
      <c r="M362" s="1103"/>
      <c r="N362" s="1103"/>
      <c r="O362" s="1103"/>
      <c r="P362" s="1103"/>
      <c r="Q362" s="1103"/>
      <c r="R362" s="1103"/>
      <c r="S362" s="1103"/>
      <c r="T362" s="1103"/>
      <c r="U362" s="1103"/>
      <c r="V362" s="1103"/>
      <c r="W362" s="1103"/>
      <c r="X362" s="1103"/>
      <c r="Y362" s="1103"/>
      <c r="Z362" s="1103"/>
      <c r="AA362" s="1103"/>
      <c r="AB362" s="1103"/>
      <c r="AC362" s="1104"/>
      <c r="AD362" s="1104"/>
      <c r="AE362" s="1104"/>
      <c r="AF362" s="1139">
        <f>SUM(H362:AE362)</f>
        <v>0</v>
      </c>
      <c r="AG362" s="1139"/>
      <c r="AH362" s="1140"/>
      <c r="AI362" s="954"/>
      <c r="AJ362" s="949"/>
      <c r="AK362" s="949"/>
      <c r="AL362" s="949"/>
      <c r="AM362" s="949"/>
      <c r="AN362" s="949"/>
      <c r="AO362" s="949"/>
      <c r="AP362" s="949"/>
      <c r="AQ362" s="955">
        <f t="shared" si="159"/>
        <v>0</v>
      </c>
      <c r="AS362" s="954"/>
      <c r="AT362" s="949"/>
      <c r="AU362" s="949"/>
      <c r="AV362" s="949"/>
      <c r="AW362" s="949"/>
      <c r="AX362" s="949"/>
      <c r="AY362" s="949"/>
      <c r="AZ362" s="949"/>
      <c r="BA362" s="958"/>
      <c r="BC362" s="954"/>
      <c r="BD362" s="949"/>
      <c r="BE362" s="949"/>
      <c r="BF362" s="949"/>
      <c r="BG362" s="949"/>
      <c r="BH362" s="949"/>
      <c r="BI362" s="949"/>
      <c r="BJ362" s="949"/>
      <c r="BK362" s="958"/>
    </row>
    <row r="363" spans="1:63" s="633" customFormat="1" hidden="1" x14ac:dyDescent="0.2">
      <c r="A363" s="942"/>
      <c r="D363" s="1105" t="s">
        <v>29</v>
      </c>
      <c r="E363" s="1105"/>
      <c r="F363" s="1105"/>
      <c r="G363" s="1105"/>
      <c r="H363" s="1106"/>
      <c r="I363" s="1106"/>
      <c r="J363" s="1106"/>
      <c r="K363" s="1103"/>
      <c r="L363" s="1103"/>
      <c r="M363" s="1103"/>
      <c r="N363" s="1103"/>
      <c r="O363" s="1103"/>
      <c r="P363" s="1103"/>
      <c r="Q363" s="1103"/>
      <c r="R363" s="1103"/>
      <c r="S363" s="1103"/>
      <c r="T363" s="1103"/>
      <c r="U363" s="1103"/>
      <c r="V363" s="1103"/>
      <c r="W363" s="1103"/>
      <c r="X363" s="1103"/>
      <c r="Y363" s="1103"/>
      <c r="Z363" s="1103"/>
      <c r="AA363" s="1103"/>
      <c r="AB363" s="1103"/>
      <c r="AC363" s="1104"/>
      <c r="AD363" s="1104"/>
      <c r="AE363" s="1104"/>
      <c r="AF363" s="1139">
        <f>SUM(H363:AE363)</f>
        <v>0</v>
      </c>
      <c r="AG363" s="1139"/>
      <c r="AH363" s="1140"/>
      <c r="AI363" s="954"/>
      <c r="AJ363" s="949"/>
      <c r="AK363" s="949"/>
      <c r="AL363" s="949"/>
      <c r="AM363" s="949"/>
      <c r="AN363" s="949"/>
      <c r="AO363" s="949"/>
      <c r="AP363" s="949"/>
      <c r="AQ363" s="955">
        <f>SUM(H363:AE363)-AF363</f>
        <v>0</v>
      </c>
      <c r="AS363" s="954"/>
      <c r="AT363" s="949"/>
      <c r="AU363" s="949"/>
      <c r="AV363" s="949"/>
      <c r="AW363" s="949"/>
      <c r="AX363" s="949"/>
      <c r="AY363" s="949"/>
      <c r="AZ363" s="949"/>
      <c r="BA363" s="958"/>
      <c r="BC363" s="954"/>
      <c r="BD363" s="949"/>
      <c r="BE363" s="949"/>
      <c r="BF363" s="949"/>
      <c r="BG363" s="949"/>
      <c r="BH363" s="949"/>
      <c r="BI363" s="949"/>
      <c r="BJ363" s="949"/>
      <c r="BK363" s="958"/>
    </row>
    <row r="364" spans="1:63" s="633" customFormat="1" ht="22.5" hidden="1" customHeight="1" thickBot="1" x14ac:dyDescent="0.25">
      <c r="A364" s="942"/>
      <c r="D364" s="1107" t="s">
        <v>30</v>
      </c>
      <c r="E364" s="1107"/>
      <c r="F364" s="1107"/>
      <c r="G364" s="1107"/>
      <c r="H364" s="1108">
        <f>H360+H361-H362+H363</f>
        <v>0</v>
      </c>
      <c r="I364" s="1108"/>
      <c r="J364" s="1108"/>
      <c r="K364" s="1108">
        <f t="shared" ref="K364" si="160">K360+K361-K362+K363</f>
        <v>0</v>
      </c>
      <c r="L364" s="1108"/>
      <c r="M364" s="1108"/>
      <c r="N364" s="1108">
        <f t="shared" ref="N364" si="161">N360+N361-N362+N363</f>
        <v>0</v>
      </c>
      <c r="O364" s="1108"/>
      <c r="P364" s="1108"/>
      <c r="Q364" s="1108">
        <f t="shared" ref="Q364" si="162">Q360+Q361-Q362+Q363</f>
        <v>0</v>
      </c>
      <c r="R364" s="1108"/>
      <c r="S364" s="1108"/>
      <c r="T364" s="1108">
        <f t="shared" ref="T364" si="163">T360+T361-T362+T363</f>
        <v>0</v>
      </c>
      <c r="U364" s="1108"/>
      <c r="V364" s="1108"/>
      <c r="W364" s="1108">
        <f t="shared" ref="W364" si="164">W360+W361-W362+W363</f>
        <v>0</v>
      </c>
      <c r="X364" s="1108"/>
      <c r="Y364" s="1108"/>
      <c r="Z364" s="1108">
        <f t="shared" ref="Z364" si="165">Z360+Z361-Z362+Z363</f>
        <v>0</v>
      </c>
      <c r="AA364" s="1108"/>
      <c r="AB364" s="1108"/>
      <c r="AC364" s="1108">
        <f t="shared" ref="AC364" si="166">AC360+AC361-AC362+AC363</f>
        <v>0</v>
      </c>
      <c r="AD364" s="1108"/>
      <c r="AE364" s="1108"/>
      <c r="AF364" s="1108">
        <f t="shared" ref="AF364" si="167">AF360+AF361-AF362+AF363</f>
        <v>0</v>
      </c>
      <c r="AG364" s="1108"/>
      <c r="AH364" s="1124"/>
      <c r="AI364" s="956">
        <f>H360+H361-H362+H363-H364</f>
        <v>0</v>
      </c>
      <c r="AJ364" s="957">
        <f>K360+K361-K362+K363-K364</f>
        <v>0</v>
      </c>
      <c r="AK364" s="957">
        <f>N360+N361-N362+N363-N364</f>
        <v>0</v>
      </c>
      <c r="AL364" s="957">
        <f>Q360+Q361-Q362+Q363-Q364</f>
        <v>0</v>
      </c>
      <c r="AM364" s="957">
        <f>T360+T361-T362+T363-T363</f>
        <v>0</v>
      </c>
      <c r="AN364" s="957">
        <f>W360+W361-W362+W363-W364</f>
        <v>0</v>
      </c>
      <c r="AO364" s="957">
        <f>Z360+Z361-Z362+Z363-Z364</f>
        <v>0</v>
      </c>
      <c r="AP364" s="957">
        <f>AC360+AC361-AC362+AC363-AC364</f>
        <v>0</v>
      </c>
      <c r="AQ364" s="955">
        <f>AF360+AF361-AF362+AF363-AF364</f>
        <v>0</v>
      </c>
      <c r="AS364" s="954"/>
      <c r="AT364" s="949"/>
      <c r="AU364" s="949"/>
      <c r="AV364" s="949"/>
      <c r="AW364" s="949"/>
      <c r="AX364" s="949"/>
      <c r="AY364" s="949"/>
      <c r="AZ364" s="949"/>
      <c r="BA364" s="958"/>
      <c r="BC364" s="956">
        <f>H364-BS!$D$31</f>
        <v>0</v>
      </c>
      <c r="BD364" s="957">
        <f>K364-BS!$D$32</f>
        <v>0</v>
      </c>
      <c r="BE364" s="957">
        <f>N364-BS!$D$33</f>
        <v>0</v>
      </c>
      <c r="BF364" s="957">
        <f>Q364-BS!$D$34</f>
        <v>0</v>
      </c>
      <c r="BG364" s="957">
        <f>T364-BS!$D$35</f>
        <v>0</v>
      </c>
      <c r="BH364" s="957">
        <f>W364-BS!$D$36</f>
        <v>0</v>
      </c>
      <c r="BI364" s="957">
        <f>Z364-BS!$D$37</f>
        <v>0</v>
      </c>
      <c r="BJ364" s="957">
        <f>AC364-BS!$D$38</f>
        <v>0</v>
      </c>
      <c r="BK364" s="955">
        <f>AF364-BS!$D$30</f>
        <v>0</v>
      </c>
    </row>
    <row r="365" spans="1:63" s="633" customFormat="1" ht="15" hidden="1" thickBot="1" x14ac:dyDescent="0.25">
      <c r="A365" s="942"/>
      <c r="D365" s="1149" t="s">
        <v>31</v>
      </c>
      <c r="E365" s="1150"/>
      <c r="F365" s="1150"/>
      <c r="G365" s="1150"/>
      <c r="H365" s="1150"/>
      <c r="I365" s="1150"/>
      <c r="J365" s="1150"/>
      <c r="K365" s="1150"/>
      <c r="L365" s="1150"/>
      <c r="M365" s="1150"/>
      <c r="N365" s="1150"/>
      <c r="O365" s="1150"/>
      <c r="P365" s="1150"/>
      <c r="Q365" s="1150"/>
      <c r="R365" s="1150"/>
      <c r="S365" s="1150"/>
      <c r="T365" s="1150"/>
      <c r="U365" s="1150"/>
      <c r="V365" s="1150"/>
      <c r="W365" s="1150"/>
      <c r="X365" s="1150"/>
      <c r="Y365" s="1150"/>
      <c r="Z365" s="1150"/>
      <c r="AA365" s="1150"/>
      <c r="AB365" s="1150"/>
      <c r="AC365" s="1150"/>
      <c r="AD365" s="1150"/>
      <c r="AE365" s="1150"/>
      <c r="AF365" s="1150"/>
      <c r="AG365" s="1150"/>
      <c r="AH365" s="1150"/>
      <c r="AI365" s="954"/>
      <c r="AJ365" s="949"/>
      <c r="AK365" s="949"/>
      <c r="AL365" s="949"/>
      <c r="AM365" s="949"/>
      <c r="AN365" s="949"/>
      <c r="AO365" s="949"/>
      <c r="AP365" s="949"/>
      <c r="AQ365" s="955"/>
      <c r="AS365" s="954"/>
      <c r="AT365" s="949"/>
      <c r="AU365" s="949"/>
      <c r="AV365" s="949"/>
      <c r="AW365" s="949"/>
      <c r="AX365" s="949"/>
      <c r="AY365" s="949"/>
      <c r="AZ365" s="949"/>
      <c r="BA365" s="958"/>
      <c r="BC365" s="954"/>
      <c r="BD365" s="949"/>
      <c r="BE365" s="949"/>
      <c r="BF365" s="949"/>
      <c r="BG365" s="949"/>
      <c r="BH365" s="949"/>
      <c r="BI365" s="949"/>
      <c r="BJ365" s="949"/>
      <c r="BK365" s="958"/>
    </row>
    <row r="366" spans="1:63" s="633" customFormat="1" ht="22.5" hidden="1" customHeight="1" x14ac:dyDescent="0.2">
      <c r="A366" s="942"/>
      <c r="D366" s="1151" t="s">
        <v>32</v>
      </c>
      <c r="E366" s="1151"/>
      <c r="F366" s="1151"/>
      <c r="G366" s="1151"/>
      <c r="H366" s="1152"/>
      <c r="I366" s="1152"/>
      <c r="J366" s="1152"/>
      <c r="K366" s="1153"/>
      <c r="L366" s="1153"/>
      <c r="M366" s="1153"/>
      <c r="N366" s="1153"/>
      <c r="O366" s="1153"/>
      <c r="P366" s="1153"/>
      <c r="Q366" s="1153"/>
      <c r="R366" s="1153"/>
      <c r="S366" s="1153"/>
      <c r="T366" s="1153"/>
      <c r="U366" s="1153"/>
      <c r="V366" s="1153"/>
      <c r="W366" s="1153"/>
      <c r="X366" s="1153"/>
      <c r="Y366" s="1153"/>
      <c r="Z366" s="1153"/>
      <c r="AA366" s="1153"/>
      <c r="AB366" s="1153"/>
      <c r="AC366" s="1153"/>
      <c r="AD366" s="1153"/>
      <c r="AE366" s="1153"/>
      <c r="AF366" s="1153">
        <f>SUM(H366:AE366)</f>
        <v>0</v>
      </c>
      <c r="AG366" s="1153"/>
      <c r="AH366" s="1154"/>
      <c r="AI366" s="954"/>
      <c r="AJ366" s="949"/>
      <c r="AK366" s="949"/>
      <c r="AL366" s="949"/>
      <c r="AM366" s="949"/>
      <c r="AN366" s="949"/>
      <c r="AO366" s="949"/>
      <c r="AP366" s="949"/>
      <c r="AQ366" s="955">
        <f>SUM(H366:AE366)-AF366</f>
        <v>0</v>
      </c>
      <c r="AS366" s="956">
        <f>H366-H393</f>
        <v>0</v>
      </c>
      <c r="AT366" s="957">
        <f>K366-K393</f>
        <v>0</v>
      </c>
      <c r="AU366" s="957">
        <f>N366-N393</f>
        <v>0</v>
      </c>
      <c r="AV366" s="957">
        <f>Q366-Q393</f>
        <v>0</v>
      </c>
      <c r="AW366" s="957">
        <f>T366-T393</f>
        <v>0</v>
      </c>
      <c r="AX366" s="957">
        <f>W366-W393</f>
        <v>0</v>
      </c>
      <c r="AY366" s="957">
        <f>Z366-Z393</f>
        <v>0</v>
      </c>
      <c r="AZ366" s="957">
        <f>AC366-AC393</f>
        <v>0</v>
      </c>
      <c r="BA366" s="955">
        <f>AF366-AF393</f>
        <v>0</v>
      </c>
      <c r="BC366" s="954"/>
      <c r="BD366" s="949"/>
      <c r="BE366" s="949"/>
      <c r="BF366" s="949"/>
      <c r="BG366" s="949"/>
      <c r="BH366" s="949"/>
      <c r="BI366" s="949"/>
      <c r="BJ366" s="949"/>
      <c r="BK366" s="958"/>
    </row>
    <row r="367" spans="1:63" s="633" customFormat="1" hidden="1" x14ac:dyDescent="0.2">
      <c r="A367" s="942"/>
      <c r="D367" s="1141" t="s">
        <v>27</v>
      </c>
      <c r="E367" s="1141"/>
      <c r="F367" s="1141"/>
      <c r="G367" s="1141"/>
      <c r="H367" s="1115"/>
      <c r="I367" s="1115"/>
      <c r="J367" s="1115"/>
      <c r="K367" s="1127"/>
      <c r="L367" s="1127"/>
      <c r="M367" s="1127"/>
      <c r="N367" s="1127"/>
      <c r="O367" s="1127"/>
      <c r="P367" s="1127"/>
      <c r="Q367" s="1127"/>
      <c r="R367" s="1127"/>
      <c r="S367" s="1127"/>
      <c r="T367" s="1127"/>
      <c r="U367" s="1127"/>
      <c r="V367" s="1127"/>
      <c r="W367" s="1127"/>
      <c r="X367" s="1127"/>
      <c r="Y367" s="1127"/>
      <c r="Z367" s="1127"/>
      <c r="AA367" s="1127"/>
      <c r="AB367" s="1127"/>
      <c r="AC367" s="1128"/>
      <c r="AD367" s="1128"/>
      <c r="AE367" s="1128"/>
      <c r="AF367" s="1128">
        <f>SUM(H367:AE367)</f>
        <v>0</v>
      </c>
      <c r="AG367" s="1128"/>
      <c r="AH367" s="1155"/>
      <c r="AI367" s="954"/>
      <c r="AJ367" s="949"/>
      <c r="AK367" s="949"/>
      <c r="AL367" s="949"/>
      <c r="AM367" s="949"/>
      <c r="AN367" s="949"/>
      <c r="AO367" s="949"/>
      <c r="AP367" s="949"/>
      <c r="AQ367" s="955">
        <f t="shared" ref="AQ367:AQ368" si="168">SUM(H367:AE367)-AF367</f>
        <v>0</v>
      </c>
      <c r="AS367" s="954"/>
      <c r="AT367" s="949"/>
      <c r="AU367" s="949"/>
      <c r="AV367" s="949"/>
      <c r="AW367" s="949"/>
      <c r="AX367" s="949"/>
      <c r="AY367" s="949"/>
      <c r="AZ367" s="949"/>
      <c r="BA367" s="958"/>
      <c r="BC367" s="954"/>
      <c r="BD367" s="949"/>
      <c r="BE367" s="949"/>
      <c r="BF367" s="949"/>
      <c r="BG367" s="949"/>
      <c r="BH367" s="949"/>
      <c r="BI367" s="949"/>
      <c r="BJ367" s="949"/>
      <c r="BK367" s="958"/>
    </row>
    <row r="368" spans="1:63" s="633" customFormat="1" hidden="1" x14ac:dyDescent="0.2">
      <c r="A368" s="942"/>
      <c r="D368" s="1141" t="s">
        <v>28</v>
      </c>
      <c r="E368" s="1141"/>
      <c r="F368" s="1141"/>
      <c r="G368" s="1141"/>
      <c r="H368" s="1115"/>
      <c r="I368" s="1115"/>
      <c r="J368" s="1115"/>
      <c r="K368" s="1127"/>
      <c r="L368" s="1127"/>
      <c r="M368" s="1127"/>
      <c r="N368" s="1127"/>
      <c r="O368" s="1127"/>
      <c r="P368" s="1127"/>
      <c r="Q368" s="1127"/>
      <c r="R368" s="1127"/>
      <c r="S368" s="1127"/>
      <c r="T368" s="1127"/>
      <c r="U368" s="1127"/>
      <c r="V368" s="1127"/>
      <c r="W368" s="1127"/>
      <c r="X368" s="1127"/>
      <c r="Y368" s="1127"/>
      <c r="Z368" s="1127"/>
      <c r="AA368" s="1127"/>
      <c r="AB368" s="1127"/>
      <c r="AC368" s="1128"/>
      <c r="AD368" s="1128"/>
      <c r="AE368" s="1128"/>
      <c r="AF368" s="1128">
        <f>SUM(H368:AE368)</f>
        <v>0</v>
      </c>
      <c r="AG368" s="1128"/>
      <c r="AH368" s="1155"/>
      <c r="AI368" s="954"/>
      <c r="AJ368" s="949"/>
      <c r="AK368" s="949"/>
      <c r="AL368" s="949"/>
      <c r="AM368" s="949"/>
      <c r="AN368" s="949"/>
      <c r="AO368" s="949"/>
      <c r="AP368" s="949"/>
      <c r="AQ368" s="955">
        <f t="shared" si="168"/>
        <v>0</v>
      </c>
      <c r="AS368" s="954"/>
      <c r="AT368" s="949"/>
      <c r="AU368" s="949"/>
      <c r="AV368" s="949"/>
      <c r="AW368" s="949"/>
      <c r="AX368" s="949"/>
      <c r="AY368" s="949"/>
      <c r="AZ368" s="949"/>
      <c r="BA368" s="958"/>
      <c r="BC368" s="668" t="s">
        <v>1141</v>
      </c>
      <c r="BD368" s="949"/>
      <c r="BE368" s="949"/>
      <c r="BF368" s="949"/>
      <c r="BG368" s="949"/>
      <c r="BH368" s="949"/>
      <c r="BI368" s="949"/>
      <c r="BJ368" s="949"/>
      <c r="BK368" s="958"/>
    </row>
    <row r="369" spans="1:63" s="633" customFormat="1" ht="22.5" hidden="1" customHeight="1" thickBot="1" x14ac:dyDescent="0.25">
      <c r="A369" s="942"/>
      <c r="D369" s="1144" t="s">
        <v>30</v>
      </c>
      <c r="E369" s="1144"/>
      <c r="F369" s="1144"/>
      <c r="G369" s="1144"/>
      <c r="H369" s="1126">
        <f>H366+H367-H368</f>
        <v>0</v>
      </c>
      <c r="I369" s="1126"/>
      <c r="J369" s="1126"/>
      <c r="K369" s="1126">
        <f t="shared" ref="K369" si="169">K366+K367-K368</f>
        <v>0</v>
      </c>
      <c r="L369" s="1126"/>
      <c r="M369" s="1126"/>
      <c r="N369" s="1126">
        <f t="shared" ref="N369" si="170">N366+N367-N368</f>
        <v>0</v>
      </c>
      <c r="O369" s="1126"/>
      <c r="P369" s="1126"/>
      <c r="Q369" s="1126">
        <f t="shared" ref="Q369" si="171">Q366+Q367-Q368</f>
        <v>0</v>
      </c>
      <c r="R369" s="1126"/>
      <c r="S369" s="1126"/>
      <c r="T369" s="1126">
        <f t="shared" ref="T369" si="172">T366+T367-T368</f>
        <v>0</v>
      </c>
      <c r="U369" s="1126"/>
      <c r="V369" s="1126"/>
      <c r="W369" s="1126">
        <f t="shared" ref="W369" si="173">W366+W367-W368</f>
        <v>0</v>
      </c>
      <c r="X369" s="1126"/>
      <c r="Y369" s="1126"/>
      <c r="Z369" s="1126">
        <f t="shared" ref="Z369" si="174">Z366+Z367-Z368</f>
        <v>0</v>
      </c>
      <c r="AA369" s="1126"/>
      <c r="AB369" s="1126"/>
      <c r="AC369" s="1126">
        <f t="shared" ref="AC369" si="175">AC366+AC367-AC368</f>
        <v>0</v>
      </c>
      <c r="AD369" s="1126"/>
      <c r="AE369" s="1126"/>
      <c r="AF369" s="1126">
        <f t="shared" ref="AF369" si="176">AF366+AF367-AF368</f>
        <v>0</v>
      </c>
      <c r="AG369" s="1126"/>
      <c r="AH369" s="1129"/>
      <c r="AI369" s="956">
        <f>H366+H367-H368-H369</f>
        <v>0</v>
      </c>
      <c r="AJ369" s="957">
        <f>K366+K367-K368-K369</f>
        <v>0</v>
      </c>
      <c r="AK369" s="957">
        <f>N366+N367-N368-N369</f>
        <v>0</v>
      </c>
      <c r="AL369" s="957">
        <f>Q366+Q367-Q368-Q369</f>
        <v>0</v>
      </c>
      <c r="AM369" s="957">
        <f>T366+T367-T368-T369</f>
        <v>0</v>
      </c>
      <c r="AN369" s="957">
        <f>W366+W367-W368-W369</f>
        <v>0</v>
      </c>
      <c r="AO369" s="957">
        <f>Z366+Z367-Z368-Z369</f>
        <v>0</v>
      </c>
      <c r="AP369" s="957">
        <f>AC366+AC367-AC368-AC369</f>
        <v>0</v>
      </c>
      <c r="AQ369" s="955">
        <f>AF366+AF367-AF368-AF369</f>
        <v>0</v>
      </c>
      <c r="AS369" s="954"/>
      <c r="AT369" s="949"/>
      <c r="AU369" s="949"/>
      <c r="AV369" s="949"/>
      <c r="AW369" s="949"/>
      <c r="AX369" s="949"/>
      <c r="AY369" s="949"/>
      <c r="AZ369" s="949"/>
      <c r="BA369" s="958"/>
      <c r="BC369" s="956">
        <f>H369+H375-BS!$E$31</f>
        <v>0</v>
      </c>
      <c r="BD369" s="957">
        <f>K369+K375-BS!$E$32</f>
        <v>0</v>
      </c>
      <c r="BE369" s="957">
        <f>N369+N375-BS!$E$33</f>
        <v>0</v>
      </c>
      <c r="BF369" s="957">
        <f>Q369+Q375-BS!$E$34</f>
        <v>0</v>
      </c>
      <c r="BG369" s="957">
        <f>T369+T375-BS!$E$35</f>
        <v>0</v>
      </c>
      <c r="BH369" s="957">
        <f>W369+W375-BS!$E$36</f>
        <v>0</v>
      </c>
      <c r="BI369" s="957">
        <f>Z369+Z375-BS!$E$37</f>
        <v>0</v>
      </c>
      <c r="BJ369" s="957">
        <f>AC369+AC375-BS!$E$38</f>
        <v>0</v>
      </c>
      <c r="BK369" s="955">
        <f>AF369+AF375-BS!$E$30</f>
        <v>0</v>
      </c>
    </row>
    <row r="370" spans="1:63" s="633" customFormat="1" ht="15" hidden="1" thickBot="1" x14ac:dyDescent="0.25">
      <c r="A370" s="942"/>
      <c r="D370" s="1121" t="s">
        <v>33</v>
      </c>
      <c r="E370" s="1122"/>
      <c r="F370" s="1122"/>
      <c r="G370" s="1122"/>
      <c r="H370" s="1122"/>
      <c r="I370" s="1122"/>
      <c r="J370" s="1122"/>
      <c r="K370" s="1122"/>
      <c r="L370" s="1122"/>
      <c r="M370" s="1122"/>
      <c r="N370" s="1122"/>
      <c r="O370" s="1122"/>
      <c r="P370" s="1122"/>
      <c r="Q370" s="1122"/>
      <c r="R370" s="1122"/>
      <c r="S370" s="1122"/>
      <c r="T370" s="1122"/>
      <c r="U370" s="1122"/>
      <c r="V370" s="1122"/>
      <c r="W370" s="1122"/>
      <c r="X370" s="1122"/>
      <c r="Y370" s="1122"/>
      <c r="Z370" s="1122"/>
      <c r="AA370" s="1122"/>
      <c r="AB370" s="1122"/>
      <c r="AC370" s="1122"/>
      <c r="AD370" s="1122"/>
      <c r="AE370" s="1122"/>
      <c r="AF370" s="1122"/>
      <c r="AG370" s="1122"/>
      <c r="AH370" s="1122"/>
      <c r="AI370" s="954"/>
      <c r="AJ370" s="949"/>
      <c r="AK370" s="949"/>
      <c r="AL370" s="949"/>
      <c r="AM370" s="949"/>
      <c r="AN370" s="949"/>
      <c r="AO370" s="949"/>
      <c r="AP370" s="949"/>
      <c r="AQ370" s="955"/>
      <c r="AS370" s="954"/>
      <c r="AT370" s="949"/>
      <c r="AU370" s="949"/>
      <c r="AV370" s="949"/>
      <c r="AW370" s="949"/>
      <c r="AX370" s="949"/>
      <c r="AY370" s="949"/>
      <c r="AZ370" s="949"/>
      <c r="BA370" s="958"/>
      <c r="BC370" s="954"/>
      <c r="BD370" s="949"/>
      <c r="BE370" s="949"/>
      <c r="BF370" s="949"/>
      <c r="BG370" s="949"/>
      <c r="BH370" s="949"/>
      <c r="BI370" s="949"/>
      <c r="BJ370" s="949"/>
      <c r="BK370" s="958"/>
    </row>
    <row r="371" spans="1:63" s="633" customFormat="1" ht="22.5" hidden="1" customHeight="1" x14ac:dyDescent="0.2">
      <c r="A371" s="942"/>
      <c r="D371" s="1142" t="s">
        <v>32</v>
      </c>
      <c r="E371" s="1142"/>
      <c r="F371" s="1142"/>
      <c r="G371" s="1142"/>
      <c r="H371" s="1143"/>
      <c r="I371" s="1143"/>
      <c r="J371" s="1143"/>
      <c r="K371" s="1125"/>
      <c r="L371" s="1125"/>
      <c r="M371" s="1125"/>
      <c r="N371" s="1125"/>
      <c r="O371" s="1125"/>
      <c r="P371" s="1125"/>
      <c r="Q371" s="1125"/>
      <c r="R371" s="1125"/>
      <c r="S371" s="1125"/>
      <c r="T371" s="1125"/>
      <c r="U371" s="1125"/>
      <c r="V371" s="1125"/>
      <c r="W371" s="1125"/>
      <c r="X371" s="1125"/>
      <c r="Y371" s="1125"/>
      <c r="Z371" s="1125"/>
      <c r="AA371" s="1125"/>
      <c r="AB371" s="1125"/>
      <c r="AC371" s="1125"/>
      <c r="AD371" s="1125"/>
      <c r="AE371" s="1125"/>
      <c r="AF371" s="1147">
        <f>SUM(H371:AE371)</f>
        <v>0</v>
      </c>
      <c r="AG371" s="1147"/>
      <c r="AH371" s="1148"/>
      <c r="AI371" s="954"/>
      <c r="AJ371" s="949"/>
      <c r="AK371" s="949"/>
      <c r="AL371" s="949"/>
      <c r="AM371" s="949"/>
      <c r="AN371" s="949"/>
      <c r="AO371" s="949"/>
      <c r="AP371" s="949"/>
      <c r="AQ371" s="955">
        <f>SUM(H371:AE371)-AF371</f>
        <v>0</v>
      </c>
      <c r="AS371" s="956">
        <f>H371-H399</f>
        <v>0</v>
      </c>
      <c r="AT371" s="957">
        <f>K371-K399</f>
        <v>0</v>
      </c>
      <c r="AU371" s="957">
        <f>N371-N399</f>
        <v>0</v>
      </c>
      <c r="AV371" s="957">
        <f>Q371-Q399</f>
        <v>0</v>
      </c>
      <c r="AW371" s="957">
        <f>T371-T399</f>
        <v>0</v>
      </c>
      <c r="AX371" s="957">
        <f>W371-W399</f>
        <v>0</v>
      </c>
      <c r="AY371" s="957">
        <f>Z371-Z399</f>
        <v>0</v>
      </c>
      <c r="AZ371" s="957">
        <f>AC371-AC399</f>
        <v>0</v>
      </c>
      <c r="BA371" s="955">
        <f>AF371-AF399</f>
        <v>0</v>
      </c>
      <c r="BC371" s="954"/>
      <c r="BD371" s="949"/>
      <c r="BE371" s="949"/>
      <c r="BF371" s="949"/>
      <c r="BG371" s="949"/>
      <c r="BH371" s="949"/>
      <c r="BI371" s="949"/>
      <c r="BJ371" s="949"/>
      <c r="BK371" s="958"/>
    </row>
    <row r="372" spans="1:63" s="633" customFormat="1" hidden="1" x14ac:dyDescent="0.2">
      <c r="A372" s="942"/>
      <c r="D372" s="1105" t="s">
        <v>27</v>
      </c>
      <c r="E372" s="1105"/>
      <c r="F372" s="1105"/>
      <c r="G372" s="1105"/>
      <c r="H372" s="1106"/>
      <c r="I372" s="1106"/>
      <c r="J372" s="1106"/>
      <c r="K372" s="1103"/>
      <c r="L372" s="1103"/>
      <c r="M372" s="1103"/>
      <c r="N372" s="1103"/>
      <c r="O372" s="1103"/>
      <c r="P372" s="1103"/>
      <c r="Q372" s="1103"/>
      <c r="R372" s="1103"/>
      <c r="S372" s="1103"/>
      <c r="T372" s="1103"/>
      <c r="U372" s="1103"/>
      <c r="V372" s="1103"/>
      <c r="W372" s="1103"/>
      <c r="X372" s="1103"/>
      <c r="Y372" s="1103"/>
      <c r="Z372" s="1103"/>
      <c r="AA372" s="1103"/>
      <c r="AB372" s="1103"/>
      <c r="AC372" s="1104"/>
      <c r="AD372" s="1104"/>
      <c r="AE372" s="1104"/>
      <c r="AF372" s="1139">
        <f>SUM(H372:AE372)</f>
        <v>0</v>
      </c>
      <c r="AG372" s="1139"/>
      <c r="AH372" s="1140"/>
      <c r="AI372" s="954"/>
      <c r="AJ372" s="949"/>
      <c r="AK372" s="949"/>
      <c r="AL372" s="949"/>
      <c r="AM372" s="949"/>
      <c r="AN372" s="949"/>
      <c r="AO372" s="949"/>
      <c r="AP372" s="949"/>
      <c r="AQ372" s="955">
        <f>SUM(H372:AE372)-AF372</f>
        <v>0</v>
      </c>
      <c r="AS372" s="954"/>
      <c r="AT372" s="949"/>
      <c r="AU372" s="949"/>
      <c r="AV372" s="949"/>
      <c r="AW372" s="949"/>
      <c r="AX372" s="949"/>
      <c r="AY372" s="949"/>
      <c r="AZ372" s="949"/>
      <c r="BA372" s="958"/>
      <c r="BC372" s="954"/>
      <c r="BD372" s="949"/>
      <c r="BE372" s="949"/>
      <c r="BF372" s="949"/>
      <c r="BG372" s="949"/>
      <c r="BH372" s="949"/>
      <c r="BI372" s="949"/>
      <c r="BJ372" s="949"/>
      <c r="BK372" s="958"/>
    </row>
    <row r="373" spans="1:63" s="633" customFormat="1" hidden="1" x14ac:dyDescent="0.2">
      <c r="A373" s="942"/>
      <c r="D373" s="1105" t="s">
        <v>28</v>
      </c>
      <c r="E373" s="1105"/>
      <c r="F373" s="1105"/>
      <c r="G373" s="1105"/>
      <c r="H373" s="1106"/>
      <c r="I373" s="1106"/>
      <c r="J373" s="1106"/>
      <c r="K373" s="1103"/>
      <c r="L373" s="1103"/>
      <c r="M373" s="1103"/>
      <c r="N373" s="1103"/>
      <c r="O373" s="1103"/>
      <c r="P373" s="1103"/>
      <c r="Q373" s="1103"/>
      <c r="R373" s="1103"/>
      <c r="S373" s="1103"/>
      <c r="T373" s="1103"/>
      <c r="U373" s="1103"/>
      <c r="V373" s="1103"/>
      <c r="W373" s="1103"/>
      <c r="X373" s="1103"/>
      <c r="Y373" s="1103"/>
      <c r="Z373" s="1103"/>
      <c r="AA373" s="1103"/>
      <c r="AB373" s="1103"/>
      <c r="AC373" s="1104"/>
      <c r="AD373" s="1104"/>
      <c r="AE373" s="1104"/>
      <c r="AF373" s="1139">
        <f>SUM(H373:AE373)</f>
        <v>0</v>
      </c>
      <c r="AG373" s="1139"/>
      <c r="AH373" s="1140"/>
      <c r="AI373" s="954"/>
      <c r="AJ373" s="949"/>
      <c r="AK373" s="949"/>
      <c r="AL373" s="949"/>
      <c r="AM373" s="949"/>
      <c r="AN373" s="949"/>
      <c r="AO373" s="949"/>
      <c r="AP373" s="949"/>
      <c r="AQ373" s="955"/>
      <c r="AS373" s="954"/>
      <c r="AT373" s="949"/>
      <c r="AU373" s="949"/>
      <c r="AV373" s="949"/>
      <c r="AW373" s="949"/>
      <c r="AX373" s="949"/>
      <c r="AY373" s="949"/>
      <c r="AZ373" s="949"/>
      <c r="BA373" s="958"/>
      <c r="BC373" s="954"/>
      <c r="BD373" s="949"/>
      <c r="BE373" s="949"/>
      <c r="BF373" s="949"/>
      <c r="BG373" s="949"/>
      <c r="BH373" s="949"/>
      <c r="BI373" s="949"/>
      <c r="BJ373" s="949"/>
      <c r="BK373" s="958"/>
    </row>
    <row r="374" spans="1:63" s="633" customFormat="1" hidden="1" x14ac:dyDescent="0.2">
      <c r="A374" s="942"/>
      <c r="D374" s="1130" t="s">
        <v>29</v>
      </c>
      <c r="E374" s="1130"/>
      <c r="F374" s="1130"/>
      <c r="G374" s="1130"/>
      <c r="H374" s="1131"/>
      <c r="I374" s="1131"/>
      <c r="J374" s="1131"/>
      <c r="K374" s="1113"/>
      <c r="L374" s="1113"/>
      <c r="M374" s="1113"/>
      <c r="N374" s="1113"/>
      <c r="O374" s="1113"/>
      <c r="P374" s="1113"/>
      <c r="Q374" s="1113"/>
      <c r="R374" s="1113"/>
      <c r="S374" s="1113"/>
      <c r="T374" s="1113"/>
      <c r="U374" s="1113"/>
      <c r="V374" s="1113"/>
      <c r="W374" s="1113"/>
      <c r="X374" s="1113"/>
      <c r="Y374" s="1113"/>
      <c r="Z374" s="1113"/>
      <c r="AA374" s="1113"/>
      <c r="AB374" s="1113"/>
      <c r="AC374" s="1145"/>
      <c r="AD374" s="1145"/>
      <c r="AE374" s="1145"/>
      <c r="AF374" s="1145">
        <f>SUM(H374:AE374)</f>
        <v>0</v>
      </c>
      <c r="AG374" s="1145"/>
      <c r="AH374" s="1146"/>
      <c r="AI374" s="954"/>
      <c r="AJ374" s="949"/>
      <c r="AK374" s="949"/>
      <c r="AL374" s="949"/>
      <c r="AM374" s="949"/>
      <c r="AN374" s="949"/>
      <c r="AO374" s="949"/>
      <c r="AP374" s="949"/>
      <c r="AQ374" s="955">
        <f t="shared" ref="AQ374" si="177">SUM(H374:AE374)-AF374</f>
        <v>0</v>
      </c>
      <c r="AS374" s="954"/>
      <c r="AT374" s="949"/>
      <c r="AU374" s="949"/>
      <c r="AV374" s="949"/>
      <c r="AW374" s="949"/>
      <c r="AX374" s="949"/>
      <c r="AY374" s="949"/>
      <c r="AZ374" s="949"/>
      <c r="BA374" s="958"/>
      <c r="BC374" s="954"/>
      <c r="BD374" s="949"/>
      <c r="BE374" s="949"/>
      <c r="BF374" s="949"/>
      <c r="BG374" s="949"/>
      <c r="BH374" s="949"/>
      <c r="BI374" s="949"/>
      <c r="BJ374" s="949"/>
      <c r="BK374" s="958"/>
    </row>
    <row r="375" spans="1:63" s="633" customFormat="1" ht="22.5" hidden="1" customHeight="1" thickBot="1" x14ac:dyDescent="0.25">
      <c r="A375" s="942"/>
      <c r="D375" s="1107" t="s">
        <v>30</v>
      </c>
      <c r="E375" s="1107"/>
      <c r="F375" s="1107"/>
      <c r="G375" s="1107"/>
      <c r="H375" s="1108">
        <f>H371+H372-H374</f>
        <v>0</v>
      </c>
      <c r="I375" s="1108"/>
      <c r="J375" s="1108"/>
      <c r="K375" s="1108">
        <f t="shared" ref="K375" si="178">K371+K372-K374</f>
        <v>0</v>
      </c>
      <c r="L375" s="1108"/>
      <c r="M375" s="1108"/>
      <c r="N375" s="1108">
        <f t="shared" ref="N375" si="179">N371+N372-N374</f>
        <v>0</v>
      </c>
      <c r="O375" s="1108"/>
      <c r="P375" s="1108"/>
      <c r="Q375" s="1108">
        <f t="shared" ref="Q375" si="180">Q371+Q372-Q374</f>
        <v>0</v>
      </c>
      <c r="R375" s="1108"/>
      <c r="S375" s="1108"/>
      <c r="T375" s="1108">
        <f t="shared" ref="T375" si="181">T371+T372-T374</f>
        <v>0</v>
      </c>
      <c r="U375" s="1108"/>
      <c r="V375" s="1108"/>
      <c r="W375" s="1108">
        <f t="shared" ref="W375" si="182">W371+W372-W374</f>
        <v>0</v>
      </c>
      <c r="X375" s="1108"/>
      <c r="Y375" s="1108"/>
      <c r="Z375" s="1108">
        <f t="shared" ref="Z375" si="183">Z371+Z372-Z374</f>
        <v>0</v>
      </c>
      <c r="AA375" s="1108"/>
      <c r="AB375" s="1108"/>
      <c r="AC375" s="1108">
        <f t="shared" ref="AC375" si="184">AC371+AC372-AC374</f>
        <v>0</v>
      </c>
      <c r="AD375" s="1108"/>
      <c r="AE375" s="1108"/>
      <c r="AF375" s="1108">
        <f t="shared" ref="AF375" si="185">AF371+AF372-AF374</f>
        <v>0</v>
      </c>
      <c r="AG375" s="1108"/>
      <c r="AH375" s="1124"/>
      <c r="AI375" s="956">
        <f>H371+H372-H374-H375</f>
        <v>0</v>
      </c>
      <c r="AJ375" s="957">
        <f>K371+K372-K374-K375</f>
        <v>0</v>
      </c>
      <c r="AK375" s="957">
        <f>N371+N372-N374-N375</f>
        <v>0</v>
      </c>
      <c r="AL375" s="957">
        <f>Q371+Q372-Q374-Q375</f>
        <v>0</v>
      </c>
      <c r="AM375" s="957">
        <f>T371+T372-T374-T375</f>
        <v>0</v>
      </c>
      <c r="AN375" s="957">
        <f>W371+W372-W374-W375</f>
        <v>0</v>
      </c>
      <c r="AO375" s="957">
        <f>Z371+Z372-Z374-Z375</f>
        <v>0</v>
      </c>
      <c r="AP375" s="957">
        <f>AC371+AC372-AC374-AC375</f>
        <v>0</v>
      </c>
      <c r="AQ375" s="955">
        <f>AF371+AF372-AF374-AF375</f>
        <v>0</v>
      </c>
      <c r="AS375" s="954"/>
      <c r="AT375" s="949"/>
      <c r="AU375" s="949"/>
      <c r="AV375" s="949"/>
      <c r="AW375" s="949"/>
      <c r="AX375" s="949"/>
      <c r="AY375" s="949"/>
      <c r="AZ375" s="949"/>
      <c r="BA375" s="958"/>
      <c r="BC375" s="954"/>
      <c r="BD375" s="949"/>
      <c r="BE375" s="949"/>
      <c r="BF375" s="949"/>
      <c r="BG375" s="949"/>
      <c r="BH375" s="949"/>
      <c r="BI375" s="949"/>
      <c r="BJ375" s="949"/>
      <c r="BK375" s="958"/>
    </row>
    <row r="376" spans="1:63" s="633" customFormat="1" ht="15" hidden="1" thickBot="1" x14ac:dyDescent="0.25">
      <c r="A376" s="942"/>
      <c r="D376" s="1110" t="s">
        <v>256</v>
      </c>
      <c r="E376" s="1111"/>
      <c r="F376" s="1111"/>
      <c r="G376" s="1111"/>
      <c r="H376" s="1111"/>
      <c r="I376" s="1111"/>
      <c r="J376" s="1111"/>
      <c r="K376" s="1111"/>
      <c r="L376" s="1111"/>
      <c r="M376" s="1111"/>
      <c r="N376" s="1111"/>
      <c r="O376" s="1111"/>
      <c r="P376" s="1111"/>
      <c r="Q376" s="1111"/>
      <c r="R376" s="1111"/>
      <c r="S376" s="1111"/>
      <c r="T376" s="1111"/>
      <c r="U376" s="1111"/>
      <c r="V376" s="1111"/>
      <c r="W376" s="1111"/>
      <c r="X376" s="1111"/>
      <c r="Y376" s="1111"/>
      <c r="Z376" s="1111"/>
      <c r="AA376" s="1111"/>
      <c r="AB376" s="1111"/>
      <c r="AC376" s="1111"/>
      <c r="AD376" s="1111"/>
      <c r="AE376" s="1111"/>
      <c r="AF376" s="1111"/>
      <c r="AG376" s="1111"/>
      <c r="AH376" s="1112"/>
      <c r="AI376" s="954"/>
      <c r="AJ376" s="949"/>
      <c r="AK376" s="949"/>
      <c r="AL376" s="949"/>
      <c r="AM376" s="949"/>
      <c r="AN376" s="949"/>
      <c r="AO376" s="949"/>
      <c r="AP376" s="949"/>
      <c r="AQ376" s="955"/>
      <c r="AS376" s="954"/>
      <c r="AT376" s="949"/>
      <c r="AU376" s="949"/>
      <c r="AV376" s="949"/>
      <c r="AW376" s="949"/>
      <c r="AX376" s="949"/>
      <c r="AY376" s="949"/>
      <c r="AZ376" s="949"/>
      <c r="BA376" s="958"/>
      <c r="BC376" s="954"/>
      <c r="BD376" s="949"/>
      <c r="BE376" s="949"/>
      <c r="BF376" s="949"/>
      <c r="BG376" s="949"/>
      <c r="BH376" s="949"/>
      <c r="BI376" s="949"/>
      <c r="BJ376" s="949"/>
      <c r="BK376" s="958"/>
    </row>
    <row r="377" spans="1:63" s="633" customFormat="1" ht="22.5" hidden="1" customHeight="1" x14ac:dyDescent="0.2">
      <c r="A377" s="942"/>
      <c r="D377" s="1044" t="s">
        <v>32</v>
      </c>
      <c r="E377" s="1044"/>
      <c r="F377" s="1044"/>
      <c r="G377" s="1044"/>
      <c r="H377" s="1114">
        <f>H360-H366-H371</f>
        <v>0</v>
      </c>
      <c r="I377" s="1114"/>
      <c r="J377" s="1114"/>
      <c r="K377" s="1114">
        <f t="shared" ref="K377" si="186">K360-K366-K371</f>
        <v>0</v>
      </c>
      <c r="L377" s="1114"/>
      <c r="M377" s="1114"/>
      <c r="N377" s="1114">
        <f t="shared" ref="N377" si="187">N360-N366-N371</f>
        <v>0</v>
      </c>
      <c r="O377" s="1114"/>
      <c r="P377" s="1114"/>
      <c r="Q377" s="1114">
        <f t="shared" ref="Q377" si="188">Q360-Q366-Q371</f>
        <v>0</v>
      </c>
      <c r="R377" s="1114"/>
      <c r="S377" s="1114"/>
      <c r="T377" s="1114">
        <f t="shared" ref="T377" si="189">T360-T366-T371</f>
        <v>0</v>
      </c>
      <c r="U377" s="1114"/>
      <c r="V377" s="1114"/>
      <c r="W377" s="1114">
        <f t="shared" ref="W377" si="190">W360-W366-W371</f>
        <v>0</v>
      </c>
      <c r="X377" s="1114"/>
      <c r="Y377" s="1114"/>
      <c r="Z377" s="1114">
        <f t="shared" ref="Z377" si="191">Z360-Z366-Z371</f>
        <v>0</v>
      </c>
      <c r="AA377" s="1114"/>
      <c r="AB377" s="1114"/>
      <c r="AC377" s="1114">
        <f t="shared" ref="AC377" si="192">AC360-AC366-AC371</f>
        <v>0</v>
      </c>
      <c r="AD377" s="1114"/>
      <c r="AE377" s="1114"/>
      <c r="AF377" s="1114">
        <f t="shared" ref="AF377" si="193">AF360-AF366-AF371</f>
        <v>0</v>
      </c>
      <c r="AG377" s="1114"/>
      <c r="AH377" s="1157"/>
      <c r="AI377" s="956">
        <f>H360-H366-H371-H377</f>
        <v>0</v>
      </c>
      <c r="AJ377" s="957">
        <f>K360-K366-K371-K377</f>
        <v>0</v>
      </c>
      <c r="AK377" s="957">
        <f>N360-N366-N371-N377</f>
        <v>0</v>
      </c>
      <c r="AL377" s="957">
        <f>Q360-Q366-Q371-Q377</f>
        <v>0</v>
      </c>
      <c r="AM377" s="957">
        <f>T360-T366-T371-T377</f>
        <v>0</v>
      </c>
      <c r="AN377" s="957">
        <f>W360-W366-W371-W377</f>
        <v>0</v>
      </c>
      <c r="AO377" s="957">
        <f>Z360-Z366-Z371-Z377</f>
        <v>0</v>
      </c>
      <c r="AP377" s="957">
        <f>AC360-AC366-AC371-AC377</f>
        <v>0</v>
      </c>
      <c r="AQ377" s="955">
        <f>SUM(H377:AE377)-AF377</f>
        <v>0</v>
      </c>
      <c r="AS377" s="956">
        <f>H377-H402</f>
        <v>0</v>
      </c>
      <c r="AT377" s="957">
        <f>K377-K402</f>
        <v>0</v>
      </c>
      <c r="AU377" s="957">
        <f>N377-N402</f>
        <v>0</v>
      </c>
      <c r="AV377" s="957">
        <f>Q377-Q402</f>
        <v>0</v>
      </c>
      <c r="AW377" s="957">
        <f>T377-T402</f>
        <v>0</v>
      </c>
      <c r="AX377" s="957">
        <f>W377-W402</f>
        <v>0</v>
      </c>
      <c r="AY377" s="957">
        <f>Z377-Z402</f>
        <v>0</v>
      </c>
      <c r="AZ377" s="957">
        <f>AC377-AC402</f>
        <v>0</v>
      </c>
      <c r="BA377" s="955">
        <f>AF377-AF402</f>
        <v>0</v>
      </c>
      <c r="BC377" s="954"/>
      <c r="BD377" s="949"/>
      <c r="BE377" s="949"/>
      <c r="BF377" s="949"/>
      <c r="BG377" s="949"/>
      <c r="BH377" s="949"/>
      <c r="BI377" s="949"/>
      <c r="BJ377" s="949"/>
      <c r="BK377" s="958"/>
    </row>
    <row r="378" spans="1:63" s="633" customFormat="1" ht="22.5" hidden="1" customHeight="1" thickBot="1" x14ac:dyDescent="0.25">
      <c r="A378" s="942"/>
      <c r="D378" s="1107" t="s">
        <v>30</v>
      </c>
      <c r="E378" s="1107"/>
      <c r="F378" s="1107"/>
      <c r="G378" s="1107"/>
      <c r="H378" s="1108">
        <f>H364-H369-H375</f>
        <v>0</v>
      </c>
      <c r="I378" s="1108"/>
      <c r="J378" s="1108"/>
      <c r="K378" s="1108">
        <f t="shared" ref="K378" si="194">K364-K369-K375</f>
        <v>0</v>
      </c>
      <c r="L378" s="1108"/>
      <c r="M378" s="1108"/>
      <c r="N378" s="1108">
        <f t="shared" ref="N378" si="195">N364-N369-N375</f>
        <v>0</v>
      </c>
      <c r="O378" s="1108"/>
      <c r="P378" s="1108"/>
      <c r="Q378" s="1108">
        <f t="shared" ref="Q378" si="196">Q364-Q369-Q375</f>
        <v>0</v>
      </c>
      <c r="R378" s="1108"/>
      <c r="S378" s="1108"/>
      <c r="T378" s="1108">
        <f t="shared" ref="T378" si="197">T364-T369-T375</f>
        <v>0</v>
      </c>
      <c r="U378" s="1108"/>
      <c r="V378" s="1108"/>
      <c r="W378" s="1108">
        <f t="shared" ref="W378" si="198">W364-W369-W375</f>
        <v>0</v>
      </c>
      <c r="X378" s="1108"/>
      <c r="Y378" s="1108"/>
      <c r="Z378" s="1108">
        <f t="shared" ref="Z378" si="199">Z364-Z369-Z375</f>
        <v>0</v>
      </c>
      <c r="AA378" s="1108"/>
      <c r="AB378" s="1108"/>
      <c r="AC378" s="1108">
        <f t="shared" ref="AC378" si="200">AC364-AC369-AC375</f>
        <v>0</v>
      </c>
      <c r="AD378" s="1108"/>
      <c r="AE378" s="1108"/>
      <c r="AF378" s="1108">
        <f t="shared" ref="AF378" si="201">AF364-AF369-AF375</f>
        <v>0</v>
      </c>
      <c r="AG378" s="1108"/>
      <c r="AH378" s="1124"/>
      <c r="AI378" s="959">
        <f>H364-H369-H375-H378</f>
        <v>0</v>
      </c>
      <c r="AJ378" s="960">
        <f>K364-K369-K375-K378</f>
        <v>0</v>
      </c>
      <c r="AK378" s="960">
        <f>N364-N369-N375-N378</f>
        <v>0</v>
      </c>
      <c r="AL378" s="960">
        <f>Q364-Q369-Q375-Q378</f>
        <v>0</v>
      </c>
      <c r="AM378" s="960">
        <f>T364-T369-T375-T378</f>
        <v>0</v>
      </c>
      <c r="AN378" s="960">
        <f>W364-W369-W375-W378</f>
        <v>0</v>
      </c>
      <c r="AO378" s="960">
        <f>Z364-Z369-Z375-Z378</f>
        <v>0</v>
      </c>
      <c r="AP378" s="960">
        <f>AC364-AC369-AC375-AC378</f>
        <v>0</v>
      </c>
      <c r="AQ378" s="961">
        <f>SUM(H378:AE378)-AF378</f>
        <v>0</v>
      </c>
      <c r="AS378" s="962"/>
      <c r="AT378" s="963"/>
      <c r="AU378" s="963"/>
      <c r="AV378" s="963"/>
      <c r="AW378" s="963"/>
      <c r="AX378" s="963"/>
      <c r="AY378" s="963"/>
      <c r="AZ378" s="963"/>
      <c r="BA378" s="964"/>
      <c r="BC378" s="959">
        <f>H378-BS!$F$31</f>
        <v>0</v>
      </c>
      <c r="BD378" s="960">
        <f>K378-BS!$F$32</f>
        <v>0</v>
      </c>
      <c r="BE378" s="960">
        <f>N378-BS!$F$33</f>
        <v>0</v>
      </c>
      <c r="BF378" s="960">
        <f>Q378-BS!$F$34</f>
        <v>0</v>
      </c>
      <c r="BG378" s="960">
        <f>T378-BS!$F$35</f>
        <v>0</v>
      </c>
      <c r="BH378" s="960">
        <f>W378-BS!$F$36</f>
        <v>0</v>
      </c>
      <c r="BI378" s="960">
        <f>Z378-BS!$F$37</f>
        <v>0</v>
      </c>
      <c r="BJ378" s="960">
        <f>AC378-BS!$F$38</f>
        <v>0</v>
      </c>
      <c r="BK378" s="961">
        <f>AF378-BS!$F$30</f>
        <v>0</v>
      </c>
    </row>
    <row r="379" spans="1:63" s="633" customFormat="1" hidden="1" x14ac:dyDescent="0.2">
      <c r="A379" s="942"/>
      <c r="D379" s="932"/>
      <c r="E379" s="932"/>
      <c r="F379" s="932"/>
      <c r="G379" s="932"/>
      <c r="H379" s="932"/>
      <c r="I379" s="932"/>
      <c r="J379" s="932"/>
      <c r="K379" s="932"/>
      <c r="L379" s="932"/>
      <c r="M379" s="932"/>
      <c r="N379" s="932"/>
      <c r="O379" s="932"/>
      <c r="P379" s="932"/>
      <c r="Q379" s="932"/>
      <c r="R379" s="932"/>
      <c r="S379" s="932"/>
      <c r="T379" s="932"/>
      <c r="U379" s="932"/>
      <c r="V379" s="932"/>
      <c r="W379" s="932"/>
      <c r="X379" s="932"/>
      <c r="Y379" s="932"/>
      <c r="Z379" s="932"/>
      <c r="AA379" s="932"/>
      <c r="AB379" s="932"/>
      <c r="AC379" s="932"/>
      <c r="AD379" s="932"/>
      <c r="AE379" s="932"/>
      <c r="AF379" s="932"/>
      <c r="AG379" s="932"/>
      <c r="AI379" s="943"/>
      <c r="AJ379" s="943"/>
      <c r="AK379" s="943"/>
      <c r="AL379" s="943"/>
      <c r="AM379" s="943"/>
      <c r="AN379" s="943"/>
      <c r="AO379" s="943"/>
      <c r="AP379" s="943"/>
      <c r="AQ379" s="943"/>
    </row>
    <row r="380" spans="1:63" s="633" customFormat="1" ht="15" hidden="1" thickBot="1" x14ac:dyDescent="0.25">
      <c r="A380" s="942"/>
      <c r="D380" s="932"/>
      <c r="E380" s="932"/>
      <c r="F380" s="932"/>
      <c r="G380" s="932"/>
      <c r="H380" s="932"/>
      <c r="I380" s="932"/>
      <c r="J380" s="932"/>
      <c r="K380" s="932"/>
      <c r="L380" s="932"/>
      <c r="M380" s="932"/>
      <c r="N380" s="932"/>
      <c r="O380" s="932"/>
      <c r="P380" s="932"/>
      <c r="Q380" s="932"/>
      <c r="R380" s="932"/>
      <c r="S380" s="932"/>
      <c r="T380" s="932"/>
      <c r="U380" s="932"/>
      <c r="V380" s="932"/>
      <c r="W380" s="932"/>
      <c r="X380" s="932"/>
      <c r="Y380" s="932"/>
      <c r="Z380" s="932"/>
      <c r="AA380" s="932"/>
      <c r="AB380" s="932"/>
      <c r="AC380" s="932"/>
      <c r="AD380" s="932"/>
      <c r="AE380" s="932"/>
      <c r="AF380" s="932"/>
      <c r="AG380" s="932"/>
      <c r="AI380" s="943"/>
      <c r="AJ380" s="943"/>
      <c r="AK380" s="943"/>
      <c r="AL380" s="943"/>
      <c r="AM380" s="943"/>
      <c r="AN380" s="943"/>
      <c r="AO380" s="943"/>
      <c r="AP380" s="943"/>
      <c r="AQ380" s="943"/>
    </row>
    <row r="381" spans="1:63" s="633" customFormat="1" ht="15" hidden="1" thickBot="1" x14ac:dyDescent="0.25">
      <c r="A381" s="942" t="s">
        <v>1540</v>
      </c>
      <c r="D381" s="1132" t="s">
        <v>55</v>
      </c>
      <c r="E381" s="1133"/>
      <c r="F381" s="1133"/>
      <c r="G381" s="1134"/>
      <c r="H381" s="1138" t="s">
        <v>3</v>
      </c>
      <c r="I381" s="1138"/>
      <c r="J381" s="1138"/>
      <c r="K381" s="1138"/>
      <c r="L381" s="1138"/>
      <c r="M381" s="1138"/>
      <c r="N381" s="1138"/>
      <c r="O381" s="1138"/>
      <c r="P381" s="1138"/>
      <c r="Q381" s="1138"/>
      <c r="R381" s="1138"/>
      <c r="S381" s="1138"/>
      <c r="T381" s="1138"/>
      <c r="U381" s="1138"/>
      <c r="V381" s="1138"/>
      <c r="W381" s="1138"/>
      <c r="X381" s="1138"/>
      <c r="Y381" s="1138"/>
      <c r="Z381" s="1138"/>
      <c r="AA381" s="1138"/>
      <c r="AB381" s="1138"/>
      <c r="AC381" s="1138"/>
      <c r="AD381" s="1138"/>
      <c r="AE381" s="1138"/>
      <c r="AF381" s="1138"/>
      <c r="AG381" s="1138"/>
      <c r="AH381" s="1138"/>
      <c r="AI381" s="943"/>
      <c r="AJ381" s="943"/>
      <c r="AK381" s="943"/>
      <c r="AL381" s="943"/>
      <c r="AM381" s="943"/>
      <c r="AN381" s="943"/>
      <c r="AO381" s="943"/>
      <c r="AP381" s="943"/>
      <c r="AQ381" s="943"/>
      <c r="BC381" s="640"/>
      <c r="BD381" s="640"/>
      <c r="BE381" s="640"/>
      <c r="BF381" s="640"/>
      <c r="BG381" s="640"/>
      <c r="BH381" s="640"/>
      <c r="BI381" s="640"/>
      <c r="BJ381" s="640"/>
      <c r="BK381" s="640"/>
    </row>
    <row r="382" spans="1:63" s="633" customFormat="1" ht="80.25" hidden="1" customHeight="1" thickTop="1" thickBot="1" x14ac:dyDescent="0.3">
      <c r="A382" s="942"/>
      <c r="D382" s="1135"/>
      <c r="E382" s="1136"/>
      <c r="F382" s="1136"/>
      <c r="G382" s="1137"/>
      <c r="H382" s="1120" t="s">
        <v>51</v>
      </c>
      <c r="I382" s="1120"/>
      <c r="J382" s="1120"/>
      <c r="K382" s="1120" t="s">
        <v>495</v>
      </c>
      <c r="L382" s="1120"/>
      <c r="M382" s="1120"/>
      <c r="N382" s="1120" t="s">
        <v>52</v>
      </c>
      <c r="O382" s="1120"/>
      <c r="P382" s="1120"/>
      <c r="Q382" s="1120" t="s">
        <v>1541</v>
      </c>
      <c r="R382" s="1120"/>
      <c r="S382" s="1120"/>
      <c r="T382" s="1120" t="s">
        <v>53</v>
      </c>
      <c r="U382" s="1120"/>
      <c r="V382" s="1120"/>
      <c r="W382" s="1120" t="s">
        <v>54</v>
      </c>
      <c r="X382" s="1120"/>
      <c r="Y382" s="1120"/>
      <c r="Z382" s="1120" t="s">
        <v>446</v>
      </c>
      <c r="AA382" s="1120"/>
      <c r="AB382" s="1120"/>
      <c r="AC382" s="1120" t="s">
        <v>447</v>
      </c>
      <c r="AD382" s="1120"/>
      <c r="AE382" s="1120"/>
      <c r="AF382" s="1120" t="s">
        <v>14</v>
      </c>
      <c r="AG382" s="1120"/>
      <c r="AH382" s="1120"/>
      <c r="AI382" s="59" t="s">
        <v>51</v>
      </c>
      <c r="AJ382" s="933" t="s">
        <v>495</v>
      </c>
      <c r="AK382" s="59" t="s">
        <v>52</v>
      </c>
      <c r="AL382" s="933" t="s">
        <v>494</v>
      </c>
      <c r="AM382" s="59" t="s">
        <v>53</v>
      </c>
      <c r="AN382" s="59" t="s">
        <v>54</v>
      </c>
      <c r="AO382" s="933" t="s">
        <v>446</v>
      </c>
      <c r="AP382" s="59" t="s">
        <v>447</v>
      </c>
      <c r="AQ382" s="59" t="s">
        <v>14</v>
      </c>
      <c r="AR382" s="969"/>
      <c r="AS382" s="767"/>
      <c r="AT382" s="767"/>
      <c r="AU382" s="767"/>
      <c r="AV382" s="767"/>
      <c r="AW382" s="767"/>
      <c r="AX382" s="767"/>
      <c r="AY382" s="767"/>
      <c r="AZ382" s="767"/>
      <c r="BA382" s="767"/>
      <c r="BB382" s="969"/>
      <c r="BC382" s="59" t="s">
        <v>51</v>
      </c>
      <c r="BD382" s="933" t="s">
        <v>495</v>
      </c>
      <c r="BE382" s="59" t="s">
        <v>52</v>
      </c>
      <c r="BF382" s="933" t="s">
        <v>494</v>
      </c>
      <c r="BG382" s="59" t="s">
        <v>53</v>
      </c>
      <c r="BH382" s="59" t="s">
        <v>54</v>
      </c>
      <c r="BI382" s="933" t="s">
        <v>446</v>
      </c>
      <c r="BJ382" s="59" t="s">
        <v>447</v>
      </c>
      <c r="BK382" s="59" t="s">
        <v>14</v>
      </c>
    </row>
    <row r="383" spans="1:63" s="633" customFormat="1" ht="15" hidden="1" thickBot="1" x14ac:dyDescent="0.25">
      <c r="A383" s="942"/>
      <c r="D383" s="1121" t="s">
        <v>25</v>
      </c>
      <c r="E383" s="1122"/>
      <c r="F383" s="1122"/>
      <c r="G383" s="1122"/>
      <c r="H383" s="1122"/>
      <c r="I383" s="1122"/>
      <c r="J383" s="1122"/>
      <c r="K383" s="1122"/>
      <c r="L383" s="1122"/>
      <c r="M383" s="1122"/>
      <c r="N383" s="1122"/>
      <c r="O383" s="1122"/>
      <c r="P383" s="1122"/>
      <c r="Q383" s="1122"/>
      <c r="R383" s="1122"/>
      <c r="S383" s="1122"/>
      <c r="T383" s="1122"/>
      <c r="U383" s="1122"/>
      <c r="V383" s="1122"/>
      <c r="W383" s="1122"/>
      <c r="X383" s="1122"/>
      <c r="Y383" s="1122"/>
      <c r="Z383" s="1122"/>
      <c r="AA383" s="1122"/>
      <c r="AB383" s="1122"/>
      <c r="AC383" s="1122"/>
      <c r="AD383" s="1122"/>
      <c r="AE383" s="1122"/>
      <c r="AF383" s="1122"/>
      <c r="AG383" s="1122"/>
      <c r="AH383" s="1123"/>
      <c r="AI383" s="951"/>
      <c r="AJ383" s="952"/>
      <c r="AK383" s="952"/>
      <c r="AL383" s="952"/>
      <c r="AM383" s="952"/>
      <c r="AN383" s="952"/>
      <c r="AO383" s="952"/>
      <c r="AP383" s="952"/>
      <c r="AQ383" s="953"/>
      <c r="BC383" s="775"/>
      <c r="BD383" s="776"/>
      <c r="BE383" s="776"/>
      <c r="BF383" s="776"/>
      <c r="BG383" s="776"/>
      <c r="BH383" s="776"/>
      <c r="BI383" s="776"/>
      <c r="BJ383" s="776"/>
      <c r="BK383" s="777"/>
    </row>
    <row r="384" spans="1:63" s="633" customFormat="1" ht="22.5" hidden="1" customHeight="1" x14ac:dyDescent="0.2">
      <c r="A384" s="942"/>
      <c r="D384" s="1142" t="s">
        <v>26</v>
      </c>
      <c r="E384" s="1142"/>
      <c r="F384" s="1142"/>
      <c r="G384" s="1142"/>
      <c r="H384" s="1143"/>
      <c r="I384" s="1143"/>
      <c r="J384" s="1143"/>
      <c r="K384" s="1125"/>
      <c r="L384" s="1125"/>
      <c r="M384" s="1125"/>
      <c r="N384" s="1125"/>
      <c r="O384" s="1125"/>
      <c r="P384" s="1125"/>
      <c r="Q384" s="1125"/>
      <c r="R384" s="1125"/>
      <c r="S384" s="1125"/>
      <c r="T384" s="1125"/>
      <c r="U384" s="1125"/>
      <c r="V384" s="1125"/>
      <c r="W384" s="1125"/>
      <c r="X384" s="1125"/>
      <c r="Y384" s="1125"/>
      <c r="Z384" s="1125"/>
      <c r="AA384" s="1125"/>
      <c r="AB384" s="1125"/>
      <c r="AC384" s="1125"/>
      <c r="AD384" s="1125"/>
      <c r="AE384" s="1125"/>
      <c r="AF384" s="1147">
        <f>SUM(H384:AE384)</f>
        <v>0</v>
      </c>
      <c r="AG384" s="1147"/>
      <c r="AH384" s="1147"/>
      <c r="AI384" s="954"/>
      <c r="AJ384" s="949"/>
      <c r="AK384" s="949"/>
      <c r="AL384" s="949"/>
      <c r="AM384" s="949"/>
      <c r="AN384" s="949"/>
      <c r="AO384" s="949"/>
      <c r="AP384" s="949"/>
      <c r="AQ384" s="955">
        <f>SUM(H384:AE384)-AF384</f>
        <v>0</v>
      </c>
      <c r="BC384" s="771"/>
      <c r="BD384" s="640"/>
      <c r="BE384" s="640"/>
      <c r="BF384" s="640"/>
      <c r="BG384" s="640"/>
      <c r="BH384" s="640"/>
      <c r="BI384" s="640"/>
      <c r="BJ384" s="640"/>
      <c r="BK384" s="770"/>
    </row>
    <row r="385" spans="1:63" s="633" customFormat="1" hidden="1" x14ac:dyDescent="0.2">
      <c r="A385" s="942"/>
      <c r="D385" s="1105" t="s">
        <v>27</v>
      </c>
      <c r="E385" s="1105"/>
      <c r="F385" s="1105"/>
      <c r="G385" s="1105"/>
      <c r="H385" s="1156"/>
      <c r="I385" s="1156"/>
      <c r="J385" s="1156"/>
      <c r="K385" s="1104"/>
      <c r="L385" s="1104"/>
      <c r="M385" s="1104"/>
      <c r="N385" s="1104"/>
      <c r="O385" s="1104"/>
      <c r="P385" s="1104"/>
      <c r="Q385" s="1104"/>
      <c r="R385" s="1104"/>
      <c r="S385" s="1104"/>
      <c r="T385" s="1104"/>
      <c r="U385" s="1104"/>
      <c r="V385" s="1104"/>
      <c r="W385" s="1104"/>
      <c r="X385" s="1104"/>
      <c r="Y385" s="1104"/>
      <c r="Z385" s="1104"/>
      <c r="AA385" s="1104"/>
      <c r="AB385" s="1104"/>
      <c r="AC385" s="1104"/>
      <c r="AD385" s="1104"/>
      <c r="AE385" s="1104"/>
      <c r="AF385" s="1139">
        <f>SUM(H385:AE385)</f>
        <v>0</v>
      </c>
      <c r="AG385" s="1139"/>
      <c r="AH385" s="1139"/>
      <c r="AI385" s="954"/>
      <c r="AJ385" s="949"/>
      <c r="AK385" s="949"/>
      <c r="AL385" s="949"/>
      <c r="AM385" s="949"/>
      <c r="AN385" s="949"/>
      <c r="AO385" s="949"/>
      <c r="AP385" s="949"/>
      <c r="AQ385" s="955">
        <f t="shared" ref="AQ385:AQ386" si="202">SUM(H385:AE385)-AF385</f>
        <v>0</v>
      </c>
      <c r="BC385" s="771"/>
      <c r="BD385" s="640"/>
      <c r="BE385" s="640"/>
      <c r="BF385" s="640"/>
      <c r="BG385" s="640"/>
      <c r="BH385" s="640"/>
      <c r="BI385" s="640"/>
      <c r="BJ385" s="640"/>
      <c r="BK385" s="770"/>
    </row>
    <row r="386" spans="1:63" s="633" customFormat="1" hidden="1" x14ac:dyDescent="0.2">
      <c r="A386" s="942"/>
      <c r="D386" s="1105" t="s">
        <v>28</v>
      </c>
      <c r="E386" s="1105"/>
      <c r="F386" s="1105"/>
      <c r="G386" s="1105"/>
      <c r="H386" s="1156"/>
      <c r="I386" s="1156"/>
      <c r="J386" s="1156"/>
      <c r="K386" s="1104"/>
      <c r="L386" s="1104"/>
      <c r="M386" s="1104"/>
      <c r="N386" s="1104"/>
      <c r="O386" s="1104"/>
      <c r="P386" s="1104"/>
      <c r="Q386" s="1104"/>
      <c r="R386" s="1104"/>
      <c r="S386" s="1104"/>
      <c r="T386" s="1104"/>
      <c r="U386" s="1104"/>
      <c r="V386" s="1104"/>
      <c r="W386" s="1104"/>
      <c r="X386" s="1104"/>
      <c r="Y386" s="1104"/>
      <c r="Z386" s="1104"/>
      <c r="AA386" s="1104"/>
      <c r="AB386" s="1104"/>
      <c r="AC386" s="1104"/>
      <c r="AD386" s="1104"/>
      <c r="AE386" s="1104"/>
      <c r="AF386" s="1139">
        <f>SUM(H386:AE386)</f>
        <v>0</v>
      </c>
      <c r="AG386" s="1139"/>
      <c r="AH386" s="1139"/>
      <c r="AI386" s="954"/>
      <c r="AJ386" s="949"/>
      <c r="AK386" s="949"/>
      <c r="AL386" s="949"/>
      <c r="AM386" s="949"/>
      <c r="AN386" s="949"/>
      <c r="AO386" s="949"/>
      <c r="AP386" s="949"/>
      <c r="AQ386" s="955">
        <f t="shared" si="202"/>
        <v>0</v>
      </c>
      <c r="BC386" s="771"/>
      <c r="BD386" s="640"/>
      <c r="BE386" s="640"/>
      <c r="BF386" s="640"/>
      <c r="BG386" s="640"/>
      <c r="BH386" s="640"/>
      <c r="BI386" s="640"/>
      <c r="BJ386" s="640"/>
      <c r="BK386" s="770"/>
    </row>
    <row r="387" spans="1:63" s="633" customFormat="1" hidden="1" x14ac:dyDescent="0.2">
      <c r="A387" s="942"/>
      <c r="D387" s="1105" t="s">
        <v>29</v>
      </c>
      <c r="E387" s="1105"/>
      <c r="F387" s="1105"/>
      <c r="G387" s="1105"/>
      <c r="H387" s="1156"/>
      <c r="I387" s="1156"/>
      <c r="J387" s="1156"/>
      <c r="K387" s="1104"/>
      <c r="L387" s="1104"/>
      <c r="M387" s="1104"/>
      <c r="N387" s="1104"/>
      <c r="O387" s="1104"/>
      <c r="P387" s="1104"/>
      <c r="Q387" s="1104"/>
      <c r="R387" s="1104"/>
      <c r="S387" s="1104"/>
      <c r="T387" s="1104"/>
      <c r="U387" s="1104"/>
      <c r="V387" s="1104"/>
      <c r="W387" s="1104"/>
      <c r="X387" s="1104"/>
      <c r="Y387" s="1104"/>
      <c r="Z387" s="1104"/>
      <c r="AA387" s="1104"/>
      <c r="AB387" s="1104"/>
      <c r="AC387" s="1104"/>
      <c r="AD387" s="1104"/>
      <c r="AE387" s="1104"/>
      <c r="AF387" s="1139">
        <f>SUM(H387:AE387)</f>
        <v>0</v>
      </c>
      <c r="AG387" s="1139"/>
      <c r="AH387" s="1139"/>
      <c r="AI387" s="954"/>
      <c r="AJ387" s="949"/>
      <c r="AK387" s="949"/>
      <c r="AL387" s="949"/>
      <c r="AM387" s="949"/>
      <c r="AN387" s="949"/>
      <c r="AO387" s="949"/>
      <c r="AP387" s="949"/>
      <c r="AQ387" s="955">
        <f>SUM(H387:AE387)-AF387</f>
        <v>0</v>
      </c>
      <c r="BC387" s="771"/>
      <c r="BD387" s="640"/>
      <c r="BE387" s="640"/>
      <c r="BF387" s="640"/>
      <c r="BG387" s="640"/>
      <c r="BH387" s="640"/>
      <c r="BI387" s="640"/>
      <c r="BJ387" s="640"/>
      <c r="BK387" s="770"/>
    </row>
    <row r="388" spans="1:63" s="633" customFormat="1" ht="22.5" hidden="1" customHeight="1" thickBot="1" x14ac:dyDescent="0.25">
      <c r="A388" s="942"/>
      <c r="D388" s="1107" t="s">
        <v>30</v>
      </c>
      <c r="E388" s="1107"/>
      <c r="F388" s="1107"/>
      <c r="G388" s="1107"/>
      <c r="H388" s="1108">
        <f>H384+H385-H386+H387</f>
        <v>0</v>
      </c>
      <c r="I388" s="1108"/>
      <c r="J388" s="1108"/>
      <c r="K388" s="1108">
        <f>K384+K385-K386+K387</f>
        <v>0</v>
      </c>
      <c r="L388" s="1108"/>
      <c r="M388" s="1108"/>
      <c r="N388" s="1108">
        <f t="shared" ref="N388" si="203">N384+N385-N386+N387</f>
        <v>0</v>
      </c>
      <c r="O388" s="1108"/>
      <c r="P388" s="1108"/>
      <c r="Q388" s="1108">
        <f t="shared" ref="Q388" si="204">Q384+Q385-Q386+Q387</f>
        <v>0</v>
      </c>
      <c r="R388" s="1108"/>
      <c r="S388" s="1108"/>
      <c r="T388" s="1108">
        <f t="shared" ref="T388" si="205">T384+T385-T386+T387</f>
        <v>0</v>
      </c>
      <c r="U388" s="1108"/>
      <c r="V388" s="1108"/>
      <c r="W388" s="1108">
        <f t="shared" ref="W388" si="206">W384+W385-W386+W387</f>
        <v>0</v>
      </c>
      <c r="X388" s="1108"/>
      <c r="Y388" s="1108"/>
      <c r="Z388" s="1108">
        <f t="shared" ref="Z388" si="207">Z384+Z385-Z386+Z387</f>
        <v>0</v>
      </c>
      <c r="AA388" s="1108"/>
      <c r="AB388" s="1108"/>
      <c r="AC388" s="1108">
        <f t="shared" ref="AC388" si="208">AC384+AC385-AC386+AC387</f>
        <v>0</v>
      </c>
      <c r="AD388" s="1108"/>
      <c r="AE388" s="1108"/>
      <c r="AF388" s="1108">
        <f t="shared" ref="AF388" si="209">AF384+AF385-AF386+AF387</f>
        <v>0</v>
      </c>
      <c r="AG388" s="1108"/>
      <c r="AH388" s="1108"/>
      <c r="AI388" s="956">
        <f>H384+H385-H386+H387-H388</f>
        <v>0</v>
      </c>
      <c r="AJ388" s="957">
        <f>K384+K385-K386+K387-K388</f>
        <v>0</v>
      </c>
      <c r="AK388" s="957">
        <f>N384+N385-N386+N387-N388</f>
        <v>0</v>
      </c>
      <c r="AL388" s="957">
        <f>Q384+Q385-Q386+Q387-Q388</f>
        <v>0</v>
      </c>
      <c r="AM388" s="957">
        <f>T384+T385-T386+T387-T387</f>
        <v>0</v>
      </c>
      <c r="AN388" s="957">
        <f>W384+W385-W386+W387-W388</f>
        <v>0</v>
      </c>
      <c r="AO388" s="957">
        <f>Z384+Z385-Z386+Z387-Z388</f>
        <v>0</v>
      </c>
      <c r="AP388" s="957">
        <f>AC384+AC385-AC386+AC387-AC388</f>
        <v>0</v>
      </c>
      <c r="AQ388" s="955">
        <f>AF384+AF385-AF386+AF387-AF388</f>
        <v>0</v>
      </c>
      <c r="BC388" s="771"/>
      <c r="BD388" s="640"/>
      <c r="BE388" s="640"/>
      <c r="BF388" s="640"/>
      <c r="BG388" s="640"/>
      <c r="BH388" s="640"/>
      <c r="BI388" s="640"/>
      <c r="BJ388" s="640"/>
      <c r="BK388" s="770"/>
    </row>
    <row r="389" spans="1:63" s="633" customFormat="1" ht="15" hidden="1" thickBot="1" x14ac:dyDescent="0.25">
      <c r="A389" s="942"/>
      <c r="D389" s="1149" t="s">
        <v>31</v>
      </c>
      <c r="E389" s="1150"/>
      <c r="F389" s="1150"/>
      <c r="G389" s="1150"/>
      <c r="H389" s="1150"/>
      <c r="I389" s="1150"/>
      <c r="J389" s="1150"/>
      <c r="K389" s="1150"/>
      <c r="L389" s="1150"/>
      <c r="M389" s="1150"/>
      <c r="N389" s="1150"/>
      <c r="O389" s="1150"/>
      <c r="P389" s="1150"/>
      <c r="Q389" s="1150"/>
      <c r="R389" s="1150"/>
      <c r="S389" s="1150"/>
      <c r="T389" s="1150"/>
      <c r="U389" s="1150"/>
      <c r="V389" s="1150"/>
      <c r="W389" s="1150"/>
      <c r="X389" s="1150"/>
      <c r="Y389" s="1150"/>
      <c r="Z389" s="1150"/>
      <c r="AA389" s="1150"/>
      <c r="AB389" s="1150"/>
      <c r="AC389" s="1150"/>
      <c r="AD389" s="1150"/>
      <c r="AE389" s="1150"/>
      <c r="AF389" s="1150"/>
      <c r="AG389" s="1150"/>
      <c r="AH389" s="1150"/>
      <c r="AI389" s="954"/>
      <c r="AJ389" s="949"/>
      <c r="AK389" s="949"/>
      <c r="AL389" s="949"/>
      <c r="AM389" s="949"/>
      <c r="AN389" s="949"/>
      <c r="AO389" s="949"/>
      <c r="AP389" s="949"/>
      <c r="AQ389" s="955"/>
      <c r="BC389" s="771"/>
      <c r="BD389" s="640"/>
      <c r="BE389" s="640"/>
      <c r="BF389" s="640"/>
      <c r="BG389" s="640"/>
      <c r="BH389" s="640"/>
      <c r="BI389" s="640"/>
      <c r="BJ389" s="640"/>
      <c r="BK389" s="770"/>
    </row>
    <row r="390" spans="1:63" s="633" customFormat="1" ht="22.5" hidden="1" customHeight="1" x14ac:dyDescent="0.2">
      <c r="A390" s="942"/>
      <c r="D390" s="1151" t="s">
        <v>32</v>
      </c>
      <c r="E390" s="1151"/>
      <c r="F390" s="1151"/>
      <c r="G390" s="1151"/>
      <c r="H390" s="1152"/>
      <c r="I390" s="1152"/>
      <c r="J390" s="1152"/>
      <c r="K390" s="1153"/>
      <c r="L390" s="1153"/>
      <c r="M390" s="1153"/>
      <c r="N390" s="1153"/>
      <c r="O390" s="1153"/>
      <c r="P390" s="1153"/>
      <c r="Q390" s="1153"/>
      <c r="R390" s="1153"/>
      <c r="S390" s="1153"/>
      <c r="T390" s="1153"/>
      <c r="U390" s="1153"/>
      <c r="V390" s="1153"/>
      <c r="W390" s="1153"/>
      <c r="X390" s="1153"/>
      <c r="Y390" s="1153"/>
      <c r="Z390" s="1153"/>
      <c r="AA390" s="1153"/>
      <c r="AB390" s="1153"/>
      <c r="AC390" s="1153"/>
      <c r="AD390" s="1153"/>
      <c r="AE390" s="1153"/>
      <c r="AF390" s="1153">
        <f>SUM(H390:AE390)</f>
        <v>0</v>
      </c>
      <c r="AG390" s="1153"/>
      <c r="AH390" s="1154"/>
      <c r="AI390" s="954"/>
      <c r="AJ390" s="949"/>
      <c r="AK390" s="949"/>
      <c r="AL390" s="949"/>
      <c r="AM390" s="949"/>
      <c r="AN390" s="949"/>
      <c r="AO390" s="949"/>
      <c r="AP390" s="949"/>
      <c r="AQ390" s="955">
        <f>SUM(H390:AE390)-AF390</f>
        <v>0</v>
      </c>
      <c r="BC390" s="771"/>
      <c r="BD390" s="640"/>
      <c r="BE390" s="640"/>
      <c r="BF390" s="640"/>
      <c r="BG390" s="640"/>
      <c r="BH390" s="640"/>
      <c r="BI390" s="640"/>
      <c r="BJ390" s="640"/>
      <c r="BK390" s="770"/>
    </row>
    <row r="391" spans="1:63" s="633" customFormat="1" hidden="1" x14ac:dyDescent="0.2">
      <c r="A391" s="942"/>
      <c r="D391" s="1141" t="s">
        <v>27</v>
      </c>
      <c r="E391" s="1141"/>
      <c r="F391" s="1141"/>
      <c r="G391" s="1141"/>
      <c r="H391" s="1115"/>
      <c r="I391" s="1115"/>
      <c r="J391" s="1115"/>
      <c r="K391" s="1127"/>
      <c r="L391" s="1127"/>
      <c r="M391" s="1127"/>
      <c r="N391" s="1127"/>
      <c r="O391" s="1127"/>
      <c r="P391" s="1127"/>
      <c r="Q391" s="1127"/>
      <c r="R391" s="1127"/>
      <c r="S391" s="1127"/>
      <c r="T391" s="1127"/>
      <c r="U391" s="1127"/>
      <c r="V391" s="1127"/>
      <c r="W391" s="1127"/>
      <c r="X391" s="1127"/>
      <c r="Y391" s="1127"/>
      <c r="Z391" s="1127"/>
      <c r="AA391" s="1127"/>
      <c r="AB391" s="1127"/>
      <c r="AC391" s="1128"/>
      <c r="AD391" s="1128"/>
      <c r="AE391" s="1128"/>
      <c r="AF391" s="1128">
        <f>SUM(H391:AE391)</f>
        <v>0</v>
      </c>
      <c r="AG391" s="1128"/>
      <c r="AH391" s="1155"/>
      <c r="AI391" s="954"/>
      <c r="AJ391" s="949"/>
      <c r="AK391" s="949"/>
      <c r="AL391" s="949"/>
      <c r="AM391" s="949"/>
      <c r="AN391" s="949"/>
      <c r="AO391" s="949"/>
      <c r="AP391" s="949"/>
      <c r="AQ391" s="955">
        <f t="shared" ref="AQ391:AQ392" si="210">SUM(H391:AE391)-AF391</f>
        <v>0</v>
      </c>
      <c r="BC391" s="771"/>
      <c r="BD391" s="640"/>
      <c r="BE391" s="640"/>
      <c r="BF391" s="640"/>
      <c r="BG391" s="640"/>
      <c r="BH391" s="640"/>
      <c r="BI391" s="640"/>
      <c r="BJ391" s="640"/>
      <c r="BK391" s="770"/>
    </row>
    <row r="392" spans="1:63" s="633" customFormat="1" hidden="1" x14ac:dyDescent="0.2">
      <c r="A392" s="942"/>
      <c r="D392" s="1141" t="s">
        <v>28</v>
      </c>
      <c r="E392" s="1141"/>
      <c r="F392" s="1141"/>
      <c r="G392" s="1141"/>
      <c r="H392" s="1115"/>
      <c r="I392" s="1115"/>
      <c r="J392" s="1115"/>
      <c r="K392" s="1127"/>
      <c r="L392" s="1127"/>
      <c r="M392" s="1127"/>
      <c r="N392" s="1127"/>
      <c r="O392" s="1127"/>
      <c r="P392" s="1127"/>
      <c r="Q392" s="1127"/>
      <c r="R392" s="1127"/>
      <c r="S392" s="1127"/>
      <c r="T392" s="1127"/>
      <c r="U392" s="1127"/>
      <c r="V392" s="1127"/>
      <c r="W392" s="1127"/>
      <c r="X392" s="1127"/>
      <c r="Y392" s="1127"/>
      <c r="Z392" s="1127"/>
      <c r="AA392" s="1127"/>
      <c r="AB392" s="1127"/>
      <c r="AC392" s="1128"/>
      <c r="AD392" s="1128"/>
      <c r="AE392" s="1128"/>
      <c r="AF392" s="1128">
        <f>SUM(H392:AE392)</f>
        <v>0</v>
      </c>
      <c r="AG392" s="1128"/>
      <c r="AH392" s="1155"/>
      <c r="AI392" s="954"/>
      <c r="AJ392" s="949"/>
      <c r="AK392" s="949"/>
      <c r="AL392" s="949"/>
      <c r="AM392" s="949"/>
      <c r="AN392" s="949"/>
      <c r="AO392" s="949"/>
      <c r="AP392" s="949"/>
      <c r="AQ392" s="955">
        <f t="shared" si="210"/>
        <v>0</v>
      </c>
      <c r="BC392" s="771"/>
      <c r="BD392" s="640"/>
      <c r="BE392" s="640"/>
      <c r="BF392" s="640"/>
      <c r="BG392" s="640"/>
      <c r="BH392" s="640"/>
      <c r="BI392" s="640"/>
      <c r="BJ392" s="640"/>
      <c r="BK392" s="770"/>
    </row>
    <row r="393" spans="1:63" s="633" customFormat="1" ht="22.5" hidden="1" customHeight="1" thickBot="1" x14ac:dyDescent="0.25">
      <c r="A393" s="942"/>
      <c r="D393" s="1144" t="s">
        <v>30</v>
      </c>
      <c r="E393" s="1144"/>
      <c r="F393" s="1144"/>
      <c r="G393" s="1144"/>
      <c r="H393" s="1126">
        <f>H390+H391-H392</f>
        <v>0</v>
      </c>
      <c r="I393" s="1126"/>
      <c r="J393" s="1126"/>
      <c r="K393" s="1126">
        <f t="shared" ref="K393" si="211">K390+K391-K392</f>
        <v>0</v>
      </c>
      <c r="L393" s="1126"/>
      <c r="M393" s="1126"/>
      <c r="N393" s="1126">
        <f t="shared" ref="N393" si="212">N390+N391-N392</f>
        <v>0</v>
      </c>
      <c r="O393" s="1126"/>
      <c r="P393" s="1126"/>
      <c r="Q393" s="1126">
        <f t="shared" ref="Q393" si="213">Q390+Q391-Q392</f>
        <v>0</v>
      </c>
      <c r="R393" s="1126"/>
      <c r="S393" s="1126"/>
      <c r="T393" s="1126">
        <f t="shared" ref="T393" si="214">T390+T391-T392</f>
        <v>0</v>
      </c>
      <c r="U393" s="1126"/>
      <c r="V393" s="1126"/>
      <c r="W393" s="1126">
        <f t="shared" ref="W393" si="215">W390+W391-W392</f>
        <v>0</v>
      </c>
      <c r="X393" s="1126"/>
      <c r="Y393" s="1126"/>
      <c r="Z393" s="1126">
        <f t="shared" ref="Z393" si="216">Z390+Z391-Z392</f>
        <v>0</v>
      </c>
      <c r="AA393" s="1126"/>
      <c r="AB393" s="1126"/>
      <c r="AC393" s="1126">
        <f t="shared" ref="AC393" si="217">AC390+AC391-AC392</f>
        <v>0</v>
      </c>
      <c r="AD393" s="1126"/>
      <c r="AE393" s="1126"/>
      <c r="AF393" s="1126">
        <f t="shared" ref="AF393" si="218">AF390+AF391-AF392</f>
        <v>0</v>
      </c>
      <c r="AG393" s="1126"/>
      <c r="AH393" s="1129"/>
      <c r="AI393" s="956">
        <f>H390+H391-H392-H393</f>
        <v>0</v>
      </c>
      <c r="AJ393" s="957">
        <f>K390+K391-K392-K393</f>
        <v>0</v>
      </c>
      <c r="AK393" s="957">
        <f>N390+N391-N392-N393</f>
        <v>0</v>
      </c>
      <c r="AL393" s="957">
        <f>Q390+Q391-Q392-Q393</f>
        <v>0</v>
      </c>
      <c r="AM393" s="957">
        <f>T390+T391-T392-T393</f>
        <v>0</v>
      </c>
      <c r="AN393" s="957">
        <f>W390+W391-W392-W393</f>
        <v>0</v>
      </c>
      <c r="AO393" s="957">
        <f>Z390+Z391-Z392-Z393</f>
        <v>0</v>
      </c>
      <c r="AP393" s="957">
        <f>AC390+AC391-AC392-AC393</f>
        <v>0</v>
      </c>
      <c r="AQ393" s="955">
        <f>AF390+AF391-AF392-AF393</f>
        <v>0</v>
      </c>
      <c r="BC393" s="771"/>
      <c r="BD393" s="640"/>
      <c r="BE393" s="640"/>
      <c r="BF393" s="640"/>
      <c r="BG393" s="640"/>
      <c r="BH393" s="640"/>
      <c r="BI393" s="640"/>
      <c r="BJ393" s="640"/>
      <c r="BK393" s="770"/>
    </row>
    <row r="394" spans="1:63" s="633" customFormat="1" ht="15" hidden="1" thickBot="1" x14ac:dyDescent="0.25">
      <c r="A394" s="942"/>
      <c r="D394" s="1121" t="s">
        <v>33</v>
      </c>
      <c r="E394" s="1122"/>
      <c r="F394" s="1122"/>
      <c r="G394" s="1122"/>
      <c r="H394" s="1122"/>
      <c r="I394" s="1122"/>
      <c r="J394" s="1122"/>
      <c r="K394" s="1122"/>
      <c r="L394" s="1122"/>
      <c r="M394" s="1122"/>
      <c r="N394" s="1122"/>
      <c r="O394" s="1122"/>
      <c r="P394" s="1122"/>
      <c r="Q394" s="1122"/>
      <c r="R394" s="1122"/>
      <c r="S394" s="1122"/>
      <c r="T394" s="1122"/>
      <c r="U394" s="1122"/>
      <c r="V394" s="1122"/>
      <c r="W394" s="1122"/>
      <c r="X394" s="1122"/>
      <c r="Y394" s="1122"/>
      <c r="Z394" s="1122"/>
      <c r="AA394" s="1122"/>
      <c r="AB394" s="1122"/>
      <c r="AC394" s="1122"/>
      <c r="AD394" s="1122"/>
      <c r="AE394" s="1122"/>
      <c r="AF394" s="1122"/>
      <c r="AG394" s="1122"/>
      <c r="AH394" s="1122"/>
      <c r="AI394" s="954"/>
      <c r="AJ394" s="949"/>
      <c r="AK394" s="949"/>
      <c r="AL394" s="949"/>
      <c r="AM394" s="949"/>
      <c r="AN394" s="949"/>
      <c r="AO394" s="949"/>
      <c r="AP394" s="949"/>
      <c r="AQ394" s="955"/>
      <c r="BC394" s="771"/>
      <c r="BD394" s="640"/>
      <c r="BE394" s="640"/>
      <c r="BF394" s="640"/>
      <c r="BG394" s="640"/>
      <c r="BH394" s="640"/>
      <c r="BI394" s="640"/>
      <c r="BJ394" s="640"/>
      <c r="BK394" s="770"/>
    </row>
    <row r="395" spans="1:63" s="633" customFormat="1" ht="22.5" hidden="1" customHeight="1" x14ac:dyDescent="0.2">
      <c r="A395" s="942"/>
      <c r="D395" s="1142" t="s">
        <v>32</v>
      </c>
      <c r="E395" s="1142"/>
      <c r="F395" s="1142"/>
      <c r="G395" s="1142"/>
      <c r="H395" s="1143"/>
      <c r="I395" s="1143"/>
      <c r="J395" s="1143"/>
      <c r="K395" s="1125"/>
      <c r="L395" s="1125"/>
      <c r="M395" s="1125"/>
      <c r="N395" s="1125"/>
      <c r="O395" s="1125"/>
      <c r="P395" s="1125"/>
      <c r="Q395" s="1125"/>
      <c r="R395" s="1125"/>
      <c r="S395" s="1125"/>
      <c r="T395" s="1125"/>
      <c r="U395" s="1125"/>
      <c r="V395" s="1125"/>
      <c r="W395" s="1125"/>
      <c r="X395" s="1125"/>
      <c r="Y395" s="1125"/>
      <c r="Z395" s="1125"/>
      <c r="AA395" s="1125"/>
      <c r="AB395" s="1125"/>
      <c r="AC395" s="1125"/>
      <c r="AD395" s="1125"/>
      <c r="AE395" s="1125"/>
      <c r="AF395" s="1147">
        <f>SUM(H395:AE395)</f>
        <v>0</v>
      </c>
      <c r="AG395" s="1147"/>
      <c r="AH395" s="1148"/>
      <c r="AI395" s="954"/>
      <c r="AJ395" s="949"/>
      <c r="AK395" s="949"/>
      <c r="AL395" s="949"/>
      <c r="AM395" s="949"/>
      <c r="AN395" s="949"/>
      <c r="AO395" s="949"/>
      <c r="AP395" s="949"/>
      <c r="AQ395" s="955">
        <f>SUM(H395:AE395)-AF395</f>
        <v>0</v>
      </c>
      <c r="BC395" s="771"/>
      <c r="BD395" s="640"/>
      <c r="BE395" s="640"/>
      <c r="BF395" s="640"/>
      <c r="BG395" s="640"/>
      <c r="BH395" s="640"/>
      <c r="BI395" s="640"/>
      <c r="BJ395" s="640"/>
      <c r="BK395" s="770"/>
    </row>
    <row r="396" spans="1:63" s="633" customFormat="1" hidden="1" x14ac:dyDescent="0.2">
      <c r="A396" s="942"/>
      <c r="D396" s="1105" t="s">
        <v>27</v>
      </c>
      <c r="E396" s="1105"/>
      <c r="F396" s="1105"/>
      <c r="G396" s="1105"/>
      <c r="H396" s="1106"/>
      <c r="I396" s="1106"/>
      <c r="J396" s="1106"/>
      <c r="K396" s="1103"/>
      <c r="L396" s="1103"/>
      <c r="M396" s="1103"/>
      <c r="N396" s="1103"/>
      <c r="O396" s="1103"/>
      <c r="P396" s="1103"/>
      <c r="Q396" s="1103"/>
      <c r="R396" s="1103"/>
      <c r="S396" s="1103"/>
      <c r="T396" s="1103"/>
      <c r="U396" s="1103"/>
      <c r="V396" s="1103"/>
      <c r="W396" s="1103"/>
      <c r="X396" s="1103"/>
      <c r="Y396" s="1103"/>
      <c r="Z396" s="1103"/>
      <c r="AA396" s="1103"/>
      <c r="AB396" s="1103"/>
      <c r="AC396" s="1104"/>
      <c r="AD396" s="1104"/>
      <c r="AE396" s="1104"/>
      <c r="AF396" s="1139">
        <f>SUM(H396:AE396)</f>
        <v>0</v>
      </c>
      <c r="AG396" s="1139"/>
      <c r="AH396" s="1140"/>
      <c r="AI396" s="954"/>
      <c r="AJ396" s="949"/>
      <c r="AK396" s="949"/>
      <c r="AL396" s="949"/>
      <c r="AM396" s="949"/>
      <c r="AN396" s="949"/>
      <c r="AO396" s="949"/>
      <c r="AP396" s="949"/>
      <c r="AQ396" s="955">
        <f>SUM(H396:AE396)-AF396</f>
        <v>0</v>
      </c>
      <c r="BC396" s="771"/>
      <c r="BD396" s="640"/>
      <c r="BE396" s="640"/>
      <c r="BF396" s="640"/>
      <c r="BG396" s="640"/>
      <c r="BH396" s="640"/>
      <c r="BI396" s="640"/>
      <c r="BJ396" s="640"/>
      <c r="BK396" s="770"/>
    </row>
    <row r="397" spans="1:63" s="633" customFormat="1" hidden="1" x14ac:dyDescent="0.2">
      <c r="A397" s="942"/>
      <c r="D397" s="1105" t="s">
        <v>28</v>
      </c>
      <c r="E397" s="1105"/>
      <c r="F397" s="1105"/>
      <c r="G397" s="1105"/>
      <c r="H397" s="1106"/>
      <c r="I397" s="1106"/>
      <c r="J397" s="1106"/>
      <c r="K397" s="1103"/>
      <c r="L397" s="1103"/>
      <c r="M397" s="1103"/>
      <c r="N397" s="1103"/>
      <c r="O397" s="1103"/>
      <c r="P397" s="1103"/>
      <c r="Q397" s="1103"/>
      <c r="R397" s="1103"/>
      <c r="S397" s="1103"/>
      <c r="T397" s="1103"/>
      <c r="U397" s="1103"/>
      <c r="V397" s="1103"/>
      <c r="W397" s="1103"/>
      <c r="X397" s="1103"/>
      <c r="Y397" s="1103"/>
      <c r="Z397" s="1103"/>
      <c r="AA397" s="1103"/>
      <c r="AB397" s="1103"/>
      <c r="AC397" s="1104"/>
      <c r="AD397" s="1104"/>
      <c r="AE397" s="1104"/>
      <c r="AF397" s="1139">
        <f>SUM(H397:AE397)</f>
        <v>0</v>
      </c>
      <c r="AG397" s="1139"/>
      <c r="AH397" s="1140"/>
      <c r="AI397" s="954"/>
      <c r="AJ397" s="949"/>
      <c r="AK397" s="949"/>
      <c r="AL397" s="949"/>
      <c r="AM397" s="949"/>
      <c r="AN397" s="949"/>
      <c r="AO397" s="949"/>
      <c r="AP397" s="949"/>
      <c r="AQ397" s="955"/>
      <c r="BC397" s="771"/>
      <c r="BD397" s="640"/>
      <c r="BE397" s="640"/>
      <c r="BF397" s="640"/>
      <c r="BG397" s="640"/>
      <c r="BH397" s="640"/>
      <c r="BI397" s="640"/>
      <c r="BJ397" s="640"/>
      <c r="BK397" s="770"/>
    </row>
    <row r="398" spans="1:63" s="633" customFormat="1" hidden="1" x14ac:dyDescent="0.2">
      <c r="A398" s="942"/>
      <c r="D398" s="1130" t="s">
        <v>29</v>
      </c>
      <c r="E398" s="1130"/>
      <c r="F398" s="1130"/>
      <c r="G398" s="1130"/>
      <c r="H398" s="1131"/>
      <c r="I398" s="1131"/>
      <c r="J398" s="1131"/>
      <c r="K398" s="1113"/>
      <c r="L398" s="1113"/>
      <c r="M398" s="1113"/>
      <c r="N398" s="1113"/>
      <c r="O398" s="1113"/>
      <c r="P398" s="1113"/>
      <c r="Q398" s="1113"/>
      <c r="R398" s="1113"/>
      <c r="S398" s="1113"/>
      <c r="T398" s="1113"/>
      <c r="U398" s="1113"/>
      <c r="V398" s="1113"/>
      <c r="W398" s="1113"/>
      <c r="X398" s="1113"/>
      <c r="Y398" s="1113"/>
      <c r="Z398" s="1113"/>
      <c r="AA398" s="1113"/>
      <c r="AB398" s="1113"/>
      <c r="AC398" s="1145"/>
      <c r="AD398" s="1145"/>
      <c r="AE398" s="1145"/>
      <c r="AF398" s="1145">
        <f>SUM(H398:AE398)</f>
        <v>0</v>
      </c>
      <c r="AG398" s="1145"/>
      <c r="AH398" s="1146"/>
      <c r="AI398" s="954"/>
      <c r="AJ398" s="949"/>
      <c r="AK398" s="949"/>
      <c r="AL398" s="949"/>
      <c r="AM398" s="949"/>
      <c r="AN398" s="949"/>
      <c r="AO398" s="949"/>
      <c r="AP398" s="949"/>
      <c r="AQ398" s="955">
        <f t="shared" ref="AQ398" si="219">SUM(H398:AE398)-AF398</f>
        <v>0</v>
      </c>
      <c r="BC398" s="771"/>
      <c r="BD398" s="640"/>
      <c r="BE398" s="640"/>
      <c r="BF398" s="640"/>
      <c r="BG398" s="640"/>
      <c r="BH398" s="640"/>
      <c r="BI398" s="640"/>
      <c r="BJ398" s="640"/>
      <c r="BK398" s="770"/>
    </row>
    <row r="399" spans="1:63" s="633" customFormat="1" ht="22.5" hidden="1" customHeight="1" thickBot="1" x14ac:dyDescent="0.25">
      <c r="A399" s="942"/>
      <c r="D399" s="1107" t="s">
        <v>30</v>
      </c>
      <c r="E399" s="1107"/>
      <c r="F399" s="1107"/>
      <c r="G399" s="1107"/>
      <c r="H399" s="1108">
        <f>H395+H396-H398</f>
        <v>0</v>
      </c>
      <c r="I399" s="1108"/>
      <c r="J399" s="1108"/>
      <c r="K399" s="1108">
        <f t="shared" ref="K399" si="220">K395+K396-K398</f>
        <v>0</v>
      </c>
      <c r="L399" s="1108"/>
      <c r="M399" s="1108"/>
      <c r="N399" s="1108">
        <f t="shared" ref="N399" si="221">N395+N396-N398</f>
        <v>0</v>
      </c>
      <c r="O399" s="1108"/>
      <c r="P399" s="1108"/>
      <c r="Q399" s="1108">
        <f t="shared" ref="Q399" si="222">Q395+Q396-Q398</f>
        <v>0</v>
      </c>
      <c r="R399" s="1108"/>
      <c r="S399" s="1108"/>
      <c r="T399" s="1108">
        <f t="shared" ref="T399" si="223">T395+T396-T398</f>
        <v>0</v>
      </c>
      <c r="U399" s="1108"/>
      <c r="V399" s="1108"/>
      <c r="W399" s="1108">
        <f t="shared" ref="W399" si="224">W395+W396-W398</f>
        <v>0</v>
      </c>
      <c r="X399" s="1108"/>
      <c r="Y399" s="1108"/>
      <c r="Z399" s="1108">
        <f t="shared" ref="Z399" si="225">Z395+Z396-Z398</f>
        <v>0</v>
      </c>
      <c r="AA399" s="1108"/>
      <c r="AB399" s="1108"/>
      <c r="AC399" s="1108">
        <f t="shared" ref="AC399" si="226">AC395+AC396-AC398</f>
        <v>0</v>
      </c>
      <c r="AD399" s="1108"/>
      <c r="AE399" s="1108"/>
      <c r="AF399" s="1108">
        <f t="shared" ref="AF399" si="227">AF395+AF396-AF398</f>
        <v>0</v>
      </c>
      <c r="AG399" s="1108"/>
      <c r="AH399" s="1124"/>
      <c r="AI399" s="956">
        <f>H395+H396-H398-H399</f>
        <v>0</v>
      </c>
      <c r="AJ399" s="957">
        <f>K395+K396-K398-K399</f>
        <v>0</v>
      </c>
      <c r="AK399" s="957">
        <f>N395+N396-N398-N399</f>
        <v>0</v>
      </c>
      <c r="AL399" s="957">
        <f>Q395+Q396-Q398-Q399</f>
        <v>0</v>
      </c>
      <c r="AM399" s="957">
        <f>T395+T396-T398-T399</f>
        <v>0</v>
      </c>
      <c r="AN399" s="957">
        <f>W395+W396-W398-W399</f>
        <v>0</v>
      </c>
      <c r="AO399" s="957">
        <f>Z395+Z396-Z398-Z399</f>
        <v>0</v>
      </c>
      <c r="AP399" s="957">
        <f>AC395+AC396-AC398-AC399</f>
        <v>0</v>
      </c>
      <c r="AQ399" s="955">
        <f>AF395+AF396-AF398-AF399</f>
        <v>0</v>
      </c>
      <c r="BC399" s="771"/>
      <c r="BD399" s="640"/>
      <c r="BE399" s="640"/>
      <c r="BF399" s="640"/>
      <c r="BG399" s="640"/>
      <c r="BH399" s="640"/>
      <c r="BI399" s="640"/>
      <c r="BJ399" s="640"/>
      <c r="BK399" s="770"/>
    </row>
    <row r="400" spans="1:63" s="633" customFormat="1" ht="15" hidden="1" customHeight="1" thickBot="1" x14ac:dyDescent="0.25">
      <c r="A400" s="942"/>
      <c r="D400" s="1110" t="s">
        <v>256</v>
      </c>
      <c r="E400" s="1111"/>
      <c r="F400" s="1111"/>
      <c r="G400" s="1111"/>
      <c r="H400" s="1111"/>
      <c r="I400" s="1111"/>
      <c r="J400" s="1111"/>
      <c r="K400" s="1111"/>
      <c r="L400" s="1111"/>
      <c r="M400" s="1111"/>
      <c r="N400" s="1111"/>
      <c r="O400" s="1111"/>
      <c r="P400" s="1111"/>
      <c r="Q400" s="1111"/>
      <c r="R400" s="1111"/>
      <c r="S400" s="1111"/>
      <c r="T400" s="1111"/>
      <c r="U400" s="1111"/>
      <c r="V400" s="1111"/>
      <c r="W400" s="1111"/>
      <c r="X400" s="1111"/>
      <c r="Y400" s="1111"/>
      <c r="Z400" s="1111"/>
      <c r="AA400" s="1111"/>
      <c r="AB400" s="1111"/>
      <c r="AC400" s="1111"/>
      <c r="AD400" s="1111"/>
      <c r="AE400" s="1111"/>
      <c r="AF400" s="1111"/>
      <c r="AG400" s="1111"/>
      <c r="AH400" s="1112"/>
      <c r="AI400" s="954"/>
      <c r="AJ400" s="949"/>
      <c r="AK400" s="949"/>
      <c r="AL400" s="949"/>
      <c r="AM400" s="949"/>
      <c r="AN400" s="949"/>
      <c r="AO400" s="949"/>
      <c r="AP400" s="949"/>
      <c r="AQ400" s="955"/>
      <c r="BC400" s="771"/>
      <c r="BD400" s="640"/>
      <c r="BE400" s="640"/>
      <c r="BF400" s="640"/>
      <c r="BG400" s="640"/>
      <c r="BH400" s="640"/>
      <c r="BI400" s="640"/>
      <c r="BJ400" s="640"/>
      <c r="BK400" s="770"/>
    </row>
    <row r="401" spans="1:63" s="633" customFormat="1" ht="22.5" hidden="1" customHeight="1" x14ac:dyDescent="0.2">
      <c r="A401" s="942"/>
      <c r="D401" s="1044" t="s">
        <v>32</v>
      </c>
      <c r="E401" s="1044"/>
      <c r="F401" s="1044"/>
      <c r="G401" s="1044"/>
      <c r="H401" s="1114">
        <f>H384-H390-H395</f>
        <v>0</v>
      </c>
      <c r="I401" s="1114"/>
      <c r="J401" s="1114"/>
      <c r="K401" s="1114">
        <f t="shared" ref="K401" si="228">K384-K390-K395</f>
        <v>0</v>
      </c>
      <c r="L401" s="1114"/>
      <c r="M401" s="1114"/>
      <c r="N401" s="1114">
        <f t="shared" ref="N401" si="229">N384-N390-N395</f>
        <v>0</v>
      </c>
      <c r="O401" s="1114"/>
      <c r="P401" s="1114"/>
      <c r="Q401" s="1114">
        <f t="shared" ref="Q401" si="230">Q384-Q390-Q395</f>
        <v>0</v>
      </c>
      <c r="R401" s="1114"/>
      <c r="S401" s="1114"/>
      <c r="T401" s="1114">
        <f t="shared" ref="T401" si="231">T384-T390-T395</f>
        <v>0</v>
      </c>
      <c r="U401" s="1114"/>
      <c r="V401" s="1114"/>
      <c r="W401" s="1114">
        <f t="shared" ref="W401" si="232">W384-W390-W395</f>
        <v>0</v>
      </c>
      <c r="X401" s="1114"/>
      <c r="Y401" s="1114"/>
      <c r="Z401" s="1114">
        <f t="shared" ref="Z401" si="233">Z384-Z390-Z395</f>
        <v>0</v>
      </c>
      <c r="AA401" s="1114"/>
      <c r="AB401" s="1114"/>
      <c r="AC401" s="1114">
        <f t="shared" ref="AC401" si="234">AC384-AC390-AC395</f>
        <v>0</v>
      </c>
      <c r="AD401" s="1114"/>
      <c r="AE401" s="1114"/>
      <c r="AF401" s="1114">
        <f t="shared" ref="AF401" si="235">AF384-AF390-AF395</f>
        <v>0</v>
      </c>
      <c r="AG401" s="1114"/>
      <c r="AH401" s="1114"/>
      <c r="AI401" s="956">
        <f>H384-H390-H395-H401</f>
        <v>0</v>
      </c>
      <c r="AJ401" s="957">
        <f>K384-K390-K395-K401</f>
        <v>0</v>
      </c>
      <c r="AK401" s="957">
        <f>N384-N390-N395-N401</f>
        <v>0</v>
      </c>
      <c r="AL401" s="957">
        <f>Q384-Q390-Q395-Q401</f>
        <v>0</v>
      </c>
      <c r="AM401" s="957">
        <f>T384-T390-T395-T401</f>
        <v>0</v>
      </c>
      <c r="AN401" s="957">
        <f>W384-W390-W395-W401</f>
        <v>0</v>
      </c>
      <c r="AO401" s="957">
        <f>Z384-Z390-Z395-Z401</f>
        <v>0</v>
      </c>
      <c r="AP401" s="957">
        <f>AC384-AC390-AC395-AC401</f>
        <v>0</v>
      </c>
      <c r="AQ401" s="955">
        <f>SUM(H401:AE401)-AF401</f>
        <v>0</v>
      </c>
      <c r="BC401" s="771"/>
      <c r="BD401" s="640"/>
      <c r="BE401" s="640"/>
      <c r="BF401" s="640"/>
      <c r="BG401" s="640"/>
      <c r="BH401" s="640"/>
      <c r="BI401" s="640"/>
      <c r="BJ401" s="640"/>
      <c r="BK401" s="770"/>
    </row>
    <row r="402" spans="1:63" s="633" customFormat="1" ht="22.5" hidden="1" customHeight="1" thickBot="1" x14ac:dyDescent="0.25">
      <c r="A402" s="942"/>
      <c r="D402" s="1107" t="s">
        <v>30</v>
      </c>
      <c r="E402" s="1107"/>
      <c r="F402" s="1107"/>
      <c r="G402" s="1107"/>
      <c r="H402" s="1108">
        <f>H388-H393-H399</f>
        <v>0</v>
      </c>
      <c r="I402" s="1108"/>
      <c r="J402" s="1108"/>
      <c r="K402" s="1108">
        <f t="shared" ref="K402" si="236">K388-K393-K399</f>
        <v>0</v>
      </c>
      <c r="L402" s="1108"/>
      <c r="M402" s="1108"/>
      <c r="N402" s="1108">
        <f t="shared" ref="N402" si="237">N388-N393-N399</f>
        <v>0</v>
      </c>
      <c r="O402" s="1108"/>
      <c r="P402" s="1108"/>
      <c r="Q402" s="1108">
        <f t="shared" ref="Q402" si="238">Q388-Q393-Q399</f>
        <v>0</v>
      </c>
      <c r="R402" s="1108"/>
      <c r="S402" s="1108"/>
      <c r="T402" s="1108">
        <f t="shared" ref="T402" si="239">T388-T393-T399</f>
        <v>0</v>
      </c>
      <c r="U402" s="1108"/>
      <c r="V402" s="1108"/>
      <c r="W402" s="1108">
        <f t="shared" ref="W402" si="240">W388-W393-W399</f>
        <v>0</v>
      </c>
      <c r="X402" s="1108"/>
      <c r="Y402" s="1108"/>
      <c r="Z402" s="1108">
        <f>Z388-Z393-Z399</f>
        <v>0</v>
      </c>
      <c r="AA402" s="1108"/>
      <c r="AB402" s="1108"/>
      <c r="AC402" s="1108">
        <f t="shared" ref="AC402" si="241">AC388-AC393-AC399</f>
        <v>0</v>
      </c>
      <c r="AD402" s="1108"/>
      <c r="AE402" s="1108"/>
      <c r="AF402" s="1108">
        <f t="shared" ref="AF402" si="242">AF388-AF393-AF399</f>
        <v>0</v>
      </c>
      <c r="AG402" s="1108"/>
      <c r="AH402" s="1108"/>
      <c r="AI402" s="959">
        <f>H388-H393-H399-H402</f>
        <v>0</v>
      </c>
      <c r="AJ402" s="960">
        <f>K388-K393-K399-K402</f>
        <v>0</v>
      </c>
      <c r="AK402" s="960">
        <f>N388-N393-N399-N402</f>
        <v>0</v>
      </c>
      <c r="AL402" s="960">
        <f>Q388-Q393-Q399-Q402</f>
        <v>0</v>
      </c>
      <c r="AM402" s="960">
        <f>T388-T393-T399-T402</f>
        <v>0</v>
      </c>
      <c r="AN402" s="960">
        <f>W388-W393-W399-W402</f>
        <v>0</v>
      </c>
      <c r="AO402" s="960">
        <f>Z388-Z393-Z399-Z402</f>
        <v>0</v>
      </c>
      <c r="AP402" s="960">
        <f>AC388-AC393-AC399-AC402</f>
        <v>0</v>
      </c>
      <c r="AQ402" s="961">
        <f>SUM(H402:AE402)-AF402</f>
        <v>0</v>
      </c>
      <c r="BC402" s="959">
        <f>H402-BS!$G$31</f>
        <v>0</v>
      </c>
      <c r="BD402" s="960">
        <f>K402-BS!$G$32</f>
        <v>0</v>
      </c>
      <c r="BE402" s="960">
        <f>N402-BS!$G$33</f>
        <v>0</v>
      </c>
      <c r="BF402" s="960">
        <f>Q402-BS!$G$34</f>
        <v>0</v>
      </c>
      <c r="BG402" s="960">
        <f>T402-BS!$G$35</f>
        <v>0</v>
      </c>
      <c r="BH402" s="960">
        <f>W402-BS!$G$36</f>
        <v>0</v>
      </c>
      <c r="BI402" s="960">
        <f>Z402-BS!$G$37</f>
        <v>0</v>
      </c>
      <c r="BJ402" s="960">
        <f>AC402-BS!$G$38</f>
        <v>0</v>
      </c>
      <c r="BK402" s="961">
        <f>AF402-BS!$G$30</f>
        <v>0</v>
      </c>
    </row>
    <row r="403" spans="1:63" s="633" customFormat="1" hidden="1" x14ac:dyDescent="0.2">
      <c r="A403" s="942"/>
      <c r="D403" s="928"/>
      <c r="E403" s="932"/>
      <c r="F403" s="932"/>
      <c r="AI403" s="943"/>
      <c r="AJ403" s="943"/>
      <c r="AK403" s="943"/>
      <c r="AL403" s="943"/>
      <c r="AM403" s="943"/>
      <c r="AN403" s="943"/>
      <c r="AO403" s="943"/>
      <c r="AP403" s="943"/>
      <c r="AQ403" s="943"/>
    </row>
    <row r="404" spans="1:63" s="633" customFormat="1" hidden="1" x14ac:dyDescent="0.2">
      <c r="A404" s="942"/>
      <c r="D404" s="928"/>
      <c r="E404" s="932"/>
      <c r="F404" s="932"/>
      <c r="AI404" s="943"/>
      <c r="AJ404" s="943"/>
      <c r="AK404" s="943"/>
      <c r="AL404" s="943"/>
      <c r="AM404" s="943"/>
      <c r="AN404" s="943"/>
      <c r="AO404" s="943"/>
      <c r="AP404" s="943"/>
      <c r="AQ404" s="943"/>
    </row>
    <row r="405" spans="1:63" s="633" customFormat="1" ht="14.25" hidden="1" customHeight="1" thickBot="1" x14ac:dyDescent="0.25">
      <c r="A405" s="942"/>
      <c r="D405" s="928"/>
      <c r="E405" s="932"/>
      <c r="F405" s="932"/>
      <c r="AI405" s="943"/>
      <c r="AJ405" s="943"/>
      <c r="AK405" s="943"/>
      <c r="AL405" s="943"/>
      <c r="AM405" s="943"/>
      <c r="AN405" s="943"/>
      <c r="AO405" s="943"/>
      <c r="AP405" s="943"/>
      <c r="AQ405" s="943"/>
    </row>
    <row r="406" spans="1:63" s="633" customFormat="1" ht="29.25" hidden="1" customHeight="1" thickBot="1" x14ac:dyDescent="0.25">
      <c r="A406" s="942">
        <v>8</v>
      </c>
      <c r="D406" s="1173" t="s">
        <v>55</v>
      </c>
      <c r="E406" s="1174"/>
      <c r="F406" s="1174"/>
      <c r="G406" s="1174"/>
      <c r="H406" s="1174"/>
      <c r="I406" s="1174"/>
      <c r="J406" s="1174"/>
      <c r="K406" s="1174"/>
      <c r="L406" s="1174"/>
      <c r="M406" s="1174"/>
      <c r="N406" s="1174"/>
      <c r="O406" s="1174"/>
      <c r="P406" s="1174"/>
      <c r="Q406" s="1174"/>
      <c r="R406" s="1175"/>
      <c r="S406" s="1173" t="s">
        <v>36</v>
      </c>
      <c r="T406" s="1174"/>
      <c r="U406" s="1174"/>
      <c r="V406" s="1174"/>
      <c r="W406" s="1174"/>
      <c r="X406" s="1174"/>
      <c r="Y406" s="1174"/>
      <c r="Z406" s="1174"/>
      <c r="AA406" s="1174"/>
      <c r="AB406" s="1174"/>
      <c r="AC406" s="1174"/>
      <c r="AD406" s="1174"/>
      <c r="AE406" s="1174"/>
      <c r="AF406" s="1174"/>
      <c r="AG406" s="1175"/>
      <c r="AI406" s="943"/>
      <c r="AJ406" s="943"/>
      <c r="AK406" s="943"/>
      <c r="AL406" s="943"/>
      <c r="AM406" s="943"/>
      <c r="AN406" s="943"/>
      <c r="AO406" s="943"/>
      <c r="AP406" s="943"/>
      <c r="AQ406" s="943"/>
    </row>
    <row r="407" spans="1:63" s="633" customFormat="1" ht="29.25" hidden="1" customHeight="1" x14ac:dyDescent="0.2">
      <c r="A407" s="942"/>
      <c r="D407" s="1066" t="s">
        <v>57</v>
      </c>
      <c r="E407" s="1067"/>
      <c r="F407" s="1067"/>
      <c r="G407" s="1067"/>
      <c r="H407" s="1067"/>
      <c r="I407" s="1067"/>
      <c r="J407" s="1067"/>
      <c r="K407" s="1067"/>
      <c r="L407" s="1067"/>
      <c r="M407" s="1067"/>
      <c r="N407" s="1067"/>
      <c r="O407" s="1067"/>
      <c r="P407" s="1067"/>
      <c r="Q407" s="1067"/>
      <c r="R407" s="1068"/>
      <c r="S407" s="1250"/>
      <c r="T407" s="1251"/>
      <c r="U407" s="1251"/>
      <c r="V407" s="1251"/>
      <c r="W407" s="1251"/>
      <c r="X407" s="1251"/>
      <c r="Y407" s="1251"/>
      <c r="Z407" s="1251"/>
      <c r="AA407" s="1251"/>
      <c r="AB407" s="1251"/>
      <c r="AC407" s="1251"/>
      <c r="AD407" s="1251"/>
      <c r="AE407" s="1251"/>
      <c r="AF407" s="1251"/>
      <c r="AG407" s="1388"/>
      <c r="AI407" s="943"/>
      <c r="AJ407" s="943"/>
      <c r="AK407" s="943"/>
      <c r="AL407" s="943"/>
      <c r="AM407" s="943"/>
      <c r="AN407" s="943"/>
      <c r="AO407" s="943"/>
      <c r="AP407" s="943"/>
      <c r="AQ407" s="943"/>
    </row>
    <row r="408" spans="1:63" s="633" customFormat="1" ht="29.25" hidden="1" customHeight="1" thickBot="1" x14ac:dyDescent="0.25">
      <c r="A408" s="942"/>
      <c r="D408" s="1231" t="s">
        <v>58</v>
      </c>
      <c r="E408" s="1232"/>
      <c r="F408" s="1232"/>
      <c r="G408" s="1232"/>
      <c r="H408" s="1232"/>
      <c r="I408" s="1232"/>
      <c r="J408" s="1232"/>
      <c r="K408" s="1232"/>
      <c r="L408" s="1232"/>
      <c r="M408" s="1232"/>
      <c r="N408" s="1232"/>
      <c r="O408" s="1232"/>
      <c r="P408" s="1232"/>
      <c r="Q408" s="1232"/>
      <c r="R408" s="1233"/>
      <c r="S408" s="1389"/>
      <c r="T408" s="1390"/>
      <c r="U408" s="1390"/>
      <c r="V408" s="1390"/>
      <c r="W408" s="1390"/>
      <c r="X408" s="1390"/>
      <c r="Y408" s="1390"/>
      <c r="Z408" s="1390"/>
      <c r="AA408" s="1390"/>
      <c r="AB408" s="1390"/>
      <c r="AC408" s="1390"/>
      <c r="AD408" s="1390"/>
      <c r="AE408" s="1390"/>
      <c r="AF408" s="1390"/>
      <c r="AG408" s="1391"/>
      <c r="AI408" s="943"/>
      <c r="AJ408" s="943"/>
      <c r="AK408" s="943"/>
      <c r="AL408" s="943"/>
      <c r="AM408" s="943"/>
      <c r="AN408" s="943"/>
      <c r="AO408" s="943"/>
      <c r="AP408" s="943"/>
      <c r="AQ408" s="943"/>
    </row>
    <row r="409" spans="1:63" s="633" customFormat="1" hidden="1" x14ac:dyDescent="0.2">
      <c r="A409" s="942"/>
      <c r="AI409" s="943"/>
      <c r="AJ409" s="943"/>
      <c r="AK409" s="943"/>
      <c r="AL409" s="943"/>
      <c r="AM409" s="943"/>
      <c r="AN409" s="943"/>
      <c r="AO409" s="943"/>
      <c r="AP409" s="943"/>
      <c r="AQ409" s="943"/>
    </row>
    <row r="410" spans="1:63" s="633" customFormat="1" ht="14.25" hidden="1" customHeight="1" x14ac:dyDescent="0.2">
      <c r="A410" s="942"/>
      <c r="D410" s="1116" t="s">
        <v>1469</v>
      </c>
      <c r="E410" s="1116"/>
      <c r="F410" s="1116"/>
      <c r="G410" s="1116"/>
      <c r="H410" s="1116"/>
      <c r="I410" s="1116"/>
      <c r="J410" s="1116"/>
      <c r="K410" s="1116"/>
      <c r="L410" s="1116"/>
      <c r="M410" s="1116"/>
      <c r="N410" s="1116"/>
      <c r="O410" s="1116"/>
      <c r="P410" s="1116"/>
      <c r="Q410" s="1116"/>
      <c r="R410" s="1116"/>
      <c r="S410" s="1116"/>
      <c r="T410" s="1116"/>
      <c r="U410" s="1116"/>
      <c r="V410" s="1116"/>
      <c r="W410" s="1116"/>
      <c r="X410" s="1116"/>
      <c r="Y410" s="1116"/>
      <c r="Z410" s="1116"/>
      <c r="AA410" s="1116"/>
      <c r="AB410" s="1116"/>
      <c r="AC410" s="1116"/>
      <c r="AD410" s="1116"/>
      <c r="AE410" s="1116"/>
      <c r="AF410" s="1116"/>
      <c r="AG410" s="1116"/>
      <c r="AI410" s="943"/>
      <c r="AJ410" s="943"/>
      <c r="AK410" s="943"/>
      <c r="AL410" s="943"/>
      <c r="AM410" s="943"/>
      <c r="AN410" s="943"/>
      <c r="AO410" s="943"/>
      <c r="AP410" s="943"/>
      <c r="AQ410" s="943"/>
    </row>
    <row r="411" spans="1:63" s="633" customFormat="1" ht="15" hidden="1" customHeight="1" x14ac:dyDescent="0.2">
      <c r="A411" s="942"/>
      <c r="D411" s="1116"/>
      <c r="E411" s="1116"/>
      <c r="F411" s="1116"/>
      <c r="G411" s="1116"/>
      <c r="H411" s="1116"/>
      <c r="I411" s="1116"/>
      <c r="J411" s="1116"/>
      <c r="K411" s="1116"/>
      <c r="L411" s="1116"/>
      <c r="M411" s="1116"/>
      <c r="N411" s="1116"/>
      <c r="O411" s="1116"/>
      <c r="P411" s="1116"/>
      <c r="Q411" s="1116"/>
      <c r="R411" s="1116"/>
      <c r="S411" s="1116"/>
      <c r="T411" s="1116"/>
      <c r="U411" s="1116"/>
      <c r="V411" s="1116"/>
      <c r="W411" s="1116"/>
      <c r="X411" s="1116"/>
      <c r="Y411" s="1116"/>
      <c r="Z411" s="1116"/>
      <c r="AA411" s="1116"/>
      <c r="AB411" s="1116"/>
      <c r="AC411" s="1116"/>
      <c r="AD411" s="1116"/>
      <c r="AE411" s="1116"/>
      <c r="AF411" s="1116"/>
      <c r="AG411" s="1116"/>
      <c r="AI411" s="943"/>
      <c r="AJ411" s="943"/>
      <c r="AK411" s="943"/>
      <c r="AL411" s="943"/>
      <c r="AM411" s="943"/>
      <c r="AN411" s="943"/>
      <c r="AO411" s="943"/>
      <c r="AP411" s="943"/>
      <c r="AQ411" s="943"/>
    </row>
    <row r="412" spans="1:63" s="633" customFormat="1" ht="15" hidden="1" customHeight="1" x14ac:dyDescent="0.2">
      <c r="A412" s="942"/>
      <c r="D412" s="932"/>
      <c r="E412" s="932"/>
      <c r="F412" s="932"/>
      <c r="G412" s="932"/>
      <c r="H412" s="932"/>
      <c r="I412" s="932"/>
      <c r="J412" s="932"/>
      <c r="K412" s="932"/>
      <c r="L412" s="932"/>
      <c r="M412" s="932"/>
      <c r="N412" s="932"/>
      <c r="O412" s="932"/>
      <c r="P412" s="932"/>
      <c r="Q412" s="932"/>
      <c r="R412" s="932"/>
      <c r="S412" s="932"/>
      <c r="T412" s="932"/>
      <c r="U412" s="932"/>
      <c r="V412" s="932"/>
      <c r="W412" s="932"/>
      <c r="X412" s="932"/>
      <c r="Y412" s="932"/>
      <c r="Z412" s="932"/>
      <c r="AA412" s="932"/>
      <c r="AB412" s="932"/>
      <c r="AC412" s="932"/>
      <c r="AD412" s="932"/>
      <c r="AE412" s="932"/>
      <c r="AF412" s="932"/>
      <c r="AG412" s="932"/>
      <c r="AI412" s="943"/>
      <c r="AJ412" s="943"/>
      <c r="AK412" s="943"/>
      <c r="AL412" s="943"/>
      <c r="AM412" s="943"/>
      <c r="AN412" s="943"/>
      <c r="AO412" s="943"/>
      <c r="AP412" s="943"/>
      <c r="AQ412" s="943"/>
    </row>
    <row r="413" spans="1:63" s="633" customFormat="1" hidden="1" x14ac:dyDescent="0.2">
      <c r="A413" s="942"/>
      <c r="D413" s="1116" t="s">
        <v>1470</v>
      </c>
      <c r="E413" s="1116"/>
      <c r="F413" s="1116"/>
      <c r="G413" s="1116"/>
      <c r="H413" s="1116"/>
      <c r="I413" s="1116"/>
      <c r="J413" s="1116"/>
      <c r="K413" s="1116"/>
      <c r="L413" s="1116"/>
      <c r="M413" s="1116"/>
      <c r="N413" s="1116"/>
      <c r="O413" s="1116"/>
      <c r="P413" s="1116"/>
      <c r="Q413" s="1116"/>
      <c r="R413" s="1116"/>
      <c r="S413" s="1116"/>
      <c r="T413" s="1116"/>
      <c r="U413" s="1116"/>
      <c r="V413" s="1116"/>
      <c r="W413" s="1116"/>
      <c r="X413" s="1116"/>
      <c r="Y413" s="1116"/>
      <c r="Z413" s="1116"/>
      <c r="AA413" s="1116"/>
      <c r="AB413" s="1116"/>
      <c r="AC413" s="1116"/>
      <c r="AD413" s="1116"/>
      <c r="AE413" s="1116"/>
      <c r="AF413" s="1116"/>
      <c r="AG413" s="1116"/>
      <c r="AI413" s="943"/>
      <c r="AJ413" s="943"/>
      <c r="AK413" s="943"/>
      <c r="AL413" s="943"/>
      <c r="AM413" s="943"/>
      <c r="AN413" s="943"/>
      <c r="AO413" s="943"/>
      <c r="AP413" s="943"/>
      <c r="AQ413" s="943"/>
    </row>
    <row r="414" spans="1:63" s="633" customFormat="1" hidden="1" x14ac:dyDescent="0.2">
      <c r="A414" s="942"/>
      <c r="AI414" s="943"/>
      <c r="AJ414" s="943"/>
      <c r="AK414" s="943"/>
      <c r="AL414" s="943"/>
      <c r="AM414" s="943"/>
      <c r="AN414" s="943"/>
      <c r="AO414" s="943"/>
      <c r="AP414" s="943"/>
      <c r="AQ414" s="943"/>
    </row>
    <row r="415" spans="1:63" s="633" customFormat="1" hidden="1" x14ac:dyDescent="0.2">
      <c r="A415" s="942"/>
      <c r="AI415" s="943"/>
      <c r="AJ415" s="943"/>
      <c r="AK415" s="943"/>
      <c r="AL415" s="943"/>
      <c r="AM415" s="943"/>
      <c r="AN415" s="943"/>
      <c r="AO415" s="943"/>
      <c r="AP415" s="943"/>
      <c r="AQ415" s="943"/>
    </row>
    <row r="416" spans="1:63" s="633" customFormat="1" hidden="1" x14ac:dyDescent="0.2">
      <c r="A416" s="942"/>
      <c r="D416" s="1116" t="s">
        <v>1471</v>
      </c>
      <c r="E416" s="1116"/>
      <c r="F416" s="1116"/>
      <c r="G416" s="1116"/>
      <c r="H416" s="1116"/>
      <c r="I416" s="1116"/>
      <c r="J416" s="1116"/>
      <c r="K416" s="1116"/>
      <c r="L416" s="1116"/>
      <c r="M416" s="1116"/>
      <c r="N416" s="1116"/>
      <c r="O416" s="1116"/>
      <c r="P416" s="1116"/>
      <c r="Q416" s="1116"/>
      <c r="R416" s="1116"/>
      <c r="S416" s="1116"/>
      <c r="T416" s="1116"/>
      <c r="U416" s="1116"/>
      <c r="V416" s="1116"/>
      <c r="W416" s="1116"/>
      <c r="X416" s="1116"/>
      <c r="Y416" s="1116"/>
      <c r="Z416" s="1116"/>
      <c r="AA416" s="1116"/>
      <c r="AB416" s="1116"/>
      <c r="AC416" s="1116"/>
      <c r="AD416" s="1116"/>
      <c r="AE416" s="1116"/>
      <c r="AF416" s="1116"/>
      <c r="AG416" s="1116"/>
      <c r="AI416" s="943"/>
      <c r="AJ416" s="943"/>
      <c r="AK416" s="943"/>
      <c r="AL416" s="943"/>
      <c r="AM416" s="943"/>
      <c r="AN416" s="943"/>
      <c r="AO416" s="943"/>
      <c r="AP416" s="943"/>
      <c r="AQ416" s="943"/>
    </row>
    <row r="417" spans="1:43" s="633" customFormat="1" ht="15" hidden="1" thickBot="1" x14ac:dyDescent="0.25">
      <c r="A417" s="942"/>
      <c r="AI417" s="943"/>
      <c r="AJ417" s="943"/>
      <c r="AK417" s="943"/>
      <c r="AL417" s="943"/>
      <c r="AM417" s="943"/>
      <c r="AN417" s="943"/>
      <c r="AO417" s="943"/>
      <c r="AP417" s="943"/>
      <c r="AQ417" s="943"/>
    </row>
    <row r="418" spans="1:43" s="633" customFormat="1" ht="15.75" hidden="1" customHeight="1" thickBot="1" x14ac:dyDescent="0.25">
      <c r="A418" s="942">
        <v>9</v>
      </c>
      <c r="D418" s="1120" t="s">
        <v>60</v>
      </c>
      <c r="E418" s="1120"/>
      <c r="F418" s="1120"/>
      <c r="G418" s="1120"/>
      <c r="H418" s="1120"/>
      <c r="I418" s="1120"/>
      <c r="J418" s="1120"/>
      <c r="K418" s="1120" t="s">
        <v>2</v>
      </c>
      <c r="L418" s="1120"/>
      <c r="M418" s="1120"/>
      <c r="N418" s="1120"/>
      <c r="O418" s="1120"/>
      <c r="P418" s="1120"/>
      <c r="Q418" s="1120"/>
      <c r="R418" s="1120"/>
      <c r="S418" s="1120"/>
      <c r="T418" s="1120"/>
      <c r="U418" s="1120"/>
      <c r="V418" s="1120"/>
      <c r="W418" s="1120"/>
      <c r="X418" s="1120"/>
      <c r="Y418" s="1120"/>
      <c r="Z418" s="1120"/>
      <c r="AA418" s="1120"/>
      <c r="AB418" s="1120"/>
      <c r="AC418" s="1120"/>
      <c r="AD418" s="1120"/>
      <c r="AE418" s="1120"/>
      <c r="AF418" s="1120"/>
      <c r="AG418" s="1120"/>
      <c r="AI418" s="943"/>
      <c r="AJ418" s="943"/>
      <c r="AK418" s="943"/>
      <c r="AL418" s="943"/>
      <c r="AM418" s="943"/>
      <c r="AN418" s="943"/>
      <c r="AO418" s="943"/>
      <c r="AP418" s="943"/>
      <c r="AQ418" s="943"/>
    </row>
    <row r="419" spans="1:43" s="633" customFormat="1" ht="54" hidden="1" customHeight="1" thickBot="1" x14ac:dyDescent="0.25">
      <c r="A419" s="942"/>
      <c r="D419" s="1120"/>
      <c r="E419" s="1120"/>
      <c r="F419" s="1120"/>
      <c r="G419" s="1120"/>
      <c r="H419" s="1120"/>
      <c r="I419" s="1120"/>
      <c r="J419" s="1120"/>
      <c r="K419" s="1120" t="s">
        <v>61</v>
      </c>
      <c r="L419" s="1120"/>
      <c r="M419" s="1120"/>
      <c r="N419" s="1120"/>
      <c r="O419" s="1120" t="s">
        <v>62</v>
      </c>
      <c r="P419" s="1120"/>
      <c r="Q419" s="1120"/>
      <c r="R419" s="1120"/>
      <c r="S419" s="1120" t="s">
        <v>448</v>
      </c>
      <c r="T419" s="1120"/>
      <c r="U419" s="1120"/>
      <c r="V419" s="1120"/>
      <c r="W419" s="1120"/>
      <c r="X419" s="1120" t="s">
        <v>449</v>
      </c>
      <c r="Y419" s="1120"/>
      <c r="Z419" s="1120"/>
      <c r="AA419" s="1120"/>
      <c r="AB419" s="1120"/>
      <c r="AC419" s="1120" t="s">
        <v>64</v>
      </c>
      <c r="AD419" s="1120"/>
      <c r="AE419" s="1120"/>
      <c r="AF419" s="1120"/>
      <c r="AG419" s="1120"/>
      <c r="AI419" s="943"/>
      <c r="AJ419" s="943"/>
      <c r="AK419" s="943"/>
      <c r="AL419" s="943"/>
      <c r="AM419" s="943"/>
      <c r="AN419" s="943"/>
      <c r="AO419" s="943"/>
      <c r="AP419" s="943"/>
      <c r="AQ419" s="943"/>
    </row>
    <row r="420" spans="1:43" s="633" customFormat="1" ht="15" hidden="1" thickBot="1" x14ac:dyDescent="0.25">
      <c r="A420" s="942"/>
      <c r="D420" s="1392" t="s">
        <v>65</v>
      </c>
      <c r="E420" s="1392"/>
      <c r="F420" s="1392"/>
      <c r="G420" s="1392"/>
      <c r="H420" s="1392"/>
      <c r="I420" s="1392"/>
      <c r="J420" s="1392"/>
      <c r="K420" s="1392"/>
      <c r="L420" s="1392"/>
      <c r="M420" s="1392"/>
      <c r="N420" s="1392"/>
      <c r="O420" s="1392"/>
      <c r="P420" s="1392"/>
      <c r="Q420" s="1392"/>
      <c r="R420" s="1392"/>
      <c r="S420" s="1392"/>
      <c r="T420" s="1392"/>
      <c r="U420" s="1392"/>
      <c r="V420" s="1392"/>
      <c r="W420" s="1392"/>
      <c r="X420" s="1392"/>
      <c r="Y420" s="1392"/>
      <c r="Z420" s="1392"/>
      <c r="AA420" s="1392"/>
      <c r="AB420" s="1392"/>
      <c r="AC420" s="1392"/>
      <c r="AD420" s="1392"/>
      <c r="AE420" s="1392"/>
      <c r="AF420" s="1392"/>
      <c r="AG420" s="1392"/>
      <c r="AI420" s="943"/>
      <c r="AJ420" s="943"/>
      <c r="AK420" s="943"/>
      <c r="AL420" s="943"/>
      <c r="AM420" s="943"/>
      <c r="AN420" s="943"/>
      <c r="AO420" s="943"/>
      <c r="AP420" s="943"/>
      <c r="AQ420" s="943"/>
    </row>
    <row r="421" spans="1:43" s="633" customFormat="1" hidden="1" x14ac:dyDescent="0.2">
      <c r="A421" s="942"/>
      <c r="D421" s="1399"/>
      <c r="E421" s="1400"/>
      <c r="F421" s="1400"/>
      <c r="G421" s="1400"/>
      <c r="H421" s="1400"/>
      <c r="I421" s="1400"/>
      <c r="J421" s="1401"/>
      <c r="K421" s="1406"/>
      <c r="L421" s="1407"/>
      <c r="M421" s="1407"/>
      <c r="N421" s="1407"/>
      <c r="O421" s="1407"/>
      <c r="P421" s="1407"/>
      <c r="Q421" s="1407"/>
      <c r="R421" s="1407"/>
      <c r="S421" s="1412"/>
      <c r="T421" s="1412"/>
      <c r="U421" s="1412"/>
      <c r="V421" s="1412"/>
      <c r="W421" s="1412"/>
      <c r="X421" s="1412"/>
      <c r="Y421" s="1412"/>
      <c r="Z421" s="1412"/>
      <c r="AA421" s="1412"/>
      <c r="AB421" s="1412"/>
      <c r="AC421" s="1412"/>
      <c r="AD421" s="1412"/>
      <c r="AE421" s="1412"/>
      <c r="AF421" s="1412"/>
      <c r="AG421" s="1413"/>
      <c r="AI421" s="943"/>
      <c r="AJ421" s="943"/>
      <c r="AK421" s="943"/>
      <c r="AL421" s="943"/>
      <c r="AM421" s="943"/>
      <c r="AN421" s="943"/>
      <c r="AO421" s="943"/>
      <c r="AP421" s="943"/>
      <c r="AQ421" s="943"/>
    </row>
    <row r="422" spans="1:43" s="633" customFormat="1" hidden="1" x14ac:dyDescent="0.2">
      <c r="A422" s="942"/>
      <c r="D422" s="1396"/>
      <c r="E422" s="1397"/>
      <c r="F422" s="1397"/>
      <c r="G422" s="1397"/>
      <c r="H422" s="1397"/>
      <c r="I422" s="1397"/>
      <c r="J422" s="1398"/>
      <c r="K422" s="1404"/>
      <c r="L422" s="1405"/>
      <c r="M422" s="1405"/>
      <c r="N422" s="1405"/>
      <c r="O422" s="1405"/>
      <c r="P422" s="1405"/>
      <c r="Q422" s="1405"/>
      <c r="R422" s="1405"/>
      <c r="S422" s="1408"/>
      <c r="T422" s="1408"/>
      <c r="U422" s="1408"/>
      <c r="V422" s="1408"/>
      <c r="W422" s="1408"/>
      <c r="X422" s="1408"/>
      <c r="Y422" s="1408"/>
      <c r="Z422" s="1408"/>
      <c r="AA422" s="1408"/>
      <c r="AB422" s="1408"/>
      <c r="AC422" s="1408"/>
      <c r="AD422" s="1408"/>
      <c r="AE422" s="1408"/>
      <c r="AF422" s="1408"/>
      <c r="AG422" s="1409"/>
      <c r="AI422" s="943"/>
      <c r="AJ422" s="943"/>
      <c r="AK422" s="943"/>
      <c r="AL422" s="943"/>
      <c r="AM422" s="943"/>
      <c r="AN422" s="943"/>
      <c r="AO422" s="943"/>
      <c r="AP422" s="943"/>
      <c r="AQ422" s="943"/>
    </row>
    <row r="423" spans="1:43" s="633" customFormat="1" ht="15" hidden="1" thickBot="1" x14ac:dyDescent="0.25">
      <c r="A423" s="942"/>
      <c r="D423" s="1393"/>
      <c r="E423" s="1394"/>
      <c r="F423" s="1394"/>
      <c r="G423" s="1394"/>
      <c r="H423" s="1394"/>
      <c r="I423" s="1394"/>
      <c r="J423" s="1395"/>
      <c r="K423" s="1402"/>
      <c r="L423" s="1403"/>
      <c r="M423" s="1403"/>
      <c r="N423" s="1403"/>
      <c r="O423" s="1403"/>
      <c r="P423" s="1403"/>
      <c r="Q423" s="1403"/>
      <c r="R423" s="1403"/>
      <c r="S423" s="1410"/>
      <c r="T423" s="1410"/>
      <c r="U423" s="1410"/>
      <c r="V423" s="1410"/>
      <c r="W423" s="1410"/>
      <c r="X423" s="1410"/>
      <c r="Y423" s="1410"/>
      <c r="Z423" s="1410"/>
      <c r="AA423" s="1410"/>
      <c r="AB423" s="1410"/>
      <c r="AC423" s="1410"/>
      <c r="AD423" s="1410"/>
      <c r="AE423" s="1410"/>
      <c r="AF423" s="1410"/>
      <c r="AG423" s="1411"/>
      <c r="AI423" s="943"/>
      <c r="AJ423" s="943"/>
      <c r="AK423" s="943"/>
      <c r="AL423" s="943"/>
      <c r="AM423" s="943"/>
      <c r="AN423" s="943"/>
      <c r="AO423" s="943"/>
      <c r="AP423" s="943"/>
      <c r="AQ423" s="943"/>
    </row>
    <row r="424" spans="1:43" s="633" customFormat="1" ht="15" hidden="1" thickBot="1" x14ac:dyDescent="0.25">
      <c r="A424" s="942"/>
      <c r="D424" s="1414" t="s">
        <v>66</v>
      </c>
      <c r="E424" s="1415"/>
      <c r="F424" s="1415"/>
      <c r="G424" s="1415"/>
      <c r="H424" s="1415"/>
      <c r="I424" s="1415"/>
      <c r="J424" s="1415"/>
      <c r="K424" s="1415"/>
      <c r="L424" s="1415"/>
      <c r="M424" s="1415"/>
      <c r="N424" s="1415"/>
      <c r="O424" s="1415"/>
      <c r="P424" s="1415"/>
      <c r="Q424" s="1415"/>
      <c r="R424" s="1415"/>
      <c r="S424" s="1415"/>
      <c r="T424" s="1415"/>
      <c r="U424" s="1415"/>
      <c r="V424" s="1415"/>
      <c r="W424" s="1415"/>
      <c r="X424" s="1415"/>
      <c r="Y424" s="1415"/>
      <c r="Z424" s="1415"/>
      <c r="AA424" s="1415"/>
      <c r="AB424" s="1415"/>
      <c r="AC424" s="1415"/>
      <c r="AD424" s="1415"/>
      <c r="AE424" s="1415"/>
      <c r="AF424" s="1415"/>
      <c r="AG424" s="1416"/>
      <c r="AI424" s="943"/>
      <c r="AJ424" s="943"/>
      <c r="AK424" s="943"/>
      <c r="AL424" s="943"/>
      <c r="AM424" s="943"/>
      <c r="AN424" s="943"/>
      <c r="AO424" s="943"/>
      <c r="AP424" s="943"/>
      <c r="AQ424" s="943"/>
    </row>
    <row r="425" spans="1:43" s="633" customFormat="1" hidden="1" x14ac:dyDescent="0.2">
      <c r="A425" s="942"/>
      <c r="D425" s="1399"/>
      <c r="E425" s="1400"/>
      <c r="F425" s="1400"/>
      <c r="G425" s="1400"/>
      <c r="H425" s="1400"/>
      <c r="I425" s="1400"/>
      <c r="J425" s="1401"/>
      <c r="K425" s="1406"/>
      <c r="L425" s="1407"/>
      <c r="M425" s="1407"/>
      <c r="N425" s="1407"/>
      <c r="O425" s="1407"/>
      <c r="P425" s="1407"/>
      <c r="Q425" s="1407"/>
      <c r="R425" s="1407"/>
      <c r="S425" s="1412"/>
      <c r="T425" s="1412"/>
      <c r="U425" s="1412"/>
      <c r="V425" s="1412"/>
      <c r="W425" s="1412"/>
      <c r="X425" s="1412"/>
      <c r="Y425" s="1412"/>
      <c r="Z425" s="1412"/>
      <c r="AA425" s="1412"/>
      <c r="AB425" s="1412"/>
      <c r="AC425" s="1412"/>
      <c r="AD425" s="1412"/>
      <c r="AE425" s="1412"/>
      <c r="AF425" s="1412"/>
      <c r="AG425" s="1413"/>
      <c r="AI425" s="943"/>
      <c r="AJ425" s="943"/>
      <c r="AK425" s="943"/>
      <c r="AL425" s="943"/>
      <c r="AM425" s="943"/>
      <c r="AN425" s="943"/>
      <c r="AO425" s="943"/>
      <c r="AP425" s="943"/>
      <c r="AQ425" s="943"/>
    </row>
    <row r="426" spans="1:43" s="633" customFormat="1" hidden="1" x14ac:dyDescent="0.2">
      <c r="A426" s="942"/>
      <c r="D426" s="1396"/>
      <c r="E426" s="1397"/>
      <c r="F426" s="1397"/>
      <c r="G426" s="1397"/>
      <c r="H426" s="1397"/>
      <c r="I426" s="1397"/>
      <c r="J426" s="1398"/>
      <c r="K426" s="1404"/>
      <c r="L426" s="1405"/>
      <c r="M426" s="1405"/>
      <c r="N426" s="1405"/>
      <c r="O426" s="1405"/>
      <c r="P426" s="1405"/>
      <c r="Q426" s="1405"/>
      <c r="R426" s="1405"/>
      <c r="S426" s="1408"/>
      <c r="T426" s="1408"/>
      <c r="U426" s="1408"/>
      <c r="V426" s="1408"/>
      <c r="W426" s="1408"/>
      <c r="X426" s="1408"/>
      <c r="Y426" s="1408"/>
      <c r="Z426" s="1408"/>
      <c r="AA426" s="1408"/>
      <c r="AB426" s="1408"/>
      <c r="AC426" s="1408"/>
      <c r="AD426" s="1408"/>
      <c r="AE426" s="1408"/>
      <c r="AF426" s="1408"/>
      <c r="AG426" s="1409"/>
      <c r="AI426" s="943"/>
      <c r="AJ426" s="943"/>
      <c r="AK426" s="943"/>
      <c r="AL426" s="943"/>
      <c r="AM426" s="943"/>
      <c r="AN426" s="943"/>
      <c r="AO426" s="943"/>
      <c r="AP426" s="943"/>
      <c r="AQ426" s="943"/>
    </row>
    <row r="427" spans="1:43" s="633" customFormat="1" ht="15" hidden="1" thickBot="1" x14ac:dyDescent="0.25">
      <c r="A427" s="942"/>
      <c r="D427" s="1393"/>
      <c r="E427" s="1394"/>
      <c r="F427" s="1394"/>
      <c r="G427" s="1394"/>
      <c r="H427" s="1394"/>
      <c r="I427" s="1394"/>
      <c r="J427" s="1395"/>
      <c r="K427" s="1402"/>
      <c r="L427" s="1403"/>
      <c r="M427" s="1403"/>
      <c r="N427" s="1403"/>
      <c r="O427" s="1403"/>
      <c r="P427" s="1403"/>
      <c r="Q427" s="1403"/>
      <c r="R427" s="1403"/>
      <c r="S427" s="1410"/>
      <c r="T427" s="1410"/>
      <c r="U427" s="1410"/>
      <c r="V427" s="1410"/>
      <c r="W427" s="1410"/>
      <c r="X427" s="1410"/>
      <c r="Y427" s="1410"/>
      <c r="Z427" s="1410"/>
      <c r="AA427" s="1410"/>
      <c r="AB427" s="1410"/>
      <c r="AC427" s="1410"/>
      <c r="AD427" s="1410"/>
      <c r="AE427" s="1410"/>
      <c r="AF427" s="1410"/>
      <c r="AG427" s="1411"/>
      <c r="AI427" s="943"/>
      <c r="AJ427" s="943"/>
      <c r="AK427" s="943"/>
      <c r="AL427" s="943"/>
      <c r="AM427" s="943"/>
      <c r="AN427" s="943"/>
      <c r="AO427" s="943"/>
      <c r="AP427" s="943"/>
      <c r="AQ427" s="943"/>
    </row>
    <row r="428" spans="1:43" s="633" customFormat="1" ht="15" hidden="1" thickBot="1" x14ac:dyDescent="0.25">
      <c r="A428" s="942"/>
      <c r="D428" s="1414" t="s">
        <v>67</v>
      </c>
      <c r="E428" s="1415"/>
      <c r="F428" s="1415"/>
      <c r="G428" s="1415"/>
      <c r="H428" s="1415"/>
      <c r="I428" s="1415"/>
      <c r="J428" s="1415"/>
      <c r="K428" s="1415"/>
      <c r="L428" s="1415"/>
      <c r="M428" s="1415"/>
      <c r="N428" s="1415"/>
      <c r="O428" s="1415"/>
      <c r="P428" s="1415"/>
      <c r="Q428" s="1415"/>
      <c r="R428" s="1415"/>
      <c r="S428" s="1415"/>
      <c r="T428" s="1415"/>
      <c r="U428" s="1415"/>
      <c r="V428" s="1415"/>
      <c r="W428" s="1415"/>
      <c r="X428" s="1415"/>
      <c r="Y428" s="1415"/>
      <c r="Z428" s="1415"/>
      <c r="AA428" s="1415"/>
      <c r="AB428" s="1415"/>
      <c r="AC428" s="1415"/>
      <c r="AD428" s="1415"/>
      <c r="AE428" s="1415"/>
      <c r="AF428" s="1415"/>
      <c r="AG428" s="1416"/>
      <c r="AI428" s="943"/>
      <c r="AJ428" s="943"/>
      <c r="AK428" s="943"/>
      <c r="AL428" s="943"/>
      <c r="AM428" s="943"/>
      <c r="AN428" s="943"/>
      <c r="AO428" s="943"/>
      <c r="AP428" s="943"/>
      <c r="AQ428" s="943"/>
    </row>
    <row r="429" spans="1:43" s="633" customFormat="1" hidden="1" x14ac:dyDescent="0.2">
      <c r="A429" s="942"/>
      <c r="D429" s="1399"/>
      <c r="E429" s="1400"/>
      <c r="F429" s="1400"/>
      <c r="G429" s="1400"/>
      <c r="H429" s="1400"/>
      <c r="I429" s="1400"/>
      <c r="J429" s="1401"/>
      <c r="K429" s="1406"/>
      <c r="L429" s="1407"/>
      <c r="M429" s="1407"/>
      <c r="N429" s="1407"/>
      <c r="O429" s="1407"/>
      <c r="P429" s="1407"/>
      <c r="Q429" s="1407"/>
      <c r="R429" s="1407"/>
      <c r="S429" s="1412"/>
      <c r="T429" s="1412"/>
      <c r="U429" s="1412"/>
      <c r="V429" s="1412"/>
      <c r="W429" s="1412"/>
      <c r="X429" s="1412"/>
      <c r="Y429" s="1412"/>
      <c r="Z429" s="1412"/>
      <c r="AA429" s="1412"/>
      <c r="AB429" s="1412"/>
      <c r="AC429" s="1412"/>
      <c r="AD429" s="1412"/>
      <c r="AE429" s="1412"/>
      <c r="AF429" s="1412"/>
      <c r="AG429" s="1413"/>
      <c r="AI429" s="943"/>
      <c r="AJ429" s="943"/>
      <c r="AK429" s="943"/>
      <c r="AL429" s="943"/>
      <c r="AM429" s="943"/>
      <c r="AN429" s="943"/>
      <c r="AO429" s="943"/>
      <c r="AP429" s="943"/>
      <c r="AQ429" s="943"/>
    </row>
    <row r="430" spans="1:43" s="633" customFormat="1" hidden="1" x14ac:dyDescent="0.2">
      <c r="A430" s="942"/>
      <c r="D430" s="1396"/>
      <c r="E430" s="1397"/>
      <c r="F430" s="1397"/>
      <c r="G430" s="1397"/>
      <c r="H430" s="1397"/>
      <c r="I430" s="1397"/>
      <c r="J430" s="1398"/>
      <c r="K430" s="1404"/>
      <c r="L430" s="1405"/>
      <c r="M430" s="1405"/>
      <c r="N430" s="1405"/>
      <c r="O430" s="1405"/>
      <c r="P430" s="1405"/>
      <c r="Q430" s="1405"/>
      <c r="R430" s="1405"/>
      <c r="S430" s="1408"/>
      <c r="T430" s="1408"/>
      <c r="U430" s="1408"/>
      <c r="V430" s="1408"/>
      <c r="W430" s="1408"/>
      <c r="X430" s="1408"/>
      <c r="Y430" s="1408"/>
      <c r="Z430" s="1408"/>
      <c r="AA430" s="1408"/>
      <c r="AB430" s="1408"/>
      <c r="AC430" s="1408"/>
      <c r="AD430" s="1408"/>
      <c r="AE430" s="1408"/>
      <c r="AF430" s="1408"/>
      <c r="AG430" s="1409"/>
      <c r="AI430" s="943"/>
      <c r="AJ430" s="943"/>
      <c r="AK430" s="943"/>
      <c r="AL430" s="943"/>
      <c r="AM430" s="943"/>
      <c r="AN430" s="943"/>
      <c r="AO430" s="943"/>
      <c r="AP430" s="943"/>
      <c r="AQ430" s="943"/>
    </row>
    <row r="431" spans="1:43" s="633" customFormat="1" ht="15" hidden="1" thickBot="1" x14ac:dyDescent="0.25">
      <c r="A431" s="942"/>
      <c r="D431" s="1393"/>
      <c r="E431" s="1394"/>
      <c r="F431" s="1394"/>
      <c r="G431" s="1394"/>
      <c r="H431" s="1394"/>
      <c r="I431" s="1394"/>
      <c r="J431" s="1395"/>
      <c r="K431" s="1402"/>
      <c r="L431" s="1403"/>
      <c r="M431" s="1403"/>
      <c r="N431" s="1403"/>
      <c r="O431" s="1403"/>
      <c r="P431" s="1403"/>
      <c r="Q431" s="1403"/>
      <c r="R431" s="1403"/>
      <c r="S431" s="1410"/>
      <c r="T431" s="1410"/>
      <c r="U431" s="1410"/>
      <c r="V431" s="1410"/>
      <c r="W431" s="1410"/>
      <c r="X431" s="1410"/>
      <c r="Y431" s="1410"/>
      <c r="Z431" s="1410"/>
      <c r="AA431" s="1410"/>
      <c r="AB431" s="1410"/>
      <c r="AC431" s="1410"/>
      <c r="AD431" s="1410"/>
      <c r="AE431" s="1410"/>
      <c r="AF431" s="1410"/>
      <c r="AG431" s="1411"/>
      <c r="AI431" s="943"/>
      <c r="AJ431" s="943"/>
      <c r="AK431" s="943"/>
      <c r="AL431" s="943"/>
      <c r="AM431" s="943"/>
      <c r="AN431" s="943"/>
      <c r="AO431" s="943"/>
      <c r="AP431" s="943"/>
      <c r="AQ431" s="943"/>
    </row>
    <row r="432" spans="1:43" s="633" customFormat="1" ht="15" hidden="1" thickBot="1" x14ac:dyDescent="0.25">
      <c r="A432" s="942"/>
      <c r="D432" s="1414" t="s">
        <v>68</v>
      </c>
      <c r="E432" s="1415"/>
      <c r="F432" s="1415"/>
      <c r="G432" s="1415"/>
      <c r="H432" s="1415"/>
      <c r="I432" s="1415"/>
      <c r="J432" s="1415"/>
      <c r="K432" s="1415"/>
      <c r="L432" s="1415"/>
      <c r="M432" s="1415"/>
      <c r="N432" s="1415"/>
      <c r="O432" s="1415"/>
      <c r="P432" s="1415"/>
      <c r="Q432" s="1415"/>
      <c r="R432" s="1415"/>
      <c r="S432" s="1415"/>
      <c r="T432" s="1415"/>
      <c r="U432" s="1415"/>
      <c r="V432" s="1415"/>
      <c r="W432" s="1415"/>
      <c r="X432" s="1415"/>
      <c r="Y432" s="1415"/>
      <c r="Z432" s="1415"/>
      <c r="AA432" s="1415"/>
      <c r="AB432" s="1415"/>
      <c r="AC432" s="1415"/>
      <c r="AD432" s="1415"/>
      <c r="AE432" s="1415"/>
      <c r="AF432" s="1415"/>
      <c r="AG432" s="1416"/>
      <c r="AI432" s="943"/>
      <c r="AJ432" s="943"/>
      <c r="AK432" s="943"/>
      <c r="AL432" s="943"/>
      <c r="AM432" s="943"/>
      <c r="AN432" s="943"/>
      <c r="AO432" s="943"/>
      <c r="AP432" s="943"/>
      <c r="AQ432" s="943"/>
    </row>
    <row r="433" spans="1:43" s="633" customFormat="1" hidden="1" x14ac:dyDescent="0.2">
      <c r="A433" s="942"/>
      <c r="D433" s="1399"/>
      <c r="E433" s="1400"/>
      <c r="F433" s="1400"/>
      <c r="G433" s="1400"/>
      <c r="H433" s="1400"/>
      <c r="I433" s="1400"/>
      <c r="J433" s="1401"/>
      <c r="K433" s="1406"/>
      <c r="L433" s="1407"/>
      <c r="M433" s="1407"/>
      <c r="N433" s="1407"/>
      <c r="O433" s="1407"/>
      <c r="P433" s="1407"/>
      <c r="Q433" s="1407"/>
      <c r="R433" s="1407"/>
      <c r="S433" s="1412"/>
      <c r="T433" s="1412"/>
      <c r="U433" s="1412"/>
      <c r="V433" s="1412"/>
      <c r="W433" s="1412"/>
      <c r="X433" s="1412"/>
      <c r="Y433" s="1412"/>
      <c r="Z433" s="1412"/>
      <c r="AA433" s="1412"/>
      <c r="AB433" s="1412"/>
      <c r="AC433" s="1412"/>
      <c r="AD433" s="1412"/>
      <c r="AE433" s="1412"/>
      <c r="AF433" s="1412"/>
      <c r="AG433" s="1413"/>
      <c r="AI433" s="943"/>
      <c r="AJ433" s="943"/>
      <c r="AK433" s="943"/>
      <c r="AL433" s="943"/>
      <c r="AM433" s="943"/>
      <c r="AN433" s="943"/>
      <c r="AO433" s="943"/>
      <c r="AP433" s="943"/>
      <c r="AQ433" s="943"/>
    </row>
    <row r="434" spans="1:43" s="633" customFormat="1" ht="15" hidden="1" thickBot="1" x14ac:dyDescent="0.25">
      <c r="A434" s="942"/>
      <c r="D434" s="1425"/>
      <c r="E434" s="1426"/>
      <c r="F434" s="1426"/>
      <c r="G434" s="1426"/>
      <c r="H434" s="1426"/>
      <c r="I434" s="1426"/>
      <c r="J434" s="1427"/>
      <c r="K434" s="1428"/>
      <c r="L434" s="1429"/>
      <c r="M434" s="1429"/>
      <c r="N434" s="1429"/>
      <c r="O434" s="1429"/>
      <c r="P434" s="1429"/>
      <c r="Q434" s="1429"/>
      <c r="R434" s="1429"/>
      <c r="S434" s="1430"/>
      <c r="T434" s="1430"/>
      <c r="U434" s="1430"/>
      <c r="V434" s="1430"/>
      <c r="W434" s="1430"/>
      <c r="X434" s="1430"/>
      <c r="Y434" s="1430"/>
      <c r="Z434" s="1430"/>
      <c r="AA434" s="1430"/>
      <c r="AB434" s="1430"/>
      <c r="AC434" s="1430"/>
      <c r="AD434" s="1430"/>
      <c r="AE434" s="1430"/>
      <c r="AF434" s="1430"/>
      <c r="AG434" s="1431"/>
      <c r="AI434" s="943"/>
      <c r="AJ434" s="943"/>
      <c r="AK434" s="943"/>
      <c r="AL434" s="943"/>
      <c r="AM434" s="943"/>
      <c r="AN434" s="943"/>
      <c r="AO434" s="943"/>
      <c r="AP434" s="943"/>
      <c r="AQ434" s="943"/>
    </row>
    <row r="435" spans="1:43" s="633" customFormat="1" ht="29.25" hidden="1" customHeight="1" thickBot="1" x14ac:dyDescent="0.25">
      <c r="A435" s="942"/>
      <c r="D435" s="1417" t="s">
        <v>69</v>
      </c>
      <c r="E435" s="1418"/>
      <c r="F435" s="1418"/>
      <c r="G435" s="1418"/>
      <c r="H435" s="1418"/>
      <c r="I435" s="1418"/>
      <c r="J435" s="1419"/>
      <c r="K435" s="1420" t="s">
        <v>18</v>
      </c>
      <c r="L435" s="1421"/>
      <c r="M435" s="1421"/>
      <c r="N435" s="1421"/>
      <c r="O435" s="1421" t="s">
        <v>18</v>
      </c>
      <c r="P435" s="1421"/>
      <c r="Q435" s="1421"/>
      <c r="R435" s="1421"/>
      <c r="S435" s="1421" t="s">
        <v>18</v>
      </c>
      <c r="T435" s="1421"/>
      <c r="U435" s="1421"/>
      <c r="V435" s="1421"/>
      <c r="W435" s="1421"/>
      <c r="X435" s="1421" t="s">
        <v>18</v>
      </c>
      <c r="Y435" s="1421"/>
      <c r="Z435" s="1421"/>
      <c r="AA435" s="1421"/>
      <c r="AB435" s="1421"/>
      <c r="AC435" s="1422">
        <f>SUM(AC421:AG423)+SUM(AC425:AG427)+SUM(AC429:AG431)+SUM(AC433:AG434)</f>
        <v>0</v>
      </c>
      <c r="AD435" s="1423"/>
      <c r="AE435" s="1423"/>
      <c r="AF435" s="1423"/>
      <c r="AG435" s="1424"/>
      <c r="AI435" s="943"/>
      <c r="AJ435" s="943"/>
      <c r="AK435" s="943"/>
      <c r="AL435" s="943"/>
      <c r="AM435" s="943"/>
      <c r="AN435" s="943"/>
      <c r="AO435" s="943"/>
      <c r="AP435" s="943"/>
      <c r="AQ435" s="943"/>
    </row>
    <row r="436" spans="1:43" s="633" customFormat="1" hidden="1" x14ac:dyDescent="0.2">
      <c r="A436" s="942"/>
      <c r="AI436" s="943"/>
      <c r="AJ436" s="943"/>
      <c r="AK436" s="943"/>
      <c r="AL436" s="943"/>
      <c r="AM436" s="943"/>
      <c r="AN436" s="943"/>
      <c r="AO436" s="943"/>
      <c r="AP436" s="943"/>
      <c r="AQ436" s="943"/>
    </row>
    <row r="437" spans="1:43" s="633" customFormat="1" hidden="1" x14ac:dyDescent="0.2">
      <c r="A437" s="942"/>
      <c r="D437" s="1116" t="s">
        <v>1954</v>
      </c>
      <c r="E437" s="1116"/>
      <c r="F437" s="1116"/>
      <c r="G437" s="1116"/>
      <c r="H437" s="1116"/>
      <c r="I437" s="1116"/>
      <c r="J437" s="1116"/>
      <c r="K437" s="1116"/>
      <c r="L437" s="1116"/>
      <c r="M437" s="1116"/>
      <c r="N437" s="1116"/>
      <c r="O437" s="1116"/>
      <c r="P437" s="1116"/>
      <c r="Q437" s="1116"/>
      <c r="R437" s="1116"/>
      <c r="S437" s="1116"/>
      <c r="T437" s="1116"/>
      <c r="U437" s="1116"/>
      <c r="V437" s="1116"/>
      <c r="W437" s="1116"/>
      <c r="X437" s="1116"/>
      <c r="Y437" s="1116"/>
      <c r="Z437" s="1116"/>
      <c r="AA437" s="1116"/>
      <c r="AB437" s="1116"/>
      <c r="AC437" s="1116"/>
      <c r="AD437" s="1116"/>
      <c r="AE437" s="1116"/>
      <c r="AF437" s="1116"/>
      <c r="AG437" s="1116"/>
      <c r="AI437" s="943"/>
      <c r="AJ437" s="943"/>
      <c r="AK437" s="943"/>
      <c r="AL437" s="943"/>
      <c r="AM437" s="943"/>
      <c r="AN437" s="943"/>
      <c r="AO437" s="943"/>
      <c r="AP437" s="943"/>
      <c r="AQ437" s="943"/>
    </row>
    <row r="438" spans="1:43" s="633" customFormat="1" hidden="1" x14ac:dyDescent="0.2">
      <c r="A438" s="942"/>
      <c r="D438" s="1116"/>
      <c r="E438" s="1116"/>
      <c r="F438" s="1116"/>
      <c r="G438" s="1116"/>
      <c r="H438" s="1116"/>
      <c r="I438" s="1116"/>
      <c r="J438" s="1116"/>
      <c r="K438" s="1116"/>
      <c r="L438" s="1116"/>
      <c r="M438" s="1116"/>
      <c r="N438" s="1116"/>
      <c r="O438" s="1116"/>
      <c r="P438" s="1116"/>
      <c r="Q438" s="1116"/>
      <c r="R438" s="1116"/>
      <c r="S438" s="1116"/>
      <c r="T438" s="1116"/>
      <c r="U438" s="1116"/>
      <c r="V438" s="1116"/>
      <c r="W438" s="1116"/>
      <c r="X438" s="1116"/>
      <c r="Y438" s="1116"/>
      <c r="Z438" s="1116"/>
      <c r="AA438" s="1116"/>
      <c r="AB438" s="1116"/>
      <c r="AC438" s="1116"/>
      <c r="AD438" s="1116"/>
      <c r="AE438" s="1116"/>
      <c r="AF438" s="1116"/>
      <c r="AG438" s="1116"/>
      <c r="AI438" s="943"/>
      <c r="AJ438" s="943"/>
      <c r="AK438" s="943"/>
      <c r="AL438" s="943"/>
      <c r="AM438" s="943"/>
      <c r="AN438" s="943"/>
      <c r="AO438" s="943"/>
      <c r="AP438" s="943"/>
      <c r="AQ438" s="943"/>
    </row>
    <row r="439" spans="1:43" s="633" customFormat="1" hidden="1" x14ac:dyDescent="0.2">
      <c r="A439" s="942"/>
      <c r="AI439" s="943"/>
      <c r="AJ439" s="943"/>
      <c r="AK439" s="943"/>
      <c r="AL439" s="943"/>
      <c r="AM439" s="943"/>
      <c r="AN439" s="943"/>
      <c r="AO439" s="943"/>
      <c r="AP439" s="943"/>
      <c r="AQ439" s="943"/>
    </row>
    <row r="440" spans="1:43" s="633" customFormat="1" hidden="1" x14ac:dyDescent="0.2">
      <c r="A440" s="942"/>
      <c r="D440" s="1116" t="s">
        <v>1955</v>
      </c>
      <c r="E440" s="1116"/>
      <c r="F440" s="1116"/>
      <c r="G440" s="1116"/>
      <c r="H440" s="1116"/>
      <c r="I440" s="1116"/>
      <c r="J440" s="1116"/>
      <c r="K440" s="1116"/>
      <c r="L440" s="1116"/>
      <c r="M440" s="1116"/>
      <c r="N440" s="1116"/>
      <c r="O440" s="1116"/>
      <c r="P440" s="1116"/>
      <c r="Q440" s="1116"/>
      <c r="R440" s="1116"/>
      <c r="S440" s="1116"/>
      <c r="T440" s="1116"/>
      <c r="U440" s="1116"/>
      <c r="V440" s="1116"/>
      <c r="W440" s="1116"/>
      <c r="X440" s="1116"/>
      <c r="Y440" s="1116"/>
      <c r="Z440" s="1116"/>
      <c r="AA440" s="1116"/>
      <c r="AB440" s="1116"/>
      <c r="AC440" s="1116"/>
      <c r="AD440" s="1116"/>
      <c r="AE440" s="1116"/>
      <c r="AF440" s="1116"/>
      <c r="AG440" s="1116"/>
      <c r="AI440" s="943"/>
      <c r="AJ440" s="943"/>
      <c r="AK440" s="943"/>
      <c r="AL440" s="943"/>
      <c r="AM440" s="943"/>
      <c r="AN440" s="943"/>
      <c r="AO440" s="943"/>
      <c r="AP440" s="943"/>
      <c r="AQ440" s="943"/>
    </row>
    <row r="441" spans="1:43" s="633" customFormat="1" hidden="1" x14ac:dyDescent="0.2">
      <c r="A441" s="942"/>
      <c r="D441" s="1116"/>
      <c r="E441" s="1116"/>
      <c r="F441" s="1116"/>
      <c r="G441" s="1116"/>
      <c r="H441" s="1116"/>
      <c r="I441" s="1116"/>
      <c r="J441" s="1116"/>
      <c r="K441" s="1116"/>
      <c r="L441" s="1116"/>
      <c r="M441" s="1116"/>
      <c r="N441" s="1116"/>
      <c r="O441" s="1116"/>
      <c r="P441" s="1116"/>
      <c r="Q441" s="1116"/>
      <c r="R441" s="1116"/>
      <c r="S441" s="1116"/>
      <c r="T441" s="1116"/>
      <c r="U441" s="1116"/>
      <c r="V441" s="1116"/>
      <c r="W441" s="1116"/>
      <c r="X441" s="1116"/>
      <c r="Y441" s="1116"/>
      <c r="Z441" s="1116"/>
      <c r="AA441" s="1116"/>
      <c r="AB441" s="1116"/>
      <c r="AC441" s="1116"/>
      <c r="AD441" s="1116"/>
      <c r="AE441" s="1116"/>
      <c r="AF441" s="1116"/>
      <c r="AG441" s="1116"/>
      <c r="AI441" s="943"/>
      <c r="AJ441" s="943"/>
      <c r="AK441" s="943"/>
      <c r="AL441" s="943"/>
      <c r="AM441" s="943"/>
      <c r="AN441" s="943"/>
      <c r="AO441" s="943"/>
      <c r="AP441" s="943"/>
      <c r="AQ441" s="943"/>
    </row>
    <row r="442" spans="1:43" s="633" customFormat="1" hidden="1" x14ac:dyDescent="0.2">
      <c r="A442" s="942"/>
      <c r="AI442" s="943"/>
      <c r="AJ442" s="943"/>
      <c r="AK442" s="943"/>
      <c r="AL442" s="943"/>
      <c r="AM442" s="943"/>
      <c r="AN442" s="943"/>
      <c r="AO442" s="943"/>
      <c r="AP442" s="943"/>
      <c r="AQ442" s="943"/>
    </row>
    <row r="443" spans="1:43" s="633" customFormat="1" hidden="1" x14ac:dyDescent="0.2">
      <c r="A443" s="942"/>
      <c r="D443" s="1116" t="s">
        <v>1472</v>
      </c>
      <c r="E443" s="1116"/>
      <c r="F443" s="1116"/>
      <c r="G443" s="1116"/>
      <c r="H443" s="1116"/>
      <c r="I443" s="1116"/>
      <c r="J443" s="1116"/>
      <c r="K443" s="1116"/>
      <c r="L443" s="1116"/>
      <c r="M443" s="1116"/>
      <c r="N443" s="1116"/>
      <c r="O443" s="1116"/>
      <c r="P443" s="1116"/>
      <c r="Q443" s="1116"/>
      <c r="R443" s="1116"/>
      <c r="S443" s="1116"/>
      <c r="T443" s="1116"/>
      <c r="U443" s="1116"/>
      <c r="V443" s="1116"/>
      <c r="W443" s="1116"/>
      <c r="X443" s="1116"/>
      <c r="Y443" s="1116"/>
      <c r="Z443" s="1116"/>
      <c r="AA443" s="1116"/>
      <c r="AB443" s="1116"/>
      <c r="AC443" s="1116"/>
      <c r="AD443" s="1116"/>
      <c r="AE443" s="1116"/>
      <c r="AF443" s="1116"/>
      <c r="AG443" s="1116"/>
      <c r="AI443" s="943"/>
      <c r="AJ443" s="943"/>
      <c r="AK443" s="943"/>
      <c r="AL443" s="943"/>
      <c r="AM443" s="943"/>
      <c r="AN443" s="943"/>
      <c r="AO443" s="943"/>
      <c r="AP443" s="943"/>
      <c r="AQ443" s="943"/>
    </row>
    <row r="444" spans="1:43" s="633" customFormat="1" ht="15" hidden="1" thickBot="1" x14ac:dyDescent="0.25">
      <c r="A444" s="942"/>
      <c r="AI444" s="943"/>
      <c r="AJ444" s="943"/>
      <c r="AK444" s="943"/>
      <c r="AL444" s="943"/>
      <c r="AM444" s="943"/>
      <c r="AN444" s="943"/>
      <c r="AO444" s="943"/>
      <c r="AP444" s="943"/>
      <c r="AQ444" s="943"/>
    </row>
    <row r="445" spans="1:43" s="643" customFormat="1" ht="47.25" hidden="1" customHeight="1" thickTop="1" thickBot="1" x14ac:dyDescent="0.3">
      <c r="A445" s="970">
        <v>10</v>
      </c>
      <c r="D445" s="1120" t="s">
        <v>1473</v>
      </c>
      <c r="E445" s="1120"/>
      <c r="F445" s="1120"/>
      <c r="G445" s="1120"/>
      <c r="H445" s="1120"/>
      <c r="I445" s="1120"/>
      <c r="J445" s="1214" t="s">
        <v>71</v>
      </c>
      <c r="K445" s="1215"/>
      <c r="L445" s="1215"/>
      <c r="M445" s="1215"/>
      <c r="N445" s="1214" t="s">
        <v>450</v>
      </c>
      <c r="O445" s="1215"/>
      <c r="P445" s="1215"/>
      <c r="Q445" s="1216"/>
      <c r="R445" s="1214" t="s">
        <v>72</v>
      </c>
      <c r="S445" s="1215"/>
      <c r="T445" s="1215"/>
      <c r="U445" s="1216"/>
      <c r="V445" s="1120" t="s">
        <v>73</v>
      </c>
      <c r="W445" s="1120"/>
      <c r="X445" s="1120"/>
      <c r="Y445" s="1120"/>
      <c r="Z445" s="1120" t="s">
        <v>451</v>
      </c>
      <c r="AA445" s="1120"/>
      <c r="AB445" s="1120"/>
      <c r="AC445" s="1120"/>
      <c r="AD445" s="1120" t="s">
        <v>79</v>
      </c>
      <c r="AE445" s="1120"/>
      <c r="AF445" s="1120"/>
      <c r="AG445" s="1120"/>
      <c r="AI445" s="59" t="s">
        <v>450</v>
      </c>
      <c r="AJ445" s="59" t="s">
        <v>72</v>
      </c>
      <c r="AK445" s="59" t="s">
        <v>73</v>
      </c>
      <c r="AL445" s="933" t="s">
        <v>451</v>
      </c>
      <c r="AM445" s="59" t="s">
        <v>79</v>
      </c>
      <c r="AN445" s="971"/>
      <c r="AO445" s="971"/>
      <c r="AP445" s="971"/>
      <c r="AQ445" s="971"/>
    </row>
    <row r="446" spans="1:43" s="643" customFormat="1" ht="33.75" hidden="1" customHeight="1" thickBot="1" x14ac:dyDescent="0.25">
      <c r="A446" s="970"/>
      <c r="D446" s="1364" t="s">
        <v>74</v>
      </c>
      <c r="E446" s="1364"/>
      <c r="F446" s="1364"/>
      <c r="G446" s="1364"/>
      <c r="H446" s="1364"/>
      <c r="I446" s="1364"/>
      <c r="J446" s="1311"/>
      <c r="K446" s="1312"/>
      <c r="L446" s="1312"/>
      <c r="M446" s="1312"/>
      <c r="N446" s="1316"/>
      <c r="O446" s="1251"/>
      <c r="P446" s="1251"/>
      <c r="Q446" s="1252"/>
      <c r="R446" s="1317"/>
      <c r="S446" s="1318"/>
      <c r="T446" s="1318"/>
      <c r="U446" s="1319"/>
      <c r="V446" s="1074"/>
      <c r="W446" s="1074"/>
      <c r="X446" s="1074"/>
      <c r="Y446" s="1074"/>
      <c r="Z446" s="1074"/>
      <c r="AA446" s="1074"/>
      <c r="AB446" s="1074"/>
      <c r="AC446" s="1074"/>
      <c r="AD446" s="1095">
        <f>SUM(J446:AC446)</f>
        <v>0</v>
      </c>
      <c r="AE446" s="1095"/>
      <c r="AF446" s="1095"/>
      <c r="AG446" s="1096"/>
      <c r="AI446" s="954"/>
      <c r="AJ446" s="949"/>
      <c r="AK446" s="949"/>
      <c r="AL446" s="949"/>
      <c r="AM446" s="955">
        <f>SUM(N446:AC446)-AD446</f>
        <v>0</v>
      </c>
      <c r="AN446" s="971"/>
      <c r="AO446" s="971"/>
      <c r="AP446" s="971"/>
      <c r="AQ446" s="971"/>
    </row>
    <row r="447" spans="1:43" s="643" customFormat="1" ht="33.75" hidden="1" customHeight="1" thickBot="1" x14ac:dyDescent="0.25">
      <c r="A447" s="970"/>
      <c r="D447" s="1364" t="s">
        <v>1924</v>
      </c>
      <c r="E447" s="1364"/>
      <c r="F447" s="1364"/>
      <c r="G447" s="1364"/>
      <c r="H447" s="1364"/>
      <c r="I447" s="1364"/>
      <c r="J447" s="1309"/>
      <c r="K447" s="1310"/>
      <c r="L447" s="1310"/>
      <c r="M447" s="1310"/>
      <c r="N447" s="1091"/>
      <c r="O447" s="1061"/>
      <c r="P447" s="1061"/>
      <c r="Q447" s="1062"/>
      <c r="R447" s="1241"/>
      <c r="S447" s="1241"/>
      <c r="T447" s="1241"/>
      <c r="U447" s="1241"/>
      <c r="V447" s="1241"/>
      <c r="W447" s="1241"/>
      <c r="X447" s="1241"/>
      <c r="Y447" s="1241"/>
      <c r="Z447" s="1241"/>
      <c r="AA447" s="1241"/>
      <c r="AB447" s="1241"/>
      <c r="AC447" s="1241"/>
      <c r="AD447" s="1095">
        <f t="shared" ref="AD447:AD449" si="243">SUM(J447:AC447)</f>
        <v>0</v>
      </c>
      <c r="AE447" s="1095"/>
      <c r="AF447" s="1095"/>
      <c r="AG447" s="1096"/>
      <c r="AI447" s="954"/>
      <c r="AJ447" s="949"/>
      <c r="AK447" s="949"/>
      <c r="AL447" s="949"/>
      <c r="AM447" s="955">
        <f>SUM(N447:AC447)-AD447</f>
        <v>0</v>
      </c>
      <c r="AN447" s="971"/>
      <c r="AO447" s="971"/>
      <c r="AP447" s="971"/>
      <c r="AQ447" s="971"/>
    </row>
    <row r="448" spans="1:43" s="643" customFormat="1" ht="33.75" hidden="1" customHeight="1" thickBot="1" x14ac:dyDescent="0.25">
      <c r="A448" s="970"/>
      <c r="D448" s="1364" t="s">
        <v>1925</v>
      </c>
      <c r="E448" s="1364"/>
      <c r="F448" s="1364"/>
      <c r="G448" s="1364"/>
      <c r="H448" s="1364"/>
      <c r="I448" s="1364"/>
      <c r="J448" s="1309"/>
      <c r="K448" s="1310"/>
      <c r="L448" s="1310"/>
      <c r="M448" s="1310"/>
      <c r="N448" s="1091"/>
      <c r="O448" s="1061"/>
      <c r="P448" s="1061"/>
      <c r="Q448" s="1062"/>
      <c r="R448" s="1241"/>
      <c r="S448" s="1241"/>
      <c r="T448" s="1241"/>
      <c r="U448" s="1241"/>
      <c r="V448" s="1241"/>
      <c r="W448" s="1241"/>
      <c r="X448" s="1241"/>
      <c r="Y448" s="1241"/>
      <c r="Z448" s="1241"/>
      <c r="AA448" s="1241"/>
      <c r="AB448" s="1241"/>
      <c r="AC448" s="1241"/>
      <c r="AD448" s="1095">
        <f t="shared" si="243"/>
        <v>0</v>
      </c>
      <c r="AE448" s="1095"/>
      <c r="AF448" s="1095"/>
      <c r="AG448" s="1096"/>
      <c r="AI448" s="954"/>
      <c r="AJ448" s="949"/>
      <c r="AK448" s="949"/>
      <c r="AL448" s="949"/>
      <c r="AM448" s="955">
        <f>SUM(N448:AC448)-AD448</f>
        <v>0</v>
      </c>
      <c r="AN448" s="971"/>
      <c r="AO448" s="971"/>
      <c r="AP448" s="971"/>
      <c r="AQ448" s="971"/>
    </row>
    <row r="449" spans="1:43" s="643" customFormat="1" ht="33.75" hidden="1" customHeight="1" thickBot="1" x14ac:dyDescent="0.25">
      <c r="A449" s="970"/>
      <c r="D449" s="1364" t="s">
        <v>77</v>
      </c>
      <c r="E449" s="1364"/>
      <c r="F449" s="1364"/>
      <c r="G449" s="1364"/>
      <c r="H449" s="1364"/>
      <c r="I449" s="1364"/>
      <c r="J449" s="1309"/>
      <c r="K449" s="1310"/>
      <c r="L449" s="1310"/>
      <c r="M449" s="1310"/>
      <c r="N449" s="1091"/>
      <c r="O449" s="1061"/>
      <c r="P449" s="1061"/>
      <c r="Q449" s="1062"/>
      <c r="R449" s="1241"/>
      <c r="S449" s="1241"/>
      <c r="T449" s="1241"/>
      <c r="U449" s="1241"/>
      <c r="V449" s="1241"/>
      <c r="W449" s="1241"/>
      <c r="X449" s="1241"/>
      <c r="Y449" s="1241"/>
      <c r="Z449" s="1241"/>
      <c r="AA449" s="1241"/>
      <c r="AB449" s="1241"/>
      <c r="AC449" s="1241"/>
      <c r="AD449" s="1095">
        <f t="shared" si="243"/>
        <v>0</v>
      </c>
      <c r="AE449" s="1095"/>
      <c r="AF449" s="1095"/>
      <c r="AG449" s="1096"/>
      <c r="AI449" s="954"/>
      <c r="AJ449" s="949"/>
      <c r="AK449" s="949"/>
      <c r="AL449" s="949"/>
      <c r="AM449" s="955">
        <f>SUM(N449:AC449)-AD449</f>
        <v>0</v>
      </c>
      <c r="AN449" s="971"/>
      <c r="AO449" s="971"/>
      <c r="AP449" s="971"/>
      <c r="AQ449" s="971"/>
    </row>
    <row r="450" spans="1:43" s="643" customFormat="1" ht="33.75" hidden="1" customHeight="1" thickBot="1" x14ac:dyDescent="0.25">
      <c r="A450" s="970"/>
      <c r="D450" s="1344" t="s">
        <v>78</v>
      </c>
      <c r="E450" s="1344"/>
      <c r="F450" s="1344"/>
      <c r="G450" s="1344"/>
      <c r="H450" s="1344"/>
      <c r="I450" s="1344"/>
      <c r="J450" s="1307" t="s">
        <v>18</v>
      </c>
      <c r="K450" s="1308"/>
      <c r="L450" s="1308"/>
      <c r="M450" s="1308"/>
      <c r="N450" s="1313">
        <f>SUM(N446:Q449)</f>
        <v>0</v>
      </c>
      <c r="O450" s="1314"/>
      <c r="P450" s="1314"/>
      <c r="Q450" s="1315"/>
      <c r="R450" s="1313">
        <f>SUM(R446:U449)</f>
        <v>0</v>
      </c>
      <c r="S450" s="1314"/>
      <c r="T450" s="1314"/>
      <c r="U450" s="1315"/>
      <c r="V450" s="1346">
        <f>SUM(V446:Y449)</f>
        <v>0</v>
      </c>
      <c r="W450" s="1346"/>
      <c r="X450" s="1346"/>
      <c r="Y450" s="1346"/>
      <c r="Z450" s="1346">
        <f>SUM(Z446:AC449)</f>
        <v>0</v>
      </c>
      <c r="AA450" s="1346"/>
      <c r="AB450" s="1346"/>
      <c r="AC450" s="1346"/>
      <c r="AD450" s="1346">
        <f>SUM(AD446:AG449)</f>
        <v>0</v>
      </c>
      <c r="AE450" s="1346"/>
      <c r="AF450" s="1346"/>
      <c r="AG450" s="1347"/>
      <c r="AI450" s="959">
        <f>SUM(N446:Q449)-N450</f>
        <v>0</v>
      </c>
      <c r="AJ450" s="960">
        <f>SUM(R446:U449)-R450</f>
        <v>0</v>
      </c>
      <c r="AK450" s="960">
        <f>SUM(V446:Y449)-V450</f>
        <v>0</v>
      </c>
      <c r="AL450" s="960">
        <f>SUM(Z446:AC449)-Z450</f>
        <v>0</v>
      </c>
      <c r="AM450" s="961">
        <f>SUM(AD446:AG449)-AD450</f>
        <v>0</v>
      </c>
      <c r="AN450" s="971"/>
      <c r="AO450" s="971"/>
      <c r="AP450" s="971"/>
      <c r="AQ450" s="971"/>
    </row>
    <row r="451" spans="1:43" s="633" customFormat="1" hidden="1" x14ac:dyDescent="0.2">
      <c r="A451" s="942"/>
      <c r="AI451" s="943"/>
      <c r="AJ451" s="943"/>
      <c r="AK451" s="943"/>
      <c r="AL451" s="943"/>
      <c r="AM451" s="943"/>
      <c r="AN451" s="943"/>
      <c r="AO451" s="943"/>
      <c r="AP451" s="943"/>
      <c r="AQ451" s="943"/>
    </row>
    <row r="452" spans="1:43" s="633" customFormat="1" hidden="1" x14ac:dyDescent="0.2">
      <c r="A452" s="942"/>
      <c r="AI452" s="943"/>
      <c r="AJ452" s="943"/>
      <c r="AK452" s="943"/>
      <c r="AL452" s="943"/>
      <c r="AM452" s="943"/>
      <c r="AN452" s="943"/>
      <c r="AO452" s="943"/>
      <c r="AP452" s="943"/>
      <c r="AQ452" s="943"/>
    </row>
    <row r="453" spans="1:43" s="633" customFormat="1" hidden="1" x14ac:dyDescent="0.2">
      <c r="A453" s="942"/>
      <c r="D453" s="1168" t="s">
        <v>1474</v>
      </c>
      <c r="E453" s="1168"/>
      <c r="F453" s="1168"/>
      <c r="G453" s="1168"/>
      <c r="H453" s="1168"/>
      <c r="I453" s="1168"/>
      <c r="J453" s="1168"/>
      <c r="K453" s="1168"/>
      <c r="L453" s="1168"/>
      <c r="M453" s="1168"/>
      <c r="N453" s="1168"/>
      <c r="O453" s="1168"/>
      <c r="P453" s="1168"/>
      <c r="Q453" s="1168"/>
      <c r="R453" s="1168"/>
      <c r="S453" s="1168"/>
      <c r="T453" s="1168"/>
      <c r="U453" s="1168"/>
      <c r="V453" s="1168"/>
      <c r="W453" s="1168"/>
      <c r="X453" s="1168"/>
      <c r="Y453" s="1168"/>
      <c r="Z453" s="1168"/>
      <c r="AA453" s="1168"/>
      <c r="AB453" s="1168"/>
      <c r="AC453" s="1168"/>
      <c r="AD453" s="1168"/>
      <c r="AE453" s="1168"/>
      <c r="AF453" s="1168"/>
      <c r="AG453" s="1168"/>
      <c r="AI453" s="943"/>
      <c r="AJ453" s="943"/>
      <c r="AK453" s="943"/>
      <c r="AL453" s="943"/>
      <c r="AM453" s="943"/>
      <c r="AN453" s="943"/>
      <c r="AO453" s="943"/>
      <c r="AP453" s="943"/>
      <c r="AQ453" s="943"/>
    </row>
    <row r="454" spans="1:43" s="633" customFormat="1" ht="15" hidden="1" thickBot="1" x14ac:dyDescent="0.25">
      <c r="A454" s="942"/>
      <c r="AI454" s="943"/>
      <c r="AJ454" s="943"/>
      <c r="AK454" s="943"/>
      <c r="AL454" s="943"/>
      <c r="AM454" s="943"/>
      <c r="AN454" s="943"/>
      <c r="AO454" s="943"/>
      <c r="AP454" s="943"/>
      <c r="AQ454" s="943"/>
    </row>
    <row r="455" spans="1:43" s="633" customFormat="1" ht="47.25" hidden="1" customHeight="1" thickTop="1" thickBot="1" x14ac:dyDescent="0.25">
      <c r="A455" s="942">
        <v>11</v>
      </c>
      <c r="D455" s="1120" t="s">
        <v>81</v>
      </c>
      <c r="E455" s="1120"/>
      <c r="F455" s="1120"/>
      <c r="G455" s="1120"/>
      <c r="H455" s="1120"/>
      <c r="I455" s="1120"/>
      <c r="J455" s="1120"/>
      <c r="K455" s="1120"/>
      <c r="L455" s="1120" t="s">
        <v>450</v>
      </c>
      <c r="M455" s="1120"/>
      <c r="N455" s="1120"/>
      <c r="O455" s="1120"/>
      <c r="P455" s="1120"/>
      <c r="Q455" s="1120" t="s">
        <v>72</v>
      </c>
      <c r="R455" s="1120"/>
      <c r="S455" s="1120"/>
      <c r="T455" s="1120"/>
      <c r="U455" s="1120" t="s">
        <v>73</v>
      </c>
      <c r="V455" s="1120"/>
      <c r="W455" s="1120"/>
      <c r="X455" s="1120"/>
      <c r="Y455" s="1120" t="s">
        <v>453</v>
      </c>
      <c r="Z455" s="1120"/>
      <c r="AA455" s="1120"/>
      <c r="AB455" s="1120"/>
      <c r="AC455" s="1120" t="s">
        <v>30</v>
      </c>
      <c r="AD455" s="1120"/>
      <c r="AE455" s="1120"/>
      <c r="AF455" s="1120"/>
      <c r="AG455" s="1120"/>
      <c r="AI455" s="59" t="s">
        <v>450</v>
      </c>
      <c r="AJ455" s="59" t="s">
        <v>72</v>
      </c>
      <c r="AK455" s="59" t="s">
        <v>73</v>
      </c>
      <c r="AL455" s="59" t="s">
        <v>453</v>
      </c>
      <c r="AM455" s="59" t="s">
        <v>30</v>
      </c>
      <c r="AN455" s="943"/>
      <c r="AO455" s="943"/>
      <c r="AP455" s="943"/>
      <c r="AQ455" s="943"/>
    </row>
    <row r="456" spans="1:43" s="633" customFormat="1" ht="33" hidden="1" customHeight="1" thickBot="1" x14ac:dyDescent="0.25">
      <c r="A456" s="942"/>
      <c r="D456" s="1364" t="s">
        <v>74</v>
      </c>
      <c r="E456" s="1364"/>
      <c r="F456" s="1364"/>
      <c r="G456" s="1364"/>
      <c r="H456" s="1364"/>
      <c r="I456" s="1364"/>
      <c r="J456" s="1364"/>
      <c r="K456" s="1364"/>
      <c r="L456" s="1073"/>
      <c r="M456" s="1074"/>
      <c r="N456" s="1074"/>
      <c r="O456" s="1074"/>
      <c r="P456" s="1074"/>
      <c r="Q456" s="1074"/>
      <c r="R456" s="1074"/>
      <c r="S456" s="1074"/>
      <c r="T456" s="1074"/>
      <c r="U456" s="1074"/>
      <c r="V456" s="1074"/>
      <c r="W456" s="1074"/>
      <c r="X456" s="1074"/>
      <c r="Y456" s="1074"/>
      <c r="Z456" s="1074"/>
      <c r="AA456" s="1074"/>
      <c r="AB456" s="1074"/>
      <c r="AC456" s="1075">
        <f>SUM(L456:AB456)</f>
        <v>0</v>
      </c>
      <c r="AD456" s="1075"/>
      <c r="AE456" s="1075"/>
      <c r="AF456" s="1075"/>
      <c r="AG456" s="1076"/>
      <c r="AI456" s="954"/>
      <c r="AJ456" s="949"/>
      <c r="AK456" s="949"/>
      <c r="AL456" s="949"/>
      <c r="AM456" s="955">
        <f>SUM(L456:AB456)-AC456</f>
        <v>0</v>
      </c>
      <c r="AN456" s="943"/>
      <c r="AO456" s="943"/>
      <c r="AP456" s="943"/>
      <c r="AQ456" s="943"/>
    </row>
    <row r="457" spans="1:43" s="633" customFormat="1" ht="33" hidden="1" customHeight="1" thickBot="1" x14ac:dyDescent="0.25">
      <c r="A457" s="942"/>
      <c r="D457" s="1364" t="s">
        <v>1924</v>
      </c>
      <c r="E457" s="1364"/>
      <c r="F457" s="1364"/>
      <c r="G457" s="1364"/>
      <c r="H457" s="1364"/>
      <c r="I457" s="1364"/>
      <c r="J457" s="1364"/>
      <c r="K457" s="1364"/>
      <c r="L457" s="1048"/>
      <c r="M457" s="1241"/>
      <c r="N457" s="1241"/>
      <c r="O457" s="1241"/>
      <c r="P457" s="1241"/>
      <c r="Q457" s="1241"/>
      <c r="R457" s="1241"/>
      <c r="S457" s="1241"/>
      <c r="T457" s="1241"/>
      <c r="U457" s="1241"/>
      <c r="V457" s="1241"/>
      <c r="W457" s="1241"/>
      <c r="X457" s="1241"/>
      <c r="Y457" s="1241"/>
      <c r="Z457" s="1241"/>
      <c r="AA457" s="1241"/>
      <c r="AB457" s="1241"/>
      <c r="AC457" s="1095">
        <f t="shared" ref="AC457:AC460" si="244">SUM(L457:AB457)</f>
        <v>0</v>
      </c>
      <c r="AD457" s="1095"/>
      <c r="AE457" s="1095"/>
      <c r="AF457" s="1095"/>
      <c r="AG457" s="1096"/>
      <c r="AI457" s="954"/>
      <c r="AJ457" s="949"/>
      <c r="AK457" s="949"/>
      <c r="AL457" s="949"/>
      <c r="AM457" s="955">
        <f t="shared" ref="AM457:AM458" si="245">SUM(L457:AB457)-AC457</f>
        <v>0</v>
      </c>
      <c r="AN457" s="943"/>
      <c r="AO457" s="943"/>
      <c r="AP457" s="943"/>
      <c r="AQ457" s="943"/>
    </row>
    <row r="458" spans="1:43" s="633" customFormat="1" ht="33" hidden="1" customHeight="1" thickBot="1" x14ac:dyDescent="0.25">
      <c r="A458" s="942"/>
      <c r="D458" s="1364" t="s">
        <v>1925</v>
      </c>
      <c r="E458" s="1364"/>
      <c r="F458" s="1364"/>
      <c r="G458" s="1364"/>
      <c r="H458" s="1364"/>
      <c r="I458" s="1364"/>
      <c r="J458" s="1364"/>
      <c r="K458" s="1364"/>
      <c r="L458" s="1048"/>
      <c r="M458" s="1241"/>
      <c r="N458" s="1241"/>
      <c r="O458" s="1241"/>
      <c r="P458" s="1241"/>
      <c r="Q458" s="1241"/>
      <c r="R458" s="1241"/>
      <c r="S458" s="1241"/>
      <c r="T458" s="1241"/>
      <c r="U458" s="1241"/>
      <c r="V458" s="1241"/>
      <c r="W458" s="1241"/>
      <c r="X458" s="1241"/>
      <c r="Y458" s="1241"/>
      <c r="Z458" s="1241"/>
      <c r="AA458" s="1241"/>
      <c r="AB458" s="1241"/>
      <c r="AC458" s="1095">
        <f>SUM(L458:AB458)</f>
        <v>0</v>
      </c>
      <c r="AD458" s="1095"/>
      <c r="AE458" s="1095"/>
      <c r="AF458" s="1095"/>
      <c r="AG458" s="1096"/>
      <c r="AI458" s="954"/>
      <c r="AJ458" s="949"/>
      <c r="AK458" s="949"/>
      <c r="AL458" s="949"/>
      <c r="AM458" s="955">
        <f t="shared" si="245"/>
        <v>0</v>
      </c>
      <c r="AN458" s="943"/>
      <c r="AO458" s="943"/>
      <c r="AP458" s="943"/>
      <c r="AQ458" s="943"/>
    </row>
    <row r="459" spans="1:43" s="633" customFormat="1" ht="33" hidden="1" customHeight="1" thickBot="1" x14ac:dyDescent="0.25">
      <c r="A459" s="942"/>
      <c r="D459" s="1364" t="s">
        <v>77</v>
      </c>
      <c r="E459" s="1364"/>
      <c r="F459" s="1364"/>
      <c r="G459" s="1364"/>
      <c r="H459" s="1364"/>
      <c r="I459" s="1364"/>
      <c r="J459" s="1364"/>
      <c r="K459" s="1364"/>
      <c r="L459" s="1048"/>
      <c r="M459" s="1241"/>
      <c r="N459" s="1241"/>
      <c r="O459" s="1241"/>
      <c r="P459" s="1241"/>
      <c r="Q459" s="1241"/>
      <c r="R459" s="1241"/>
      <c r="S459" s="1241"/>
      <c r="T459" s="1241"/>
      <c r="U459" s="1241"/>
      <c r="V459" s="1241"/>
      <c r="W459" s="1241"/>
      <c r="X459" s="1241"/>
      <c r="Y459" s="1241"/>
      <c r="Z459" s="1241"/>
      <c r="AA459" s="1241"/>
      <c r="AB459" s="1241"/>
      <c r="AC459" s="1095">
        <f t="shared" si="244"/>
        <v>0</v>
      </c>
      <c r="AD459" s="1095"/>
      <c r="AE459" s="1095"/>
      <c r="AF459" s="1095"/>
      <c r="AG459" s="1096"/>
      <c r="AI459" s="954"/>
      <c r="AJ459" s="949"/>
      <c r="AK459" s="949"/>
      <c r="AL459" s="949"/>
      <c r="AM459" s="955">
        <f>SUM(L459:AB459)-AC459</f>
        <v>0</v>
      </c>
      <c r="AN459" s="943"/>
      <c r="AO459" s="943"/>
      <c r="AP459" s="943"/>
      <c r="AQ459" s="943"/>
    </row>
    <row r="460" spans="1:43" s="633" customFormat="1" ht="33" hidden="1" customHeight="1" thickBot="1" x14ac:dyDescent="0.25">
      <c r="A460" s="942"/>
      <c r="D460" s="1344" t="s">
        <v>84</v>
      </c>
      <c r="E460" s="1344"/>
      <c r="F460" s="1344"/>
      <c r="G460" s="1344"/>
      <c r="H460" s="1344"/>
      <c r="I460" s="1344"/>
      <c r="J460" s="1344"/>
      <c r="K460" s="1344"/>
      <c r="L460" s="1345">
        <f>SUM(L456:P459)</f>
        <v>0</v>
      </c>
      <c r="M460" s="1346"/>
      <c r="N460" s="1346"/>
      <c r="O460" s="1346"/>
      <c r="P460" s="1346"/>
      <c r="Q460" s="1346">
        <f>SUM(Q456:T459)</f>
        <v>0</v>
      </c>
      <c r="R460" s="1346"/>
      <c r="S460" s="1346"/>
      <c r="T460" s="1346"/>
      <c r="U460" s="1346">
        <f>SUM(U456:X459)</f>
        <v>0</v>
      </c>
      <c r="V460" s="1346"/>
      <c r="W460" s="1346"/>
      <c r="X460" s="1346"/>
      <c r="Y460" s="1346">
        <f>SUM(Y456:AB459)</f>
        <v>0</v>
      </c>
      <c r="Z460" s="1346"/>
      <c r="AA460" s="1346"/>
      <c r="AB460" s="1346"/>
      <c r="AC460" s="1346">
        <f t="shared" si="244"/>
        <v>0</v>
      </c>
      <c r="AD460" s="1346"/>
      <c r="AE460" s="1346"/>
      <c r="AF460" s="1346"/>
      <c r="AG460" s="1347"/>
      <c r="AI460" s="959">
        <f>SUM(L456:P459)-L460</f>
        <v>0</v>
      </c>
      <c r="AJ460" s="960">
        <f>SUM(Q456:T459)-Q460</f>
        <v>0</v>
      </c>
      <c r="AK460" s="960">
        <f>SUM(U456:X459)-U460</f>
        <v>0</v>
      </c>
      <c r="AL460" s="960">
        <f>SUM(Y456:AB459)-Y460</f>
        <v>0</v>
      </c>
      <c r="AM460" s="961">
        <f>SUM(AC456:AG459)-AC460</f>
        <v>0</v>
      </c>
      <c r="AN460" s="943"/>
      <c r="AO460" s="943"/>
      <c r="AP460" s="943"/>
      <c r="AQ460" s="943"/>
    </row>
    <row r="461" spans="1:43" s="633" customFormat="1" hidden="1" x14ac:dyDescent="0.2">
      <c r="A461" s="942"/>
      <c r="AI461" s="943"/>
      <c r="AJ461" s="943"/>
      <c r="AK461" s="943"/>
      <c r="AL461" s="943"/>
      <c r="AM461" s="943"/>
      <c r="AN461" s="943"/>
      <c r="AO461" s="943"/>
      <c r="AP461" s="943"/>
      <c r="AQ461" s="943"/>
    </row>
    <row r="462" spans="1:43" s="633" customFormat="1" hidden="1" x14ac:dyDescent="0.2">
      <c r="A462" s="942"/>
      <c r="D462" s="1116" t="s">
        <v>1956</v>
      </c>
      <c r="E462" s="1116"/>
      <c r="F462" s="1116"/>
      <c r="G462" s="1116"/>
      <c r="H462" s="1116"/>
      <c r="I462" s="1116"/>
      <c r="J462" s="1116"/>
      <c r="K462" s="1116"/>
      <c r="L462" s="1116"/>
      <c r="M462" s="1116"/>
      <c r="N462" s="1116"/>
      <c r="O462" s="1116"/>
      <c r="P462" s="1116"/>
      <c r="Q462" s="1116"/>
      <c r="R462" s="1116"/>
      <c r="S462" s="1116"/>
      <c r="T462" s="1116"/>
      <c r="U462" s="1116"/>
      <c r="V462" s="1116"/>
      <c r="W462" s="1116"/>
      <c r="X462" s="1116"/>
      <c r="Y462" s="1116"/>
      <c r="Z462" s="1116"/>
      <c r="AA462" s="1116"/>
      <c r="AB462" s="1116"/>
      <c r="AC462" s="1116"/>
      <c r="AD462" s="1116"/>
      <c r="AE462" s="1116"/>
      <c r="AF462" s="1116"/>
      <c r="AG462" s="1116"/>
      <c r="AI462" s="943"/>
      <c r="AJ462" s="943"/>
      <c r="AK462" s="943"/>
      <c r="AL462" s="943"/>
      <c r="AM462" s="943"/>
      <c r="AN462" s="943"/>
      <c r="AO462" s="943"/>
      <c r="AP462" s="943"/>
      <c r="AQ462" s="943"/>
    </row>
    <row r="463" spans="1:43" s="633" customFormat="1" hidden="1" x14ac:dyDescent="0.2">
      <c r="A463" s="942"/>
      <c r="D463" s="1116"/>
      <c r="E463" s="1116"/>
      <c r="F463" s="1116"/>
      <c r="G463" s="1116"/>
      <c r="H463" s="1116"/>
      <c r="I463" s="1116"/>
      <c r="J463" s="1116"/>
      <c r="K463" s="1116"/>
      <c r="L463" s="1116"/>
      <c r="M463" s="1116"/>
      <c r="N463" s="1116"/>
      <c r="O463" s="1116"/>
      <c r="P463" s="1116"/>
      <c r="Q463" s="1116"/>
      <c r="R463" s="1116"/>
      <c r="S463" s="1116"/>
      <c r="T463" s="1116"/>
      <c r="U463" s="1116"/>
      <c r="V463" s="1116"/>
      <c r="W463" s="1116"/>
      <c r="X463" s="1116"/>
      <c r="Y463" s="1116"/>
      <c r="Z463" s="1116"/>
      <c r="AA463" s="1116"/>
      <c r="AB463" s="1116"/>
      <c r="AC463" s="1116"/>
      <c r="AD463" s="1116"/>
      <c r="AE463" s="1116"/>
      <c r="AF463" s="1116"/>
      <c r="AG463" s="1116"/>
      <c r="AI463" s="943"/>
      <c r="AJ463" s="943"/>
      <c r="AK463" s="943"/>
      <c r="AL463" s="943"/>
      <c r="AM463" s="943"/>
      <c r="AN463" s="943"/>
      <c r="AO463" s="943"/>
      <c r="AP463" s="943"/>
      <c r="AQ463" s="943"/>
    </row>
    <row r="464" spans="1:43" s="633" customFormat="1" hidden="1" x14ac:dyDescent="0.2">
      <c r="A464" s="942"/>
      <c r="AI464" s="943"/>
      <c r="AJ464" s="943"/>
      <c r="AK464" s="943"/>
      <c r="AL464" s="943"/>
      <c r="AM464" s="943"/>
      <c r="AN464" s="943"/>
      <c r="AO464" s="943"/>
      <c r="AP464" s="943"/>
      <c r="AQ464" s="943"/>
    </row>
    <row r="465" spans="1:43" s="633" customFormat="1" hidden="1" x14ac:dyDescent="0.2">
      <c r="A465" s="942"/>
      <c r="AI465" s="943"/>
      <c r="AJ465" s="943"/>
      <c r="AK465" s="943"/>
      <c r="AL465" s="943"/>
      <c r="AM465" s="943"/>
      <c r="AN465" s="943"/>
      <c r="AO465" s="943"/>
      <c r="AP465" s="943"/>
      <c r="AQ465" s="943"/>
    </row>
    <row r="466" spans="1:43" s="633" customFormat="1" hidden="1" x14ac:dyDescent="0.2">
      <c r="A466" s="942"/>
      <c r="D466" s="632" t="s">
        <v>1480</v>
      </c>
      <c r="AI466" s="943"/>
      <c r="AJ466" s="943"/>
      <c r="AK466" s="943"/>
      <c r="AL466" s="943"/>
      <c r="AM466" s="943"/>
      <c r="AN466" s="943"/>
      <c r="AO466" s="943"/>
      <c r="AP466" s="943"/>
      <c r="AQ466" s="943"/>
    </row>
    <row r="467" spans="1:43" s="633" customFormat="1" hidden="1" x14ac:dyDescent="0.2">
      <c r="A467" s="942"/>
      <c r="AI467" s="943"/>
      <c r="AJ467" s="943"/>
      <c r="AK467" s="943"/>
      <c r="AL467" s="943"/>
      <c r="AM467" s="943"/>
      <c r="AN467" s="943"/>
      <c r="AO467" s="943"/>
      <c r="AP467" s="943"/>
      <c r="AQ467" s="943"/>
    </row>
    <row r="468" spans="1:43" s="633" customFormat="1" hidden="1" x14ac:dyDescent="0.2">
      <c r="A468" s="942"/>
      <c r="D468" s="1116" t="s">
        <v>1475</v>
      </c>
      <c r="E468" s="1116"/>
      <c r="F468" s="1116"/>
      <c r="G468" s="1116"/>
      <c r="H468" s="1116"/>
      <c r="I468" s="1116"/>
      <c r="J468" s="1116"/>
      <c r="K468" s="1116"/>
      <c r="L468" s="1116"/>
      <c r="M468" s="1116"/>
      <c r="N468" s="1116"/>
      <c r="O468" s="1116"/>
      <c r="P468" s="1116"/>
      <c r="Q468" s="1116"/>
      <c r="R468" s="1116"/>
      <c r="S468" s="1116"/>
      <c r="T468" s="1116"/>
      <c r="U468" s="1116"/>
      <c r="V468" s="1116"/>
      <c r="W468" s="1116"/>
      <c r="X468" s="1116"/>
      <c r="Y468" s="1116"/>
      <c r="Z468" s="1116"/>
      <c r="AA468" s="1116"/>
      <c r="AB468" s="1116"/>
      <c r="AC468" s="1116"/>
      <c r="AD468" s="1116"/>
      <c r="AE468" s="1116"/>
      <c r="AF468" s="1116"/>
      <c r="AG468" s="1116"/>
      <c r="AI468" s="943"/>
      <c r="AJ468" s="943"/>
      <c r="AK468" s="943"/>
      <c r="AL468" s="943"/>
      <c r="AM468" s="943"/>
      <c r="AN468" s="943"/>
      <c r="AO468" s="943"/>
      <c r="AP468" s="943"/>
      <c r="AQ468" s="943"/>
    </row>
    <row r="469" spans="1:43" s="633" customFormat="1" hidden="1" x14ac:dyDescent="0.2">
      <c r="A469" s="942"/>
      <c r="D469" s="1116"/>
      <c r="E469" s="1116"/>
      <c r="F469" s="1116"/>
      <c r="G469" s="1116"/>
      <c r="H469" s="1116"/>
      <c r="I469" s="1116"/>
      <c r="J469" s="1116"/>
      <c r="K469" s="1116"/>
      <c r="L469" s="1116"/>
      <c r="M469" s="1116"/>
      <c r="N469" s="1116"/>
      <c r="O469" s="1116"/>
      <c r="P469" s="1116"/>
      <c r="Q469" s="1116"/>
      <c r="R469" s="1116"/>
      <c r="S469" s="1116"/>
      <c r="T469" s="1116"/>
      <c r="U469" s="1116"/>
      <c r="V469" s="1116"/>
      <c r="W469" s="1116"/>
      <c r="X469" s="1116"/>
      <c r="Y469" s="1116"/>
      <c r="Z469" s="1116"/>
      <c r="AA469" s="1116"/>
      <c r="AB469" s="1116"/>
      <c r="AC469" s="1116"/>
      <c r="AD469" s="1116"/>
      <c r="AE469" s="1116"/>
      <c r="AF469" s="1116"/>
      <c r="AG469" s="1116"/>
      <c r="AI469" s="943"/>
      <c r="AJ469" s="943"/>
      <c r="AK469" s="943"/>
      <c r="AL469" s="943"/>
      <c r="AM469" s="943"/>
      <c r="AN469" s="943"/>
      <c r="AO469" s="943"/>
      <c r="AP469" s="943"/>
      <c r="AQ469" s="943"/>
    </row>
    <row r="470" spans="1:43" s="633" customFormat="1" hidden="1" x14ac:dyDescent="0.2">
      <c r="A470" s="942"/>
      <c r="AI470" s="943"/>
      <c r="AJ470" s="943"/>
      <c r="AK470" s="943"/>
      <c r="AL470" s="943"/>
      <c r="AM470" s="943"/>
      <c r="AN470" s="943"/>
      <c r="AO470" s="943"/>
      <c r="AP470" s="943"/>
      <c r="AQ470" s="943"/>
    </row>
    <row r="471" spans="1:43" s="633" customFormat="1" hidden="1" x14ac:dyDescent="0.2">
      <c r="A471" s="942"/>
      <c r="D471" s="1183" t="s">
        <v>1476</v>
      </c>
      <c r="E471" s="1183"/>
      <c r="F471" s="1183"/>
      <c r="G471" s="1183"/>
      <c r="H471" s="1183"/>
      <c r="I471" s="1183"/>
      <c r="J471" s="1183"/>
      <c r="K471" s="1183"/>
      <c r="L471" s="1183"/>
      <c r="M471" s="1183"/>
      <c r="N471" s="1183"/>
      <c r="O471" s="1183"/>
      <c r="P471" s="1183"/>
      <c r="Q471" s="1183"/>
      <c r="R471" s="1183"/>
      <c r="S471" s="1183"/>
      <c r="T471" s="1183"/>
      <c r="U471" s="1183"/>
      <c r="V471" s="1183"/>
      <c r="W471" s="1183"/>
      <c r="X471" s="1183"/>
      <c r="Y471" s="1183"/>
      <c r="Z471" s="1183"/>
      <c r="AA471" s="1183"/>
      <c r="AB471" s="1183"/>
      <c r="AC471" s="1183"/>
      <c r="AD471" s="1183"/>
      <c r="AE471" s="1183"/>
      <c r="AF471" s="1183"/>
      <c r="AG471" s="1183"/>
      <c r="AI471" s="943"/>
      <c r="AJ471" s="943"/>
      <c r="AK471" s="943"/>
      <c r="AL471" s="943"/>
      <c r="AM471" s="943"/>
      <c r="AN471" s="943"/>
      <c r="AO471" s="943"/>
      <c r="AP471" s="943"/>
      <c r="AQ471" s="943"/>
    </row>
    <row r="472" spans="1:43" s="633" customFormat="1" ht="15" hidden="1" thickBot="1" x14ac:dyDescent="0.25">
      <c r="A472" s="942"/>
      <c r="AI472" s="943"/>
      <c r="AJ472" s="943"/>
      <c r="AK472" s="943"/>
      <c r="AL472" s="943"/>
      <c r="AM472" s="943"/>
      <c r="AN472" s="943"/>
      <c r="AO472" s="943"/>
      <c r="AP472" s="943"/>
      <c r="AQ472" s="943"/>
    </row>
    <row r="473" spans="1:43" s="633" customFormat="1" ht="15.75" hidden="1" customHeight="1" thickBot="1" x14ac:dyDescent="0.25">
      <c r="A473" s="942">
        <v>12</v>
      </c>
      <c r="D473" s="1138" t="s">
        <v>86</v>
      </c>
      <c r="E473" s="1138"/>
      <c r="F473" s="1138"/>
      <c r="G473" s="1138"/>
      <c r="H473" s="1138"/>
      <c r="I473" s="1138" t="s">
        <v>2</v>
      </c>
      <c r="J473" s="1138"/>
      <c r="K473" s="1138"/>
      <c r="L473" s="1138"/>
      <c r="M473" s="1138"/>
      <c r="N473" s="1138"/>
      <c r="O473" s="1138"/>
      <c r="P473" s="1138"/>
      <c r="Q473" s="1138"/>
      <c r="R473" s="1138"/>
      <c r="S473" s="1138"/>
      <c r="T473" s="1138"/>
      <c r="U473" s="1138"/>
      <c r="V473" s="1138"/>
      <c r="W473" s="1138"/>
      <c r="X473" s="1138"/>
      <c r="Y473" s="1138"/>
      <c r="Z473" s="1138"/>
      <c r="AA473" s="1138"/>
      <c r="AB473" s="1138"/>
      <c r="AC473" s="1138"/>
      <c r="AD473" s="1138"/>
      <c r="AE473" s="1138"/>
      <c r="AF473" s="1138"/>
      <c r="AG473" s="1138"/>
      <c r="AI473" s="943"/>
      <c r="AJ473" s="943"/>
      <c r="AK473" s="943"/>
      <c r="AL473" s="943"/>
      <c r="AM473" s="943"/>
      <c r="AN473" s="943"/>
      <c r="AO473" s="943"/>
      <c r="AP473" s="943"/>
      <c r="AQ473" s="943"/>
    </row>
    <row r="474" spans="1:43" s="633" customFormat="1" ht="47.25" hidden="1" customHeight="1" thickTop="1" thickBot="1" x14ac:dyDescent="0.25">
      <c r="A474" s="942"/>
      <c r="D474" s="1138"/>
      <c r="E474" s="1138"/>
      <c r="F474" s="1138"/>
      <c r="G474" s="1138"/>
      <c r="H474" s="1138"/>
      <c r="I474" s="1120" t="s">
        <v>87</v>
      </c>
      <c r="J474" s="1120"/>
      <c r="K474" s="1120"/>
      <c r="L474" s="1120"/>
      <c r="M474" s="1120"/>
      <c r="N474" s="1120" t="s">
        <v>455</v>
      </c>
      <c r="O474" s="1120"/>
      <c r="P474" s="1120"/>
      <c r="Q474" s="1120"/>
      <c r="R474" s="1120"/>
      <c r="S474" s="1120" t="s">
        <v>459</v>
      </c>
      <c r="T474" s="1120"/>
      <c r="U474" s="1120"/>
      <c r="V474" s="1120"/>
      <c r="W474" s="1120"/>
      <c r="X474" s="1120" t="s">
        <v>457</v>
      </c>
      <c r="Y474" s="1120"/>
      <c r="Z474" s="1120"/>
      <c r="AA474" s="1120"/>
      <c r="AB474" s="1120"/>
      <c r="AC474" s="1120" t="s">
        <v>89</v>
      </c>
      <c r="AD474" s="1120"/>
      <c r="AE474" s="1120"/>
      <c r="AF474" s="1120"/>
      <c r="AG474" s="1120"/>
      <c r="AI474" s="934" t="s">
        <v>87</v>
      </c>
      <c r="AJ474" s="937" t="s">
        <v>456</v>
      </c>
      <c r="AK474" s="934" t="s">
        <v>459</v>
      </c>
      <c r="AL474" s="937" t="s">
        <v>457</v>
      </c>
      <c r="AM474" s="934" t="s">
        <v>89</v>
      </c>
      <c r="AN474" s="943"/>
      <c r="AO474" s="59" t="s">
        <v>89</v>
      </c>
      <c r="AP474" s="943"/>
      <c r="AQ474" s="943"/>
    </row>
    <row r="475" spans="1:43" s="633" customFormat="1" ht="28.5" hidden="1" customHeight="1" thickBot="1" x14ac:dyDescent="0.25">
      <c r="A475" s="942"/>
      <c r="D475" s="1361" t="s">
        <v>90</v>
      </c>
      <c r="E475" s="1361"/>
      <c r="F475" s="1361"/>
      <c r="G475" s="1361"/>
      <c r="H475" s="1361"/>
      <c r="I475" s="1073"/>
      <c r="J475" s="1074"/>
      <c r="K475" s="1074"/>
      <c r="L475" s="1074"/>
      <c r="M475" s="1074"/>
      <c r="N475" s="1074"/>
      <c r="O475" s="1074"/>
      <c r="P475" s="1074"/>
      <c r="Q475" s="1074"/>
      <c r="R475" s="1074"/>
      <c r="S475" s="1074"/>
      <c r="T475" s="1074"/>
      <c r="U475" s="1074"/>
      <c r="V475" s="1074"/>
      <c r="W475" s="1074"/>
      <c r="X475" s="1074"/>
      <c r="Y475" s="1074"/>
      <c r="Z475" s="1074"/>
      <c r="AA475" s="1074"/>
      <c r="AB475" s="1074"/>
      <c r="AC475" s="1075">
        <f>SUM(I475:AB475)</f>
        <v>0</v>
      </c>
      <c r="AD475" s="1075"/>
      <c r="AE475" s="1075"/>
      <c r="AF475" s="1075"/>
      <c r="AG475" s="1076"/>
      <c r="AI475" s="951"/>
      <c r="AJ475" s="952"/>
      <c r="AK475" s="952"/>
      <c r="AL475" s="952"/>
      <c r="AM475" s="972">
        <f>SUM(I475:AB475)-AC475</f>
        <v>0</v>
      </c>
      <c r="AN475" s="943"/>
      <c r="AO475" s="973">
        <f>AC475-BS!E41</f>
        <v>0</v>
      </c>
      <c r="AP475" s="943"/>
      <c r="AQ475" s="943"/>
    </row>
    <row r="476" spans="1:43" s="633" customFormat="1" ht="34.5" hidden="1" customHeight="1" thickBot="1" x14ac:dyDescent="0.25">
      <c r="A476" s="942"/>
      <c r="D476" s="1361" t="s">
        <v>98</v>
      </c>
      <c r="E476" s="1361"/>
      <c r="F476" s="1361"/>
      <c r="G476" s="1361"/>
      <c r="H476" s="1361"/>
      <c r="I476" s="1048"/>
      <c r="J476" s="1241"/>
      <c r="K476" s="1241"/>
      <c r="L476" s="1241"/>
      <c r="M476" s="1241"/>
      <c r="N476" s="1241"/>
      <c r="O476" s="1241"/>
      <c r="P476" s="1241"/>
      <c r="Q476" s="1241"/>
      <c r="R476" s="1241"/>
      <c r="S476" s="1241"/>
      <c r="T476" s="1241"/>
      <c r="U476" s="1241"/>
      <c r="V476" s="1241"/>
      <c r="W476" s="1241"/>
      <c r="X476" s="1241"/>
      <c r="Y476" s="1241"/>
      <c r="Z476" s="1241"/>
      <c r="AA476" s="1241"/>
      <c r="AB476" s="1241"/>
      <c r="AC476" s="1095">
        <f t="shared" ref="AC476:AC481" si="246">SUM(I476:AB476)</f>
        <v>0</v>
      </c>
      <c r="AD476" s="1095"/>
      <c r="AE476" s="1095"/>
      <c r="AF476" s="1095"/>
      <c r="AG476" s="1096"/>
      <c r="AI476" s="954"/>
      <c r="AJ476" s="949"/>
      <c r="AK476" s="949"/>
      <c r="AL476" s="949"/>
      <c r="AM476" s="955">
        <f t="shared" ref="AM476:AM481" si="247">SUM(I476:AB476)-AC476</f>
        <v>0</v>
      </c>
      <c r="AN476" s="943"/>
      <c r="AO476" s="973">
        <f>AC476-BS!E42</f>
        <v>0</v>
      </c>
      <c r="AP476" s="943"/>
      <c r="AQ476" s="943"/>
    </row>
    <row r="477" spans="1:43" s="633" customFormat="1" ht="28.5" hidden="1" customHeight="1" thickBot="1" x14ac:dyDescent="0.25">
      <c r="A477" s="942"/>
      <c r="D477" s="1361" t="s">
        <v>91</v>
      </c>
      <c r="E477" s="1361"/>
      <c r="F477" s="1361"/>
      <c r="G477" s="1361"/>
      <c r="H477" s="1361"/>
      <c r="I477" s="1048"/>
      <c r="J477" s="1241"/>
      <c r="K477" s="1241"/>
      <c r="L477" s="1241"/>
      <c r="M477" s="1241"/>
      <c r="N477" s="1241"/>
      <c r="O477" s="1241"/>
      <c r="P477" s="1241"/>
      <c r="Q477" s="1241"/>
      <c r="R477" s="1241"/>
      <c r="S477" s="1241"/>
      <c r="T477" s="1241"/>
      <c r="U477" s="1241"/>
      <c r="V477" s="1241"/>
      <c r="W477" s="1241"/>
      <c r="X477" s="1241"/>
      <c r="Y477" s="1241"/>
      <c r="Z477" s="1241"/>
      <c r="AA477" s="1241"/>
      <c r="AB477" s="1241"/>
      <c r="AC477" s="1095">
        <f t="shared" si="246"/>
        <v>0</v>
      </c>
      <c r="AD477" s="1095"/>
      <c r="AE477" s="1095"/>
      <c r="AF477" s="1095"/>
      <c r="AG477" s="1096"/>
      <c r="AI477" s="954"/>
      <c r="AJ477" s="949"/>
      <c r="AK477" s="949"/>
      <c r="AL477" s="949"/>
      <c r="AM477" s="955">
        <f t="shared" si="247"/>
        <v>0</v>
      </c>
      <c r="AN477" s="943"/>
      <c r="AO477" s="973">
        <f>AC477-BS!E43</f>
        <v>0</v>
      </c>
      <c r="AP477" s="943"/>
      <c r="AQ477" s="943"/>
    </row>
    <row r="478" spans="1:43" s="633" customFormat="1" ht="28.5" hidden="1" customHeight="1" thickBot="1" x14ac:dyDescent="0.25">
      <c r="A478" s="942"/>
      <c r="D478" s="1361" t="s">
        <v>92</v>
      </c>
      <c r="E478" s="1361"/>
      <c r="F478" s="1361"/>
      <c r="G478" s="1361"/>
      <c r="H478" s="1361"/>
      <c r="I478" s="1048"/>
      <c r="J478" s="1241"/>
      <c r="K478" s="1241"/>
      <c r="L478" s="1241"/>
      <c r="M478" s="1241"/>
      <c r="N478" s="1241"/>
      <c r="O478" s="1241"/>
      <c r="P478" s="1241"/>
      <c r="Q478" s="1241"/>
      <c r="R478" s="1241"/>
      <c r="S478" s="1241"/>
      <c r="T478" s="1241"/>
      <c r="U478" s="1241"/>
      <c r="V478" s="1241"/>
      <c r="W478" s="1241"/>
      <c r="X478" s="1241"/>
      <c r="Y478" s="1241"/>
      <c r="Z478" s="1241"/>
      <c r="AA478" s="1241"/>
      <c r="AB478" s="1241"/>
      <c r="AC478" s="1095">
        <f t="shared" si="246"/>
        <v>0</v>
      </c>
      <c r="AD478" s="1095"/>
      <c r="AE478" s="1095"/>
      <c r="AF478" s="1095"/>
      <c r="AG478" s="1096"/>
      <c r="AI478" s="954"/>
      <c r="AJ478" s="949"/>
      <c r="AK478" s="949"/>
      <c r="AL478" s="949"/>
      <c r="AM478" s="955">
        <f t="shared" si="247"/>
        <v>0</v>
      </c>
      <c r="AN478" s="943"/>
      <c r="AO478" s="973">
        <f>AC478-BS!E44</f>
        <v>0</v>
      </c>
      <c r="AP478" s="943"/>
      <c r="AQ478" s="943"/>
    </row>
    <row r="479" spans="1:43" s="633" customFormat="1" ht="28.5" hidden="1" customHeight="1" thickBot="1" x14ac:dyDescent="0.25">
      <c r="A479" s="942"/>
      <c r="D479" s="1361" t="s">
        <v>93</v>
      </c>
      <c r="E479" s="1361"/>
      <c r="F479" s="1361"/>
      <c r="G479" s="1361"/>
      <c r="H479" s="1361"/>
      <c r="I479" s="1048"/>
      <c r="J479" s="1241"/>
      <c r="K479" s="1241"/>
      <c r="L479" s="1241"/>
      <c r="M479" s="1241"/>
      <c r="N479" s="1241"/>
      <c r="O479" s="1241"/>
      <c r="P479" s="1241"/>
      <c r="Q479" s="1241"/>
      <c r="R479" s="1241"/>
      <c r="S479" s="1241"/>
      <c r="T479" s="1241"/>
      <c r="U479" s="1241"/>
      <c r="V479" s="1241"/>
      <c r="W479" s="1241"/>
      <c r="X479" s="1241"/>
      <c r="Y479" s="1241"/>
      <c r="Z479" s="1241"/>
      <c r="AA479" s="1241"/>
      <c r="AB479" s="1241"/>
      <c r="AC479" s="1095">
        <f t="shared" si="246"/>
        <v>0</v>
      </c>
      <c r="AD479" s="1095"/>
      <c r="AE479" s="1095"/>
      <c r="AF479" s="1095"/>
      <c r="AG479" s="1096"/>
      <c r="AI479" s="954"/>
      <c r="AJ479" s="949"/>
      <c r="AK479" s="949"/>
      <c r="AL479" s="949"/>
      <c r="AM479" s="955">
        <f t="shared" si="247"/>
        <v>0</v>
      </c>
      <c r="AN479" s="943"/>
      <c r="AO479" s="973">
        <f>AC479-BS!E45</f>
        <v>0</v>
      </c>
      <c r="AP479" s="943"/>
      <c r="AQ479" s="943"/>
    </row>
    <row r="480" spans="1:43" s="633" customFormat="1" ht="28.5" hidden="1" customHeight="1" thickBot="1" x14ac:dyDescent="0.25">
      <c r="A480" s="942"/>
      <c r="D480" s="1361" t="s">
        <v>94</v>
      </c>
      <c r="E480" s="1361"/>
      <c r="F480" s="1361"/>
      <c r="G480" s="1361"/>
      <c r="H480" s="1361"/>
      <c r="I480" s="1048"/>
      <c r="J480" s="1241"/>
      <c r="K480" s="1241"/>
      <c r="L480" s="1241"/>
      <c r="M480" s="1241"/>
      <c r="N480" s="1241"/>
      <c r="O480" s="1241"/>
      <c r="P480" s="1241"/>
      <c r="Q480" s="1241"/>
      <c r="R480" s="1241"/>
      <c r="S480" s="1241"/>
      <c r="T480" s="1241"/>
      <c r="U480" s="1241"/>
      <c r="V480" s="1241"/>
      <c r="W480" s="1241"/>
      <c r="X480" s="1241"/>
      <c r="Y480" s="1241"/>
      <c r="Z480" s="1241"/>
      <c r="AA480" s="1241"/>
      <c r="AB480" s="1241"/>
      <c r="AC480" s="1095">
        <f t="shared" si="246"/>
        <v>0</v>
      </c>
      <c r="AD480" s="1095"/>
      <c r="AE480" s="1095"/>
      <c r="AF480" s="1095"/>
      <c r="AG480" s="1096"/>
      <c r="AI480" s="954"/>
      <c r="AJ480" s="949"/>
      <c r="AK480" s="949"/>
      <c r="AL480" s="949"/>
      <c r="AM480" s="955">
        <f t="shared" si="247"/>
        <v>0</v>
      </c>
      <c r="AN480" s="943"/>
      <c r="AO480" s="974"/>
      <c r="AP480" s="943"/>
      <c r="AQ480" s="943"/>
    </row>
    <row r="481" spans="1:43" s="633" customFormat="1" ht="28.5" hidden="1" customHeight="1" thickBot="1" x14ac:dyDescent="0.25">
      <c r="A481" s="942"/>
      <c r="D481" s="1361" t="s">
        <v>458</v>
      </c>
      <c r="E481" s="1361"/>
      <c r="F481" s="1361"/>
      <c r="G481" s="1361"/>
      <c r="H481" s="1361"/>
      <c r="I481" s="1048"/>
      <c r="J481" s="1241"/>
      <c r="K481" s="1241"/>
      <c r="L481" s="1241"/>
      <c r="M481" s="1241"/>
      <c r="N481" s="1241"/>
      <c r="O481" s="1241"/>
      <c r="P481" s="1241"/>
      <c r="Q481" s="1241"/>
      <c r="R481" s="1241"/>
      <c r="S481" s="1241"/>
      <c r="T481" s="1241"/>
      <c r="U481" s="1241"/>
      <c r="V481" s="1241"/>
      <c r="W481" s="1241"/>
      <c r="X481" s="1241"/>
      <c r="Y481" s="1241"/>
      <c r="Z481" s="1241"/>
      <c r="AA481" s="1241"/>
      <c r="AB481" s="1241"/>
      <c r="AC481" s="1095">
        <f t="shared" si="246"/>
        <v>0</v>
      </c>
      <c r="AD481" s="1095"/>
      <c r="AE481" s="1095"/>
      <c r="AF481" s="1095"/>
      <c r="AG481" s="1096"/>
      <c r="AI481" s="954"/>
      <c r="AJ481" s="949"/>
      <c r="AK481" s="949"/>
      <c r="AL481" s="949"/>
      <c r="AM481" s="955">
        <f t="shared" si="247"/>
        <v>0</v>
      </c>
      <c r="AN481" s="943"/>
      <c r="AO481" s="973">
        <f>AC481-BS!E46</f>
        <v>0</v>
      </c>
      <c r="AP481" s="943"/>
      <c r="AQ481" s="943"/>
    </row>
    <row r="482" spans="1:43" s="633" customFormat="1" ht="28.5" hidden="1" customHeight="1" thickBot="1" x14ac:dyDescent="0.25">
      <c r="A482" s="942"/>
      <c r="D482" s="1344" t="s">
        <v>95</v>
      </c>
      <c r="E482" s="1344"/>
      <c r="F482" s="1344"/>
      <c r="G482" s="1344"/>
      <c r="H482" s="1344"/>
      <c r="I482" s="1345">
        <f t="shared" ref="I482" si="248">SUM(I475:M481)</f>
        <v>0</v>
      </c>
      <c r="J482" s="1346"/>
      <c r="K482" s="1346"/>
      <c r="L482" s="1346"/>
      <c r="M482" s="1346"/>
      <c r="N482" s="1346">
        <f>SUM(N475:R481)</f>
        <v>0</v>
      </c>
      <c r="O482" s="1346"/>
      <c r="P482" s="1346"/>
      <c r="Q482" s="1346"/>
      <c r="R482" s="1346"/>
      <c r="S482" s="1346">
        <f t="shared" ref="S482" si="249">SUM(S475:W481)</f>
        <v>0</v>
      </c>
      <c r="T482" s="1346"/>
      <c r="U482" s="1346"/>
      <c r="V482" s="1346"/>
      <c r="W482" s="1346"/>
      <c r="X482" s="1346">
        <f t="shared" ref="X482" si="250">SUM(X475:AB481)</f>
        <v>0</v>
      </c>
      <c r="Y482" s="1346"/>
      <c r="Z482" s="1346"/>
      <c r="AA482" s="1346"/>
      <c r="AB482" s="1346"/>
      <c r="AC482" s="1346">
        <f>SUM(AC475:AG481)</f>
        <v>0</v>
      </c>
      <c r="AD482" s="1346"/>
      <c r="AE482" s="1346"/>
      <c r="AF482" s="1346"/>
      <c r="AG482" s="1347"/>
      <c r="AI482" s="959">
        <f>SUM(I475:M481)-I482</f>
        <v>0</v>
      </c>
      <c r="AJ482" s="960">
        <f>SUM(N475:R481)-N482</f>
        <v>0</v>
      </c>
      <c r="AK482" s="960">
        <f>SUM(S475:W481)-S482</f>
        <v>0</v>
      </c>
      <c r="AL482" s="960">
        <f>SUM(X475:AB481)-X482</f>
        <v>0</v>
      </c>
      <c r="AM482" s="961">
        <f>SUM(I482:AB482)-AC482</f>
        <v>0</v>
      </c>
      <c r="AN482" s="943"/>
      <c r="AO482" s="975">
        <f>AC482-BS!E40</f>
        <v>0</v>
      </c>
      <c r="AP482" s="943"/>
      <c r="AQ482" s="943"/>
    </row>
    <row r="483" spans="1:43" s="633" customFormat="1" hidden="1" x14ac:dyDescent="0.2">
      <c r="A483" s="942"/>
      <c r="AI483" s="943"/>
      <c r="AJ483" s="943"/>
      <c r="AK483" s="943"/>
      <c r="AL483" s="943"/>
      <c r="AM483" s="943"/>
      <c r="AN483" s="943"/>
      <c r="AO483" s="943"/>
      <c r="AP483" s="943"/>
      <c r="AQ483" s="943"/>
    </row>
    <row r="484" spans="1:43" s="633" customFormat="1" hidden="1" x14ac:dyDescent="0.2">
      <c r="A484" s="942"/>
      <c r="AI484" s="943"/>
      <c r="AJ484" s="943"/>
      <c r="AK484" s="943"/>
      <c r="AL484" s="943"/>
      <c r="AM484" s="943"/>
      <c r="AN484" s="943"/>
      <c r="AO484" s="943"/>
      <c r="AP484" s="943"/>
      <c r="AQ484" s="943"/>
    </row>
    <row r="485" spans="1:43" s="633" customFormat="1" hidden="1" x14ac:dyDescent="0.2">
      <c r="A485" s="942"/>
      <c r="D485" s="1168" t="s">
        <v>1478</v>
      </c>
      <c r="E485" s="1168"/>
      <c r="F485" s="1168"/>
      <c r="G485" s="1168"/>
      <c r="H485" s="1168"/>
      <c r="I485" s="1168"/>
      <c r="J485" s="1168"/>
      <c r="K485" s="1168"/>
      <c r="L485" s="1168"/>
      <c r="M485" s="1168"/>
      <c r="N485" s="1168"/>
      <c r="O485" s="1168"/>
      <c r="P485" s="1168"/>
      <c r="Q485" s="1168"/>
      <c r="R485" s="1168"/>
      <c r="S485" s="1168"/>
      <c r="T485" s="1168"/>
      <c r="U485" s="1168"/>
      <c r="V485" s="1168"/>
      <c r="W485" s="1168"/>
      <c r="X485" s="1168"/>
      <c r="Y485" s="1168"/>
      <c r="Z485" s="1168"/>
      <c r="AA485" s="1168"/>
      <c r="AB485" s="1168"/>
      <c r="AC485" s="1168"/>
      <c r="AD485" s="1168"/>
      <c r="AE485" s="1168"/>
      <c r="AF485" s="1168"/>
      <c r="AG485" s="1168"/>
      <c r="AI485" s="943"/>
      <c r="AJ485" s="943"/>
      <c r="AK485" s="943"/>
      <c r="AL485" s="943"/>
      <c r="AM485" s="943"/>
      <c r="AN485" s="943"/>
      <c r="AO485" s="943"/>
      <c r="AP485" s="943"/>
      <c r="AQ485" s="943"/>
    </row>
    <row r="486" spans="1:43" s="633" customFormat="1" ht="15" hidden="1" thickBot="1" x14ac:dyDescent="0.25">
      <c r="A486" s="942"/>
      <c r="AI486" s="943"/>
      <c r="AJ486" s="943"/>
      <c r="AK486" s="943"/>
      <c r="AL486" s="943"/>
      <c r="AM486" s="943"/>
      <c r="AN486" s="943"/>
      <c r="AO486" s="943"/>
      <c r="AP486" s="943"/>
      <c r="AQ486" s="943"/>
    </row>
    <row r="487" spans="1:43" s="633" customFormat="1" ht="19.5" hidden="1" customHeight="1" thickBot="1" x14ac:dyDescent="0.25">
      <c r="A487" s="942" t="s">
        <v>1483</v>
      </c>
      <c r="D487" s="1138" t="s">
        <v>94</v>
      </c>
      <c r="E487" s="1138"/>
      <c r="F487" s="1138"/>
      <c r="G487" s="1138"/>
      <c r="H487" s="1138"/>
      <c r="I487" s="1138"/>
      <c r="J487" s="1138"/>
      <c r="K487" s="1138"/>
      <c r="L487" s="1138"/>
      <c r="M487" s="1138"/>
      <c r="N487" s="1138"/>
      <c r="O487" s="1138"/>
      <c r="P487" s="1138"/>
      <c r="Q487" s="1138"/>
      <c r="R487" s="1138"/>
      <c r="S487" s="1138"/>
      <c r="T487" s="1138" t="s">
        <v>63</v>
      </c>
      <c r="U487" s="1138"/>
      <c r="V487" s="1138"/>
      <c r="W487" s="1138"/>
      <c r="X487" s="1138"/>
      <c r="Y487" s="1138"/>
      <c r="Z487" s="1138"/>
      <c r="AA487" s="1138"/>
      <c r="AB487" s="1138"/>
      <c r="AC487" s="1138"/>
      <c r="AD487" s="1138"/>
      <c r="AE487" s="1138"/>
      <c r="AF487" s="1138"/>
      <c r="AG487" s="1138"/>
      <c r="AI487" s="943"/>
      <c r="AJ487" s="943"/>
      <c r="AK487" s="943"/>
      <c r="AL487" s="943"/>
      <c r="AM487" s="943"/>
      <c r="AN487" s="943"/>
      <c r="AO487" s="943"/>
      <c r="AP487" s="943"/>
      <c r="AQ487" s="943"/>
    </row>
    <row r="488" spans="1:43" s="633" customFormat="1" ht="19.5" hidden="1" customHeight="1" x14ac:dyDescent="0.2">
      <c r="A488" s="942"/>
      <c r="D488" s="1255" t="s">
        <v>96</v>
      </c>
      <c r="E488" s="1255"/>
      <c r="F488" s="1255"/>
      <c r="G488" s="1255"/>
      <c r="H488" s="1255"/>
      <c r="I488" s="1255"/>
      <c r="J488" s="1255"/>
      <c r="K488" s="1255"/>
      <c r="L488" s="1255"/>
      <c r="M488" s="1255"/>
      <c r="N488" s="1255"/>
      <c r="O488" s="1255"/>
      <c r="P488" s="1255"/>
      <c r="Q488" s="1255"/>
      <c r="R488" s="1255"/>
      <c r="S488" s="1255"/>
      <c r="T488" s="1256"/>
      <c r="U488" s="1256"/>
      <c r="V488" s="1256"/>
      <c r="W488" s="1256"/>
      <c r="X488" s="1256"/>
      <c r="Y488" s="1256"/>
      <c r="Z488" s="1256"/>
      <c r="AA488" s="1256"/>
      <c r="AB488" s="1256"/>
      <c r="AC488" s="1256"/>
      <c r="AD488" s="1256"/>
      <c r="AE488" s="1256"/>
      <c r="AF488" s="1256"/>
      <c r="AG488" s="1256"/>
      <c r="AI488" s="943"/>
      <c r="AJ488" s="943"/>
      <c r="AK488" s="943"/>
      <c r="AL488" s="943"/>
      <c r="AM488" s="943"/>
      <c r="AN488" s="943"/>
      <c r="AO488" s="943"/>
      <c r="AP488" s="943"/>
      <c r="AQ488" s="943"/>
    </row>
    <row r="489" spans="1:43" s="633" customFormat="1" ht="19.5" hidden="1" customHeight="1" thickBot="1" x14ac:dyDescent="0.25">
      <c r="A489" s="942"/>
      <c r="D489" s="1362" t="s">
        <v>97</v>
      </c>
      <c r="E489" s="1362"/>
      <c r="F489" s="1362"/>
      <c r="G489" s="1362"/>
      <c r="H489" s="1362"/>
      <c r="I489" s="1362"/>
      <c r="J489" s="1362"/>
      <c r="K489" s="1362"/>
      <c r="L489" s="1362"/>
      <c r="M489" s="1362"/>
      <c r="N489" s="1362"/>
      <c r="O489" s="1362"/>
      <c r="P489" s="1362"/>
      <c r="Q489" s="1362"/>
      <c r="R489" s="1362"/>
      <c r="S489" s="1362"/>
      <c r="T489" s="1363"/>
      <c r="U489" s="1363"/>
      <c r="V489" s="1363"/>
      <c r="W489" s="1363"/>
      <c r="X489" s="1363"/>
      <c r="Y489" s="1363"/>
      <c r="Z489" s="1363"/>
      <c r="AA489" s="1363"/>
      <c r="AB489" s="1363"/>
      <c r="AC489" s="1363"/>
      <c r="AD489" s="1363"/>
      <c r="AE489" s="1363"/>
      <c r="AF489" s="1363"/>
      <c r="AG489" s="1363"/>
      <c r="AI489" s="943"/>
      <c r="AJ489" s="943"/>
      <c r="AK489" s="943"/>
      <c r="AL489" s="943"/>
      <c r="AM489" s="943"/>
      <c r="AN489" s="943"/>
      <c r="AO489" s="943"/>
      <c r="AP489" s="943"/>
      <c r="AQ489" s="943"/>
    </row>
    <row r="490" spans="1:43" s="633" customFormat="1" hidden="1" x14ac:dyDescent="0.2">
      <c r="A490" s="942"/>
      <c r="AI490" s="943"/>
      <c r="AJ490" s="943"/>
      <c r="AK490" s="943"/>
      <c r="AL490" s="943"/>
      <c r="AM490" s="943"/>
      <c r="AN490" s="943"/>
      <c r="AO490" s="943"/>
      <c r="AP490" s="943"/>
      <c r="AQ490" s="943"/>
    </row>
    <row r="491" spans="1:43" s="633" customFormat="1" hidden="1" x14ac:dyDescent="0.2">
      <c r="A491" s="942"/>
      <c r="D491" s="1116" t="s">
        <v>1479</v>
      </c>
      <c r="E491" s="1116"/>
      <c r="F491" s="1116"/>
      <c r="G491" s="1116"/>
      <c r="H491" s="1116"/>
      <c r="I491" s="1116"/>
      <c r="J491" s="1116"/>
      <c r="K491" s="1116"/>
      <c r="L491" s="1116"/>
      <c r="M491" s="1116"/>
      <c r="N491" s="1116"/>
      <c r="O491" s="1116"/>
      <c r="P491" s="1116"/>
      <c r="Q491" s="1116"/>
      <c r="R491" s="1116"/>
      <c r="S491" s="1116"/>
      <c r="T491" s="1116"/>
      <c r="U491" s="1116"/>
      <c r="V491" s="1116"/>
      <c r="W491" s="1116"/>
      <c r="X491" s="1116"/>
      <c r="Y491" s="1116"/>
      <c r="Z491" s="1116"/>
      <c r="AA491" s="1116"/>
      <c r="AB491" s="1116"/>
      <c r="AC491" s="1116"/>
      <c r="AD491" s="1116"/>
      <c r="AE491" s="1116"/>
      <c r="AF491" s="1116"/>
      <c r="AG491" s="1116"/>
      <c r="AI491" s="943"/>
      <c r="AJ491" s="943"/>
      <c r="AK491" s="943"/>
      <c r="AL491" s="943"/>
      <c r="AM491" s="943"/>
      <c r="AN491" s="943"/>
      <c r="AO491" s="943"/>
      <c r="AP491" s="943"/>
      <c r="AQ491" s="943"/>
    </row>
    <row r="492" spans="1:43" s="633" customFormat="1" hidden="1" x14ac:dyDescent="0.2">
      <c r="A492" s="942"/>
      <c r="D492" s="1116"/>
      <c r="E492" s="1116"/>
      <c r="F492" s="1116"/>
      <c r="G492" s="1116"/>
      <c r="H492" s="1116"/>
      <c r="I492" s="1116"/>
      <c r="J492" s="1116"/>
      <c r="K492" s="1116"/>
      <c r="L492" s="1116"/>
      <c r="M492" s="1116"/>
      <c r="N492" s="1116"/>
      <c r="O492" s="1116"/>
      <c r="P492" s="1116"/>
      <c r="Q492" s="1116"/>
      <c r="R492" s="1116"/>
      <c r="S492" s="1116"/>
      <c r="T492" s="1116"/>
      <c r="U492" s="1116"/>
      <c r="V492" s="1116"/>
      <c r="W492" s="1116"/>
      <c r="X492" s="1116"/>
      <c r="Y492" s="1116"/>
      <c r="Z492" s="1116"/>
      <c r="AA492" s="1116"/>
      <c r="AB492" s="1116"/>
      <c r="AC492" s="1116"/>
      <c r="AD492" s="1116"/>
      <c r="AE492" s="1116"/>
      <c r="AF492" s="1116"/>
      <c r="AG492" s="1116"/>
      <c r="AI492" s="943"/>
      <c r="AJ492" s="943"/>
      <c r="AK492" s="943"/>
      <c r="AL492" s="943"/>
      <c r="AM492" s="943"/>
      <c r="AN492" s="943"/>
      <c r="AO492" s="943"/>
      <c r="AP492" s="943"/>
      <c r="AQ492" s="943"/>
    </row>
    <row r="493" spans="1:43" s="633" customFormat="1" ht="15" hidden="1" thickBot="1" x14ac:dyDescent="0.25">
      <c r="A493" s="942"/>
      <c r="AI493" s="943"/>
      <c r="AJ493" s="943"/>
      <c r="AK493" s="943"/>
      <c r="AL493" s="943"/>
      <c r="AM493" s="943"/>
      <c r="AN493" s="943"/>
      <c r="AO493" s="943"/>
      <c r="AP493" s="943"/>
      <c r="AQ493" s="943"/>
    </row>
    <row r="494" spans="1:43" s="633" customFormat="1" ht="19.5" hidden="1" customHeight="1" thickBot="1" x14ac:dyDescent="0.25">
      <c r="A494" s="942">
        <v>13</v>
      </c>
      <c r="D494" s="1138" t="s">
        <v>86</v>
      </c>
      <c r="E494" s="1138"/>
      <c r="F494" s="1138"/>
      <c r="G494" s="1138"/>
      <c r="H494" s="1138"/>
      <c r="I494" s="1138"/>
      <c r="J494" s="1138"/>
      <c r="K494" s="1138"/>
      <c r="L494" s="1138"/>
      <c r="M494" s="1138"/>
      <c r="N494" s="1138"/>
      <c r="O494" s="1138"/>
      <c r="P494" s="1138"/>
      <c r="Q494" s="1138"/>
      <c r="R494" s="1138"/>
      <c r="S494" s="1138"/>
      <c r="T494" s="1138" t="s">
        <v>36</v>
      </c>
      <c r="U494" s="1138"/>
      <c r="V494" s="1138"/>
      <c r="W494" s="1138"/>
      <c r="X494" s="1138"/>
      <c r="Y494" s="1138"/>
      <c r="Z494" s="1138"/>
      <c r="AA494" s="1138"/>
      <c r="AB494" s="1138"/>
      <c r="AC494" s="1138"/>
      <c r="AD494" s="1138"/>
      <c r="AE494" s="1138"/>
      <c r="AF494" s="1138"/>
      <c r="AG494" s="1138"/>
      <c r="AI494" s="943"/>
      <c r="AJ494" s="943"/>
      <c r="AK494" s="943"/>
      <c r="AL494" s="943"/>
      <c r="AM494" s="943"/>
      <c r="AN494" s="943"/>
      <c r="AO494" s="943"/>
      <c r="AP494" s="943"/>
      <c r="AQ494" s="943"/>
    </row>
    <row r="495" spans="1:43" s="633" customFormat="1" ht="19.5" hidden="1" customHeight="1" x14ac:dyDescent="0.2">
      <c r="A495" s="942"/>
      <c r="D495" s="1255" t="s">
        <v>100</v>
      </c>
      <c r="E495" s="1255"/>
      <c r="F495" s="1255"/>
      <c r="G495" s="1255"/>
      <c r="H495" s="1255"/>
      <c r="I495" s="1255"/>
      <c r="J495" s="1255"/>
      <c r="K495" s="1255"/>
      <c r="L495" s="1255"/>
      <c r="M495" s="1255"/>
      <c r="N495" s="1255"/>
      <c r="O495" s="1255"/>
      <c r="P495" s="1255"/>
      <c r="Q495" s="1255"/>
      <c r="R495" s="1255"/>
      <c r="S495" s="1255"/>
      <c r="T495" s="1256"/>
      <c r="U495" s="1256"/>
      <c r="V495" s="1256"/>
      <c r="W495" s="1256"/>
      <c r="X495" s="1256"/>
      <c r="Y495" s="1256"/>
      <c r="Z495" s="1256"/>
      <c r="AA495" s="1256"/>
      <c r="AB495" s="1256"/>
      <c r="AC495" s="1256"/>
      <c r="AD495" s="1256"/>
      <c r="AE495" s="1256"/>
      <c r="AF495" s="1256"/>
      <c r="AG495" s="1256"/>
      <c r="AI495" s="943"/>
      <c r="AJ495" s="943"/>
      <c r="AK495" s="943"/>
      <c r="AL495" s="943"/>
      <c r="AM495" s="943"/>
      <c r="AN495" s="943"/>
      <c r="AO495" s="943"/>
      <c r="AP495" s="943"/>
      <c r="AQ495" s="943"/>
    </row>
    <row r="496" spans="1:43" s="633" customFormat="1" ht="19.5" hidden="1" customHeight="1" thickBot="1" x14ac:dyDescent="0.25">
      <c r="A496" s="942"/>
      <c r="D496" s="1324" t="s">
        <v>101</v>
      </c>
      <c r="E496" s="1324"/>
      <c r="F496" s="1324"/>
      <c r="G496" s="1324"/>
      <c r="H496" s="1324"/>
      <c r="I496" s="1324"/>
      <c r="J496" s="1324"/>
      <c r="K496" s="1324"/>
      <c r="L496" s="1324"/>
      <c r="M496" s="1324"/>
      <c r="N496" s="1324"/>
      <c r="O496" s="1324"/>
      <c r="P496" s="1324"/>
      <c r="Q496" s="1324"/>
      <c r="R496" s="1324"/>
      <c r="S496" s="1324"/>
      <c r="T496" s="1171"/>
      <c r="U496" s="1171"/>
      <c r="V496" s="1171"/>
      <c r="W496" s="1171"/>
      <c r="X496" s="1171"/>
      <c r="Y496" s="1171"/>
      <c r="Z496" s="1171"/>
      <c r="AA496" s="1171"/>
      <c r="AB496" s="1171"/>
      <c r="AC496" s="1171"/>
      <c r="AD496" s="1171"/>
      <c r="AE496" s="1171"/>
      <c r="AF496" s="1171"/>
      <c r="AG496" s="1171"/>
      <c r="AI496" s="943"/>
      <c r="AJ496" s="943"/>
      <c r="AK496" s="943"/>
      <c r="AL496" s="943"/>
      <c r="AM496" s="943"/>
      <c r="AN496" s="943"/>
      <c r="AO496" s="943"/>
      <c r="AP496" s="943"/>
      <c r="AQ496" s="943"/>
    </row>
    <row r="497" spans="1:43" s="633" customFormat="1" hidden="1" x14ac:dyDescent="0.2">
      <c r="A497" s="942"/>
      <c r="AI497" s="943"/>
      <c r="AJ497" s="943"/>
      <c r="AK497" s="943"/>
      <c r="AL497" s="943"/>
      <c r="AM497" s="943"/>
      <c r="AN497" s="943"/>
      <c r="AO497" s="943"/>
      <c r="AP497" s="943"/>
      <c r="AQ497" s="943"/>
    </row>
    <row r="498" spans="1:43" s="633" customFormat="1" hidden="1" x14ac:dyDescent="0.2">
      <c r="A498" s="942"/>
      <c r="AI498" s="943"/>
      <c r="AJ498" s="943"/>
      <c r="AK498" s="943"/>
      <c r="AL498" s="943"/>
      <c r="AM498" s="943"/>
      <c r="AN498" s="943"/>
      <c r="AO498" s="943"/>
      <c r="AP498" s="943"/>
      <c r="AQ498" s="943"/>
    </row>
    <row r="499" spans="1:43" s="633" customFormat="1" hidden="1" x14ac:dyDescent="0.2">
      <c r="A499" s="942"/>
      <c r="D499" s="632" t="s">
        <v>1481</v>
      </c>
      <c r="AI499" s="943"/>
      <c r="AJ499" s="943"/>
      <c r="AK499" s="943"/>
      <c r="AL499" s="943"/>
      <c r="AM499" s="943"/>
      <c r="AN499" s="943"/>
      <c r="AO499" s="943"/>
      <c r="AP499" s="943"/>
      <c r="AQ499" s="943"/>
    </row>
    <row r="500" spans="1:43" s="633" customFormat="1" hidden="1" x14ac:dyDescent="0.2">
      <c r="A500" s="942"/>
      <c r="AI500" s="943"/>
      <c r="AJ500" s="943"/>
      <c r="AK500" s="943"/>
      <c r="AL500" s="943"/>
      <c r="AM500" s="943"/>
      <c r="AN500" s="943"/>
      <c r="AO500" s="943"/>
      <c r="AP500" s="943"/>
      <c r="AQ500" s="943"/>
    </row>
    <row r="501" spans="1:43" s="633" customFormat="1" hidden="1" x14ac:dyDescent="0.2">
      <c r="A501" s="942"/>
      <c r="D501" s="1168" t="s">
        <v>1482</v>
      </c>
      <c r="E501" s="1168"/>
      <c r="F501" s="1168"/>
      <c r="G501" s="1168"/>
      <c r="H501" s="1168"/>
      <c r="I501" s="1168"/>
      <c r="J501" s="1168"/>
      <c r="K501" s="1168"/>
      <c r="L501" s="1168"/>
      <c r="M501" s="1168"/>
      <c r="N501" s="1168"/>
      <c r="O501" s="1168"/>
      <c r="P501" s="1168"/>
      <c r="Q501" s="1168"/>
      <c r="R501" s="1168"/>
      <c r="S501" s="1168"/>
      <c r="T501" s="1168"/>
      <c r="U501" s="1168"/>
      <c r="V501" s="1168"/>
      <c r="W501" s="1168"/>
      <c r="X501" s="1168"/>
      <c r="Y501" s="1168"/>
      <c r="Z501" s="1168"/>
      <c r="AA501" s="1168"/>
      <c r="AB501" s="1168"/>
      <c r="AC501" s="1168"/>
      <c r="AD501" s="1168"/>
      <c r="AE501" s="1168"/>
      <c r="AF501" s="1168"/>
      <c r="AG501" s="1168"/>
      <c r="AI501" s="943"/>
      <c r="AJ501" s="943"/>
      <c r="AK501" s="943"/>
      <c r="AL501" s="943"/>
      <c r="AM501" s="943"/>
      <c r="AN501" s="943"/>
      <c r="AO501" s="943"/>
      <c r="AP501" s="943"/>
      <c r="AQ501" s="943"/>
    </row>
    <row r="502" spans="1:43" s="633" customFormat="1" ht="15" hidden="1" thickBot="1" x14ac:dyDescent="0.25">
      <c r="A502" s="942"/>
      <c r="AI502" s="943"/>
      <c r="AJ502" s="943"/>
      <c r="AK502" s="943"/>
      <c r="AL502" s="943"/>
      <c r="AM502" s="943"/>
      <c r="AN502" s="943"/>
      <c r="AO502" s="943"/>
      <c r="AP502" s="943"/>
      <c r="AQ502" s="943"/>
    </row>
    <row r="503" spans="1:43" s="633" customFormat="1" ht="48" hidden="1" customHeight="1" thickTop="1" thickBot="1" x14ac:dyDescent="0.25">
      <c r="A503" s="942" t="s">
        <v>1484</v>
      </c>
      <c r="D503" s="1120" t="s">
        <v>1</v>
      </c>
      <c r="E503" s="1120"/>
      <c r="F503" s="1120"/>
      <c r="G503" s="1120"/>
      <c r="H503" s="1120"/>
      <c r="I503" s="1120"/>
      <c r="J503" s="1120"/>
      <c r="K503" s="1120"/>
      <c r="L503" s="1120" t="s">
        <v>489</v>
      </c>
      <c r="M503" s="1120"/>
      <c r="N503" s="1120"/>
      <c r="O503" s="1120"/>
      <c r="P503" s="1120"/>
      <c r="Q503" s="1120"/>
      <c r="R503" s="1120"/>
      <c r="S503" s="1120" t="s">
        <v>104</v>
      </c>
      <c r="T503" s="1120"/>
      <c r="U503" s="1120"/>
      <c r="V503" s="1120"/>
      <c r="W503" s="1120"/>
      <c r="X503" s="1120"/>
      <c r="Y503" s="1120"/>
      <c r="Z503" s="1120" t="s">
        <v>491</v>
      </c>
      <c r="AA503" s="1120"/>
      <c r="AB503" s="1120"/>
      <c r="AC503" s="1120"/>
      <c r="AD503" s="1120"/>
      <c r="AE503" s="1120"/>
      <c r="AF503" s="1120"/>
      <c r="AG503" s="1120"/>
      <c r="AI503" s="934" t="s">
        <v>489</v>
      </c>
      <c r="AJ503" s="937" t="s">
        <v>104</v>
      </c>
      <c r="AK503" s="937" t="s">
        <v>491</v>
      </c>
      <c r="AL503" s="943"/>
      <c r="AM503" s="943"/>
      <c r="AN503" s="943"/>
      <c r="AO503" s="943"/>
      <c r="AP503" s="943"/>
      <c r="AQ503" s="943"/>
    </row>
    <row r="504" spans="1:43" s="633" customFormat="1" ht="18.75" hidden="1" customHeight="1" x14ac:dyDescent="0.2">
      <c r="A504" s="942"/>
      <c r="D504" s="1192" t="s">
        <v>106</v>
      </c>
      <c r="E504" s="1192"/>
      <c r="F504" s="1192"/>
      <c r="G504" s="1192"/>
      <c r="H504" s="1192"/>
      <c r="I504" s="1192"/>
      <c r="J504" s="1192"/>
      <c r="K504" s="1192"/>
      <c r="L504" s="1167"/>
      <c r="M504" s="1167"/>
      <c r="N504" s="1167"/>
      <c r="O504" s="1167"/>
      <c r="P504" s="1167"/>
      <c r="Q504" s="1167"/>
      <c r="R504" s="1167"/>
      <c r="S504" s="1167"/>
      <c r="T504" s="1167"/>
      <c r="U504" s="1167"/>
      <c r="V504" s="1167"/>
      <c r="W504" s="1167"/>
      <c r="X504" s="1167"/>
      <c r="Y504" s="1167"/>
      <c r="Z504" s="1167"/>
      <c r="AA504" s="1167"/>
      <c r="AB504" s="1167"/>
      <c r="AC504" s="1167"/>
      <c r="AD504" s="1167"/>
      <c r="AE504" s="1167"/>
      <c r="AF504" s="1167"/>
      <c r="AG504" s="1167"/>
      <c r="AI504" s="951"/>
      <c r="AJ504" s="952"/>
      <c r="AK504" s="953"/>
      <c r="AL504" s="943"/>
      <c r="AM504" s="943"/>
      <c r="AN504" s="943"/>
      <c r="AO504" s="943"/>
      <c r="AP504" s="943"/>
      <c r="AQ504" s="943"/>
    </row>
    <row r="505" spans="1:43" s="633" customFormat="1" ht="18.75" hidden="1" customHeight="1" x14ac:dyDescent="0.2">
      <c r="A505" s="942"/>
      <c r="D505" s="1105" t="s">
        <v>107</v>
      </c>
      <c r="E505" s="1105"/>
      <c r="F505" s="1105"/>
      <c r="G505" s="1105"/>
      <c r="H505" s="1105"/>
      <c r="I505" s="1105"/>
      <c r="J505" s="1105"/>
      <c r="K505" s="1105"/>
      <c r="L505" s="1045"/>
      <c r="M505" s="1045"/>
      <c r="N505" s="1045"/>
      <c r="O505" s="1045"/>
      <c r="P505" s="1045"/>
      <c r="Q505" s="1045"/>
      <c r="R505" s="1045"/>
      <c r="S505" s="1045"/>
      <c r="T505" s="1045"/>
      <c r="U505" s="1045"/>
      <c r="V505" s="1045"/>
      <c r="W505" s="1045"/>
      <c r="X505" s="1045"/>
      <c r="Y505" s="1045"/>
      <c r="Z505" s="1045"/>
      <c r="AA505" s="1045"/>
      <c r="AB505" s="1045"/>
      <c r="AC505" s="1045"/>
      <c r="AD505" s="1045"/>
      <c r="AE505" s="1045"/>
      <c r="AF505" s="1045"/>
      <c r="AG505" s="1045"/>
      <c r="AI505" s="954"/>
      <c r="AJ505" s="949"/>
      <c r="AK505" s="958"/>
      <c r="AL505" s="943"/>
      <c r="AM505" s="943"/>
      <c r="AN505" s="943"/>
      <c r="AO505" s="943"/>
      <c r="AP505" s="943"/>
      <c r="AQ505" s="943"/>
    </row>
    <row r="506" spans="1:43" s="633" customFormat="1" ht="18.75" hidden="1" customHeight="1" thickBot="1" x14ac:dyDescent="0.3">
      <c r="A506" s="942"/>
      <c r="D506" s="1355" t="s">
        <v>108</v>
      </c>
      <c r="E506" s="1355"/>
      <c r="F506" s="1355"/>
      <c r="G506" s="1355"/>
      <c r="H506" s="1355"/>
      <c r="I506" s="1355"/>
      <c r="J506" s="1355"/>
      <c r="K506" s="1355"/>
      <c r="L506" s="1356">
        <f>L504+L505</f>
        <v>0</v>
      </c>
      <c r="M506" s="1357"/>
      <c r="N506" s="1357"/>
      <c r="O506" s="1357"/>
      <c r="P506" s="1357"/>
      <c r="Q506" s="1357"/>
      <c r="R506" s="1358"/>
      <c r="S506" s="1356">
        <f>S504+S505</f>
        <v>0</v>
      </c>
      <c r="T506" s="1359"/>
      <c r="U506" s="1359"/>
      <c r="V506" s="1359"/>
      <c r="W506" s="1359"/>
      <c r="X506" s="1359"/>
      <c r="Y506" s="1360"/>
      <c r="Z506" s="1356">
        <f>Z504+Z505</f>
        <v>0</v>
      </c>
      <c r="AA506" s="1357"/>
      <c r="AB506" s="1357"/>
      <c r="AC506" s="1357"/>
      <c r="AD506" s="1357"/>
      <c r="AE506" s="1357"/>
      <c r="AF506" s="1357"/>
      <c r="AG506" s="1357"/>
      <c r="AI506" s="959">
        <f>SUM(L504:R505)-L506</f>
        <v>0</v>
      </c>
      <c r="AJ506" s="960">
        <f>SUM(S504:Y505)-S506</f>
        <v>0</v>
      </c>
      <c r="AK506" s="961">
        <f>SUM(Z504:AG505)-Z506</f>
        <v>0</v>
      </c>
      <c r="AL506" s="943"/>
      <c r="AM506" s="943"/>
      <c r="AN506" s="943"/>
      <c r="AO506" s="943"/>
      <c r="AP506" s="943"/>
      <c r="AQ506" s="943"/>
    </row>
    <row r="507" spans="1:43" s="633" customFormat="1" ht="15" hidden="1" thickBot="1" x14ac:dyDescent="0.25">
      <c r="A507" s="942"/>
      <c r="AI507" s="943"/>
      <c r="AJ507" s="943"/>
      <c r="AK507" s="943"/>
      <c r="AL507" s="943"/>
      <c r="AM507" s="943"/>
      <c r="AN507" s="943"/>
      <c r="AO507" s="943"/>
      <c r="AP507" s="943"/>
      <c r="AQ507" s="943"/>
    </row>
    <row r="508" spans="1:43" s="633" customFormat="1" ht="30" hidden="1" customHeight="1" thickBot="1" x14ac:dyDescent="0.25">
      <c r="A508" s="942" t="s">
        <v>1485</v>
      </c>
      <c r="D508" s="1120" t="s">
        <v>109</v>
      </c>
      <c r="E508" s="1120"/>
      <c r="F508" s="1120"/>
      <c r="G508" s="1120"/>
      <c r="H508" s="1120"/>
      <c r="I508" s="1120"/>
      <c r="J508" s="1120"/>
      <c r="K508" s="1120"/>
      <c r="L508" s="1120"/>
      <c r="M508" s="1120"/>
      <c r="N508" s="1120" t="s">
        <v>103</v>
      </c>
      <c r="O508" s="1120"/>
      <c r="P508" s="1120"/>
      <c r="Q508" s="1120"/>
      <c r="R508" s="1120"/>
      <c r="S508" s="1120"/>
      <c r="T508" s="1120"/>
      <c r="U508" s="1120"/>
      <c r="V508" s="1120"/>
      <c r="W508" s="1120"/>
      <c r="X508" s="1120" t="s">
        <v>105</v>
      </c>
      <c r="Y508" s="1120"/>
      <c r="Z508" s="1120"/>
      <c r="AA508" s="1120"/>
      <c r="AB508" s="1120"/>
      <c r="AC508" s="1120"/>
      <c r="AD508" s="1120"/>
      <c r="AE508" s="1120"/>
      <c r="AF508" s="1120"/>
      <c r="AG508" s="1120"/>
      <c r="AI508" s="943"/>
      <c r="AJ508" s="943"/>
      <c r="AK508" s="943"/>
      <c r="AL508" s="943"/>
      <c r="AM508" s="943"/>
      <c r="AN508" s="943"/>
      <c r="AO508" s="943"/>
      <c r="AP508" s="943"/>
      <c r="AQ508" s="943"/>
    </row>
    <row r="509" spans="1:43" s="633" customFormat="1" ht="28.5" hidden="1" customHeight="1" x14ac:dyDescent="0.2">
      <c r="A509" s="942"/>
      <c r="D509" s="1331" t="s">
        <v>110</v>
      </c>
      <c r="E509" s="1331"/>
      <c r="F509" s="1331"/>
      <c r="G509" s="1331"/>
      <c r="H509" s="1331"/>
      <c r="I509" s="1331"/>
      <c r="J509" s="1331"/>
      <c r="K509" s="1331"/>
      <c r="L509" s="1331"/>
      <c r="M509" s="1331"/>
      <c r="N509" s="1167"/>
      <c r="O509" s="1167"/>
      <c r="P509" s="1167"/>
      <c r="Q509" s="1167"/>
      <c r="R509" s="1167"/>
      <c r="S509" s="1167"/>
      <c r="T509" s="1167"/>
      <c r="U509" s="1167"/>
      <c r="V509" s="1167"/>
      <c r="W509" s="1167"/>
      <c r="X509" s="1167"/>
      <c r="Y509" s="1167"/>
      <c r="Z509" s="1167"/>
      <c r="AA509" s="1167"/>
      <c r="AB509" s="1167"/>
      <c r="AC509" s="1167"/>
      <c r="AD509" s="1167"/>
      <c r="AE509" s="1167"/>
      <c r="AF509" s="1167"/>
      <c r="AG509" s="1167"/>
      <c r="AI509" s="943"/>
      <c r="AJ509" s="943"/>
      <c r="AK509" s="943"/>
      <c r="AL509" s="943"/>
      <c r="AM509" s="943"/>
      <c r="AN509" s="943"/>
      <c r="AO509" s="943"/>
      <c r="AP509" s="943"/>
      <c r="AQ509" s="943"/>
    </row>
    <row r="510" spans="1:43" s="633" customFormat="1" ht="28.5" hidden="1" customHeight="1" x14ac:dyDescent="0.2">
      <c r="A510" s="942"/>
      <c r="D510" s="1184" t="s">
        <v>111</v>
      </c>
      <c r="E510" s="1184"/>
      <c r="F510" s="1184"/>
      <c r="G510" s="1184"/>
      <c r="H510" s="1184"/>
      <c r="I510" s="1184"/>
      <c r="J510" s="1184"/>
      <c r="K510" s="1184"/>
      <c r="L510" s="1184"/>
      <c r="M510" s="1184"/>
      <c r="N510" s="1045"/>
      <c r="O510" s="1045"/>
      <c r="P510" s="1045"/>
      <c r="Q510" s="1045"/>
      <c r="R510" s="1045"/>
      <c r="S510" s="1045"/>
      <c r="T510" s="1045"/>
      <c r="U510" s="1045"/>
      <c r="V510" s="1045"/>
      <c r="W510" s="1045"/>
      <c r="X510" s="1045"/>
      <c r="Y510" s="1045"/>
      <c r="Z510" s="1045"/>
      <c r="AA510" s="1045"/>
      <c r="AB510" s="1045"/>
      <c r="AC510" s="1045"/>
      <c r="AD510" s="1045"/>
      <c r="AE510" s="1045"/>
      <c r="AF510" s="1045"/>
      <c r="AG510" s="1045"/>
      <c r="AI510" s="943"/>
      <c r="AJ510" s="943"/>
      <c r="AK510" s="943"/>
      <c r="AL510" s="943"/>
      <c r="AM510" s="943"/>
      <c r="AN510" s="943"/>
      <c r="AO510" s="943"/>
      <c r="AP510" s="943"/>
      <c r="AQ510" s="943"/>
    </row>
    <row r="511" spans="1:43" s="633" customFormat="1" ht="28.5" hidden="1" customHeight="1" x14ac:dyDescent="0.2">
      <c r="A511" s="942"/>
      <c r="D511" s="1184" t="s">
        <v>112</v>
      </c>
      <c r="E511" s="1184"/>
      <c r="F511" s="1184"/>
      <c r="G511" s="1184"/>
      <c r="H511" s="1184"/>
      <c r="I511" s="1184"/>
      <c r="J511" s="1184"/>
      <c r="K511" s="1184"/>
      <c r="L511" s="1184"/>
      <c r="M511" s="1184"/>
      <c r="N511" s="1045"/>
      <c r="O511" s="1045"/>
      <c r="P511" s="1045"/>
      <c r="Q511" s="1045"/>
      <c r="R511" s="1045"/>
      <c r="S511" s="1045"/>
      <c r="T511" s="1045"/>
      <c r="U511" s="1045"/>
      <c r="V511" s="1045"/>
      <c r="W511" s="1045"/>
      <c r="X511" s="1045"/>
      <c r="Y511" s="1045"/>
      <c r="Z511" s="1045"/>
      <c r="AA511" s="1045"/>
      <c r="AB511" s="1045"/>
      <c r="AC511" s="1045"/>
      <c r="AD511" s="1045"/>
      <c r="AE511" s="1045"/>
      <c r="AF511" s="1045"/>
      <c r="AG511" s="1045"/>
      <c r="AI511" s="943"/>
      <c r="AJ511" s="943"/>
      <c r="AK511" s="943"/>
      <c r="AL511" s="943"/>
      <c r="AM511" s="943"/>
      <c r="AN511" s="943"/>
      <c r="AO511" s="943"/>
      <c r="AP511" s="943"/>
      <c r="AQ511" s="943"/>
    </row>
    <row r="512" spans="1:43" s="633" customFormat="1" ht="28.5" hidden="1" customHeight="1" thickBot="1" x14ac:dyDescent="0.25">
      <c r="A512" s="942"/>
      <c r="D512" s="1222" t="s">
        <v>113</v>
      </c>
      <c r="E512" s="1222"/>
      <c r="F512" s="1222"/>
      <c r="G512" s="1222"/>
      <c r="H512" s="1222"/>
      <c r="I512" s="1222"/>
      <c r="J512" s="1222"/>
      <c r="K512" s="1222"/>
      <c r="L512" s="1222"/>
      <c r="M512" s="1222"/>
      <c r="N512" s="1208"/>
      <c r="O512" s="1208"/>
      <c r="P512" s="1208"/>
      <c r="Q512" s="1208"/>
      <c r="R512" s="1208"/>
      <c r="S512" s="1208"/>
      <c r="T512" s="1208"/>
      <c r="U512" s="1208"/>
      <c r="V512" s="1208"/>
      <c r="W512" s="1208"/>
      <c r="X512" s="1208"/>
      <c r="Y512" s="1208"/>
      <c r="Z512" s="1208"/>
      <c r="AA512" s="1208"/>
      <c r="AB512" s="1208"/>
      <c r="AC512" s="1208"/>
      <c r="AD512" s="1208"/>
      <c r="AE512" s="1208"/>
      <c r="AF512" s="1208"/>
      <c r="AG512" s="1208"/>
      <c r="AI512" s="943"/>
      <c r="AJ512" s="943"/>
      <c r="AK512" s="943"/>
      <c r="AL512" s="943"/>
      <c r="AM512" s="943"/>
      <c r="AN512" s="943"/>
      <c r="AO512" s="943"/>
      <c r="AP512" s="943"/>
      <c r="AQ512" s="943"/>
    </row>
    <row r="513" spans="1:43" s="633" customFormat="1" ht="15" hidden="1" thickBot="1" x14ac:dyDescent="0.25">
      <c r="A513" s="942"/>
      <c r="AI513" s="943"/>
      <c r="AJ513" s="943"/>
      <c r="AK513" s="943"/>
      <c r="AL513" s="943"/>
      <c r="AM513" s="943"/>
      <c r="AN513" s="943"/>
      <c r="AO513" s="943"/>
      <c r="AP513" s="943"/>
      <c r="AQ513" s="943"/>
    </row>
    <row r="514" spans="1:43" s="633" customFormat="1" ht="48" hidden="1" customHeight="1" thickTop="1" thickBot="1" x14ac:dyDescent="0.25">
      <c r="A514" s="942" t="s">
        <v>1486</v>
      </c>
      <c r="D514" s="1120" t="s">
        <v>1</v>
      </c>
      <c r="E514" s="1120"/>
      <c r="F514" s="1120"/>
      <c r="G514" s="1120"/>
      <c r="H514" s="1120"/>
      <c r="I514" s="1120"/>
      <c r="J514" s="1120"/>
      <c r="K514" s="1120"/>
      <c r="L514" s="1120" t="s">
        <v>489</v>
      </c>
      <c r="M514" s="1120"/>
      <c r="N514" s="1120"/>
      <c r="O514" s="1120"/>
      <c r="P514" s="1120"/>
      <c r="Q514" s="1120"/>
      <c r="R514" s="1120"/>
      <c r="S514" s="1120" t="s">
        <v>104</v>
      </c>
      <c r="T514" s="1120"/>
      <c r="U514" s="1120"/>
      <c r="V514" s="1120"/>
      <c r="W514" s="1120"/>
      <c r="X514" s="1120"/>
      <c r="Y514" s="1120"/>
      <c r="Z514" s="1120" t="s">
        <v>490</v>
      </c>
      <c r="AA514" s="1120"/>
      <c r="AB514" s="1120"/>
      <c r="AC514" s="1120"/>
      <c r="AD514" s="1120"/>
      <c r="AE514" s="1120"/>
      <c r="AF514" s="1120"/>
      <c r="AG514" s="1120"/>
      <c r="AI514" s="934" t="s">
        <v>489</v>
      </c>
      <c r="AJ514" s="937" t="s">
        <v>104</v>
      </c>
      <c r="AK514" s="937" t="s">
        <v>491</v>
      </c>
      <c r="AL514" s="943"/>
      <c r="AM514" s="943"/>
      <c r="AN514" s="943"/>
      <c r="AO514" s="943"/>
      <c r="AP514" s="943"/>
      <c r="AQ514" s="943"/>
    </row>
    <row r="515" spans="1:43" s="633" customFormat="1" ht="27" hidden="1" customHeight="1" x14ac:dyDescent="0.2">
      <c r="A515" s="942"/>
      <c r="D515" s="1331" t="s">
        <v>115</v>
      </c>
      <c r="E515" s="1331"/>
      <c r="F515" s="1331"/>
      <c r="G515" s="1331"/>
      <c r="H515" s="1331"/>
      <c r="I515" s="1331"/>
      <c r="J515" s="1331"/>
      <c r="K515" s="1331"/>
      <c r="L515" s="1167"/>
      <c r="M515" s="1167"/>
      <c r="N515" s="1167"/>
      <c r="O515" s="1167"/>
      <c r="P515" s="1167"/>
      <c r="Q515" s="1167"/>
      <c r="R515" s="1167"/>
      <c r="S515" s="1167"/>
      <c r="T515" s="1167"/>
      <c r="U515" s="1167"/>
      <c r="V515" s="1167"/>
      <c r="W515" s="1167"/>
      <c r="X515" s="1167"/>
      <c r="Y515" s="1167"/>
      <c r="Z515" s="1167"/>
      <c r="AA515" s="1167"/>
      <c r="AB515" s="1167"/>
      <c r="AC515" s="1167"/>
      <c r="AD515" s="1167"/>
      <c r="AE515" s="1167"/>
      <c r="AF515" s="1167"/>
      <c r="AG515" s="1167"/>
      <c r="AI515" s="951"/>
      <c r="AJ515" s="952"/>
      <c r="AK515" s="953"/>
      <c r="AL515" s="943"/>
      <c r="AM515" s="943"/>
      <c r="AN515" s="943"/>
      <c r="AO515" s="943"/>
      <c r="AP515" s="943"/>
      <c r="AQ515" s="943"/>
    </row>
    <row r="516" spans="1:43" s="633" customFormat="1" ht="27" hidden="1" customHeight="1" x14ac:dyDescent="0.2">
      <c r="A516" s="942"/>
      <c r="D516" s="1184" t="s">
        <v>116</v>
      </c>
      <c r="E516" s="1184"/>
      <c r="F516" s="1184"/>
      <c r="G516" s="1184"/>
      <c r="H516" s="1184"/>
      <c r="I516" s="1184"/>
      <c r="J516" s="1184"/>
      <c r="K516" s="1184"/>
      <c r="L516" s="1045"/>
      <c r="M516" s="1045"/>
      <c r="N516" s="1045"/>
      <c r="O516" s="1045"/>
      <c r="P516" s="1045"/>
      <c r="Q516" s="1045"/>
      <c r="R516" s="1045"/>
      <c r="S516" s="1045"/>
      <c r="T516" s="1045"/>
      <c r="U516" s="1045"/>
      <c r="V516" s="1045"/>
      <c r="W516" s="1045"/>
      <c r="X516" s="1045"/>
      <c r="Y516" s="1045"/>
      <c r="Z516" s="1045"/>
      <c r="AA516" s="1045"/>
      <c r="AB516" s="1045"/>
      <c r="AC516" s="1045"/>
      <c r="AD516" s="1045"/>
      <c r="AE516" s="1045"/>
      <c r="AF516" s="1045"/>
      <c r="AG516" s="1045"/>
      <c r="AI516" s="954"/>
      <c r="AJ516" s="949"/>
      <c r="AK516" s="958"/>
      <c r="AL516" s="943"/>
      <c r="AM516" s="943"/>
      <c r="AN516" s="943"/>
      <c r="AO516" s="943"/>
      <c r="AP516" s="943"/>
      <c r="AQ516" s="943"/>
    </row>
    <row r="517" spans="1:43" s="633" customFormat="1" ht="27" hidden="1" customHeight="1" thickBot="1" x14ac:dyDescent="0.25">
      <c r="A517" s="942"/>
      <c r="D517" s="1222" t="s">
        <v>108</v>
      </c>
      <c r="E517" s="1222"/>
      <c r="F517" s="1222"/>
      <c r="G517" s="1222"/>
      <c r="H517" s="1222"/>
      <c r="I517" s="1222"/>
      <c r="J517" s="1222"/>
      <c r="K517" s="1222"/>
      <c r="L517" s="1275">
        <f>L515+L516</f>
        <v>0</v>
      </c>
      <c r="M517" s="1276"/>
      <c r="N517" s="1276"/>
      <c r="O517" s="1276"/>
      <c r="P517" s="1276"/>
      <c r="Q517" s="1276"/>
      <c r="R517" s="1277"/>
      <c r="S517" s="1275">
        <f>S515+S516</f>
        <v>0</v>
      </c>
      <c r="T517" s="1276"/>
      <c r="U517" s="1276"/>
      <c r="V517" s="1276"/>
      <c r="W517" s="1276"/>
      <c r="X517" s="1276"/>
      <c r="Y517" s="1277"/>
      <c r="Z517" s="1275">
        <f>Z515+Z516</f>
        <v>0</v>
      </c>
      <c r="AA517" s="1276"/>
      <c r="AB517" s="1276"/>
      <c r="AC517" s="1276"/>
      <c r="AD517" s="1276"/>
      <c r="AE517" s="1276"/>
      <c r="AF517" s="1276"/>
      <c r="AG517" s="1277"/>
      <c r="AI517" s="959">
        <f>SUM(L515:R516)-L517</f>
        <v>0</v>
      </c>
      <c r="AJ517" s="960">
        <f>SUM(S515:Y516)-S517</f>
        <v>0</v>
      </c>
      <c r="AK517" s="961">
        <f>SUM(Z515:AG516)-Z517</f>
        <v>0</v>
      </c>
      <c r="AL517" s="943"/>
      <c r="AM517" s="943"/>
      <c r="AN517" s="943"/>
      <c r="AO517" s="943"/>
      <c r="AP517" s="943"/>
      <c r="AQ517" s="943"/>
    </row>
    <row r="518" spans="1:43" s="633" customFormat="1" ht="15" hidden="1" thickBot="1" x14ac:dyDescent="0.25">
      <c r="A518" s="942"/>
      <c r="AI518" s="943"/>
      <c r="AJ518" s="943"/>
      <c r="AK518" s="943"/>
      <c r="AL518" s="943"/>
      <c r="AM518" s="943"/>
      <c r="AN518" s="943"/>
      <c r="AO518" s="943"/>
      <c r="AP518" s="943"/>
      <c r="AQ518" s="943"/>
    </row>
    <row r="519" spans="1:43" s="633" customFormat="1" ht="49.5" hidden="1" customHeight="1" thickBot="1" x14ac:dyDescent="0.25">
      <c r="A519" s="942" t="s">
        <v>1487</v>
      </c>
      <c r="D519" s="1352" t="s">
        <v>118</v>
      </c>
      <c r="E519" s="1352"/>
      <c r="F519" s="1352"/>
      <c r="G519" s="1352"/>
      <c r="H519" s="1352"/>
      <c r="I519" s="1352"/>
      <c r="J519" s="1352"/>
      <c r="K519" s="1352"/>
      <c r="L519" s="1352"/>
      <c r="M519" s="1352"/>
      <c r="N519" s="1120" t="s">
        <v>103</v>
      </c>
      <c r="O519" s="1120"/>
      <c r="P519" s="1120"/>
      <c r="Q519" s="1120"/>
      <c r="R519" s="1120"/>
      <c r="S519" s="1120"/>
      <c r="T519" s="1120"/>
      <c r="U519" s="1120"/>
      <c r="V519" s="1120"/>
      <c r="W519" s="1120"/>
      <c r="X519" s="1120" t="s">
        <v>490</v>
      </c>
      <c r="Y519" s="1120"/>
      <c r="Z519" s="1120"/>
      <c r="AA519" s="1120"/>
      <c r="AB519" s="1120"/>
      <c r="AC519" s="1120"/>
      <c r="AD519" s="1120"/>
      <c r="AE519" s="1120"/>
      <c r="AF519" s="1120"/>
      <c r="AG519" s="1120"/>
      <c r="AI519" s="943"/>
      <c r="AJ519" s="943"/>
      <c r="AK519" s="943"/>
      <c r="AL519" s="943"/>
      <c r="AM519" s="943"/>
      <c r="AN519" s="943"/>
      <c r="AO519" s="943"/>
      <c r="AP519" s="943"/>
      <c r="AQ519" s="943"/>
    </row>
    <row r="520" spans="1:43" s="633" customFormat="1" ht="33.75" hidden="1" customHeight="1" x14ac:dyDescent="0.2">
      <c r="A520" s="942"/>
      <c r="D520" s="1255" t="s">
        <v>119</v>
      </c>
      <c r="E520" s="1255"/>
      <c r="F520" s="1255"/>
      <c r="G520" s="1255"/>
      <c r="H520" s="1255"/>
      <c r="I520" s="1255"/>
      <c r="J520" s="1255"/>
      <c r="K520" s="1255"/>
      <c r="L520" s="1255"/>
      <c r="M520" s="1255"/>
      <c r="N520" s="1353"/>
      <c r="O520" s="1167"/>
      <c r="P520" s="1167"/>
      <c r="Q520" s="1167"/>
      <c r="R520" s="1167"/>
      <c r="S520" s="1167"/>
      <c r="T520" s="1167"/>
      <c r="U520" s="1167"/>
      <c r="V520" s="1167"/>
      <c r="W520" s="1167"/>
      <c r="X520" s="1167"/>
      <c r="Y520" s="1167"/>
      <c r="Z520" s="1167"/>
      <c r="AA520" s="1167"/>
      <c r="AB520" s="1167"/>
      <c r="AC520" s="1167"/>
      <c r="AD520" s="1167"/>
      <c r="AE520" s="1167"/>
      <c r="AF520" s="1167"/>
      <c r="AG520" s="1167"/>
      <c r="AI520" s="943"/>
      <c r="AJ520" s="943"/>
      <c r="AK520" s="943"/>
      <c r="AL520" s="943"/>
      <c r="AM520" s="943"/>
      <c r="AN520" s="943"/>
      <c r="AO520" s="943"/>
      <c r="AP520" s="943"/>
      <c r="AQ520" s="943"/>
    </row>
    <row r="521" spans="1:43" s="633" customFormat="1" ht="30" hidden="1" customHeight="1" x14ac:dyDescent="0.2">
      <c r="A521" s="942"/>
      <c r="D521" s="1070" t="s">
        <v>111</v>
      </c>
      <c r="E521" s="1071"/>
      <c r="F521" s="1071"/>
      <c r="G521" s="1071"/>
      <c r="H521" s="1071"/>
      <c r="I521" s="1071"/>
      <c r="J521" s="1071"/>
      <c r="K521" s="1071"/>
      <c r="L521" s="1071"/>
      <c r="M521" s="1072"/>
      <c r="N521" s="1203"/>
      <c r="O521" s="1045"/>
      <c r="P521" s="1045"/>
      <c r="Q521" s="1045"/>
      <c r="R521" s="1045"/>
      <c r="S521" s="1045"/>
      <c r="T521" s="1045"/>
      <c r="U521" s="1045"/>
      <c r="V521" s="1045"/>
      <c r="W521" s="1045"/>
      <c r="X521" s="1045"/>
      <c r="Y521" s="1045"/>
      <c r="Z521" s="1045"/>
      <c r="AA521" s="1045"/>
      <c r="AB521" s="1045"/>
      <c r="AC521" s="1045"/>
      <c r="AD521" s="1045"/>
      <c r="AE521" s="1045"/>
      <c r="AF521" s="1045"/>
      <c r="AG521" s="1045"/>
      <c r="AI521" s="943"/>
      <c r="AJ521" s="943"/>
      <c r="AK521" s="943"/>
      <c r="AL521" s="943"/>
      <c r="AM521" s="943"/>
      <c r="AN521" s="943"/>
      <c r="AO521" s="943"/>
      <c r="AP521" s="943"/>
      <c r="AQ521" s="943"/>
    </row>
    <row r="522" spans="1:43" s="633" customFormat="1" ht="30" hidden="1" customHeight="1" x14ac:dyDescent="0.2">
      <c r="A522" s="942"/>
      <c r="D522" s="1070" t="s">
        <v>120</v>
      </c>
      <c r="E522" s="1071"/>
      <c r="F522" s="1071"/>
      <c r="G522" s="1071"/>
      <c r="H522" s="1071"/>
      <c r="I522" s="1071"/>
      <c r="J522" s="1071"/>
      <c r="K522" s="1071"/>
      <c r="L522" s="1071"/>
      <c r="M522" s="1072"/>
      <c r="N522" s="1203"/>
      <c r="O522" s="1045"/>
      <c r="P522" s="1045"/>
      <c r="Q522" s="1045"/>
      <c r="R522" s="1045"/>
      <c r="S522" s="1045"/>
      <c r="T522" s="1045"/>
      <c r="U522" s="1045"/>
      <c r="V522" s="1045"/>
      <c r="W522" s="1045"/>
      <c r="X522" s="1045"/>
      <c r="Y522" s="1045"/>
      <c r="Z522" s="1045"/>
      <c r="AA522" s="1045"/>
      <c r="AB522" s="1045"/>
      <c r="AC522" s="1045"/>
      <c r="AD522" s="1045"/>
      <c r="AE522" s="1045"/>
      <c r="AF522" s="1045"/>
      <c r="AG522" s="1045"/>
      <c r="AI522" s="943"/>
      <c r="AJ522" s="943"/>
      <c r="AK522" s="943"/>
      <c r="AL522" s="943"/>
      <c r="AM522" s="943"/>
      <c r="AN522" s="943"/>
      <c r="AO522" s="943"/>
      <c r="AP522" s="943"/>
      <c r="AQ522" s="943"/>
    </row>
    <row r="523" spans="1:43" s="633" customFormat="1" ht="30" hidden="1" customHeight="1" thickBot="1" x14ac:dyDescent="0.25">
      <c r="A523" s="942"/>
      <c r="D523" s="1349" t="s">
        <v>113</v>
      </c>
      <c r="E523" s="1350"/>
      <c r="F523" s="1350"/>
      <c r="G523" s="1350"/>
      <c r="H523" s="1350"/>
      <c r="I523" s="1350"/>
      <c r="J523" s="1350"/>
      <c r="K523" s="1350"/>
      <c r="L523" s="1350"/>
      <c r="M523" s="1351"/>
      <c r="N523" s="1354"/>
      <c r="O523" s="1208"/>
      <c r="P523" s="1208"/>
      <c r="Q523" s="1208"/>
      <c r="R523" s="1208"/>
      <c r="S523" s="1208"/>
      <c r="T523" s="1208"/>
      <c r="U523" s="1208"/>
      <c r="V523" s="1208"/>
      <c r="W523" s="1208"/>
      <c r="X523" s="1208"/>
      <c r="Y523" s="1208"/>
      <c r="Z523" s="1208"/>
      <c r="AA523" s="1208"/>
      <c r="AB523" s="1208"/>
      <c r="AC523" s="1208"/>
      <c r="AD523" s="1208"/>
      <c r="AE523" s="1208"/>
      <c r="AF523" s="1208"/>
      <c r="AG523" s="1208"/>
      <c r="AI523" s="943"/>
      <c r="AJ523" s="943"/>
      <c r="AK523" s="943"/>
      <c r="AL523" s="943"/>
      <c r="AM523" s="943"/>
      <c r="AN523" s="943"/>
      <c r="AO523" s="943"/>
      <c r="AP523" s="943"/>
      <c r="AQ523" s="943"/>
    </row>
    <row r="524" spans="1:43" s="633" customFormat="1" hidden="1" x14ac:dyDescent="0.2">
      <c r="A524" s="942"/>
      <c r="AI524" s="943"/>
      <c r="AJ524" s="943"/>
      <c r="AK524" s="943"/>
      <c r="AL524" s="943"/>
      <c r="AM524" s="943"/>
      <c r="AN524" s="943"/>
      <c r="AO524" s="943"/>
      <c r="AP524" s="943"/>
      <c r="AQ524" s="943"/>
    </row>
    <row r="525" spans="1:43" s="633" customFormat="1" hidden="1" x14ac:dyDescent="0.2">
      <c r="A525" s="942"/>
      <c r="AI525" s="943"/>
      <c r="AJ525" s="943"/>
      <c r="AK525" s="943"/>
      <c r="AL525" s="943"/>
      <c r="AM525" s="943"/>
      <c r="AN525" s="943"/>
      <c r="AO525" s="943"/>
      <c r="AP525" s="943"/>
      <c r="AQ525" s="943"/>
    </row>
    <row r="526" spans="1:43" s="633" customFormat="1" x14ac:dyDescent="0.2">
      <c r="A526" s="942"/>
      <c r="D526" s="632" t="s">
        <v>1994</v>
      </c>
      <c r="AI526" s="943"/>
      <c r="AJ526" s="943"/>
      <c r="AK526" s="943"/>
      <c r="AL526" s="943"/>
      <c r="AM526" s="943"/>
      <c r="AN526" s="943"/>
      <c r="AO526" s="943"/>
      <c r="AP526" s="943"/>
      <c r="AQ526" s="943"/>
    </row>
    <row r="527" spans="1:43" s="633" customFormat="1" x14ac:dyDescent="0.2">
      <c r="A527" s="942"/>
      <c r="AI527" s="943"/>
      <c r="AJ527" s="943"/>
      <c r="AK527" s="943"/>
      <c r="AL527" s="943"/>
      <c r="AM527" s="943"/>
      <c r="AN527" s="943"/>
      <c r="AO527" s="943"/>
      <c r="AP527" s="943"/>
      <c r="AQ527" s="943"/>
    </row>
    <row r="528" spans="1:43" s="633" customFormat="1" x14ac:dyDescent="0.2">
      <c r="A528" s="942"/>
      <c r="D528" s="1348" t="s">
        <v>1488</v>
      </c>
      <c r="E528" s="1348"/>
      <c r="F528" s="1348"/>
      <c r="G528" s="1348"/>
      <c r="H528" s="1348"/>
      <c r="I528" s="1348"/>
      <c r="J528" s="1348"/>
      <c r="K528" s="1348"/>
      <c r="L528" s="1348"/>
      <c r="M528" s="1348"/>
      <c r="N528" s="1348"/>
      <c r="O528" s="1348"/>
      <c r="P528" s="1348"/>
      <c r="Q528" s="1348"/>
      <c r="R528" s="1348"/>
      <c r="S528" s="1348"/>
      <c r="T528" s="1348"/>
      <c r="U528" s="1348"/>
      <c r="V528" s="1348"/>
      <c r="W528" s="1348"/>
      <c r="X528" s="1348"/>
      <c r="Y528" s="1348"/>
      <c r="Z528" s="1348"/>
      <c r="AA528" s="1348"/>
      <c r="AB528" s="1348"/>
      <c r="AC528" s="1348"/>
      <c r="AD528" s="1348"/>
      <c r="AE528" s="1348"/>
      <c r="AF528" s="1348"/>
      <c r="AG528" s="1348"/>
      <c r="AI528" s="943"/>
      <c r="AJ528" s="943"/>
      <c r="AK528" s="943"/>
      <c r="AL528" s="943"/>
      <c r="AM528" s="943"/>
      <c r="AN528" s="943"/>
      <c r="AO528" s="943"/>
      <c r="AP528" s="943"/>
      <c r="AQ528" s="943"/>
    </row>
    <row r="529" spans="1:43" s="633" customFormat="1" ht="15" thickBot="1" x14ac:dyDescent="0.25">
      <c r="A529" s="942"/>
      <c r="AI529" s="943"/>
      <c r="AJ529" s="943"/>
      <c r="AK529" s="943"/>
      <c r="AL529" s="943"/>
      <c r="AM529" s="943"/>
      <c r="AN529" s="943"/>
      <c r="AO529" s="943"/>
      <c r="AP529" s="943"/>
      <c r="AQ529" s="943"/>
    </row>
    <row r="530" spans="1:43" s="633" customFormat="1" ht="15" thickBot="1" x14ac:dyDescent="0.25">
      <c r="A530" s="942"/>
      <c r="D530" s="1138" t="s">
        <v>122</v>
      </c>
      <c r="E530" s="1138"/>
      <c r="F530" s="1138"/>
      <c r="G530" s="1138"/>
      <c r="H530" s="1138"/>
      <c r="I530" s="1138" t="s">
        <v>2</v>
      </c>
      <c r="J530" s="1138"/>
      <c r="K530" s="1138"/>
      <c r="L530" s="1138"/>
      <c r="M530" s="1138"/>
      <c r="N530" s="1138"/>
      <c r="O530" s="1138"/>
      <c r="P530" s="1138"/>
      <c r="Q530" s="1138"/>
      <c r="R530" s="1138"/>
      <c r="S530" s="1138"/>
      <c r="T530" s="1138"/>
      <c r="U530" s="1138"/>
      <c r="V530" s="1138"/>
      <c r="W530" s="1138"/>
      <c r="X530" s="1138"/>
      <c r="Y530" s="1138"/>
      <c r="Z530" s="1138"/>
      <c r="AA530" s="1138"/>
      <c r="AB530" s="1138"/>
      <c r="AC530" s="1138"/>
      <c r="AD530" s="1138"/>
      <c r="AE530" s="1138"/>
      <c r="AF530" s="1138"/>
      <c r="AG530" s="1138"/>
      <c r="AI530" s="943"/>
      <c r="AJ530" s="943"/>
      <c r="AK530" s="943"/>
      <c r="AL530" s="943"/>
      <c r="AM530" s="943"/>
      <c r="AN530" s="943"/>
      <c r="AO530" s="943"/>
      <c r="AP530" s="943"/>
      <c r="AQ530" s="943"/>
    </row>
    <row r="531" spans="1:43" s="633" customFormat="1" ht="48" customHeight="1" thickTop="1" thickBot="1" x14ac:dyDescent="0.25">
      <c r="A531" s="942">
        <v>15</v>
      </c>
      <c r="D531" s="1138"/>
      <c r="E531" s="1138"/>
      <c r="F531" s="1138"/>
      <c r="G531" s="1138"/>
      <c r="H531" s="1138"/>
      <c r="I531" s="1120" t="s">
        <v>87</v>
      </c>
      <c r="J531" s="1120"/>
      <c r="K531" s="1120"/>
      <c r="L531" s="1120"/>
      <c r="M531" s="1120"/>
      <c r="N531" s="1120" t="s">
        <v>455</v>
      </c>
      <c r="O531" s="1120"/>
      <c r="P531" s="1120"/>
      <c r="Q531" s="1120"/>
      <c r="R531" s="1120"/>
      <c r="S531" s="1120" t="s">
        <v>459</v>
      </c>
      <c r="T531" s="1120"/>
      <c r="U531" s="1120"/>
      <c r="V531" s="1120"/>
      <c r="W531" s="1120"/>
      <c r="X531" s="1120" t="s">
        <v>457</v>
      </c>
      <c r="Y531" s="1120"/>
      <c r="Z531" s="1120"/>
      <c r="AA531" s="1120"/>
      <c r="AB531" s="1120"/>
      <c r="AC531" s="1120" t="s">
        <v>89</v>
      </c>
      <c r="AD531" s="1120"/>
      <c r="AE531" s="1120"/>
      <c r="AF531" s="1120"/>
      <c r="AG531" s="1120"/>
      <c r="AI531" s="934" t="s">
        <v>123</v>
      </c>
      <c r="AJ531" s="937" t="s">
        <v>455</v>
      </c>
      <c r="AK531" s="934" t="s">
        <v>459</v>
      </c>
      <c r="AL531" s="937" t="s">
        <v>457</v>
      </c>
      <c r="AM531" s="934" t="s">
        <v>89</v>
      </c>
      <c r="AN531" s="943"/>
      <c r="AO531" s="934" t="s">
        <v>89</v>
      </c>
      <c r="AP531" s="943"/>
      <c r="AQ531" s="943"/>
    </row>
    <row r="532" spans="1:43" s="633" customFormat="1" ht="37.5" customHeight="1" x14ac:dyDescent="0.2">
      <c r="A532" s="942"/>
      <c r="D532" s="1066" t="s">
        <v>125</v>
      </c>
      <c r="E532" s="1067"/>
      <c r="F532" s="1067"/>
      <c r="G532" s="1067"/>
      <c r="H532" s="1068"/>
      <c r="I532" s="1073"/>
      <c r="J532" s="1074"/>
      <c r="K532" s="1074"/>
      <c r="L532" s="1074"/>
      <c r="M532" s="1074"/>
      <c r="N532" s="1074">
        <v>18068</v>
      </c>
      <c r="O532" s="1074"/>
      <c r="P532" s="1074"/>
      <c r="Q532" s="1074"/>
      <c r="R532" s="1074"/>
      <c r="S532" s="1074"/>
      <c r="T532" s="1074"/>
      <c r="U532" s="1074"/>
      <c r="V532" s="1074"/>
      <c r="W532" s="1074"/>
      <c r="X532" s="1074"/>
      <c r="Y532" s="1074"/>
      <c r="Z532" s="1074"/>
      <c r="AA532" s="1074"/>
      <c r="AB532" s="1074"/>
      <c r="AC532" s="1075">
        <f>SUM(I532:AB532)</f>
        <v>18068</v>
      </c>
      <c r="AD532" s="1075"/>
      <c r="AE532" s="1075"/>
      <c r="AF532" s="1075"/>
      <c r="AG532" s="1076"/>
      <c r="AI532" s="951"/>
      <c r="AJ532" s="952"/>
      <c r="AK532" s="952"/>
      <c r="AL532" s="952"/>
      <c r="AM532" s="972">
        <f t="shared" ref="AM532:AM537" si="251">SUM(I532:AB532)-AC532</f>
        <v>0</v>
      </c>
      <c r="AN532" s="943"/>
      <c r="AO532" s="976">
        <f>AC532-BS!$E$56-BS!$E$48</f>
        <v>0</v>
      </c>
      <c r="AP532" s="943"/>
      <c r="AQ532" s="943"/>
    </row>
    <row r="533" spans="1:43" s="633" customFormat="1" ht="45.75" customHeight="1" x14ac:dyDescent="0.2">
      <c r="A533" s="942"/>
      <c r="D533" s="1236" t="s">
        <v>126</v>
      </c>
      <c r="E533" s="1237"/>
      <c r="F533" s="1237"/>
      <c r="G533" s="1237"/>
      <c r="H533" s="1238"/>
      <c r="I533" s="1048"/>
      <c r="J533" s="1241"/>
      <c r="K533" s="1241"/>
      <c r="L533" s="1241"/>
      <c r="M533" s="1241"/>
      <c r="N533" s="1241"/>
      <c r="O533" s="1241"/>
      <c r="P533" s="1241"/>
      <c r="Q533" s="1241"/>
      <c r="R533" s="1241"/>
      <c r="S533" s="1241"/>
      <c r="T533" s="1241"/>
      <c r="U533" s="1241"/>
      <c r="V533" s="1241"/>
      <c r="W533" s="1241"/>
      <c r="X533" s="1241"/>
      <c r="Y533" s="1241"/>
      <c r="Z533" s="1241"/>
      <c r="AA533" s="1241"/>
      <c r="AB533" s="1241"/>
      <c r="AC533" s="1095">
        <f t="shared" ref="AC533:AC536" si="252">SUM(I533:AB533)</f>
        <v>0</v>
      </c>
      <c r="AD533" s="1095"/>
      <c r="AE533" s="1095"/>
      <c r="AF533" s="1095"/>
      <c r="AG533" s="1096"/>
      <c r="AI533" s="954"/>
      <c r="AJ533" s="949"/>
      <c r="AK533" s="949"/>
      <c r="AL533" s="949"/>
      <c r="AM533" s="955">
        <f t="shared" si="251"/>
        <v>0</v>
      </c>
      <c r="AN533" s="943"/>
      <c r="AO533" s="973">
        <f>AC533-BS!$E$58-BS!$E$50</f>
        <v>0</v>
      </c>
      <c r="AP533" s="943"/>
      <c r="AQ533" s="943"/>
    </row>
    <row r="534" spans="1:43" s="633" customFormat="1" ht="37.5" customHeight="1" x14ac:dyDescent="0.2">
      <c r="A534" s="942"/>
      <c r="D534" s="1236" t="s">
        <v>1927</v>
      </c>
      <c r="E534" s="1237"/>
      <c r="F534" s="1237"/>
      <c r="G534" s="1237"/>
      <c r="H534" s="1238"/>
      <c r="I534" s="1048"/>
      <c r="J534" s="1241"/>
      <c r="K534" s="1241"/>
      <c r="L534" s="1241"/>
      <c r="M534" s="1241"/>
      <c r="N534" s="1241"/>
      <c r="O534" s="1241"/>
      <c r="P534" s="1241"/>
      <c r="Q534" s="1241"/>
      <c r="R534" s="1241"/>
      <c r="S534" s="1241"/>
      <c r="T534" s="1241"/>
      <c r="U534" s="1241"/>
      <c r="V534" s="1241"/>
      <c r="W534" s="1241"/>
      <c r="X534" s="1241"/>
      <c r="Y534" s="1241"/>
      <c r="Z534" s="1241"/>
      <c r="AA534" s="1241"/>
      <c r="AB534" s="1241"/>
      <c r="AC534" s="1095">
        <f t="shared" si="252"/>
        <v>0</v>
      </c>
      <c r="AD534" s="1095"/>
      <c r="AE534" s="1095"/>
      <c r="AF534" s="1095"/>
      <c r="AG534" s="1096"/>
      <c r="AI534" s="954"/>
      <c r="AJ534" s="949"/>
      <c r="AK534" s="949"/>
      <c r="AL534" s="949"/>
      <c r="AM534" s="955">
        <f t="shared" si="251"/>
        <v>0</v>
      </c>
      <c r="AN534" s="943"/>
      <c r="AO534" s="973">
        <f>AC534-BS!$E$59-BS!$E$51</f>
        <v>0</v>
      </c>
      <c r="AP534" s="943"/>
      <c r="AQ534" s="943"/>
    </row>
    <row r="535" spans="1:43" s="633" customFormat="1" ht="37.5" customHeight="1" x14ac:dyDescent="0.2">
      <c r="A535" s="942"/>
      <c r="D535" s="1070" t="s">
        <v>127</v>
      </c>
      <c r="E535" s="1071"/>
      <c r="F535" s="1071"/>
      <c r="G535" s="1071"/>
      <c r="H535" s="1072"/>
      <c r="I535" s="1048"/>
      <c r="J535" s="1241"/>
      <c r="K535" s="1241"/>
      <c r="L535" s="1241"/>
      <c r="M535" s="1241"/>
      <c r="N535" s="1241"/>
      <c r="O535" s="1241"/>
      <c r="P535" s="1241"/>
      <c r="Q535" s="1241"/>
      <c r="R535" s="1241"/>
      <c r="S535" s="1241"/>
      <c r="T535" s="1241"/>
      <c r="U535" s="1241"/>
      <c r="V535" s="1241"/>
      <c r="W535" s="1241"/>
      <c r="X535" s="1241"/>
      <c r="Y535" s="1241"/>
      <c r="Z535" s="1241"/>
      <c r="AA535" s="1241"/>
      <c r="AB535" s="1241"/>
      <c r="AC535" s="1095">
        <f t="shared" si="252"/>
        <v>0</v>
      </c>
      <c r="AD535" s="1095"/>
      <c r="AE535" s="1095"/>
      <c r="AF535" s="1095"/>
      <c r="AG535" s="1096"/>
      <c r="AI535" s="954"/>
      <c r="AJ535" s="949"/>
      <c r="AK535" s="949"/>
      <c r="AL535" s="949"/>
      <c r="AM535" s="955">
        <f t="shared" si="251"/>
        <v>0</v>
      </c>
      <c r="AN535" s="943"/>
      <c r="AO535" s="973">
        <f>AC535-BS!$E$60-BS!$E$52</f>
        <v>0</v>
      </c>
      <c r="AP535" s="943"/>
      <c r="AQ535" s="943"/>
    </row>
    <row r="536" spans="1:43" s="633" customFormat="1" ht="37.5" customHeight="1" x14ac:dyDescent="0.2">
      <c r="A536" s="942"/>
      <c r="D536" s="1070" t="s">
        <v>128</v>
      </c>
      <c r="E536" s="1071"/>
      <c r="F536" s="1071"/>
      <c r="G536" s="1071"/>
      <c r="H536" s="1072"/>
      <c r="I536" s="1048"/>
      <c r="J536" s="1241"/>
      <c r="K536" s="1241"/>
      <c r="L536" s="1241"/>
      <c r="M536" s="1241"/>
      <c r="N536" s="1241"/>
      <c r="O536" s="1241"/>
      <c r="P536" s="1241"/>
      <c r="Q536" s="1241"/>
      <c r="R536" s="1241"/>
      <c r="S536" s="1241"/>
      <c r="T536" s="1241"/>
      <c r="U536" s="1241"/>
      <c r="V536" s="1241"/>
      <c r="W536" s="1241"/>
      <c r="X536" s="1241"/>
      <c r="Y536" s="1241"/>
      <c r="Z536" s="1241"/>
      <c r="AA536" s="1241"/>
      <c r="AB536" s="1241"/>
      <c r="AC536" s="1095">
        <f t="shared" si="252"/>
        <v>0</v>
      </c>
      <c r="AD536" s="1095"/>
      <c r="AE536" s="1095"/>
      <c r="AF536" s="1095"/>
      <c r="AG536" s="1096"/>
      <c r="AI536" s="954"/>
      <c r="AJ536" s="949"/>
      <c r="AK536" s="949"/>
      <c r="AL536" s="949"/>
      <c r="AM536" s="955">
        <f t="shared" si="251"/>
        <v>0</v>
      </c>
      <c r="AN536" s="943"/>
      <c r="AO536" s="973">
        <f>AC536-SUM(BS!$E$61:$E$63,BS!$E$53,BS!$E$54)</f>
        <v>0</v>
      </c>
      <c r="AP536" s="943"/>
      <c r="AQ536" s="943"/>
    </row>
    <row r="537" spans="1:43" s="633" customFormat="1" ht="27.75" customHeight="1" thickBot="1" x14ac:dyDescent="0.25">
      <c r="A537" s="942"/>
      <c r="D537" s="1107" t="s">
        <v>129</v>
      </c>
      <c r="E537" s="1107"/>
      <c r="F537" s="1107"/>
      <c r="G537" s="1107"/>
      <c r="H537" s="1107"/>
      <c r="I537" s="1345">
        <f>SUM(I532:M536)</f>
        <v>0</v>
      </c>
      <c r="J537" s="1346"/>
      <c r="K537" s="1346"/>
      <c r="L537" s="1346"/>
      <c r="M537" s="1346"/>
      <c r="N537" s="1346">
        <f>SUM(N532:R536)</f>
        <v>18068</v>
      </c>
      <c r="O537" s="1346"/>
      <c r="P537" s="1346"/>
      <c r="Q537" s="1346"/>
      <c r="R537" s="1346"/>
      <c r="S537" s="1346">
        <f>SUM(S532:W536)</f>
        <v>0</v>
      </c>
      <c r="T537" s="1346"/>
      <c r="U537" s="1346"/>
      <c r="V537" s="1346"/>
      <c r="W537" s="1346"/>
      <c r="X537" s="1346">
        <f>SUM(X532:AB536)</f>
        <v>0</v>
      </c>
      <c r="Y537" s="1346"/>
      <c r="Z537" s="1346"/>
      <c r="AA537" s="1346"/>
      <c r="AB537" s="1346"/>
      <c r="AC537" s="1346">
        <f>SUM(AC532:AG536)</f>
        <v>18068</v>
      </c>
      <c r="AD537" s="1346"/>
      <c r="AE537" s="1346"/>
      <c r="AF537" s="1346"/>
      <c r="AG537" s="1347"/>
      <c r="AI537" s="959">
        <f>SUM(I530:M536)-I537</f>
        <v>0</v>
      </c>
      <c r="AJ537" s="960">
        <f>SUM(N532:R536)-N537</f>
        <v>0</v>
      </c>
      <c r="AK537" s="960">
        <f>SUM(S532:W536)-S537</f>
        <v>0</v>
      </c>
      <c r="AL537" s="960">
        <f>SUM(X532:AB536)-X537</f>
        <v>0</v>
      </c>
      <c r="AM537" s="961">
        <f t="shared" si="251"/>
        <v>0</v>
      </c>
      <c r="AN537" s="943"/>
      <c r="AO537" s="975">
        <f>AC537-BS!$E$47-BS!$E$55</f>
        <v>0</v>
      </c>
      <c r="AP537" s="943"/>
      <c r="AQ537" s="943"/>
    </row>
    <row r="538" spans="1:43" s="633" customFormat="1" x14ac:dyDescent="0.2">
      <c r="A538" s="942"/>
      <c r="AI538" s="943"/>
      <c r="AJ538" s="943"/>
      <c r="AK538" s="943"/>
      <c r="AL538" s="943"/>
      <c r="AM538" s="943"/>
      <c r="AN538" s="943"/>
      <c r="AO538" s="943"/>
      <c r="AP538" s="943"/>
      <c r="AQ538" s="943"/>
    </row>
    <row r="539" spans="1:43" s="633" customFormat="1" ht="30.75" customHeight="1" x14ac:dyDescent="0.2">
      <c r="A539" s="942"/>
      <c r="D539" s="1183" t="s">
        <v>2054</v>
      </c>
      <c r="E539" s="1183"/>
      <c r="F539" s="1183"/>
      <c r="G539" s="1183"/>
      <c r="H539" s="1183"/>
      <c r="I539" s="1183"/>
      <c r="J539" s="1183"/>
      <c r="K539" s="1183"/>
      <c r="L539" s="1183"/>
      <c r="M539" s="1183"/>
      <c r="N539" s="1183"/>
      <c r="O539" s="1183"/>
      <c r="P539" s="1183"/>
      <c r="Q539" s="1183"/>
      <c r="R539" s="1183"/>
      <c r="S539" s="1183"/>
      <c r="T539" s="1183"/>
      <c r="U539" s="1183"/>
      <c r="V539" s="1183"/>
      <c r="W539" s="1183"/>
      <c r="X539" s="1183"/>
      <c r="Y539" s="1183"/>
      <c r="Z539" s="1183"/>
      <c r="AA539" s="1183"/>
      <c r="AB539" s="1183"/>
      <c r="AC539" s="1183"/>
      <c r="AD539" s="1183"/>
      <c r="AE539" s="1183"/>
      <c r="AF539" s="1183"/>
      <c r="AG539" s="1183"/>
      <c r="AI539" s="943"/>
      <c r="AJ539" s="943"/>
      <c r="AK539" s="943"/>
      <c r="AL539" s="943"/>
      <c r="AM539" s="943"/>
      <c r="AN539" s="943"/>
      <c r="AO539" s="943"/>
      <c r="AP539" s="943"/>
      <c r="AQ539" s="943"/>
    </row>
    <row r="540" spans="1:43" s="633" customFormat="1" x14ac:dyDescent="0.2">
      <c r="A540" s="942"/>
      <c r="AI540" s="943"/>
      <c r="AJ540" s="943"/>
      <c r="AK540" s="943"/>
      <c r="AL540" s="943"/>
      <c r="AM540" s="943"/>
      <c r="AN540" s="943"/>
      <c r="AO540" s="943"/>
      <c r="AP540" s="943"/>
      <c r="AQ540" s="943"/>
    </row>
    <row r="541" spans="1:43" s="633" customFormat="1" hidden="1" x14ac:dyDescent="0.2">
      <c r="A541" s="942"/>
      <c r="D541" s="1116" t="s">
        <v>1957</v>
      </c>
      <c r="E541" s="1116"/>
      <c r="F541" s="1116"/>
      <c r="G541" s="1116"/>
      <c r="H541" s="1116"/>
      <c r="I541" s="1116"/>
      <c r="J541" s="1116"/>
      <c r="K541" s="1116"/>
      <c r="L541" s="1116"/>
      <c r="M541" s="1116"/>
      <c r="N541" s="1116"/>
      <c r="O541" s="1116"/>
      <c r="P541" s="1116"/>
      <c r="Q541" s="1116"/>
      <c r="R541" s="1116"/>
      <c r="S541" s="1116"/>
      <c r="T541" s="1116"/>
      <c r="U541" s="1116"/>
      <c r="V541" s="1116"/>
      <c r="W541" s="1116"/>
      <c r="X541" s="1116"/>
      <c r="Y541" s="1116"/>
      <c r="Z541" s="1116"/>
      <c r="AA541" s="1116"/>
      <c r="AB541" s="1116"/>
      <c r="AC541" s="1116"/>
      <c r="AD541" s="1116"/>
      <c r="AE541" s="1116"/>
      <c r="AF541" s="1116"/>
      <c r="AG541" s="1116"/>
      <c r="AI541" s="943"/>
      <c r="AJ541" s="943"/>
      <c r="AK541" s="943"/>
      <c r="AL541" s="943"/>
      <c r="AM541" s="943"/>
      <c r="AN541" s="943"/>
      <c r="AO541" s="943"/>
      <c r="AP541" s="943"/>
      <c r="AQ541" s="943"/>
    </row>
    <row r="542" spans="1:43" s="633" customFormat="1" hidden="1" x14ac:dyDescent="0.2">
      <c r="A542" s="942"/>
      <c r="D542" s="1116"/>
      <c r="E542" s="1116"/>
      <c r="F542" s="1116"/>
      <c r="G542" s="1116"/>
      <c r="H542" s="1116"/>
      <c r="I542" s="1116"/>
      <c r="J542" s="1116"/>
      <c r="K542" s="1116"/>
      <c r="L542" s="1116"/>
      <c r="M542" s="1116"/>
      <c r="N542" s="1116"/>
      <c r="O542" s="1116"/>
      <c r="P542" s="1116"/>
      <c r="Q542" s="1116"/>
      <c r="R542" s="1116"/>
      <c r="S542" s="1116"/>
      <c r="T542" s="1116"/>
      <c r="U542" s="1116"/>
      <c r="V542" s="1116"/>
      <c r="W542" s="1116"/>
      <c r="X542" s="1116"/>
      <c r="Y542" s="1116"/>
      <c r="Z542" s="1116"/>
      <c r="AA542" s="1116"/>
      <c r="AB542" s="1116"/>
      <c r="AC542" s="1116"/>
      <c r="AD542" s="1116"/>
      <c r="AE542" s="1116"/>
      <c r="AF542" s="1116"/>
      <c r="AG542" s="1116"/>
      <c r="AI542" s="943"/>
      <c r="AJ542" s="943"/>
      <c r="AK542" s="943"/>
      <c r="AL542" s="943"/>
      <c r="AM542" s="943"/>
      <c r="AN542" s="943"/>
      <c r="AO542" s="943"/>
      <c r="AP542" s="943"/>
      <c r="AQ542" s="943"/>
    </row>
    <row r="543" spans="1:43" s="633" customFormat="1" hidden="1" x14ac:dyDescent="0.2">
      <c r="A543" s="942"/>
      <c r="D543" s="1116"/>
      <c r="E543" s="1116"/>
      <c r="F543" s="1116"/>
      <c r="G543" s="1116"/>
      <c r="H543" s="1116"/>
      <c r="I543" s="1116"/>
      <c r="J543" s="1116"/>
      <c r="K543" s="1116"/>
      <c r="L543" s="1116"/>
      <c r="M543" s="1116"/>
      <c r="N543" s="1116"/>
      <c r="O543" s="1116"/>
      <c r="P543" s="1116"/>
      <c r="Q543" s="1116"/>
      <c r="R543" s="1116"/>
      <c r="S543" s="1116"/>
      <c r="T543" s="1116"/>
      <c r="U543" s="1116"/>
      <c r="V543" s="1116"/>
      <c r="W543" s="1116"/>
      <c r="X543" s="1116"/>
      <c r="Y543" s="1116"/>
      <c r="Z543" s="1116"/>
      <c r="AA543" s="1116"/>
      <c r="AB543" s="1116"/>
      <c r="AC543" s="1116"/>
      <c r="AD543" s="1116"/>
      <c r="AE543" s="1116"/>
      <c r="AF543" s="1116"/>
      <c r="AG543" s="1116"/>
      <c r="AI543" s="943"/>
      <c r="AJ543" s="943"/>
      <c r="AK543" s="943"/>
      <c r="AL543" s="943"/>
      <c r="AM543" s="943"/>
      <c r="AN543" s="943"/>
      <c r="AO543" s="943"/>
      <c r="AP543" s="943"/>
      <c r="AQ543" s="943"/>
    </row>
    <row r="544" spans="1:43" s="633" customFormat="1" hidden="1" x14ac:dyDescent="0.2">
      <c r="A544" s="942"/>
      <c r="AI544" s="943"/>
      <c r="AJ544" s="943"/>
      <c r="AK544" s="943"/>
      <c r="AL544" s="943"/>
      <c r="AM544" s="943"/>
      <c r="AN544" s="943"/>
      <c r="AO544" s="943"/>
      <c r="AP544" s="943"/>
      <c r="AQ544" s="943"/>
    </row>
    <row r="545" spans="1:43" s="633" customFormat="1" hidden="1" x14ac:dyDescent="0.2">
      <c r="A545" s="942"/>
      <c r="D545" s="1183" t="s">
        <v>1489</v>
      </c>
      <c r="E545" s="1183"/>
      <c r="F545" s="1183"/>
      <c r="G545" s="1183"/>
      <c r="H545" s="1183"/>
      <c r="I545" s="1183"/>
      <c r="J545" s="1183"/>
      <c r="K545" s="1183"/>
      <c r="L545" s="1183"/>
      <c r="M545" s="1183"/>
      <c r="N545" s="1183"/>
      <c r="O545" s="1183"/>
      <c r="P545" s="1183"/>
      <c r="Q545" s="1183"/>
      <c r="R545" s="1183"/>
      <c r="S545" s="1183"/>
      <c r="T545" s="1183"/>
      <c r="U545" s="1183"/>
      <c r="V545" s="1183"/>
      <c r="W545" s="1183"/>
      <c r="X545" s="1183"/>
      <c r="Y545" s="1183"/>
      <c r="Z545" s="1183"/>
      <c r="AA545" s="1183"/>
      <c r="AB545" s="1183"/>
      <c r="AC545" s="1183"/>
      <c r="AD545" s="1183"/>
      <c r="AE545" s="1183"/>
      <c r="AF545" s="1183"/>
      <c r="AG545" s="1183"/>
      <c r="AI545" s="943"/>
      <c r="AJ545" s="943"/>
      <c r="AK545" s="943"/>
      <c r="AL545" s="943"/>
      <c r="AM545" s="943"/>
      <c r="AN545" s="943"/>
      <c r="AO545" s="943"/>
      <c r="AP545" s="943"/>
      <c r="AQ545" s="943"/>
    </row>
    <row r="546" spans="1:43" s="633" customFormat="1" hidden="1" x14ac:dyDescent="0.2">
      <c r="A546" s="942"/>
      <c r="AI546" s="943"/>
      <c r="AJ546" s="943"/>
      <c r="AK546" s="943"/>
      <c r="AL546" s="943"/>
      <c r="AM546" s="943"/>
      <c r="AN546" s="943"/>
      <c r="AO546" s="943"/>
      <c r="AP546" s="943"/>
      <c r="AQ546" s="943"/>
    </row>
    <row r="547" spans="1:43" s="633" customFormat="1" x14ac:dyDescent="0.2">
      <c r="A547" s="942"/>
      <c r="D547" s="1183" t="s">
        <v>2059</v>
      </c>
      <c r="E547" s="1183"/>
      <c r="F547" s="1183"/>
      <c r="G547" s="1183"/>
      <c r="H547" s="1183"/>
      <c r="I547" s="1183"/>
      <c r="J547" s="1183"/>
      <c r="K547" s="1183"/>
      <c r="L547" s="1183"/>
      <c r="M547" s="1183"/>
      <c r="N547" s="1183"/>
      <c r="O547" s="1183"/>
      <c r="P547" s="1183"/>
      <c r="Q547" s="1183"/>
      <c r="R547" s="1183"/>
      <c r="S547" s="1183"/>
      <c r="T547" s="1183"/>
      <c r="U547" s="1183"/>
      <c r="V547" s="1183"/>
      <c r="W547" s="1183"/>
      <c r="X547" s="1183"/>
      <c r="Y547" s="1183"/>
      <c r="Z547" s="1183"/>
      <c r="AA547" s="1183"/>
      <c r="AB547" s="1183"/>
      <c r="AC547" s="1183"/>
      <c r="AD547" s="1183"/>
      <c r="AE547" s="1183"/>
      <c r="AF547" s="1183"/>
      <c r="AG547" s="1183"/>
      <c r="AI547" s="943"/>
      <c r="AJ547" s="943"/>
      <c r="AK547" s="943"/>
      <c r="AL547" s="943"/>
      <c r="AM547" s="943"/>
      <c r="AN547" s="943"/>
      <c r="AO547" s="943"/>
      <c r="AP547" s="943"/>
      <c r="AQ547" s="943"/>
    </row>
    <row r="548" spans="1:43" s="633" customFormat="1" hidden="1" x14ac:dyDescent="0.2">
      <c r="A548" s="942"/>
      <c r="AI548" s="943"/>
      <c r="AJ548" s="943"/>
      <c r="AK548" s="943"/>
      <c r="AL548" s="943"/>
      <c r="AM548" s="943"/>
      <c r="AN548" s="943"/>
      <c r="AO548" s="943"/>
      <c r="AP548" s="943"/>
      <c r="AQ548" s="943"/>
    </row>
    <row r="549" spans="1:43" s="633" customFormat="1" x14ac:dyDescent="0.2">
      <c r="A549" s="942"/>
      <c r="AI549" s="943"/>
      <c r="AJ549" s="943"/>
      <c r="AK549" s="943"/>
      <c r="AL549" s="943"/>
      <c r="AM549" s="943"/>
      <c r="AN549" s="943"/>
      <c r="AO549" s="943"/>
      <c r="AP549" s="943"/>
      <c r="AQ549" s="943"/>
    </row>
    <row r="550" spans="1:43" s="633" customFormat="1" x14ac:dyDescent="0.2">
      <c r="A550" s="942"/>
      <c r="AI550" s="943"/>
      <c r="AJ550" s="943"/>
      <c r="AK550" s="943"/>
      <c r="AL550" s="943"/>
      <c r="AM550" s="943"/>
      <c r="AN550" s="943"/>
      <c r="AO550" s="943"/>
      <c r="AP550" s="943"/>
      <c r="AQ550" s="943"/>
    </row>
    <row r="551" spans="1:43" s="633" customFormat="1" x14ac:dyDescent="0.2">
      <c r="A551" s="942"/>
      <c r="AI551" s="943"/>
      <c r="AJ551" s="943"/>
      <c r="AK551" s="943"/>
      <c r="AL551" s="943"/>
      <c r="AM551" s="943"/>
      <c r="AN551" s="943"/>
      <c r="AO551" s="943"/>
      <c r="AP551" s="943"/>
      <c r="AQ551" s="943"/>
    </row>
    <row r="552" spans="1:43" s="633" customFormat="1" x14ac:dyDescent="0.2">
      <c r="A552" s="942"/>
      <c r="AI552" s="943"/>
      <c r="AJ552" s="943"/>
      <c r="AK552" s="943"/>
      <c r="AL552" s="943"/>
      <c r="AM552" s="943"/>
      <c r="AN552" s="943"/>
      <c r="AO552" s="943"/>
      <c r="AP552" s="943"/>
      <c r="AQ552" s="943"/>
    </row>
    <row r="553" spans="1:43" s="633" customFormat="1" x14ac:dyDescent="0.2">
      <c r="A553" s="942"/>
      <c r="AI553" s="943"/>
      <c r="AJ553" s="943"/>
      <c r="AK553" s="943"/>
      <c r="AL553" s="943"/>
      <c r="AM553" s="943"/>
      <c r="AN553" s="943"/>
      <c r="AO553" s="943"/>
      <c r="AP553" s="943"/>
      <c r="AQ553" s="943"/>
    </row>
    <row r="554" spans="1:43" s="633" customFormat="1" x14ac:dyDescent="0.2">
      <c r="A554" s="942"/>
      <c r="AI554" s="943"/>
      <c r="AJ554" s="943"/>
      <c r="AK554" s="943"/>
      <c r="AL554" s="943"/>
      <c r="AM554" s="943"/>
      <c r="AN554" s="943"/>
      <c r="AO554" s="943"/>
      <c r="AP554" s="943"/>
      <c r="AQ554" s="943"/>
    </row>
    <row r="555" spans="1:43" s="633" customFormat="1" x14ac:dyDescent="0.2">
      <c r="A555" s="942"/>
      <c r="AI555" s="943"/>
      <c r="AJ555" s="943"/>
      <c r="AK555" s="943"/>
      <c r="AL555" s="943"/>
      <c r="AM555" s="943"/>
      <c r="AN555" s="943"/>
      <c r="AO555" s="943"/>
      <c r="AP555" s="943"/>
      <c r="AQ555" s="943"/>
    </row>
    <row r="556" spans="1:43" s="633" customFormat="1" x14ac:dyDescent="0.2">
      <c r="A556" s="942"/>
      <c r="AI556" s="943"/>
      <c r="AJ556" s="943"/>
      <c r="AK556" s="943"/>
      <c r="AL556" s="943"/>
      <c r="AM556" s="943"/>
      <c r="AN556" s="943"/>
      <c r="AO556" s="943"/>
      <c r="AP556" s="943"/>
      <c r="AQ556" s="943"/>
    </row>
    <row r="557" spans="1:43" s="633" customFormat="1" x14ac:dyDescent="0.2">
      <c r="A557" s="942"/>
      <c r="AI557" s="943"/>
      <c r="AJ557" s="943"/>
      <c r="AK557" s="943"/>
      <c r="AL557" s="943"/>
      <c r="AM557" s="943"/>
      <c r="AN557" s="943"/>
      <c r="AO557" s="943"/>
      <c r="AP557" s="943"/>
      <c r="AQ557" s="943"/>
    </row>
    <row r="558" spans="1:43" s="633" customFormat="1" x14ac:dyDescent="0.2">
      <c r="A558" s="942"/>
      <c r="AI558" s="943"/>
      <c r="AJ558" s="943"/>
      <c r="AK558" s="943"/>
      <c r="AL558" s="943"/>
      <c r="AM558" s="943"/>
      <c r="AN558" s="943"/>
      <c r="AO558" s="943"/>
      <c r="AP558" s="943"/>
      <c r="AQ558" s="943"/>
    </row>
    <row r="559" spans="1:43" s="633" customFormat="1" x14ac:dyDescent="0.2">
      <c r="A559" s="942"/>
      <c r="AI559" s="943"/>
      <c r="AJ559" s="943"/>
      <c r="AK559" s="943"/>
      <c r="AL559" s="943"/>
      <c r="AM559" s="943"/>
      <c r="AN559" s="943"/>
      <c r="AO559" s="943"/>
      <c r="AP559" s="943"/>
      <c r="AQ559" s="943"/>
    </row>
    <row r="560" spans="1:43" s="633" customFormat="1" x14ac:dyDescent="0.2">
      <c r="A560" s="1020"/>
      <c r="AI560" s="943"/>
      <c r="AJ560" s="943"/>
      <c r="AK560" s="943"/>
      <c r="AL560" s="943"/>
      <c r="AM560" s="943"/>
      <c r="AN560" s="943"/>
      <c r="AO560" s="943"/>
      <c r="AP560" s="943"/>
      <c r="AQ560" s="943"/>
    </row>
    <row r="561" spans="1:43" s="633" customFormat="1" x14ac:dyDescent="0.2">
      <c r="A561" s="942"/>
      <c r="AI561" s="943"/>
      <c r="AJ561" s="943"/>
      <c r="AK561" s="943"/>
      <c r="AL561" s="943"/>
      <c r="AM561" s="943"/>
      <c r="AN561" s="943"/>
      <c r="AO561" s="943"/>
      <c r="AP561" s="943"/>
      <c r="AQ561" s="943"/>
    </row>
    <row r="562" spans="1:43" s="633" customFormat="1" x14ac:dyDescent="0.2">
      <c r="A562" s="942"/>
      <c r="D562" s="1183" t="s">
        <v>1490</v>
      </c>
      <c r="E562" s="1183"/>
      <c r="F562" s="1183"/>
      <c r="G562" s="1183"/>
      <c r="H562" s="1183"/>
      <c r="I562" s="1183"/>
      <c r="J562" s="1183"/>
      <c r="K562" s="1183"/>
      <c r="L562" s="1183"/>
      <c r="M562" s="1183"/>
      <c r="N562" s="1183"/>
      <c r="O562" s="1183"/>
      <c r="P562" s="1183"/>
      <c r="Q562" s="1183"/>
      <c r="R562" s="1183"/>
      <c r="S562" s="1183"/>
      <c r="T562" s="1183"/>
      <c r="U562" s="1183"/>
      <c r="V562" s="1183"/>
      <c r="W562" s="1183"/>
      <c r="X562" s="1183"/>
      <c r="Y562" s="1183"/>
      <c r="Z562" s="1183"/>
      <c r="AA562" s="1183"/>
      <c r="AB562" s="1183"/>
      <c r="AC562" s="1183"/>
      <c r="AD562" s="1183"/>
      <c r="AE562" s="1183"/>
      <c r="AF562" s="1183"/>
      <c r="AG562" s="1183"/>
      <c r="AI562" s="943"/>
      <c r="AJ562" s="943"/>
      <c r="AK562" s="943"/>
      <c r="AL562" s="943"/>
      <c r="AM562" s="943"/>
      <c r="AN562" s="943"/>
      <c r="AO562" s="943"/>
      <c r="AP562" s="943"/>
      <c r="AQ562" s="943"/>
    </row>
    <row r="563" spans="1:43" s="633" customFormat="1" ht="15" thickBot="1" x14ac:dyDescent="0.25">
      <c r="A563" s="942"/>
      <c r="AI563" s="943"/>
      <c r="AJ563" s="943"/>
      <c r="AK563" s="943"/>
      <c r="AL563" s="943"/>
      <c r="AM563" s="943"/>
      <c r="AN563" s="943"/>
      <c r="AO563" s="943"/>
      <c r="AP563" s="943"/>
      <c r="AQ563" s="943"/>
    </row>
    <row r="564" spans="1:43" s="633" customFormat="1" ht="27.75" customHeight="1" thickTop="1" thickBot="1" x14ac:dyDescent="0.25">
      <c r="A564" s="942">
        <v>16</v>
      </c>
      <c r="D564" s="1138" t="s">
        <v>131</v>
      </c>
      <c r="E564" s="1138"/>
      <c r="F564" s="1138"/>
      <c r="G564" s="1138"/>
      <c r="H564" s="1138"/>
      <c r="I564" s="1138"/>
      <c r="J564" s="1138"/>
      <c r="K564" s="1138"/>
      <c r="L564" s="1138"/>
      <c r="M564" s="1138" t="s">
        <v>132</v>
      </c>
      <c r="N564" s="1138"/>
      <c r="O564" s="1138"/>
      <c r="P564" s="1138"/>
      <c r="Q564" s="1138"/>
      <c r="R564" s="1138"/>
      <c r="S564" s="1138"/>
      <c r="T564" s="1138" t="s">
        <v>133</v>
      </c>
      <c r="U564" s="1138"/>
      <c r="V564" s="1138"/>
      <c r="W564" s="1138"/>
      <c r="X564" s="1138"/>
      <c r="Y564" s="1138"/>
      <c r="Z564" s="1138"/>
      <c r="AA564" s="1138" t="s">
        <v>129</v>
      </c>
      <c r="AB564" s="1138"/>
      <c r="AC564" s="1138"/>
      <c r="AD564" s="1138"/>
      <c r="AE564" s="1138"/>
      <c r="AF564" s="1138"/>
      <c r="AG564" s="1138"/>
      <c r="AI564" s="943"/>
      <c r="AJ564" s="943"/>
      <c r="AK564" s="934" t="s">
        <v>132</v>
      </c>
      <c r="AL564" s="937" t="s">
        <v>133</v>
      </c>
      <c r="AM564" s="937" t="s">
        <v>129</v>
      </c>
      <c r="AN564" s="943"/>
      <c r="AO564" s="934" t="s">
        <v>129</v>
      </c>
      <c r="AP564" s="943"/>
      <c r="AQ564" s="943"/>
    </row>
    <row r="565" spans="1:43" s="633" customFormat="1" ht="27.75" customHeight="1" thickBot="1" x14ac:dyDescent="0.25">
      <c r="A565" s="942"/>
      <c r="D565" s="1287" t="s">
        <v>134</v>
      </c>
      <c r="E565" s="1287"/>
      <c r="F565" s="1287"/>
      <c r="G565" s="1287"/>
      <c r="H565" s="1287"/>
      <c r="I565" s="1287"/>
      <c r="J565" s="1287"/>
      <c r="K565" s="1287"/>
      <c r="L565" s="1287"/>
      <c r="M565" s="1287"/>
      <c r="N565" s="1287"/>
      <c r="O565" s="1287"/>
      <c r="P565" s="1287"/>
      <c r="Q565" s="1287"/>
      <c r="R565" s="1287"/>
      <c r="S565" s="1287"/>
      <c r="T565" s="1287"/>
      <c r="U565" s="1287"/>
      <c r="V565" s="1287"/>
      <c r="W565" s="1287"/>
      <c r="X565" s="1287"/>
      <c r="Y565" s="1287"/>
      <c r="Z565" s="1287"/>
      <c r="AA565" s="1287"/>
      <c r="AB565" s="1287"/>
      <c r="AC565" s="1287"/>
      <c r="AD565" s="1287"/>
      <c r="AE565" s="1287"/>
      <c r="AF565" s="1287"/>
      <c r="AG565" s="1287"/>
      <c r="AI565" s="943"/>
      <c r="AJ565" s="943"/>
      <c r="AK565" s="951"/>
      <c r="AL565" s="952"/>
      <c r="AM565" s="953"/>
      <c r="AN565" s="943"/>
      <c r="AO565" s="976"/>
      <c r="AP565" s="943"/>
      <c r="AQ565" s="943"/>
    </row>
    <row r="566" spans="1:43" s="633" customFormat="1" ht="27.75" customHeight="1" x14ac:dyDescent="0.2">
      <c r="A566" s="942"/>
      <c r="D566" s="1331" t="s">
        <v>135</v>
      </c>
      <c r="E566" s="1331"/>
      <c r="F566" s="1331"/>
      <c r="G566" s="1331"/>
      <c r="H566" s="1331"/>
      <c r="I566" s="1331"/>
      <c r="J566" s="1331"/>
      <c r="K566" s="1331"/>
      <c r="L566" s="1331"/>
      <c r="M566" s="1167"/>
      <c r="N566" s="1167"/>
      <c r="O566" s="1167"/>
      <c r="P566" s="1167"/>
      <c r="Q566" s="1167"/>
      <c r="R566" s="1167"/>
      <c r="S566" s="1167"/>
      <c r="T566" s="1167"/>
      <c r="U566" s="1167"/>
      <c r="V566" s="1167"/>
      <c r="W566" s="1167"/>
      <c r="X566" s="1167"/>
      <c r="Y566" s="1167"/>
      <c r="Z566" s="1167"/>
      <c r="AA566" s="1147">
        <f>M566+T566</f>
        <v>0</v>
      </c>
      <c r="AB566" s="1147"/>
      <c r="AC566" s="1147"/>
      <c r="AD566" s="1147"/>
      <c r="AE566" s="1147"/>
      <c r="AF566" s="1147"/>
      <c r="AG566" s="1147"/>
      <c r="AI566" s="943"/>
      <c r="AJ566" s="943"/>
      <c r="AK566" s="954"/>
      <c r="AL566" s="949"/>
      <c r="AM566" s="955">
        <f>SUM(M566:Z566)-AA566</f>
        <v>0</v>
      </c>
      <c r="AN566" s="943"/>
      <c r="AO566" s="973">
        <f>AA566-BS!$D$48</f>
        <v>0</v>
      </c>
      <c r="AP566" s="943"/>
      <c r="AQ566" s="943"/>
    </row>
    <row r="567" spans="1:43" s="633" customFormat="1" ht="27.75" customHeight="1" x14ac:dyDescent="0.2">
      <c r="A567" s="942"/>
      <c r="D567" s="1069" t="s">
        <v>1926</v>
      </c>
      <c r="E567" s="1069"/>
      <c r="F567" s="1069"/>
      <c r="G567" s="1069"/>
      <c r="H567" s="1069"/>
      <c r="I567" s="1069"/>
      <c r="J567" s="1069"/>
      <c r="K567" s="1069"/>
      <c r="L567" s="1069"/>
      <c r="M567" s="1045"/>
      <c r="N567" s="1045"/>
      <c r="O567" s="1045"/>
      <c r="P567" s="1045"/>
      <c r="Q567" s="1045"/>
      <c r="R567" s="1045"/>
      <c r="S567" s="1045"/>
      <c r="T567" s="1045"/>
      <c r="U567" s="1045"/>
      <c r="V567" s="1045"/>
      <c r="W567" s="1045"/>
      <c r="X567" s="1045"/>
      <c r="Y567" s="1045"/>
      <c r="Z567" s="1045"/>
      <c r="AA567" s="1139">
        <f t="shared" ref="AA567:AA570" si="253">M567+T567</f>
        <v>0</v>
      </c>
      <c r="AB567" s="1139"/>
      <c r="AC567" s="1139"/>
      <c r="AD567" s="1139"/>
      <c r="AE567" s="1139"/>
      <c r="AF567" s="1139"/>
      <c r="AG567" s="1139"/>
      <c r="AI567" s="943"/>
      <c r="AJ567" s="943"/>
      <c r="AK567" s="954"/>
      <c r="AL567" s="949"/>
      <c r="AM567" s="955">
        <f t="shared" ref="AM567:AM570" si="254">SUM(M567:Z567)-AA567</f>
        <v>0</v>
      </c>
      <c r="AN567" s="943"/>
      <c r="AO567" s="973">
        <f>AA567-BS!$D$50</f>
        <v>0</v>
      </c>
      <c r="AP567" s="943"/>
      <c r="AQ567" s="943"/>
    </row>
    <row r="568" spans="1:43" s="633" customFormat="1" ht="27.75" customHeight="1" x14ac:dyDescent="0.2">
      <c r="A568" s="942"/>
      <c r="D568" s="1184" t="s">
        <v>136</v>
      </c>
      <c r="E568" s="1184"/>
      <c r="F568" s="1184"/>
      <c r="G568" s="1184"/>
      <c r="H568" s="1184"/>
      <c r="I568" s="1184"/>
      <c r="J568" s="1184"/>
      <c r="K568" s="1184"/>
      <c r="L568" s="1184"/>
      <c r="M568" s="1045"/>
      <c r="N568" s="1045"/>
      <c r="O568" s="1045"/>
      <c r="P568" s="1045"/>
      <c r="Q568" s="1045"/>
      <c r="R568" s="1045"/>
      <c r="S568" s="1045"/>
      <c r="T568" s="1045"/>
      <c r="U568" s="1045"/>
      <c r="V568" s="1045"/>
      <c r="W568" s="1045"/>
      <c r="X568" s="1045"/>
      <c r="Y568" s="1045"/>
      <c r="Z568" s="1045"/>
      <c r="AA568" s="1139">
        <f t="shared" si="253"/>
        <v>0</v>
      </c>
      <c r="AB568" s="1139"/>
      <c r="AC568" s="1139"/>
      <c r="AD568" s="1139"/>
      <c r="AE568" s="1139"/>
      <c r="AF568" s="1139"/>
      <c r="AG568" s="1139"/>
      <c r="AI568" s="943"/>
      <c r="AJ568" s="943"/>
      <c r="AK568" s="954"/>
      <c r="AL568" s="949"/>
      <c r="AM568" s="955">
        <f t="shared" si="254"/>
        <v>0</v>
      </c>
      <c r="AN568" s="943"/>
      <c r="AO568" s="973">
        <f>AA568-BS!$D$51</f>
        <v>0</v>
      </c>
      <c r="AP568" s="943"/>
      <c r="AQ568" s="943"/>
    </row>
    <row r="569" spans="1:43" s="633" customFormat="1" ht="27.75" customHeight="1" x14ac:dyDescent="0.2">
      <c r="A569" s="942"/>
      <c r="D569" s="1184" t="s">
        <v>127</v>
      </c>
      <c r="E569" s="1184"/>
      <c r="F569" s="1184"/>
      <c r="G569" s="1184"/>
      <c r="H569" s="1184"/>
      <c r="I569" s="1184"/>
      <c r="J569" s="1184"/>
      <c r="K569" s="1184"/>
      <c r="L569" s="1184"/>
      <c r="M569" s="1045"/>
      <c r="N569" s="1045"/>
      <c r="O569" s="1045"/>
      <c r="P569" s="1045"/>
      <c r="Q569" s="1045"/>
      <c r="R569" s="1045"/>
      <c r="S569" s="1045"/>
      <c r="T569" s="1045"/>
      <c r="U569" s="1045"/>
      <c r="V569" s="1045"/>
      <c r="W569" s="1045"/>
      <c r="X569" s="1045"/>
      <c r="Y569" s="1045"/>
      <c r="Z569" s="1045"/>
      <c r="AA569" s="1139">
        <f t="shared" si="253"/>
        <v>0</v>
      </c>
      <c r="AB569" s="1139"/>
      <c r="AC569" s="1139"/>
      <c r="AD569" s="1139"/>
      <c r="AE569" s="1139"/>
      <c r="AF569" s="1139"/>
      <c r="AG569" s="1139"/>
      <c r="AI569" s="943"/>
      <c r="AJ569" s="943"/>
      <c r="AK569" s="954"/>
      <c r="AL569" s="949"/>
      <c r="AM569" s="955">
        <f t="shared" si="254"/>
        <v>0</v>
      </c>
      <c r="AN569" s="943"/>
      <c r="AO569" s="973">
        <f>AA569-BS!$D$52</f>
        <v>0</v>
      </c>
      <c r="AP569" s="943"/>
      <c r="AQ569" s="943"/>
    </row>
    <row r="570" spans="1:43" s="633" customFormat="1" ht="27.75" customHeight="1" thickBot="1" x14ac:dyDescent="0.25">
      <c r="A570" s="942"/>
      <c r="D570" s="1222" t="s">
        <v>227</v>
      </c>
      <c r="E570" s="1222"/>
      <c r="F570" s="1222"/>
      <c r="G570" s="1222"/>
      <c r="H570" s="1222"/>
      <c r="I570" s="1222"/>
      <c r="J570" s="1222"/>
      <c r="K570" s="1222"/>
      <c r="L570" s="1222"/>
      <c r="M570" s="1045">
        <v>11485</v>
      </c>
      <c r="N570" s="1045"/>
      <c r="O570" s="1045"/>
      <c r="P570" s="1045"/>
      <c r="Q570" s="1045"/>
      <c r="R570" s="1045"/>
      <c r="S570" s="1045"/>
      <c r="T570" s="1045"/>
      <c r="U570" s="1045"/>
      <c r="V570" s="1045"/>
      <c r="W570" s="1045"/>
      <c r="X570" s="1045"/>
      <c r="Y570" s="1045"/>
      <c r="Z570" s="1045"/>
      <c r="AA570" s="1139">
        <f t="shared" si="253"/>
        <v>11485</v>
      </c>
      <c r="AB570" s="1139"/>
      <c r="AC570" s="1139"/>
      <c r="AD570" s="1139"/>
      <c r="AE570" s="1139"/>
      <c r="AF570" s="1139"/>
      <c r="AG570" s="1139"/>
      <c r="AI570" s="943"/>
      <c r="AJ570" s="943"/>
      <c r="AK570" s="954"/>
      <c r="AL570" s="949"/>
      <c r="AM570" s="955">
        <f t="shared" si="254"/>
        <v>0</v>
      </c>
      <c r="AN570" s="943"/>
      <c r="AO570" s="973">
        <f>AA570-BS!$D$53-BS!$D$54</f>
        <v>0</v>
      </c>
      <c r="AP570" s="943"/>
      <c r="AQ570" s="943"/>
    </row>
    <row r="571" spans="1:43" s="633" customFormat="1" ht="27.75" customHeight="1" thickBot="1" x14ac:dyDescent="0.25">
      <c r="A571" s="942"/>
      <c r="D571" s="1287" t="s">
        <v>137</v>
      </c>
      <c r="E571" s="1287"/>
      <c r="F571" s="1287"/>
      <c r="G571" s="1287"/>
      <c r="H571" s="1287"/>
      <c r="I571" s="1287"/>
      <c r="J571" s="1287"/>
      <c r="K571" s="1287"/>
      <c r="L571" s="1287"/>
      <c r="M571" s="1186">
        <f t="shared" ref="M571" si="255">SUM(M566:S570)</f>
        <v>11485</v>
      </c>
      <c r="N571" s="1186"/>
      <c r="O571" s="1186"/>
      <c r="P571" s="1186"/>
      <c r="Q571" s="1186"/>
      <c r="R571" s="1186"/>
      <c r="S571" s="1186"/>
      <c r="T571" s="1186">
        <f>SUM(T566:Z570)</f>
        <v>0</v>
      </c>
      <c r="U571" s="1186"/>
      <c r="V571" s="1186"/>
      <c r="W571" s="1186"/>
      <c r="X571" s="1186"/>
      <c r="Y571" s="1186"/>
      <c r="Z571" s="1186"/>
      <c r="AA571" s="1186">
        <f>SUM(AA566:AG570)</f>
        <v>11485</v>
      </c>
      <c r="AB571" s="1186"/>
      <c r="AC571" s="1186"/>
      <c r="AD571" s="1186"/>
      <c r="AE571" s="1186"/>
      <c r="AF571" s="1186"/>
      <c r="AG571" s="1186"/>
      <c r="AI571" s="943"/>
      <c r="AJ571" s="949"/>
      <c r="AK571" s="959">
        <f>SUM(M566:S570)-M571</f>
        <v>0</v>
      </c>
      <c r="AL571" s="960">
        <f>SUM(T566:Z570)-T571</f>
        <v>0</v>
      </c>
      <c r="AM571" s="961">
        <f>SUM(AA566:AG570)-AA571</f>
        <v>0</v>
      </c>
      <c r="AN571" s="943"/>
      <c r="AO571" s="975">
        <f>AA571-BS!$D$47</f>
        <v>-103000</v>
      </c>
      <c r="AP571" s="943"/>
      <c r="AQ571" s="943"/>
    </row>
    <row r="572" spans="1:43" s="633" customFormat="1" ht="27.75" customHeight="1" thickBot="1" x14ac:dyDescent="0.25">
      <c r="A572" s="942"/>
      <c r="D572" s="1287" t="s">
        <v>138</v>
      </c>
      <c r="E572" s="1287"/>
      <c r="F572" s="1287"/>
      <c r="G572" s="1287"/>
      <c r="H572" s="1287"/>
      <c r="I572" s="1287"/>
      <c r="J572" s="1287"/>
      <c r="K572" s="1287"/>
      <c r="L572" s="1287"/>
      <c r="M572" s="1287"/>
      <c r="N572" s="1287"/>
      <c r="O572" s="1287"/>
      <c r="P572" s="1287"/>
      <c r="Q572" s="1287"/>
      <c r="R572" s="1287"/>
      <c r="S572" s="1287"/>
      <c r="T572" s="1287"/>
      <c r="U572" s="1287"/>
      <c r="V572" s="1287"/>
      <c r="W572" s="1287"/>
      <c r="X572" s="1287"/>
      <c r="Y572" s="1287"/>
      <c r="Z572" s="1287"/>
      <c r="AA572" s="1287"/>
      <c r="AB572" s="1287"/>
      <c r="AC572" s="1287"/>
      <c r="AD572" s="1287"/>
      <c r="AE572" s="1287"/>
      <c r="AF572" s="1287"/>
      <c r="AG572" s="1287"/>
      <c r="AI572" s="943"/>
      <c r="AJ572" s="943"/>
      <c r="AK572" s="943"/>
      <c r="AL572" s="943"/>
      <c r="AM572" s="943"/>
      <c r="AN572" s="943"/>
      <c r="AO572" s="943"/>
      <c r="AP572" s="943"/>
      <c r="AQ572" s="943"/>
    </row>
    <row r="573" spans="1:43" s="633" customFormat="1" ht="27.75" customHeight="1" x14ac:dyDescent="0.2">
      <c r="A573" s="942"/>
      <c r="D573" s="1331" t="s">
        <v>139</v>
      </c>
      <c r="E573" s="1331"/>
      <c r="F573" s="1331"/>
      <c r="G573" s="1331"/>
      <c r="H573" s="1331"/>
      <c r="I573" s="1331"/>
      <c r="J573" s="1331"/>
      <c r="K573" s="1331"/>
      <c r="L573" s="1331"/>
      <c r="M573" s="1167">
        <v>2494356</v>
      </c>
      <c r="N573" s="1167"/>
      <c r="O573" s="1167"/>
      <c r="P573" s="1167"/>
      <c r="Q573" s="1167"/>
      <c r="R573" s="1167"/>
      <c r="S573" s="1167"/>
      <c r="T573" s="1167">
        <v>1292740</v>
      </c>
      <c r="U573" s="1167"/>
      <c r="V573" s="1167"/>
      <c r="W573" s="1167"/>
      <c r="X573" s="1167"/>
      <c r="Y573" s="1167"/>
      <c r="Z573" s="1167"/>
      <c r="AA573" s="1147">
        <f>M573+T573</f>
        <v>3787096</v>
      </c>
      <c r="AB573" s="1147"/>
      <c r="AC573" s="1147"/>
      <c r="AD573" s="1147"/>
      <c r="AE573" s="1147"/>
      <c r="AF573" s="1147"/>
      <c r="AG573" s="1147"/>
      <c r="AI573" s="943"/>
      <c r="AJ573" s="943"/>
      <c r="AK573" s="951"/>
      <c r="AL573" s="952"/>
      <c r="AM573" s="972">
        <f t="shared" ref="AM573:AM574" si="256">SUM(M573:Z573)-AA573</f>
        <v>0</v>
      </c>
      <c r="AN573" s="943"/>
      <c r="AO573" s="976">
        <f>AA573-BS!$D$56</f>
        <v>0</v>
      </c>
      <c r="AP573" s="943"/>
      <c r="AQ573" s="943"/>
    </row>
    <row r="574" spans="1:43" s="633" customFormat="1" ht="27.75" customHeight="1" x14ac:dyDescent="0.2">
      <c r="A574" s="942"/>
      <c r="D574" s="1069" t="s">
        <v>1926</v>
      </c>
      <c r="E574" s="1069"/>
      <c r="F574" s="1069"/>
      <c r="G574" s="1069"/>
      <c r="H574" s="1069"/>
      <c r="I574" s="1069"/>
      <c r="J574" s="1069"/>
      <c r="K574" s="1069"/>
      <c r="L574" s="1069"/>
      <c r="M574" s="1045">
        <v>100000</v>
      </c>
      <c r="N574" s="1045"/>
      <c r="O574" s="1045"/>
      <c r="P574" s="1045"/>
      <c r="Q574" s="1045"/>
      <c r="R574" s="1045"/>
      <c r="S574" s="1045"/>
      <c r="T574" s="1045"/>
      <c r="U574" s="1045"/>
      <c r="V574" s="1045"/>
      <c r="W574" s="1045"/>
      <c r="X574" s="1045"/>
      <c r="Y574" s="1045"/>
      <c r="Z574" s="1045"/>
      <c r="AA574" s="1139">
        <f t="shared" ref="AA574:AA576" si="257">M574+T574</f>
        <v>100000</v>
      </c>
      <c r="AB574" s="1139"/>
      <c r="AC574" s="1139"/>
      <c r="AD574" s="1139"/>
      <c r="AE574" s="1139"/>
      <c r="AF574" s="1139"/>
      <c r="AG574" s="1139"/>
      <c r="AI574" s="943"/>
      <c r="AJ574" s="943"/>
      <c r="AK574" s="954"/>
      <c r="AL574" s="949"/>
      <c r="AM574" s="955">
        <f t="shared" si="256"/>
        <v>0</v>
      </c>
      <c r="AN574" s="943"/>
      <c r="AO574" s="973">
        <f>AA574-BS!$D$58</f>
        <v>0</v>
      </c>
      <c r="AP574" s="943"/>
      <c r="AQ574" s="943"/>
    </row>
    <row r="575" spans="1:43" s="633" customFormat="1" ht="27.75" customHeight="1" x14ac:dyDescent="0.2">
      <c r="A575" s="942"/>
      <c r="D575" s="1184" t="s">
        <v>136</v>
      </c>
      <c r="E575" s="1184"/>
      <c r="F575" s="1184"/>
      <c r="G575" s="1184"/>
      <c r="H575" s="1184"/>
      <c r="I575" s="1184"/>
      <c r="J575" s="1184"/>
      <c r="K575" s="1184"/>
      <c r="L575" s="1184"/>
      <c r="M575" s="1045"/>
      <c r="N575" s="1045"/>
      <c r="O575" s="1045"/>
      <c r="P575" s="1045"/>
      <c r="Q575" s="1045"/>
      <c r="R575" s="1045"/>
      <c r="S575" s="1045"/>
      <c r="T575" s="1045"/>
      <c r="U575" s="1045"/>
      <c r="V575" s="1045"/>
      <c r="W575" s="1045"/>
      <c r="X575" s="1045"/>
      <c r="Y575" s="1045"/>
      <c r="Z575" s="1045"/>
      <c r="AA575" s="1139">
        <f t="shared" si="257"/>
        <v>0</v>
      </c>
      <c r="AB575" s="1139"/>
      <c r="AC575" s="1139"/>
      <c r="AD575" s="1139"/>
      <c r="AE575" s="1139"/>
      <c r="AF575" s="1139"/>
      <c r="AG575" s="1139"/>
      <c r="AI575" s="943"/>
      <c r="AJ575" s="943"/>
      <c r="AK575" s="954"/>
      <c r="AL575" s="949"/>
      <c r="AM575" s="955">
        <f>SUM(M575:Z575)-AA575</f>
        <v>0</v>
      </c>
      <c r="AN575" s="943"/>
      <c r="AO575" s="973">
        <f>AA575-BS!$D$59</f>
        <v>0</v>
      </c>
      <c r="AP575" s="943"/>
      <c r="AQ575" s="943"/>
    </row>
    <row r="576" spans="1:43" s="633" customFormat="1" ht="27.75" customHeight="1" x14ac:dyDescent="0.2">
      <c r="A576" s="942"/>
      <c r="D576" s="1184" t="s">
        <v>127</v>
      </c>
      <c r="E576" s="1184"/>
      <c r="F576" s="1184"/>
      <c r="G576" s="1184"/>
      <c r="H576" s="1184"/>
      <c r="I576" s="1184"/>
      <c r="J576" s="1184"/>
      <c r="K576" s="1184"/>
      <c r="L576" s="1184"/>
      <c r="M576" s="1045"/>
      <c r="N576" s="1045"/>
      <c r="O576" s="1045"/>
      <c r="P576" s="1045"/>
      <c r="Q576" s="1045"/>
      <c r="R576" s="1045"/>
      <c r="S576" s="1045"/>
      <c r="T576" s="1045"/>
      <c r="U576" s="1045"/>
      <c r="V576" s="1045"/>
      <c r="W576" s="1045"/>
      <c r="X576" s="1045"/>
      <c r="Y576" s="1045"/>
      <c r="Z576" s="1045"/>
      <c r="AA576" s="1139">
        <f t="shared" si="257"/>
        <v>0</v>
      </c>
      <c r="AB576" s="1139"/>
      <c r="AC576" s="1139"/>
      <c r="AD576" s="1139"/>
      <c r="AE576" s="1139"/>
      <c r="AF576" s="1139"/>
      <c r="AG576" s="1139"/>
      <c r="AI576" s="943"/>
      <c r="AJ576" s="943"/>
      <c r="AK576" s="954"/>
      <c r="AL576" s="949"/>
      <c r="AM576" s="955">
        <f t="shared" ref="AM576:AM578" si="258">SUM(M576:Z576)-AA576</f>
        <v>0</v>
      </c>
      <c r="AN576" s="943"/>
      <c r="AO576" s="973">
        <f>AA576-BS!$D$60</f>
        <v>0</v>
      </c>
      <c r="AP576" s="943"/>
      <c r="AQ576" s="943"/>
    </row>
    <row r="577" spans="1:43" s="633" customFormat="1" ht="27.75" customHeight="1" x14ac:dyDescent="0.2">
      <c r="A577" s="942"/>
      <c r="D577" s="1184" t="s">
        <v>140</v>
      </c>
      <c r="E577" s="1184"/>
      <c r="F577" s="1184"/>
      <c r="G577" s="1184"/>
      <c r="H577" s="1184"/>
      <c r="I577" s="1184"/>
      <c r="J577" s="1184"/>
      <c r="K577" s="1184"/>
      <c r="L577" s="1184"/>
      <c r="M577" s="1104"/>
      <c r="N577" s="1104"/>
      <c r="O577" s="1104"/>
      <c r="P577" s="1104"/>
      <c r="Q577" s="1104"/>
      <c r="R577" s="1104"/>
      <c r="S577" s="1104"/>
      <c r="T577" s="1045"/>
      <c r="U577" s="1045"/>
      <c r="V577" s="1045"/>
      <c r="W577" s="1045"/>
      <c r="X577" s="1045"/>
      <c r="Y577" s="1045"/>
      <c r="Z577" s="1045"/>
      <c r="AA577" s="1139">
        <f>M577+T577</f>
        <v>0</v>
      </c>
      <c r="AB577" s="1139"/>
      <c r="AC577" s="1139"/>
      <c r="AD577" s="1139"/>
      <c r="AE577" s="1139"/>
      <c r="AF577" s="1139"/>
      <c r="AG577" s="1139"/>
      <c r="AI577" s="943"/>
      <c r="AJ577" s="943"/>
      <c r="AK577" s="954"/>
      <c r="AL577" s="949"/>
      <c r="AM577" s="955">
        <f t="shared" si="258"/>
        <v>0</v>
      </c>
      <c r="AN577" s="943"/>
      <c r="AO577" s="974">
        <f>AA576-BS!$D$61</f>
        <v>0</v>
      </c>
      <c r="AP577" s="943"/>
      <c r="AQ577" s="943"/>
    </row>
    <row r="578" spans="1:43" s="633" customFormat="1" ht="27.75" customHeight="1" x14ac:dyDescent="0.2">
      <c r="A578" s="942"/>
      <c r="D578" s="1184" t="s">
        <v>141</v>
      </c>
      <c r="E578" s="1184"/>
      <c r="F578" s="1184"/>
      <c r="G578" s="1184"/>
      <c r="H578" s="1184"/>
      <c r="I578" s="1184"/>
      <c r="J578" s="1184"/>
      <c r="K578" s="1184"/>
      <c r="L578" s="1184"/>
      <c r="M578" s="1045">
        <v>139836</v>
      </c>
      <c r="N578" s="1045"/>
      <c r="O578" s="1045"/>
      <c r="P578" s="1045"/>
      <c r="Q578" s="1045"/>
      <c r="R578" s="1045"/>
      <c r="S578" s="1045"/>
      <c r="T578" s="1045"/>
      <c r="U578" s="1045"/>
      <c r="V578" s="1045"/>
      <c r="W578" s="1045"/>
      <c r="X578" s="1045"/>
      <c r="Y578" s="1045"/>
      <c r="Z578" s="1045"/>
      <c r="AA578" s="1139">
        <f t="shared" ref="AA578:AA579" si="259">M578+T578</f>
        <v>139836</v>
      </c>
      <c r="AB578" s="1139"/>
      <c r="AC578" s="1139"/>
      <c r="AD578" s="1139"/>
      <c r="AE578" s="1139"/>
      <c r="AF578" s="1139"/>
      <c r="AG578" s="1139"/>
      <c r="AI578" s="943"/>
      <c r="AJ578" s="943"/>
      <c r="AK578" s="954"/>
      <c r="AL578" s="949"/>
      <c r="AM578" s="955">
        <f t="shared" si="258"/>
        <v>0</v>
      </c>
      <c r="AN578" s="943"/>
      <c r="AO578" s="973">
        <f>AA578-BS!$D$62</f>
        <v>0</v>
      </c>
      <c r="AP578" s="943"/>
      <c r="AQ578" s="943"/>
    </row>
    <row r="579" spans="1:43" s="633" customFormat="1" ht="27.75" customHeight="1" thickBot="1" x14ac:dyDescent="0.25">
      <c r="A579" s="942"/>
      <c r="D579" s="1222" t="s">
        <v>128</v>
      </c>
      <c r="E579" s="1222"/>
      <c r="F579" s="1222"/>
      <c r="G579" s="1222"/>
      <c r="H579" s="1222"/>
      <c r="I579" s="1222"/>
      <c r="J579" s="1222"/>
      <c r="K579" s="1222"/>
      <c r="L579" s="1222"/>
      <c r="M579" s="1045">
        <v>258</v>
      </c>
      <c r="N579" s="1045"/>
      <c r="O579" s="1045"/>
      <c r="P579" s="1045"/>
      <c r="Q579" s="1045"/>
      <c r="R579" s="1045"/>
      <c r="S579" s="1045"/>
      <c r="T579" s="1045"/>
      <c r="U579" s="1045"/>
      <c r="V579" s="1045"/>
      <c r="W579" s="1045"/>
      <c r="X579" s="1045"/>
      <c r="Y579" s="1045"/>
      <c r="Z579" s="1045"/>
      <c r="AA579" s="1139">
        <f t="shared" si="259"/>
        <v>258</v>
      </c>
      <c r="AB579" s="1139"/>
      <c r="AC579" s="1139"/>
      <c r="AD579" s="1139"/>
      <c r="AE579" s="1139"/>
      <c r="AF579" s="1139"/>
      <c r="AG579" s="1139"/>
      <c r="AI579" s="943"/>
      <c r="AJ579" s="943"/>
      <c r="AK579" s="954"/>
      <c r="AL579" s="949"/>
      <c r="AM579" s="955">
        <f>SUM(M579:Z579)-AA579</f>
        <v>0</v>
      </c>
      <c r="AN579" s="943"/>
      <c r="AO579" s="973">
        <f>AA579-BS!$D$63</f>
        <v>0</v>
      </c>
      <c r="AP579" s="943"/>
      <c r="AQ579" s="943"/>
    </row>
    <row r="580" spans="1:43" s="633" customFormat="1" ht="27.75" customHeight="1" thickBot="1" x14ac:dyDescent="0.25">
      <c r="A580" s="942"/>
      <c r="D580" s="1344" t="s">
        <v>142</v>
      </c>
      <c r="E580" s="1344"/>
      <c r="F580" s="1344"/>
      <c r="G580" s="1344"/>
      <c r="H580" s="1344"/>
      <c r="I580" s="1344"/>
      <c r="J580" s="1344"/>
      <c r="K580" s="1344"/>
      <c r="L580" s="1344"/>
      <c r="M580" s="1186">
        <f>SUM(M573:S579)</f>
        <v>2734450</v>
      </c>
      <c r="N580" s="1186"/>
      <c r="O580" s="1186"/>
      <c r="P580" s="1186"/>
      <c r="Q580" s="1186"/>
      <c r="R580" s="1186"/>
      <c r="S580" s="1186"/>
      <c r="T580" s="1186">
        <f t="shared" ref="T580" si="260">SUM(T573:Z579)</f>
        <v>1292740</v>
      </c>
      <c r="U580" s="1186"/>
      <c r="V580" s="1186"/>
      <c r="W580" s="1186"/>
      <c r="X580" s="1186"/>
      <c r="Y580" s="1186"/>
      <c r="Z580" s="1186"/>
      <c r="AA580" s="1186">
        <f>SUM(AA573:AG579)</f>
        <v>4027190</v>
      </c>
      <c r="AB580" s="1186"/>
      <c r="AC580" s="1186"/>
      <c r="AD580" s="1186"/>
      <c r="AE580" s="1186"/>
      <c r="AF580" s="1186"/>
      <c r="AG580" s="1186"/>
      <c r="AI580" s="943"/>
      <c r="AJ580" s="943"/>
      <c r="AK580" s="959">
        <f>SUM(M573:S579)-M580</f>
        <v>0</v>
      </c>
      <c r="AL580" s="960">
        <f>SUM(T573:Z579)-T580</f>
        <v>0</v>
      </c>
      <c r="AM580" s="961">
        <f>SUM(AA573:AG579)-AA580</f>
        <v>0</v>
      </c>
      <c r="AN580" s="943"/>
      <c r="AO580" s="975">
        <f>AA580-BS!$D$55</f>
        <v>0</v>
      </c>
      <c r="AP580" s="943"/>
      <c r="AQ580" s="943"/>
    </row>
    <row r="581" spans="1:43" s="633" customFormat="1" ht="15.75" customHeight="1" x14ac:dyDescent="0.2">
      <c r="A581" s="942"/>
      <c r="D581" s="666"/>
      <c r="E581" s="666"/>
      <c r="F581" s="666"/>
      <c r="G581" s="666"/>
      <c r="H581" s="666"/>
      <c r="I581" s="666"/>
      <c r="J581" s="666"/>
      <c r="K581" s="666"/>
      <c r="L581" s="666"/>
      <c r="M581" s="924"/>
      <c r="N581" s="924"/>
      <c r="O581" s="924"/>
      <c r="P581" s="924"/>
      <c r="Q581" s="924"/>
      <c r="R581" s="924"/>
      <c r="S581" s="924"/>
      <c r="T581" s="924"/>
      <c r="U581" s="924"/>
      <c r="V581" s="924"/>
      <c r="W581" s="924"/>
      <c r="X581" s="924"/>
      <c r="Y581" s="924"/>
      <c r="Z581" s="924"/>
      <c r="AA581" s="924"/>
      <c r="AB581" s="924"/>
      <c r="AC581" s="924"/>
      <c r="AD581" s="924"/>
      <c r="AE581" s="924"/>
      <c r="AF581" s="924"/>
      <c r="AG581" s="924"/>
      <c r="AI581" s="943"/>
      <c r="AJ581" s="943"/>
      <c r="AK581" s="957"/>
      <c r="AL581" s="957"/>
      <c r="AM581" s="957"/>
      <c r="AN581" s="943"/>
      <c r="AO581" s="957"/>
      <c r="AP581" s="943"/>
      <c r="AQ581" s="943"/>
    </row>
    <row r="582" spans="1:43" s="633" customFormat="1" x14ac:dyDescent="0.2">
      <c r="A582" s="942"/>
      <c r="D582" s="1168" t="s">
        <v>1491</v>
      </c>
      <c r="E582" s="1168"/>
      <c r="F582" s="1168"/>
      <c r="G582" s="1168"/>
      <c r="H582" s="1168"/>
      <c r="I582" s="1168"/>
      <c r="J582" s="1168"/>
      <c r="K582" s="1168"/>
      <c r="L582" s="1168"/>
      <c r="M582" s="1168"/>
      <c r="N582" s="1168"/>
      <c r="O582" s="1168"/>
      <c r="P582" s="1168"/>
      <c r="Q582" s="1168"/>
      <c r="R582" s="1168"/>
      <c r="S582" s="1168"/>
      <c r="T582" s="1168"/>
      <c r="U582" s="1168"/>
      <c r="V582" s="1168"/>
      <c r="W582" s="1168"/>
      <c r="X582" s="1168"/>
      <c r="Y582" s="1168"/>
      <c r="Z582" s="1168"/>
      <c r="AA582" s="1168"/>
      <c r="AB582" s="1168"/>
      <c r="AC582" s="1168"/>
      <c r="AD582" s="1168"/>
      <c r="AE582" s="1168"/>
      <c r="AF582" s="1168"/>
      <c r="AG582" s="1168"/>
      <c r="AI582" s="943"/>
      <c r="AJ582" s="943"/>
      <c r="AK582" s="943"/>
      <c r="AL582" s="943"/>
      <c r="AM582" s="943"/>
      <c r="AN582" s="943"/>
      <c r="AO582" s="943"/>
      <c r="AP582" s="943"/>
      <c r="AQ582" s="943"/>
    </row>
    <row r="583" spans="1:43" s="633" customFormat="1" ht="15" thickBot="1" x14ac:dyDescent="0.25">
      <c r="A583" s="942"/>
      <c r="D583" s="931"/>
      <c r="E583" s="931"/>
      <c r="F583" s="931"/>
      <c r="G583" s="931"/>
      <c r="H583" s="931"/>
      <c r="I583" s="931"/>
      <c r="J583" s="931"/>
      <c r="K583" s="931"/>
      <c r="L583" s="931"/>
      <c r="M583" s="931"/>
      <c r="N583" s="931"/>
      <c r="O583" s="931"/>
      <c r="P583" s="931"/>
      <c r="Q583" s="931"/>
      <c r="R583" s="931"/>
      <c r="S583" s="931"/>
      <c r="T583" s="931"/>
      <c r="U583" s="931"/>
      <c r="V583" s="931"/>
      <c r="W583" s="931"/>
      <c r="X583" s="931"/>
      <c r="Y583" s="931"/>
      <c r="Z583" s="931"/>
      <c r="AA583" s="931"/>
      <c r="AB583" s="931"/>
      <c r="AC583" s="931"/>
      <c r="AD583" s="931"/>
      <c r="AE583" s="931"/>
      <c r="AF583" s="931"/>
      <c r="AG583" s="931"/>
      <c r="AI583" s="943"/>
      <c r="AJ583" s="943"/>
      <c r="AK583" s="943"/>
      <c r="AL583" s="943"/>
      <c r="AM583" s="943"/>
      <c r="AN583" s="943"/>
      <c r="AO583" s="943"/>
      <c r="AP583" s="943"/>
      <c r="AQ583" s="943"/>
    </row>
    <row r="584" spans="1:43" s="633" customFormat="1" ht="15.75" customHeight="1" thickBot="1" x14ac:dyDescent="0.25">
      <c r="A584" s="942">
        <v>17</v>
      </c>
      <c r="D584" s="1132" t="s">
        <v>147</v>
      </c>
      <c r="E584" s="1133"/>
      <c r="F584" s="1133"/>
      <c r="G584" s="1133"/>
      <c r="H584" s="1133"/>
      <c r="I584" s="1133"/>
      <c r="J584" s="1133"/>
      <c r="K584" s="1133"/>
      <c r="L584" s="1133"/>
      <c r="M584" s="1133"/>
      <c r="N584" s="1214" t="s">
        <v>2</v>
      </c>
      <c r="O584" s="1215"/>
      <c r="P584" s="1215"/>
      <c r="Q584" s="1215"/>
      <c r="R584" s="1215"/>
      <c r="S584" s="1215"/>
      <c r="T584" s="1215"/>
      <c r="U584" s="1215"/>
      <c r="V584" s="1215"/>
      <c r="W584" s="1215"/>
      <c r="X584" s="1215"/>
      <c r="Y584" s="1215"/>
      <c r="Z584" s="1215"/>
      <c r="AA584" s="1215"/>
      <c r="AB584" s="1215"/>
      <c r="AC584" s="1215"/>
      <c r="AD584" s="1215"/>
      <c r="AE584" s="1215"/>
      <c r="AF584" s="1215"/>
      <c r="AG584" s="1216"/>
      <c r="AI584" s="943"/>
      <c r="AJ584" s="943"/>
      <c r="AK584" s="943"/>
      <c r="AL584" s="943"/>
      <c r="AM584" s="943"/>
      <c r="AN584" s="943"/>
      <c r="AO584" s="943"/>
      <c r="AP584" s="943"/>
      <c r="AQ584" s="943"/>
    </row>
    <row r="585" spans="1:43" s="633" customFormat="1" ht="35.25" customHeight="1" thickBot="1" x14ac:dyDescent="0.25">
      <c r="A585" s="942"/>
      <c r="D585" s="1135"/>
      <c r="E585" s="1136"/>
      <c r="F585" s="1136"/>
      <c r="G585" s="1136"/>
      <c r="H585" s="1136"/>
      <c r="I585" s="1136"/>
      <c r="J585" s="1136"/>
      <c r="K585" s="1136"/>
      <c r="L585" s="1136"/>
      <c r="M585" s="1136"/>
      <c r="N585" s="1120" t="s">
        <v>1492</v>
      </c>
      <c r="O585" s="1120"/>
      <c r="P585" s="1120"/>
      <c r="Q585" s="1120"/>
      <c r="R585" s="1120"/>
      <c r="S585" s="1120"/>
      <c r="T585" s="1120"/>
      <c r="U585" s="1120"/>
      <c r="V585" s="1120"/>
      <c r="W585" s="1120"/>
      <c r="X585" s="1120" t="s">
        <v>1493</v>
      </c>
      <c r="Y585" s="1120"/>
      <c r="Z585" s="1120"/>
      <c r="AA585" s="1120"/>
      <c r="AB585" s="1120"/>
      <c r="AC585" s="1120"/>
      <c r="AD585" s="1120"/>
      <c r="AE585" s="1120"/>
      <c r="AF585" s="1120"/>
      <c r="AG585" s="1120"/>
      <c r="AI585" s="943"/>
      <c r="AJ585" s="943"/>
      <c r="AK585" s="943"/>
      <c r="AL585" s="943"/>
      <c r="AM585" s="943"/>
      <c r="AN585" s="943"/>
      <c r="AO585" s="943"/>
      <c r="AP585" s="943"/>
      <c r="AQ585" s="943"/>
    </row>
    <row r="586" spans="1:43" s="633" customFormat="1" ht="27" customHeight="1" x14ac:dyDescent="0.2">
      <c r="A586" s="942"/>
      <c r="D586" s="1255" t="s">
        <v>150</v>
      </c>
      <c r="E586" s="1255"/>
      <c r="F586" s="1255"/>
      <c r="G586" s="1255"/>
      <c r="H586" s="1255"/>
      <c r="I586" s="1255"/>
      <c r="J586" s="1255"/>
      <c r="K586" s="1255"/>
      <c r="L586" s="1255"/>
      <c r="M586" s="1255"/>
      <c r="N586" s="1339" t="s">
        <v>18</v>
      </c>
      <c r="O586" s="1340"/>
      <c r="P586" s="1340"/>
      <c r="Q586" s="1340"/>
      <c r="R586" s="1340"/>
      <c r="S586" s="1340"/>
      <c r="T586" s="1340"/>
      <c r="U586" s="1340"/>
      <c r="V586" s="1340"/>
      <c r="W586" s="1341"/>
      <c r="X586" s="1167">
        <v>0</v>
      </c>
      <c r="Y586" s="1167"/>
      <c r="Z586" s="1167"/>
      <c r="AA586" s="1167"/>
      <c r="AB586" s="1167"/>
      <c r="AC586" s="1167"/>
      <c r="AD586" s="1167"/>
      <c r="AE586" s="1167"/>
      <c r="AF586" s="1167"/>
      <c r="AG586" s="1167"/>
      <c r="AI586" s="943"/>
      <c r="AJ586" s="943"/>
      <c r="AK586" s="943"/>
      <c r="AL586" s="943"/>
      <c r="AM586" s="943"/>
      <c r="AN586" s="943"/>
      <c r="AO586" s="943"/>
      <c r="AP586" s="943"/>
      <c r="AQ586" s="943"/>
    </row>
    <row r="587" spans="1:43" s="633" customFormat="1" ht="27" customHeight="1" x14ac:dyDescent="0.2">
      <c r="A587" s="942"/>
      <c r="D587" s="1070" t="s">
        <v>151</v>
      </c>
      <c r="E587" s="1071"/>
      <c r="F587" s="1071"/>
      <c r="G587" s="1071"/>
      <c r="H587" s="1071"/>
      <c r="I587" s="1071"/>
      <c r="J587" s="1071"/>
      <c r="K587" s="1071"/>
      <c r="L587" s="1071"/>
      <c r="M587" s="1072"/>
      <c r="N587" s="1342" t="s">
        <v>18</v>
      </c>
      <c r="O587" s="1343"/>
      <c r="P587" s="1343"/>
      <c r="Q587" s="1343"/>
      <c r="R587" s="1343"/>
      <c r="S587" s="1343"/>
      <c r="T587" s="1343"/>
      <c r="U587" s="1343"/>
      <c r="V587" s="1343"/>
      <c r="W587" s="1343"/>
      <c r="X587" s="1045">
        <v>0</v>
      </c>
      <c r="Y587" s="1045"/>
      <c r="Z587" s="1045"/>
      <c r="AA587" s="1045"/>
      <c r="AB587" s="1045"/>
      <c r="AC587" s="1045"/>
      <c r="AD587" s="1045"/>
      <c r="AE587" s="1045"/>
      <c r="AF587" s="1045"/>
      <c r="AG587" s="1045"/>
      <c r="AI587" s="943"/>
      <c r="AJ587" s="943"/>
      <c r="AK587" s="943"/>
      <c r="AL587" s="943"/>
      <c r="AM587" s="943"/>
      <c r="AN587" s="943"/>
      <c r="AO587" s="943"/>
      <c r="AP587" s="943"/>
      <c r="AQ587" s="943"/>
    </row>
    <row r="588" spans="1:43" s="633" customFormat="1" ht="27" customHeight="1" thickBot="1" x14ac:dyDescent="0.25">
      <c r="A588" s="942"/>
      <c r="D588" s="1231" t="s">
        <v>152</v>
      </c>
      <c r="E588" s="1232"/>
      <c r="F588" s="1232"/>
      <c r="G588" s="1232"/>
      <c r="H588" s="1232"/>
      <c r="I588" s="1232"/>
      <c r="J588" s="1232"/>
      <c r="K588" s="1232"/>
      <c r="L588" s="1232"/>
      <c r="M588" s="1233"/>
      <c r="N588" s="1334" t="s">
        <v>18</v>
      </c>
      <c r="O588" s="1335"/>
      <c r="P588" s="1335"/>
      <c r="Q588" s="1335"/>
      <c r="R588" s="1335"/>
      <c r="S588" s="1335"/>
      <c r="T588" s="1335"/>
      <c r="U588" s="1335"/>
      <c r="V588" s="1335"/>
      <c r="W588" s="1335"/>
      <c r="X588" s="1171">
        <v>0</v>
      </c>
      <c r="Y588" s="1171"/>
      <c r="Z588" s="1171"/>
      <c r="AA588" s="1171"/>
      <c r="AB588" s="1171"/>
      <c r="AC588" s="1171"/>
      <c r="AD588" s="1171"/>
      <c r="AE588" s="1171"/>
      <c r="AF588" s="1171"/>
      <c r="AG588" s="1171"/>
      <c r="AI588" s="943"/>
      <c r="AJ588" s="943"/>
      <c r="AK588" s="943"/>
      <c r="AL588" s="943"/>
      <c r="AM588" s="943"/>
      <c r="AN588" s="943"/>
      <c r="AO588" s="943"/>
      <c r="AP588" s="943"/>
      <c r="AQ588" s="943"/>
    </row>
    <row r="589" spans="1:43" s="633" customFormat="1" x14ac:dyDescent="0.2">
      <c r="A589" s="942"/>
      <c r="AI589" s="943"/>
      <c r="AJ589" s="943"/>
      <c r="AK589" s="943"/>
      <c r="AL589" s="943"/>
      <c r="AM589" s="943"/>
      <c r="AN589" s="943"/>
      <c r="AO589" s="943"/>
      <c r="AP589" s="943"/>
      <c r="AQ589" s="943"/>
    </row>
    <row r="590" spans="1:43" s="633" customFormat="1" x14ac:dyDescent="0.2">
      <c r="A590" s="942"/>
      <c r="D590" s="632" t="s">
        <v>1995</v>
      </c>
      <c r="AI590" s="943"/>
      <c r="AJ590" s="943"/>
      <c r="AK590" s="943"/>
      <c r="AL590" s="943"/>
      <c r="AM590" s="943"/>
      <c r="AN590" s="943"/>
      <c r="AO590" s="943"/>
      <c r="AP590" s="943"/>
      <c r="AQ590" s="943"/>
    </row>
    <row r="591" spans="1:43" s="633" customFormat="1" x14ac:dyDescent="0.2">
      <c r="A591" s="942"/>
      <c r="AI591" s="943"/>
      <c r="AJ591" s="943"/>
      <c r="AK591" s="943"/>
      <c r="AL591" s="943"/>
      <c r="AM591" s="943"/>
      <c r="AN591" s="943"/>
      <c r="AO591" s="943"/>
      <c r="AP591" s="943"/>
      <c r="AQ591" s="943"/>
    </row>
    <row r="592" spans="1:43" s="633" customFormat="1" x14ac:dyDescent="0.2">
      <c r="A592" s="943"/>
      <c r="D592" s="1168" t="s">
        <v>1494</v>
      </c>
      <c r="E592" s="1168"/>
      <c r="F592" s="1168"/>
      <c r="G592" s="1168"/>
      <c r="H592" s="1168"/>
      <c r="I592" s="1168"/>
      <c r="J592" s="1168"/>
      <c r="K592" s="1168"/>
      <c r="L592" s="1168"/>
      <c r="M592" s="1168"/>
      <c r="N592" s="1168"/>
      <c r="O592" s="1168"/>
      <c r="P592" s="1168"/>
      <c r="Q592" s="1168"/>
      <c r="R592" s="1168"/>
      <c r="S592" s="1168"/>
      <c r="T592" s="1168"/>
      <c r="U592" s="1168"/>
      <c r="V592" s="1168"/>
      <c r="W592" s="1168"/>
      <c r="X592" s="1168"/>
      <c r="Y592" s="1168"/>
      <c r="Z592" s="1168"/>
      <c r="AA592" s="1168"/>
      <c r="AB592" s="1168"/>
      <c r="AC592" s="1168"/>
      <c r="AD592" s="1168"/>
      <c r="AE592" s="1168"/>
      <c r="AF592" s="1168"/>
      <c r="AG592" s="1168"/>
      <c r="AI592" s="943"/>
      <c r="AJ592" s="943"/>
      <c r="AK592" s="943"/>
      <c r="AL592" s="943"/>
      <c r="AM592" s="943"/>
      <c r="AN592" s="943"/>
      <c r="AO592" s="943"/>
      <c r="AP592" s="943"/>
      <c r="AQ592" s="943"/>
    </row>
    <row r="593" spans="1:43" s="633" customFormat="1" ht="15" thickBot="1" x14ac:dyDescent="0.25">
      <c r="A593" s="942"/>
      <c r="AI593" s="943"/>
      <c r="AJ593" s="943"/>
      <c r="AK593" s="943"/>
      <c r="AL593" s="943"/>
      <c r="AM593" s="943"/>
      <c r="AN593" s="943"/>
      <c r="AO593" s="943"/>
      <c r="AP593" s="943"/>
      <c r="AQ593" s="943"/>
    </row>
    <row r="594" spans="1:43" s="633" customFormat="1" ht="31.5" customHeight="1" thickTop="1" thickBot="1" x14ac:dyDescent="0.25">
      <c r="A594" s="942">
        <v>18</v>
      </c>
      <c r="D594" s="1214" t="s">
        <v>131</v>
      </c>
      <c r="E594" s="1215"/>
      <c r="F594" s="1215"/>
      <c r="G594" s="1215"/>
      <c r="H594" s="1215"/>
      <c r="I594" s="1215"/>
      <c r="J594" s="1215"/>
      <c r="K594" s="1215"/>
      <c r="L594" s="1215"/>
      <c r="M594" s="1216"/>
      <c r="N594" s="1214" t="s">
        <v>2</v>
      </c>
      <c r="O594" s="1215"/>
      <c r="P594" s="1215"/>
      <c r="Q594" s="1215"/>
      <c r="R594" s="1215"/>
      <c r="S594" s="1215"/>
      <c r="T594" s="1215"/>
      <c r="U594" s="1215"/>
      <c r="V594" s="1215"/>
      <c r="W594" s="1216"/>
      <c r="X594" s="1214" t="s">
        <v>3</v>
      </c>
      <c r="Y594" s="1215"/>
      <c r="Z594" s="1215"/>
      <c r="AA594" s="1215"/>
      <c r="AB594" s="1215"/>
      <c r="AC594" s="1215"/>
      <c r="AD594" s="1215"/>
      <c r="AE594" s="1215"/>
      <c r="AF594" s="1215"/>
      <c r="AG594" s="1216"/>
      <c r="AI594" s="943"/>
      <c r="AJ594" s="943"/>
      <c r="AK594" s="943"/>
      <c r="AL594" s="934" t="s">
        <v>2</v>
      </c>
      <c r="AM594" s="934" t="s">
        <v>3</v>
      </c>
      <c r="AN594" s="943"/>
      <c r="AO594" s="934" t="s">
        <v>2</v>
      </c>
      <c r="AP594" s="934" t="s">
        <v>3</v>
      </c>
      <c r="AQ594" s="943"/>
    </row>
    <row r="595" spans="1:43" s="633" customFormat="1" ht="23.25" customHeight="1" x14ac:dyDescent="0.2">
      <c r="A595" s="942"/>
      <c r="D595" s="1336" t="s">
        <v>155</v>
      </c>
      <c r="E595" s="1337"/>
      <c r="F595" s="1337"/>
      <c r="G595" s="1337"/>
      <c r="H595" s="1337"/>
      <c r="I595" s="1337"/>
      <c r="J595" s="1337"/>
      <c r="K595" s="1337"/>
      <c r="L595" s="1337"/>
      <c r="M595" s="1338"/>
      <c r="N595" s="1220">
        <v>2698</v>
      </c>
      <c r="O595" s="1221"/>
      <c r="P595" s="1221"/>
      <c r="Q595" s="1221"/>
      <c r="R595" s="1221"/>
      <c r="S595" s="1221"/>
      <c r="T595" s="1221"/>
      <c r="U595" s="1221"/>
      <c r="V595" s="1221"/>
      <c r="W595" s="1221"/>
      <c r="X595" s="1221">
        <v>820</v>
      </c>
      <c r="Y595" s="1221"/>
      <c r="Z595" s="1221"/>
      <c r="AA595" s="1221"/>
      <c r="AB595" s="1221"/>
      <c r="AC595" s="1221"/>
      <c r="AD595" s="1221"/>
      <c r="AE595" s="1221"/>
      <c r="AF595" s="1221"/>
      <c r="AG595" s="1221"/>
      <c r="AI595" s="943"/>
      <c r="AJ595" s="943"/>
      <c r="AK595" s="943"/>
      <c r="AL595" s="951"/>
      <c r="AM595" s="953"/>
      <c r="AN595" s="943"/>
      <c r="AO595" s="977">
        <f>N595+N598-BS!$D$65</f>
        <v>0</v>
      </c>
      <c r="AP595" s="972">
        <f>X595+X598-BS!$G$65</f>
        <v>0</v>
      </c>
      <c r="AQ595" s="943"/>
    </row>
    <row r="596" spans="1:43" s="633" customFormat="1" ht="23.25" customHeight="1" x14ac:dyDescent="0.2">
      <c r="A596" s="942"/>
      <c r="D596" s="1236" t="s">
        <v>1928</v>
      </c>
      <c r="E596" s="1237"/>
      <c r="F596" s="1237"/>
      <c r="G596" s="1237"/>
      <c r="H596" s="1237"/>
      <c r="I596" s="1237"/>
      <c r="J596" s="1237"/>
      <c r="K596" s="1237"/>
      <c r="L596" s="1237"/>
      <c r="M596" s="1238"/>
      <c r="N596" s="1203">
        <v>463350</v>
      </c>
      <c r="O596" s="1045"/>
      <c r="P596" s="1045"/>
      <c r="Q596" s="1045"/>
      <c r="R596" s="1045"/>
      <c r="S596" s="1045"/>
      <c r="T596" s="1045"/>
      <c r="U596" s="1045"/>
      <c r="V596" s="1045"/>
      <c r="W596" s="1045"/>
      <c r="X596" s="1045">
        <v>686582</v>
      </c>
      <c r="Y596" s="1045"/>
      <c r="Z596" s="1045"/>
      <c r="AA596" s="1045"/>
      <c r="AB596" s="1045"/>
      <c r="AC596" s="1045"/>
      <c r="AD596" s="1045"/>
      <c r="AE596" s="1045"/>
      <c r="AF596" s="1045"/>
      <c r="AG596" s="1045"/>
      <c r="AI596" s="943"/>
      <c r="AJ596" s="943"/>
      <c r="AK596" s="943"/>
      <c r="AL596" s="954"/>
      <c r="AM596" s="958"/>
      <c r="AN596" s="943"/>
      <c r="AO596" s="956">
        <f>N596-BS!$D$66</f>
        <v>0</v>
      </c>
      <c r="AP596" s="955">
        <f>X596-BS!$G$66</f>
        <v>0</v>
      </c>
      <c r="AQ596" s="943"/>
    </row>
    <row r="597" spans="1:43" s="633" customFormat="1" ht="23.25" customHeight="1" x14ac:dyDescent="0.2">
      <c r="A597" s="942"/>
      <c r="D597" s="1236" t="s">
        <v>1929</v>
      </c>
      <c r="E597" s="1237"/>
      <c r="F597" s="1237"/>
      <c r="G597" s="1237"/>
      <c r="H597" s="1237"/>
      <c r="I597" s="1237"/>
      <c r="J597" s="1237"/>
      <c r="K597" s="1237"/>
      <c r="L597" s="1237"/>
      <c r="M597" s="1238"/>
      <c r="N597" s="1203"/>
      <c r="O597" s="1045"/>
      <c r="P597" s="1045"/>
      <c r="Q597" s="1045"/>
      <c r="R597" s="1045"/>
      <c r="S597" s="1045"/>
      <c r="T597" s="1045"/>
      <c r="U597" s="1045"/>
      <c r="V597" s="1045"/>
      <c r="W597" s="1045"/>
      <c r="X597" s="1045"/>
      <c r="Y597" s="1045"/>
      <c r="Z597" s="1045"/>
      <c r="AA597" s="1045"/>
      <c r="AB597" s="1045"/>
      <c r="AC597" s="1045"/>
      <c r="AD597" s="1045"/>
      <c r="AE597" s="1045"/>
      <c r="AF597" s="1045"/>
      <c r="AG597" s="1045"/>
      <c r="AI597" s="943"/>
      <c r="AJ597" s="943"/>
      <c r="AK597" s="943"/>
      <c r="AL597" s="956"/>
      <c r="AM597" s="955"/>
      <c r="AN597" s="943"/>
      <c r="AO597" s="956">
        <f>N597-BS!$D$67</f>
        <v>0</v>
      </c>
      <c r="AP597" s="955">
        <f>X597-BS!$G$67</f>
        <v>0</v>
      </c>
      <c r="AQ597" s="943"/>
    </row>
    <row r="598" spans="1:43" s="633" customFormat="1" ht="23.25" customHeight="1" x14ac:dyDescent="0.2">
      <c r="A598" s="942"/>
      <c r="D598" s="1070" t="s">
        <v>158</v>
      </c>
      <c r="E598" s="1071"/>
      <c r="F598" s="1071"/>
      <c r="G598" s="1071"/>
      <c r="H598" s="1071"/>
      <c r="I598" s="1071"/>
      <c r="J598" s="1071"/>
      <c r="K598" s="1071"/>
      <c r="L598" s="1071"/>
      <c r="M598" s="1072"/>
      <c r="N598" s="1203"/>
      <c r="O598" s="1045"/>
      <c r="P598" s="1045"/>
      <c r="Q598" s="1045"/>
      <c r="R598" s="1045"/>
      <c r="S598" s="1045"/>
      <c r="T598" s="1045"/>
      <c r="U598" s="1045"/>
      <c r="V598" s="1045"/>
      <c r="W598" s="1045"/>
      <c r="X598" s="1045"/>
      <c r="Y598" s="1045"/>
      <c r="Z598" s="1045"/>
      <c r="AA598" s="1045"/>
      <c r="AB598" s="1045"/>
      <c r="AC598" s="1045"/>
      <c r="AD598" s="1045"/>
      <c r="AE598" s="1045"/>
      <c r="AF598" s="1045"/>
      <c r="AG598" s="1045"/>
      <c r="AI598" s="943"/>
      <c r="AJ598" s="943"/>
      <c r="AK598" s="943"/>
      <c r="AL598" s="954"/>
      <c r="AM598" s="958"/>
      <c r="AN598" s="943"/>
      <c r="AO598" s="956">
        <f>AO595</f>
        <v>0</v>
      </c>
      <c r="AP598" s="955">
        <f>AP595</f>
        <v>0</v>
      </c>
      <c r="AQ598" s="943"/>
    </row>
    <row r="599" spans="1:43" s="633" customFormat="1" ht="23.25" customHeight="1" thickBot="1" x14ac:dyDescent="0.25">
      <c r="A599" s="942"/>
      <c r="D599" s="1161" t="s">
        <v>14</v>
      </c>
      <c r="E599" s="1162"/>
      <c r="F599" s="1162"/>
      <c r="G599" s="1162"/>
      <c r="H599" s="1162"/>
      <c r="I599" s="1162"/>
      <c r="J599" s="1162"/>
      <c r="K599" s="1162"/>
      <c r="L599" s="1162"/>
      <c r="M599" s="1163"/>
      <c r="N599" s="1212">
        <f>SUM(N595:W598)</f>
        <v>466048</v>
      </c>
      <c r="O599" s="1186"/>
      <c r="P599" s="1186"/>
      <c r="Q599" s="1186"/>
      <c r="R599" s="1186"/>
      <c r="S599" s="1186"/>
      <c r="T599" s="1186"/>
      <c r="U599" s="1186"/>
      <c r="V599" s="1186"/>
      <c r="W599" s="1186"/>
      <c r="X599" s="1212">
        <f>SUM(X595:AG598)</f>
        <v>687402</v>
      </c>
      <c r="Y599" s="1186"/>
      <c r="Z599" s="1186"/>
      <c r="AA599" s="1186"/>
      <c r="AB599" s="1186"/>
      <c r="AC599" s="1186"/>
      <c r="AD599" s="1186"/>
      <c r="AE599" s="1186"/>
      <c r="AF599" s="1186"/>
      <c r="AG599" s="1186"/>
      <c r="AI599" s="943"/>
      <c r="AJ599" s="943"/>
      <c r="AK599" s="943"/>
      <c r="AL599" s="959">
        <f>SUM(N595:W598)-N599</f>
        <v>0</v>
      </c>
      <c r="AM599" s="961">
        <f>SUM(X595:AG598)-X599</f>
        <v>0</v>
      </c>
      <c r="AN599" s="943"/>
      <c r="AO599" s="959">
        <f>N599-SUM(BS!$D$65:$D$67)</f>
        <v>0</v>
      </c>
      <c r="AP599" s="961">
        <f>X599-SUM(BS!$G$65:$G$67)</f>
        <v>0</v>
      </c>
      <c r="AQ599" s="943"/>
    </row>
    <row r="600" spans="1:43" s="633" customFormat="1" x14ac:dyDescent="0.2">
      <c r="A600" s="942"/>
      <c r="AI600" s="943"/>
      <c r="AJ600" s="943"/>
      <c r="AK600" s="943"/>
      <c r="AL600" s="943"/>
      <c r="AM600" s="943"/>
      <c r="AN600" s="943"/>
      <c r="AO600" s="943"/>
      <c r="AP600" s="943"/>
      <c r="AQ600" s="943"/>
    </row>
    <row r="601" spans="1:43" s="633" customFormat="1" ht="33" customHeight="1" x14ac:dyDescent="0.2">
      <c r="A601" s="942"/>
      <c r="D601" s="1116" t="s">
        <v>2062</v>
      </c>
      <c r="E601" s="1116"/>
      <c r="F601" s="1116"/>
      <c r="G601" s="1116"/>
      <c r="H601" s="1116"/>
      <c r="I601" s="1116"/>
      <c r="J601" s="1116"/>
      <c r="K601" s="1116"/>
      <c r="L601" s="1116"/>
      <c r="M601" s="1116"/>
      <c r="N601" s="1116"/>
      <c r="O601" s="1116"/>
      <c r="P601" s="1116"/>
      <c r="Q601" s="1116"/>
      <c r="R601" s="1116"/>
      <c r="S601" s="1116"/>
      <c r="T601" s="1116"/>
      <c r="U601" s="1116"/>
      <c r="V601" s="1116"/>
      <c r="W601" s="1116"/>
      <c r="X601" s="1116"/>
      <c r="Y601" s="1116"/>
      <c r="Z601" s="1116"/>
      <c r="AA601" s="1116"/>
      <c r="AB601" s="1116"/>
      <c r="AC601" s="1116"/>
      <c r="AD601" s="1116"/>
      <c r="AE601" s="1116"/>
      <c r="AF601" s="1116"/>
      <c r="AG601" s="1116"/>
      <c r="AI601" s="943"/>
      <c r="AJ601" s="943"/>
      <c r="AK601" s="943"/>
      <c r="AL601" s="943"/>
      <c r="AM601" s="943"/>
      <c r="AN601" s="943"/>
      <c r="AO601" s="943"/>
      <c r="AP601" s="943"/>
      <c r="AQ601" s="943"/>
    </row>
    <row r="602" spans="1:43" s="633" customFormat="1" ht="14.25" hidden="1" customHeight="1" x14ac:dyDescent="0.2">
      <c r="A602" s="942"/>
      <c r="D602" s="1116"/>
      <c r="E602" s="1116"/>
      <c r="F602" s="1116"/>
      <c r="G602" s="1116"/>
      <c r="H602" s="1116"/>
      <c r="I602" s="1116"/>
      <c r="J602" s="1116"/>
      <c r="K602" s="1116"/>
      <c r="L602" s="1116"/>
      <c r="M602" s="1116"/>
      <c r="N602" s="1116"/>
      <c r="O602" s="1116"/>
      <c r="P602" s="1116"/>
      <c r="Q602" s="1116"/>
      <c r="R602" s="1116"/>
      <c r="S602" s="1116"/>
      <c r="T602" s="1116"/>
      <c r="U602" s="1116"/>
      <c r="V602" s="1116"/>
      <c r="W602" s="1116"/>
      <c r="X602" s="1116"/>
      <c r="Y602" s="1116"/>
      <c r="Z602" s="1116"/>
      <c r="AA602" s="1116"/>
      <c r="AB602" s="1116"/>
      <c r="AC602" s="1116"/>
      <c r="AD602" s="1116"/>
      <c r="AE602" s="1116"/>
      <c r="AF602" s="1116"/>
      <c r="AG602" s="1116"/>
      <c r="AI602" s="943"/>
      <c r="AJ602" s="943"/>
      <c r="AK602" s="943"/>
      <c r="AL602" s="943"/>
      <c r="AM602" s="943"/>
      <c r="AN602" s="943"/>
      <c r="AO602" s="943"/>
      <c r="AP602" s="943"/>
      <c r="AQ602" s="943"/>
    </row>
    <row r="603" spans="1:43" s="633" customFormat="1" ht="14.25" hidden="1" customHeight="1" x14ac:dyDescent="0.2">
      <c r="A603" s="942"/>
      <c r="D603" s="1116"/>
      <c r="E603" s="1116"/>
      <c r="F603" s="1116"/>
      <c r="G603" s="1116"/>
      <c r="H603" s="1116"/>
      <c r="I603" s="1116"/>
      <c r="J603" s="1116"/>
      <c r="K603" s="1116"/>
      <c r="L603" s="1116"/>
      <c r="M603" s="1116"/>
      <c r="N603" s="1116"/>
      <c r="O603" s="1116"/>
      <c r="P603" s="1116"/>
      <c r="Q603" s="1116"/>
      <c r="R603" s="1116"/>
      <c r="S603" s="1116"/>
      <c r="T603" s="1116"/>
      <c r="U603" s="1116"/>
      <c r="V603" s="1116"/>
      <c r="W603" s="1116"/>
      <c r="X603" s="1116"/>
      <c r="Y603" s="1116"/>
      <c r="Z603" s="1116"/>
      <c r="AA603" s="1116"/>
      <c r="AB603" s="1116"/>
      <c r="AC603" s="1116"/>
      <c r="AD603" s="1116"/>
      <c r="AE603" s="1116"/>
      <c r="AF603" s="1116"/>
      <c r="AG603" s="1116"/>
      <c r="AI603" s="943"/>
      <c r="AJ603" s="943"/>
      <c r="AK603" s="943"/>
      <c r="AL603" s="943"/>
      <c r="AM603" s="943"/>
      <c r="AN603" s="943"/>
      <c r="AO603" s="943"/>
      <c r="AP603" s="943"/>
      <c r="AQ603" s="943"/>
    </row>
    <row r="604" spans="1:43" s="633" customFormat="1" ht="15" hidden="1" thickBot="1" x14ac:dyDescent="0.25">
      <c r="A604" s="942"/>
      <c r="AI604" s="943"/>
      <c r="AJ604" s="943"/>
      <c r="AK604" s="943"/>
      <c r="AL604" s="943"/>
      <c r="AM604" s="943"/>
      <c r="AN604" s="943"/>
      <c r="AO604" s="943"/>
      <c r="AP604" s="943"/>
      <c r="AQ604" s="943"/>
    </row>
    <row r="605" spans="1:43" s="633" customFormat="1" ht="15" hidden="1" customHeight="1" thickTop="1" thickBot="1" x14ac:dyDescent="0.25">
      <c r="A605" s="943" t="s">
        <v>1495</v>
      </c>
      <c r="D605" s="1120" t="s">
        <v>159</v>
      </c>
      <c r="E605" s="1120"/>
      <c r="F605" s="1120"/>
      <c r="G605" s="1120"/>
      <c r="H605" s="1120"/>
      <c r="I605" s="1120"/>
      <c r="J605" s="1120"/>
      <c r="K605" s="1120"/>
      <c r="L605" s="1120"/>
      <c r="M605" s="1120"/>
      <c r="N605" s="1120" t="s">
        <v>2</v>
      </c>
      <c r="O605" s="1120"/>
      <c r="P605" s="1120"/>
      <c r="Q605" s="1120"/>
      <c r="R605" s="1120"/>
      <c r="S605" s="1120"/>
      <c r="T605" s="1120"/>
      <c r="U605" s="1120"/>
      <c r="V605" s="1120"/>
      <c r="W605" s="1120"/>
      <c r="X605" s="1120"/>
      <c r="Y605" s="1120"/>
      <c r="Z605" s="1120"/>
      <c r="AA605" s="1120"/>
      <c r="AB605" s="1120"/>
      <c r="AC605" s="1120"/>
      <c r="AD605" s="1120"/>
      <c r="AE605" s="1120"/>
      <c r="AF605" s="1120"/>
      <c r="AG605" s="1120"/>
      <c r="AI605" s="943"/>
      <c r="AJ605" s="1328" t="s">
        <v>32</v>
      </c>
      <c r="AK605" s="1328" t="s">
        <v>27</v>
      </c>
      <c r="AL605" s="1328" t="s">
        <v>28</v>
      </c>
      <c r="AM605" s="1328" t="s">
        <v>30</v>
      </c>
      <c r="AN605" s="943"/>
      <c r="AO605" s="1328" t="s">
        <v>30</v>
      </c>
      <c r="AP605" s="943"/>
      <c r="AQ605" s="943"/>
    </row>
    <row r="606" spans="1:43" s="633" customFormat="1" ht="28.5" hidden="1" customHeight="1" thickBot="1" x14ac:dyDescent="0.25">
      <c r="A606" s="942"/>
      <c r="D606" s="1120"/>
      <c r="E606" s="1120"/>
      <c r="F606" s="1120"/>
      <c r="G606" s="1120"/>
      <c r="H606" s="1120"/>
      <c r="I606" s="1120"/>
      <c r="J606" s="1120"/>
      <c r="K606" s="1120"/>
      <c r="L606" s="1120"/>
      <c r="M606" s="1120"/>
      <c r="N606" s="1120" t="s">
        <v>32</v>
      </c>
      <c r="O606" s="1120"/>
      <c r="P606" s="1120"/>
      <c r="Q606" s="1120"/>
      <c r="R606" s="1120"/>
      <c r="S606" s="1120" t="s">
        <v>27</v>
      </c>
      <c r="T606" s="1120"/>
      <c r="U606" s="1120"/>
      <c r="V606" s="1120"/>
      <c r="W606" s="1120"/>
      <c r="X606" s="1120" t="s">
        <v>28</v>
      </c>
      <c r="Y606" s="1120"/>
      <c r="Z606" s="1120"/>
      <c r="AA606" s="1120"/>
      <c r="AB606" s="1120"/>
      <c r="AC606" s="1120" t="s">
        <v>30</v>
      </c>
      <c r="AD606" s="1120"/>
      <c r="AE606" s="1120"/>
      <c r="AF606" s="1120"/>
      <c r="AG606" s="1120"/>
      <c r="AI606" s="943"/>
      <c r="AJ606" s="1329"/>
      <c r="AK606" s="1329"/>
      <c r="AL606" s="1329"/>
      <c r="AM606" s="1329"/>
      <c r="AN606" s="943"/>
      <c r="AO606" s="1330"/>
      <c r="AP606" s="943"/>
      <c r="AQ606" s="943"/>
    </row>
    <row r="607" spans="1:43" s="644" customFormat="1" ht="24.75" hidden="1" customHeight="1" x14ac:dyDescent="0.25">
      <c r="A607" s="978"/>
      <c r="D607" s="1331" t="s">
        <v>160</v>
      </c>
      <c r="E607" s="1331"/>
      <c r="F607" s="1331"/>
      <c r="G607" s="1331"/>
      <c r="H607" s="1331"/>
      <c r="I607" s="1331"/>
      <c r="J607" s="1331"/>
      <c r="K607" s="1331"/>
      <c r="L607" s="1331"/>
      <c r="M607" s="1331"/>
      <c r="N607" s="1325"/>
      <c r="O607" s="1326"/>
      <c r="P607" s="1326"/>
      <c r="Q607" s="1326"/>
      <c r="R607" s="1327"/>
      <c r="S607" s="1325"/>
      <c r="T607" s="1326"/>
      <c r="U607" s="1326"/>
      <c r="V607" s="1326"/>
      <c r="W607" s="1327"/>
      <c r="X607" s="1325"/>
      <c r="Y607" s="1326"/>
      <c r="Z607" s="1326"/>
      <c r="AA607" s="1326"/>
      <c r="AB607" s="1327"/>
      <c r="AC607" s="1325"/>
      <c r="AD607" s="1326"/>
      <c r="AE607" s="1326"/>
      <c r="AF607" s="1326"/>
      <c r="AG607" s="1327"/>
      <c r="AI607" s="946"/>
      <c r="AJ607" s="951"/>
      <c r="AK607" s="952"/>
      <c r="AL607" s="952"/>
      <c r="AM607" s="972">
        <f>SUM(N607:AB607)-AC607</f>
        <v>0</v>
      </c>
      <c r="AN607" s="946"/>
      <c r="AO607" s="979"/>
      <c r="AP607" s="946"/>
      <c r="AQ607" s="946"/>
    </row>
    <row r="608" spans="1:43" s="644" customFormat="1" ht="24.75" hidden="1" customHeight="1" x14ac:dyDescent="0.25">
      <c r="A608" s="978"/>
      <c r="D608" s="1184" t="s">
        <v>161</v>
      </c>
      <c r="E608" s="1184"/>
      <c r="F608" s="1184"/>
      <c r="G608" s="1184"/>
      <c r="H608" s="1184"/>
      <c r="I608" s="1184"/>
      <c r="J608" s="1184"/>
      <c r="K608" s="1184"/>
      <c r="L608" s="1184"/>
      <c r="M608" s="1184"/>
      <c r="N608" s="1332"/>
      <c r="O608" s="1089"/>
      <c r="P608" s="1089"/>
      <c r="Q608" s="1089"/>
      <c r="R608" s="1333"/>
      <c r="S608" s="1332"/>
      <c r="T608" s="1089"/>
      <c r="U608" s="1089"/>
      <c r="V608" s="1089"/>
      <c r="W608" s="1333"/>
      <c r="X608" s="1332"/>
      <c r="Y608" s="1089"/>
      <c r="Z608" s="1089"/>
      <c r="AA608" s="1089"/>
      <c r="AB608" s="1333"/>
      <c r="AC608" s="1332"/>
      <c r="AD608" s="1089"/>
      <c r="AE608" s="1089"/>
      <c r="AF608" s="1089"/>
      <c r="AG608" s="1333"/>
      <c r="AI608" s="946"/>
      <c r="AJ608" s="954"/>
      <c r="AK608" s="949"/>
      <c r="AL608" s="949"/>
      <c r="AM608" s="955">
        <f t="shared" ref="AM608:AM612" si="261">SUM(N608:AB608)-AC608</f>
        <v>0</v>
      </c>
      <c r="AN608" s="946"/>
      <c r="AO608" s="979"/>
      <c r="AP608" s="946"/>
      <c r="AQ608" s="946"/>
    </row>
    <row r="609" spans="1:43" s="644" customFormat="1" ht="24.75" hidden="1" customHeight="1" x14ac:dyDescent="0.25">
      <c r="A609" s="978"/>
      <c r="D609" s="1184" t="s">
        <v>162</v>
      </c>
      <c r="E609" s="1184"/>
      <c r="F609" s="1184"/>
      <c r="G609" s="1184"/>
      <c r="H609" s="1184"/>
      <c r="I609" s="1184"/>
      <c r="J609" s="1184"/>
      <c r="K609" s="1184"/>
      <c r="L609" s="1184"/>
      <c r="M609" s="1184"/>
      <c r="N609" s="1332"/>
      <c r="O609" s="1089"/>
      <c r="P609" s="1089"/>
      <c r="Q609" s="1089"/>
      <c r="R609" s="1333"/>
      <c r="S609" s="1332"/>
      <c r="T609" s="1089"/>
      <c r="U609" s="1089"/>
      <c r="V609" s="1089"/>
      <c r="W609" s="1333"/>
      <c r="X609" s="1332"/>
      <c r="Y609" s="1089"/>
      <c r="Z609" s="1089"/>
      <c r="AA609" s="1089"/>
      <c r="AB609" s="1333"/>
      <c r="AC609" s="1332"/>
      <c r="AD609" s="1089"/>
      <c r="AE609" s="1089"/>
      <c r="AF609" s="1089"/>
      <c r="AG609" s="1333"/>
      <c r="AI609" s="946"/>
      <c r="AJ609" s="954"/>
      <c r="AK609" s="949"/>
      <c r="AL609" s="949"/>
      <c r="AM609" s="955">
        <f t="shared" si="261"/>
        <v>0</v>
      </c>
      <c r="AN609" s="946"/>
      <c r="AO609" s="979"/>
      <c r="AP609" s="946"/>
      <c r="AQ609" s="946"/>
    </row>
    <row r="610" spans="1:43" s="644" customFormat="1" ht="24.75" hidden="1" customHeight="1" x14ac:dyDescent="0.25">
      <c r="A610" s="978"/>
      <c r="D610" s="1184" t="s">
        <v>163</v>
      </c>
      <c r="E610" s="1184"/>
      <c r="F610" s="1184"/>
      <c r="G610" s="1184"/>
      <c r="H610" s="1184"/>
      <c r="I610" s="1184"/>
      <c r="J610" s="1184"/>
      <c r="K610" s="1184"/>
      <c r="L610" s="1184"/>
      <c r="M610" s="1184"/>
      <c r="N610" s="1332"/>
      <c r="O610" s="1089"/>
      <c r="P610" s="1089"/>
      <c r="Q610" s="1089"/>
      <c r="R610" s="1333"/>
      <c r="S610" s="1332"/>
      <c r="T610" s="1089"/>
      <c r="U610" s="1089"/>
      <c r="V610" s="1089"/>
      <c r="W610" s="1333"/>
      <c r="X610" s="1332"/>
      <c r="Y610" s="1089"/>
      <c r="Z610" s="1089"/>
      <c r="AA610" s="1089"/>
      <c r="AB610" s="1333"/>
      <c r="AC610" s="1332"/>
      <c r="AD610" s="1089"/>
      <c r="AE610" s="1089"/>
      <c r="AF610" s="1089"/>
      <c r="AG610" s="1333"/>
      <c r="AI610" s="946"/>
      <c r="AJ610" s="954"/>
      <c r="AK610" s="949"/>
      <c r="AL610" s="949"/>
      <c r="AM610" s="955">
        <f t="shared" si="261"/>
        <v>0</v>
      </c>
      <c r="AN610" s="946"/>
      <c r="AO610" s="979"/>
      <c r="AP610" s="946"/>
      <c r="AQ610" s="946"/>
    </row>
    <row r="611" spans="1:43" s="644" customFormat="1" ht="24.75" hidden="1" customHeight="1" x14ac:dyDescent="0.25">
      <c r="A611" s="978"/>
      <c r="D611" s="1184" t="s">
        <v>164</v>
      </c>
      <c r="E611" s="1184"/>
      <c r="F611" s="1184"/>
      <c r="G611" s="1184"/>
      <c r="H611" s="1184"/>
      <c r="I611" s="1184"/>
      <c r="J611" s="1184"/>
      <c r="K611" s="1184"/>
      <c r="L611" s="1184"/>
      <c r="M611" s="1184"/>
      <c r="N611" s="1332"/>
      <c r="O611" s="1089"/>
      <c r="P611" s="1089"/>
      <c r="Q611" s="1089"/>
      <c r="R611" s="1333"/>
      <c r="S611" s="1332"/>
      <c r="T611" s="1089"/>
      <c r="U611" s="1089"/>
      <c r="V611" s="1089"/>
      <c r="W611" s="1333"/>
      <c r="X611" s="1332"/>
      <c r="Y611" s="1089"/>
      <c r="Z611" s="1089"/>
      <c r="AA611" s="1089"/>
      <c r="AB611" s="1333"/>
      <c r="AC611" s="1332"/>
      <c r="AD611" s="1089"/>
      <c r="AE611" s="1089"/>
      <c r="AF611" s="1089"/>
      <c r="AG611" s="1333"/>
      <c r="AI611" s="946"/>
      <c r="AJ611" s="954"/>
      <c r="AK611" s="949"/>
      <c r="AL611" s="949"/>
      <c r="AM611" s="955">
        <f t="shared" si="261"/>
        <v>0</v>
      </c>
      <c r="AN611" s="946"/>
      <c r="AO611" s="979"/>
      <c r="AP611" s="946"/>
      <c r="AQ611" s="946"/>
    </row>
    <row r="612" spans="1:43" s="644" customFormat="1" ht="24.75" hidden="1" customHeight="1" x14ac:dyDescent="0.25">
      <c r="A612" s="978"/>
      <c r="D612" s="1184" t="s">
        <v>165</v>
      </c>
      <c r="E612" s="1184"/>
      <c r="F612" s="1184"/>
      <c r="G612" s="1184"/>
      <c r="H612" s="1184"/>
      <c r="I612" s="1184"/>
      <c r="J612" s="1184"/>
      <c r="K612" s="1184"/>
      <c r="L612" s="1184"/>
      <c r="M612" s="1184"/>
      <c r="N612" s="1332"/>
      <c r="O612" s="1089"/>
      <c r="P612" s="1089"/>
      <c r="Q612" s="1089"/>
      <c r="R612" s="1333"/>
      <c r="S612" s="1332"/>
      <c r="T612" s="1089"/>
      <c r="U612" s="1089"/>
      <c r="V612" s="1089"/>
      <c r="W612" s="1333"/>
      <c r="X612" s="1332"/>
      <c r="Y612" s="1089"/>
      <c r="Z612" s="1089"/>
      <c r="AA612" s="1089"/>
      <c r="AB612" s="1333"/>
      <c r="AC612" s="1332"/>
      <c r="AD612" s="1089"/>
      <c r="AE612" s="1089"/>
      <c r="AF612" s="1089"/>
      <c r="AG612" s="1333"/>
      <c r="AI612" s="946"/>
      <c r="AJ612" s="954"/>
      <c r="AK612" s="949"/>
      <c r="AL612" s="949"/>
      <c r="AM612" s="955">
        <f t="shared" si="261"/>
        <v>0</v>
      </c>
      <c r="AN612" s="946"/>
      <c r="AO612" s="979"/>
      <c r="AP612" s="946"/>
      <c r="AQ612" s="946"/>
    </row>
    <row r="613" spans="1:43" s="644" customFormat="1" ht="24.75" hidden="1" customHeight="1" thickBot="1" x14ac:dyDescent="0.25">
      <c r="A613" s="978"/>
      <c r="D613" s="1107" t="s">
        <v>166</v>
      </c>
      <c r="E613" s="1107"/>
      <c r="F613" s="1107"/>
      <c r="G613" s="1107"/>
      <c r="H613" s="1107"/>
      <c r="I613" s="1107"/>
      <c r="J613" s="1107"/>
      <c r="K613" s="1107"/>
      <c r="L613" s="1107"/>
      <c r="M613" s="1107"/>
      <c r="N613" s="1320">
        <f>SUM(N607:R612)</f>
        <v>0</v>
      </c>
      <c r="O613" s="1321"/>
      <c r="P613" s="1321"/>
      <c r="Q613" s="1321"/>
      <c r="R613" s="1322"/>
      <c r="S613" s="1320">
        <f t="shared" ref="S613" si="262">SUM(S607:W612)</f>
        <v>0</v>
      </c>
      <c r="T613" s="1321"/>
      <c r="U613" s="1321"/>
      <c r="V613" s="1321"/>
      <c r="W613" s="1322"/>
      <c r="X613" s="1320">
        <f t="shared" ref="X613" si="263">SUM(X607:AB612)</f>
        <v>0</v>
      </c>
      <c r="Y613" s="1321"/>
      <c r="Z613" s="1321"/>
      <c r="AA613" s="1321"/>
      <c r="AB613" s="1322"/>
      <c r="AC613" s="1320">
        <f>SUM(AC607:AG612)</f>
        <v>0</v>
      </c>
      <c r="AD613" s="1321"/>
      <c r="AE613" s="1321"/>
      <c r="AF613" s="1321"/>
      <c r="AG613" s="1322"/>
      <c r="AI613" s="946"/>
      <c r="AJ613" s="959">
        <f>SUM(N607:R612)-N613</f>
        <v>0</v>
      </c>
      <c r="AK613" s="960">
        <f t="shared" ref="AK613:AM613" si="264">SUM(O607:S612)-O613</f>
        <v>0</v>
      </c>
      <c r="AL613" s="960">
        <f t="shared" si="264"/>
        <v>0</v>
      </c>
      <c r="AM613" s="961">
        <f t="shared" si="264"/>
        <v>0</v>
      </c>
      <c r="AN613" s="946"/>
      <c r="AO613" s="975">
        <f>AC613-SUM(BS!$D$68:$D$69)</f>
        <v>0</v>
      </c>
      <c r="AP613" s="946"/>
      <c r="AQ613" s="946"/>
    </row>
    <row r="614" spans="1:43" s="633" customFormat="1" hidden="1" x14ac:dyDescent="0.2">
      <c r="A614" s="942"/>
      <c r="AI614" s="943"/>
      <c r="AJ614" s="943"/>
      <c r="AK614" s="943"/>
      <c r="AL614" s="943"/>
      <c r="AM614" s="943"/>
      <c r="AN614" s="943"/>
      <c r="AO614" s="943"/>
      <c r="AP614" s="943"/>
      <c r="AQ614" s="943"/>
    </row>
    <row r="615" spans="1:43" s="633" customFormat="1" hidden="1" x14ac:dyDescent="0.2">
      <c r="A615" s="942"/>
      <c r="AI615" s="943"/>
      <c r="AJ615" s="943"/>
      <c r="AK615" s="943"/>
      <c r="AL615" s="943"/>
      <c r="AM615" s="943"/>
      <c r="AN615" s="943"/>
      <c r="AO615" s="943"/>
      <c r="AP615" s="943"/>
      <c r="AQ615" s="943"/>
    </row>
    <row r="616" spans="1:43" s="633" customFormat="1" hidden="1" x14ac:dyDescent="0.2">
      <c r="A616" s="942"/>
      <c r="D616" s="1168" t="s">
        <v>1496</v>
      </c>
      <c r="E616" s="1168"/>
      <c r="F616" s="1168"/>
      <c r="G616" s="1168"/>
      <c r="H616" s="1168"/>
      <c r="I616" s="1168"/>
      <c r="J616" s="1168"/>
      <c r="K616" s="1168"/>
      <c r="L616" s="1168"/>
      <c r="M616" s="1168"/>
      <c r="N616" s="1168"/>
      <c r="O616" s="1168"/>
      <c r="P616" s="1168"/>
      <c r="Q616" s="1168"/>
      <c r="R616" s="1168"/>
      <c r="S616" s="1168"/>
      <c r="T616" s="1168"/>
      <c r="U616" s="1168"/>
      <c r="V616" s="1168"/>
      <c r="W616" s="1168"/>
      <c r="X616" s="1168"/>
      <c r="Y616" s="1168"/>
      <c r="Z616" s="1168"/>
      <c r="AA616" s="1168"/>
      <c r="AB616" s="1168"/>
      <c r="AC616" s="1168"/>
      <c r="AD616" s="1168"/>
      <c r="AE616" s="1168"/>
      <c r="AF616" s="1168"/>
      <c r="AG616" s="1168"/>
      <c r="AI616" s="943"/>
      <c r="AJ616" s="943"/>
      <c r="AK616" s="943"/>
      <c r="AL616" s="943"/>
      <c r="AM616" s="943"/>
      <c r="AN616" s="943"/>
      <c r="AO616" s="943"/>
      <c r="AP616" s="943"/>
      <c r="AQ616" s="943"/>
    </row>
    <row r="617" spans="1:43" s="633" customFormat="1" ht="15" hidden="1" thickBot="1" x14ac:dyDescent="0.25">
      <c r="A617" s="942"/>
      <c r="AI617" s="943"/>
      <c r="AJ617" s="943"/>
      <c r="AK617" s="943"/>
      <c r="AL617" s="943"/>
      <c r="AM617" s="943"/>
      <c r="AN617" s="943"/>
      <c r="AO617" s="943"/>
      <c r="AP617" s="943"/>
      <c r="AQ617" s="943"/>
    </row>
    <row r="618" spans="1:43" s="633" customFormat="1" ht="48" hidden="1" customHeight="1" thickTop="1" thickBot="1" x14ac:dyDescent="0.25">
      <c r="A618" s="942">
        <v>19</v>
      </c>
      <c r="D618" s="1120" t="s">
        <v>168</v>
      </c>
      <c r="E618" s="1120"/>
      <c r="F618" s="1120"/>
      <c r="G618" s="1120"/>
      <c r="H618" s="1120"/>
      <c r="I618" s="1120"/>
      <c r="J618" s="1120"/>
      <c r="K618" s="1120"/>
      <c r="L618" s="1120"/>
      <c r="M618" s="1120"/>
      <c r="N618" s="1120" t="s">
        <v>169</v>
      </c>
      <c r="O618" s="1120"/>
      <c r="P618" s="1120"/>
      <c r="Q618" s="1120"/>
      <c r="R618" s="1120" t="s">
        <v>170</v>
      </c>
      <c r="S618" s="1120"/>
      <c r="T618" s="1120"/>
      <c r="U618" s="1120"/>
      <c r="V618" s="1120" t="s">
        <v>88</v>
      </c>
      <c r="W618" s="1120"/>
      <c r="X618" s="1120"/>
      <c r="Y618" s="1120"/>
      <c r="Z618" s="1120" t="s">
        <v>457</v>
      </c>
      <c r="AA618" s="1120"/>
      <c r="AB618" s="1120"/>
      <c r="AC618" s="1120"/>
      <c r="AD618" s="1120" t="s">
        <v>171</v>
      </c>
      <c r="AE618" s="1120"/>
      <c r="AF618" s="1120"/>
      <c r="AG618" s="1120"/>
      <c r="AI618" s="934" t="s">
        <v>169</v>
      </c>
      <c r="AJ618" s="934" t="s">
        <v>170</v>
      </c>
      <c r="AK618" s="934" t="s">
        <v>88</v>
      </c>
      <c r="AL618" s="936" t="s">
        <v>457</v>
      </c>
      <c r="AM618" s="934" t="s">
        <v>171</v>
      </c>
      <c r="AN618" s="943"/>
      <c r="AO618" s="934" t="s">
        <v>171</v>
      </c>
      <c r="AP618" s="943"/>
      <c r="AQ618" s="943"/>
    </row>
    <row r="619" spans="1:43" s="633" customFormat="1" ht="27.75" hidden="1" customHeight="1" x14ac:dyDescent="0.25">
      <c r="A619" s="942"/>
      <c r="D619" s="1331" t="s">
        <v>164</v>
      </c>
      <c r="E619" s="1331"/>
      <c r="F619" s="1331"/>
      <c r="G619" s="1331"/>
      <c r="H619" s="1331"/>
      <c r="I619" s="1331"/>
      <c r="J619" s="1331"/>
      <c r="K619" s="1331"/>
      <c r="L619" s="1331"/>
      <c r="M619" s="1331"/>
      <c r="N619" s="1323"/>
      <c r="O619" s="1323"/>
      <c r="P619" s="1323"/>
      <c r="Q619" s="1323"/>
      <c r="R619" s="1323"/>
      <c r="S619" s="1323"/>
      <c r="T619" s="1323"/>
      <c r="U619" s="1323"/>
      <c r="V619" s="1323"/>
      <c r="W619" s="1323"/>
      <c r="X619" s="1323"/>
      <c r="Y619" s="1323"/>
      <c r="Z619" s="1323"/>
      <c r="AA619" s="1323"/>
      <c r="AB619" s="1323"/>
      <c r="AC619" s="1323"/>
      <c r="AD619" s="1323"/>
      <c r="AE619" s="1323"/>
      <c r="AF619" s="1323"/>
      <c r="AG619" s="1323"/>
      <c r="AI619" s="951"/>
      <c r="AJ619" s="952"/>
      <c r="AK619" s="952"/>
      <c r="AL619" s="952"/>
      <c r="AM619" s="972">
        <f>SUM(N619:AC619)-AD619</f>
        <v>0</v>
      </c>
      <c r="AN619" s="943"/>
      <c r="AO619" s="980"/>
      <c r="AP619" s="943"/>
      <c r="AQ619" s="943"/>
    </row>
    <row r="620" spans="1:43" s="633" customFormat="1" ht="27.75" hidden="1" customHeight="1" x14ac:dyDescent="0.25">
      <c r="A620" s="942"/>
      <c r="D620" s="1184" t="s">
        <v>165</v>
      </c>
      <c r="E620" s="1184"/>
      <c r="F620" s="1184"/>
      <c r="G620" s="1184"/>
      <c r="H620" s="1184"/>
      <c r="I620" s="1184"/>
      <c r="J620" s="1184"/>
      <c r="K620" s="1184"/>
      <c r="L620" s="1184"/>
      <c r="M620" s="1184"/>
      <c r="N620" s="1169"/>
      <c r="O620" s="1169"/>
      <c r="P620" s="1169"/>
      <c r="Q620" s="1169"/>
      <c r="R620" s="1169"/>
      <c r="S620" s="1169"/>
      <c r="T620" s="1169"/>
      <c r="U620" s="1169"/>
      <c r="V620" s="1169"/>
      <c r="W620" s="1169"/>
      <c r="X620" s="1169"/>
      <c r="Y620" s="1169"/>
      <c r="Z620" s="1169"/>
      <c r="AA620" s="1169"/>
      <c r="AB620" s="1169"/>
      <c r="AC620" s="1169"/>
      <c r="AD620" s="1169"/>
      <c r="AE620" s="1169"/>
      <c r="AF620" s="1169"/>
      <c r="AG620" s="1169"/>
      <c r="AI620" s="954"/>
      <c r="AJ620" s="949"/>
      <c r="AK620" s="949"/>
      <c r="AL620" s="949"/>
      <c r="AM620" s="955">
        <f>SUM(N620:AC620)-AD620</f>
        <v>0</v>
      </c>
      <c r="AN620" s="943"/>
      <c r="AO620" s="979"/>
      <c r="AP620" s="943"/>
      <c r="AQ620" s="943"/>
    </row>
    <row r="621" spans="1:43" s="633" customFormat="1" ht="27.75" hidden="1" customHeight="1" thickBot="1" x14ac:dyDescent="0.25">
      <c r="A621" s="942"/>
      <c r="D621" s="1107" t="s">
        <v>166</v>
      </c>
      <c r="E621" s="1107"/>
      <c r="F621" s="1107"/>
      <c r="G621" s="1107"/>
      <c r="H621" s="1107"/>
      <c r="I621" s="1107"/>
      <c r="J621" s="1107"/>
      <c r="K621" s="1107"/>
      <c r="L621" s="1107"/>
      <c r="M621" s="1107"/>
      <c r="N621" s="1320">
        <f>SUM(N619:Q620)</f>
        <v>0</v>
      </c>
      <c r="O621" s="1321"/>
      <c r="P621" s="1321"/>
      <c r="Q621" s="1322"/>
      <c r="R621" s="1320">
        <f t="shared" ref="R621" si="265">SUM(R619:U620)</f>
        <v>0</v>
      </c>
      <c r="S621" s="1321"/>
      <c r="T621" s="1321"/>
      <c r="U621" s="1322"/>
      <c r="V621" s="1320">
        <f t="shared" ref="V621" si="266">SUM(V619:Y620)</f>
        <v>0</v>
      </c>
      <c r="W621" s="1321"/>
      <c r="X621" s="1321"/>
      <c r="Y621" s="1322"/>
      <c r="Z621" s="1320">
        <f t="shared" ref="Z621" si="267">SUM(Z619:AC620)</f>
        <v>0</v>
      </c>
      <c r="AA621" s="1321"/>
      <c r="AB621" s="1321"/>
      <c r="AC621" s="1322"/>
      <c r="AD621" s="1320">
        <f>SUM(AD619:AG620)</f>
        <v>0</v>
      </c>
      <c r="AE621" s="1321"/>
      <c r="AF621" s="1321"/>
      <c r="AG621" s="1322"/>
      <c r="AI621" s="959">
        <f>SUM(N619:Q620)-N621</f>
        <v>0</v>
      </c>
      <c r="AJ621" s="960">
        <f>SUM(R619:U620)-R621</f>
        <v>0</v>
      </c>
      <c r="AK621" s="960">
        <f>SUM(V619:Y620)-V621</f>
        <v>0</v>
      </c>
      <c r="AL621" s="960">
        <f>SUM(Z619:AC620)-Z621</f>
        <v>0</v>
      </c>
      <c r="AM621" s="961">
        <f>SUM(AD619:AG620)-AD621</f>
        <v>0</v>
      </c>
      <c r="AN621" s="943"/>
      <c r="AO621" s="975">
        <f>AD621-SUM(BS!E68:E69)</f>
        <v>0</v>
      </c>
      <c r="AP621" s="943"/>
      <c r="AQ621" s="943"/>
    </row>
    <row r="622" spans="1:43" s="633" customFormat="1" hidden="1" x14ac:dyDescent="0.2">
      <c r="A622" s="942"/>
      <c r="AI622" s="943"/>
      <c r="AJ622" s="943"/>
      <c r="AK622" s="943"/>
      <c r="AL622" s="943"/>
      <c r="AM622" s="943"/>
      <c r="AN622" s="943"/>
      <c r="AO622" s="943"/>
      <c r="AP622" s="943"/>
      <c r="AQ622" s="943"/>
    </row>
    <row r="623" spans="1:43" s="633" customFormat="1" hidden="1" x14ac:dyDescent="0.2">
      <c r="A623" s="942"/>
      <c r="D623" s="1116" t="s">
        <v>1497</v>
      </c>
      <c r="E623" s="1116"/>
      <c r="F623" s="1116"/>
      <c r="G623" s="1116"/>
      <c r="H623" s="1116"/>
      <c r="I623" s="1116"/>
      <c r="J623" s="1116"/>
      <c r="K623" s="1116"/>
      <c r="L623" s="1116"/>
      <c r="M623" s="1116"/>
      <c r="N623" s="1116"/>
      <c r="O623" s="1116"/>
      <c r="P623" s="1116"/>
      <c r="Q623" s="1116"/>
      <c r="R623" s="1116"/>
      <c r="S623" s="1116"/>
      <c r="T623" s="1116"/>
      <c r="U623" s="1116"/>
      <c r="V623" s="1116"/>
      <c r="W623" s="1116"/>
      <c r="X623" s="1116"/>
      <c r="Y623" s="1116"/>
      <c r="Z623" s="1116"/>
      <c r="AA623" s="1116"/>
      <c r="AB623" s="1116"/>
      <c r="AC623" s="1116"/>
      <c r="AD623" s="1116"/>
      <c r="AE623" s="1116"/>
      <c r="AF623" s="1116"/>
      <c r="AG623" s="1116"/>
      <c r="AI623" s="943"/>
      <c r="AJ623" s="943"/>
      <c r="AK623" s="943"/>
      <c r="AL623" s="943"/>
      <c r="AM623" s="943"/>
      <c r="AN623" s="943"/>
      <c r="AO623" s="943"/>
      <c r="AP623" s="943"/>
      <c r="AQ623" s="943"/>
    </row>
    <row r="624" spans="1:43" s="633" customFormat="1" hidden="1" x14ac:dyDescent="0.2">
      <c r="A624" s="942"/>
      <c r="D624" s="1116"/>
      <c r="E624" s="1116"/>
      <c r="F624" s="1116"/>
      <c r="G624" s="1116"/>
      <c r="H624" s="1116"/>
      <c r="I624" s="1116"/>
      <c r="J624" s="1116"/>
      <c r="K624" s="1116"/>
      <c r="L624" s="1116"/>
      <c r="M624" s="1116"/>
      <c r="N624" s="1116"/>
      <c r="O624" s="1116"/>
      <c r="P624" s="1116"/>
      <c r="Q624" s="1116"/>
      <c r="R624" s="1116"/>
      <c r="S624" s="1116"/>
      <c r="T624" s="1116"/>
      <c r="U624" s="1116"/>
      <c r="V624" s="1116"/>
      <c r="W624" s="1116"/>
      <c r="X624" s="1116"/>
      <c r="Y624" s="1116"/>
      <c r="Z624" s="1116"/>
      <c r="AA624" s="1116"/>
      <c r="AB624" s="1116"/>
      <c r="AC624" s="1116"/>
      <c r="AD624" s="1116"/>
      <c r="AE624" s="1116"/>
      <c r="AF624" s="1116"/>
      <c r="AG624" s="1116"/>
      <c r="AI624" s="943"/>
      <c r="AJ624" s="943"/>
      <c r="AK624" s="943"/>
      <c r="AL624" s="943"/>
      <c r="AM624" s="943"/>
      <c r="AN624" s="943"/>
      <c r="AO624" s="943"/>
      <c r="AP624" s="943"/>
      <c r="AQ624" s="943"/>
    </row>
    <row r="625" spans="1:43" s="633" customFormat="1" ht="15" hidden="1" thickBot="1" x14ac:dyDescent="0.25">
      <c r="A625" s="942"/>
      <c r="AI625" s="943"/>
      <c r="AJ625" s="943"/>
      <c r="AK625" s="943"/>
      <c r="AL625" s="943"/>
      <c r="AM625" s="943"/>
      <c r="AN625" s="943"/>
      <c r="AO625" s="943"/>
      <c r="AP625" s="943"/>
      <c r="AQ625" s="943"/>
    </row>
    <row r="626" spans="1:43" s="633" customFormat="1" ht="15" hidden="1" thickBot="1" x14ac:dyDescent="0.25">
      <c r="A626" s="942">
        <v>20</v>
      </c>
      <c r="D626" s="1138" t="s">
        <v>131</v>
      </c>
      <c r="E626" s="1138"/>
      <c r="F626" s="1138"/>
      <c r="G626" s="1138"/>
      <c r="H626" s="1138"/>
      <c r="I626" s="1138"/>
      <c r="J626" s="1138"/>
      <c r="K626" s="1138"/>
      <c r="L626" s="1138"/>
      <c r="M626" s="1138"/>
      <c r="N626" s="1138"/>
      <c r="O626" s="1138"/>
      <c r="P626" s="1138"/>
      <c r="Q626" s="1138"/>
      <c r="R626" s="1138"/>
      <c r="S626" s="1138" t="s">
        <v>36</v>
      </c>
      <c r="T626" s="1138"/>
      <c r="U626" s="1138"/>
      <c r="V626" s="1138"/>
      <c r="W626" s="1138"/>
      <c r="X626" s="1138"/>
      <c r="Y626" s="1138"/>
      <c r="Z626" s="1138"/>
      <c r="AA626" s="1138"/>
      <c r="AB626" s="1138"/>
      <c r="AC626" s="1138"/>
      <c r="AD626" s="1138"/>
      <c r="AE626" s="1138"/>
      <c r="AF626" s="1138"/>
      <c r="AG626" s="1138"/>
      <c r="AI626" s="943"/>
      <c r="AJ626" s="943"/>
      <c r="AK626" s="943"/>
      <c r="AL626" s="943"/>
      <c r="AM626" s="943"/>
      <c r="AN626" s="943"/>
      <c r="AO626" s="943"/>
      <c r="AP626" s="943"/>
      <c r="AQ626" s="943"/>
    </row>
    <row r="627" spans="1:43" s="633" customFormat="1" ht="27.75" hidden="1" customHeight="1" x14ac:dyDescent="0.2">
      <c r="A627" s="942"/>
      <c r="D627" s="1255" t="s">
        <v>172</v>
      </c>
      <c r="E627" s="1255"/>
      <c r="F627" s="1255"/>
      <c r="G627" s="1255"/>
      <c r="H627" s="1255"/>
      <c r="I627" s="1255"/>
      <c r="J627" s="1255"/>
      <c r="K627" s="1255"/>
      <c r="L627" s="1255"/>
      <c r="M627" s="1255"/>
      <c r="N627" s="1255"/>
      <c r="O627" s="1255"/>
      <c r="P627" s="1255"/>
      <c r="Q627" s="1255"/>
      <c r="R627" s="1255"/>
      <c r="S627" s="1256"/>
      <c r="T627" s="1256"/>
      <c r="U627" s="1256"/>
      <c r="V627" s="1256"/>
      <c r="W627" s="1256"/>
      <c r="X627" s="1256"/>
      <c r="Y627" s="1256"/>
      <c r="Z627" s="1256"/>
      <c r="AA627" s="1256"/>
      <c r="AB627" s="1256"/>
      <c r="AC627" s="1256"/>
      <c r="AD627" s="1256"/>
      <c r="AE627" s="1256"/>
      <c r="AF627" s="1256"/>
      <c r="AG627" s="1256"/>
      <c r="AI627" s="943"/>
      <c r="AJ627" s="943"/>
      <c r="AK627" s="943"/>
      <c r="AL627" s="943"/>
      <c r="AM627" s="943"/>
      <c r="AN627" s="943"/>
      <c r="AO627" s="943"/>
      <c r="AP627" s="943"/>
      <c r="AQ627" s="943"/>
    </row>
    <row r="628" spans="1:43" s="633" customFormat="1" ht="27.75" hidden="1" customHeight="1" thickBot="1" x14ac:dyDescent="0.25">
      <c r="A628" s="942"/>
      <c r="D628" s="1324" t="s">
        <v>173</v>
      </c>
      <c r="E628" s="1324"/>
      <c r="F628" s="1324"/>
      <c r="G628" s="1324"/>
      <c r="H628" s="1324"/>
      <c r="I628" s="1324"/>
      <c r="J628" s="1324"/>
      <c r="K628" s="1324"/>
      <c r="L628" s="1324"/>
      <c r="M628" s="1324"/>
      <c r="N628" s="1324"/>
      <c r="O628" s="1324"/>
      <c r="P628" s="1324"/>
      <c r="Q628" s="1324"/>
      <c r="R628" s="1324"/>
      <c r="S628" s="1171"/>
      <c r="T628" s="1171"/>
      <c r="U628" s="1171"/>
      <c r="V628" s="1171"/>
      <c r="W628" s="1171"/>
      <c r="X628" s="1171"/>
      <c r="Y628" s="1171"/>
      <c r="Z628" s="1171"/>
      <c r="AA628" s="1171"/>
      <c r="AB628" s="1171"/>
      <c r="AC628" s="1171"/>
      <c r="AD628" s="1171"/>
      <c r="AE628" s="1171"/>
      <c r="AF628" s="1171"/>
      <c r="AG628" s="1171"/>
      <c r="AI628" s="943"/>
      <c r="AJ628" s="943"/>
      <c r="AK628" s="943"/>
      <c r="AL628" s="943"/>
      <c r="AM628" s="943"/>
      <c r="AN628" s="943"/>
      <c r="AO628" s="943"/>
      <c r="AP628" s="943"/>
      <c r="AQ628" s="943"/>
    </row>
    <row r="629" spans="1:43" s="633" customFormat="1" hidden="1" x14ac:dyDescent="0.2">
      <c r="A629" s="942"/>
      <c r="AI629" s="943"/>
      <c r="AJ629" s="943"/>
      <c r="AK629" s="943"/>
      <c r="AL629" s="943"/>
      <c r="AM629" s="943"/>
      <c r="AN629" s="943"/>
      <c r="AO629" s="943"/>
      <c r="AP629" s="943"/>
      <c r="AQ629" s="943"/>
    </row>
    <row r="630" spans="1:43" s="633" customFormat="1" hidden="1" x14ac:dyDescent="0.2">
      <c r="A630" s="942"/>
      <c r="AI630" s="943"/>
      <c r="AJ630" s="943"/>
      <c r="AK630" s="943"/>
      <c r="AL630" s="943"/>
      <c r="AM630" s="943"/>
      <c r="AN630" s="943"/>
      <c r="AO630" s="943"/>
      <c r="AP630" s="943"/>
      <c r="AQ630" s="943"/>
    </row>
    <row r="631" spans="1:43" s="633" customFormat="1" hidden="1" x14ac:dyDescent="0.2">
      <c r="A631" s="942"/>
      <c r="D631" s="1116" t="s">
        <v>1498</v>
      </c>
      <c r="E631" s="1116"/>
      <c r="F631" s="1116"/>
      <c r="G631" s="1116"/>
      <c r="H631" s="1116"/>
      <c r="I631" s="1116"/>
      <c r="J631" s="1116"/>
      <c r="K631" s="1116"/>
      <c r="L631" s="1116"/>
      <c r="M631" s="1116"/>
      <c r="N631" s="1116"/>
      <c r="O631" s="1116"/>
      <c r="P631" s="1116"/>
      <c r="Q631" s="1116"/>
      <c r="R631" s="1116"/>
      <c r="S631" s="1116"/>
      <c r="T631" s="1116"/>
      <c r="U631" s="1116"/>
      <c r="V631" s="1116"/>
      <c r="W631" s="1116"/>
      <c r="X631" s="1116"/>
      <c r="Y631" s="1116"/>
      <c r="Z631" s="1116"/>
      <c r="AA631" s="1116"/>
      <c r="AB631" s="1116"/>
      <c r="AC631" s="1116"/>
      <c r="AD631" s="1116"/>
      <c r="AE631" s="1116"/>
      <c r="AF631" s="1116"/>
      <c r="AG631" s="1116"/>
      <c r="AI631" s="943"/>
      <c r="AJ631" s="943"/>
      <c r="AK631" s="943"/>
      <c r="AL631" s="943"/>
      <c r="AM631" s="943"/>
      <c r="AN631" s="943"/>
      <c r="AO631" s="943"/>
      <c r="AP631" s="943"/>
      <c r="AQ631" s="943"/>
    </row>
    <row r="632" spans="1:43" s="633" customFormat="1" hidden="1" x14ac:dyDescent="0.2">
      <c r="A632" s="942"/>
      <c r="D632" s="1116"/>
      <c r="E632" s="1116"/>
      <c r="F632" s="1116"/>
      <c r="G632" s="1116"/>
      <c r="H632" s="1116"/>
      <c r="I632" s="1116"/>
      <c r="J632" s="1116"/>
      <c r="K632" s="1116"/>
      <c r="L632" s="1116"/>
      <c r="M632" s="1116"/>
      <c r="N632" s="1116"/>
      <c r="O632" s="1116"/>
      <c r="P632" s="1116"/>
      <c r="Q632" s="1116"/>
      <c r="R632" s="1116"/>
      <c r="S632" s="1116"/>
      <c r="T632" s="1116"/>
      <c r="U632" s="1116"/>
      <c r="V632" s="1116"/>
      <c r="W632" s="1116"/>
      <c r="X632" s="1116"/>
      <c r="Y632" s="1116"/>
      <c r="Z632" s="1116"/>
      <c r="AA632" s="1116"/>
      <c r="AB632" s="1116"/>
      <c r="AC632" s="1116"/>
      <c r="AD632" s="1116"/>
      <c r="AE632" s="1116"/>
      <c r="AF632" s="1116"/>
      <c r="AG632" s="1116"/>
      <c r="AI632" s="943"/>
      <c r="AJ632" s="943"/>
      <c r="AK632" s="943"/>
      <c r="AL632" s="943"/>
      <c r="AM632" s="943"/>
      <c r="AN632" s="943"/>
      <c r="AO632" s="943"/>
      <c r="AP632" s="943"/>
      <c r="AQ632" s="943"/>
    </row>
    <row r="633" spans="1:43" s="633" customFormat="1" ht="15" hidden="1" thickBot="1" x14ac:dyDescent="0.25">
      <c r="A633" s="942"/>
      <c r="AI633" s="943"/>
      <c r="AJ633" s="943"/>
      <c r="AK633" s="943"/>
      <c r="AL633" s="943"/>
      <c r="AM633" s="943"/>
      <c r="AN633" s="943"/>
      <c r="AO633" s="943"/>
      <c r="AP633" s="943"/>
      <c r="AQ633" s="943"/>
    </row>
    <row r="634" spans="1:43" s="633" customFormat="1" ht="45" hidden="1" customHeight="1" thickBot="1" x14ac:dyDescent="0.25">
      <c r="A634" s="942">
        <v>21</v>
      </c>
      <c r="D634" s="1120" t="s">
        <v>168</v>
      </c>
      <c r="E634" s="1120"/>
      <c r="F634" s="1120"/>
      <c r="G634" s="1120"/>
      <c r="H634" s="1120"/>
      <c r="I634" s="1120"/>
      <c r="J634" s="1120"/>
      <c r="K634" s="1120"/>
      <c r="L634" s="1120" t="s">
        <v>1499</v>
      </c>
      <c r="M634" s="1120"/>
      <c r="N634" s="1120"/>
      <c r="O634" s="1120"/>
      <c r="P634" s="1120"/>
      <c r="Q634" s="1120"/>
      <c r="R634" s="1120"/>
      <c r="S634" s="1120" t="s">
        <v>463</v>
      </c>
      <c r="T634" s="1120"/>
      <c r="U634" s="1120"/>
      <c r="V634" s="1120"/>
      <c r="W634" s="1120"/>
      <c r="X634" s="1120"/>
      <c r="Y634" s="1120"/>
      <c r="Z634" s="1120" t="s">
        <v>464</v>
      </c>
      <c r="AA634" s="1120"/>
      <c r="AB634" s="1120"/>
      <c r="AC634" s="1120"/>
      <c r="AD634" s="1120"/>
      <c r="AE634" s="1120"/>
      <c r="AF634" s="1120"/>
      <c r="AG634" s="1120"/>
      <c r="AI634" s="943"/>
      <c r="AJ634" s="943"/>
      <c r="AK634" s="943"/>
      <c r="AL634" s="943"/>
      <c r="AM634" s="943"/>
      <c r="AN634" s="943"/>
      <c r="AO634" s="943"/>
      <c r="AP634" s="943"/>
      <c r="AQ634" s="943"/>
    </row>
    <row r="635" spans="1:43" ht="18" hidden="1" customHeight="1" x14ac:dyDescent="0.2">
      <c r="D635" s="1304" t="s">
        <v>160</v>
      </c>
      <c r="E635" s="1305"/>
      <c r="F635" s="1305"/>
      <c r="G635" s="1305"/>
      <c r="H635" s="1305"/>
      <c r="I635" s="1305"/>
      <c r="J635" s="1305"/>
      <c r="K635" s="1306"/>
      <c r="L635" s="1167"/>
      <c r="M635" s="1167"/>
      <c r="N635" s="1167"/>
      <c r="O635" s="1167"/>
      <c r="P635" s="1167"/>
      <c r="Q635" s="1167"/>
      <c r="R635" s="1167"/>
      <c r="S635" s="1167"/>
      <c r="T635" s="1167"/>
      <c r="U635" s="1167"/>
      <c r="V635" s="1167"/>
      <c r="W635" s="1167"/>
      <c r="X635" s="1167"/>
      <c r="Y635" s="1167"/>
      <c r="Z635" s="1167"/>
      <c r="AA635" s="1167"/>
      <c r="AB635" s="1167"/>
      <c r="AC635" s="1167"/>
      <c r="AD635" s="1167"/>
      <c r="AE635" s="1167"/>
      <c r="AF635" s="1167"/>
      <c r="AG635" s="1167"/>
    </row>
    <row r="636" spans="1:43" ht="18" hidden="1" customHeight="1" x14ac:dyDescent="0.2">
      <c r="D636" s="1200" t="s">
        <v>161</v>
      </c>
      <c r="E636" s="1201"/>
      <c r="F636" s="1201"/>
      <c r="G636" s="1201"/>
      <c r="H636" s="1201"/>
      <c r="I636" s="1201"/>
      <c r="J636" s="1201"/>
      <c r="K636" s="1202"/>
      <c r="L636" s="1045"/>
      <c r="M636" s="1045"/>
      <c r="N636" s="1045"/>
      <c r="O636" s="1045"/>
      <c r="P636" s="1045"/>
      <c r="Q636" s="1045"/>
      <c r="R636" s="1045"/>
      <c r="S636" s="1045"/>
      <c r="T636" s="1045"/>
      <c r="U636" s="1045"/>
      <c r="V636" s="1045"/>
      <c r="W636" s="1045"/>
      <c r="X636" s="1045"/>
      <c r="Y636" s="1045"/>
      <c r="Z636" s="1045"/>
      <c r="AA636" s="1045"/>
      <c r="AB636" s="1045"/>
      <c r="AC636" s="1045"/>
      <c r="AD636" s="1045"/>
      <c r="AE636" s="1045"/>
      <c r="AF636" s="1045"/>
      <c r="AG636" s="1045"/>
    </row>
    <row r="637" spans="1:43" ht="18" hidden="1" customHeight="1" x14ac:dyDescent="0.2">
      <c r="D637" s="1200" t="s">
        <v>176</v>
      </c>
      <c r="E637" s="1201"/>
      <c r="F637" s="1201"/>
      <c r="G637" s="1201"/>
      <c r="H637" s="1201"/>
      <c r="I637" s="1201"/>
      <c r="J637" s="1201"/>
      <c r="K637" s="1202"/>
      <c r="L637" s="1045"/>
      <c r="M637" s="1045"/>
      <c r="N637" s="1045"/>
      <c r="O637" s="1045"/>
      <c r="P637" s="1045"/>
      <c r="Q637" s="1045"/>
      <c r="R637" s="1045"/>
      <c r="S637" s="1045"/>
      <c r="T637" s="1045"/>
      <c r="U637" s="1045"/>
      <c r="V637" s="1045"/>
      <c r="W637" s="1045"/>
      <c r="X637" s="1045"/>
      <c r="Y637" s="1045"/>
      <c r="Z637" s="1045"/>
      <c r="AA637" s="1045"/>
      <c r="AB637" s="1045"/>
      <c r="AC637" s="1045"/>
      <c r="AD637" s="1045"/>
      <c r="AE637" s="1045"/>
      <c r="AF637" s="1045"/>
      <c r="AG637" s="1045"/>
    </row>
    <row r="638" spans="1:43" ht="18" hidden="1" customHeight="1" x14ac:dyDescent="0.2">
      <c r="D638" s="1200" t="s">
        <v>164</v>
      </c>
      <c r="E638" s="1201"/>
      <c r="F638" s="1201"/>
      <c r="G638" s="1201"/>
      <c r="H638" s="1201"/>
      <c r="I638" s="1201"/>
      <c r="J638" s="1201"/>
      <c r="K638" s="1202"/>
      <c r="L638" s="1045"/>
      <c r="M638" s="1045"/>
      <c r="N638" s="1045"/>
      <c r="O638" s="1045"/>
      <c r="P638" s="1045"/>
      <c r="Q638" s="1045"/>
      <c r="R638" s="1045"/>
      <c r="S638" s="1045"/>
      <c r="T638" s="1045"/>
      <c r="U638" s="1045"/>
      <c r="V638" s="1045"/>
      <c r="W638" s="1045"/>
      <c r="X638" s="1045"/>
      <c r="Y638" s="1045"/>
      <c r="Z638" s="1045"/>
      <c r="AA638" s="1045"/>
      <c r="AB638" s="1045"/>
      <c r="AC638" s="1045"/>
      <c r="AD638" s="1045"/>
      <c r="AE638" s="1045"/>
      <c r="AF638" s="1045"/>
      <c r="AG638" s="1045"/>
    </row>
    <row r="639" spans="1:43" ht="18" hidden="1" customHeight="1" thickBot="1" x14ac:dyDescent="0.25">
      <c r="D639" s="1209" t="s">
        <v>166</v>
      </c>
      <c r="E639" s="1210"/>
      <c r="F639" s="1210"/>
      <c r="G639" s="1210"/>
      <c r="H639" s="1210"/>
      <c r="I639" s="1210"/>
      <c r="J639" s="1210"/>
      <c r="K639" s="1211"/>
      <c r="L639" s="1254">
        <f>SUM(L635:R638)</f>
        <v>0</v>
      </c>
      <c r="M639" s="1254"/>
      <c r="N639" s="1254"/>
      <c r="O639" s="1254"/>
      <c r="P639" s="1254"/>
      <c r="Q639" s="1254"/>
      <c r="R639" s="1254"/>
      <c r="S639" s="1254">
        <f>SUM(S635:Y638)</f>
        <v>0</v>
      </c>
      <c r="T639" s="1254"/>
      <c r="U639" s="1254"/>
      <c r="V639" s="1254"/>
      <c r="W639" s="1254"/>
      <c r="X639" s="1254"/>
      <c r="Y639" s="1254"/>
      <c r="Z639" s="1254">
        <f>SUM(Z635:AG638)</f>
        <v>0</v>
      </c>
      <c r="AA639" s="1254"/>
      <c r="AB639" s="1254"/>
      <c r="AC639" s="1254"/>
      <c r="AD639" s="1254"/>
      <c r="AE639" s="1254"/>
      <c r="AF639" s="1254"/>
      <c r="AG639" s="1254"/>
    </row>
    <row r="640" spans="1:43" ht="14.25" hidden="1" customHeight="1" x14ac:dyDescent="0.2"/>
    <row r="641" spans="1:42" ht="14.25" hidden="1" customHeight="1" x14ac:dyDescent="0.2"/>
    <row r="642" spans="1:42" ht="14.25" customHeight="1" x14ac:dyDescent="0.2">
      <c r="A642" s="1020"/>
    </row>
    <row r="643" spans="1:42" ht="14.25" customHeight="1" x14ac:dyDescent="0.2">
      <c r="D643" s="632" t="s">
        <v>1996</v>
      </c>
    </row>
    <row r="645" spans="1:42" ht="14.25" customHeight="1" x14ac:dyDescent="0.2">
      <c r="D645" s="1168" t="s">
        <v>1500</v>
      </c>
      <c r="E645" s="1168"/>
      <c r="F645" s="1168"/>
      <c r="G645" s="1168"/>
      <c r="H645" s="1168"/>
      <c r="I645" s="1168"/>
      <c r="J645" s="1168"/>
      <c r="K645" s="1168"/>
      <c r="L645" s="1168"/>
      <c r="M645" s="1168"/>
      <c r="N645" s="1168"/>
      <c r="O645" s="1168"/>
      <c r="P645" s="1168"/>
      <c r="Q645" s="1168"/>
      <c r="R645" s="1168"/>
      <c r="S645" s="1168"/>
      <c r="T645" s="1168"/>
      <c r="U645" s="1168"/>
      <c r="V645" s="1168"/>
      <c r="W645" s="1168"/>
      <c r="X645" s="1168"/>
      <c r="Y645" s="1168"/>
      <c r="Z645" s="1168"/>
      <c r="AA645" s="1168"/>
      <c r="AB645" s="1168"/>
      <c r="AC645" s="1168"/>
      <c r="AD645" s="1168"/>
      <c r="AE645" s="1168"/>
      <c r="AF645" s="1168"/>
      <c r="AG645" s="1168"/>
    </row>
    <row r="646" spans="1:42" ht="14.25" customHeight="1" thickBot="1" x14ac:dyDescent="0.25"/>
    <row r="647" spans="1:42" ht="28.5" customHeight="1" thickTop="1" thickBot="1" x14ac:dyDescent="0.25">
      <c r="A647" s="942">
        <v>22</v>
      </c>
      <c r="D647" s="1303" t="s">
        <v>178</v>
      </c>
      <c r="E647" s="1303"/>
      <c r="F647" s="1303"/>
      <c r="G647" s="1303"/>
      <c r="H647" s="1303"/>
      <c r="I647" s="1303"/>
      <c r="J647" s="1303"/>
      <c r="K647" s="1303"/>
      <c r="L647" s="1303"/>
      <c r="M647" s="1303"/>
      <c r="N647" s="1303"/>
      <c r="O647" s="1303"/>
      <c r="P647" s="1303" t="s">
        <v>2</v>
      </c>
      <c r="Q647" s="1303"/>
      <c r="R647" s="1303"/>
      <c r="S647" s="1303"/>
      <c r="T647" s="1303"/>
      <c r="U647" s="1303"/>
      <c r="V647" s="1303"/>
      <c r="W647" s="1303"/>
      <c r="X647" s="1303"/>
      <c r="Y647" s="1303" t="s">
        <v>3</v>
      </c>
      <c r="Z647" s="1303"/>
      <c r="AA647" s="1303"/>
      <c r="AB647" s="1303"/>
      <c r="AC647" s="1303"/>
      <c r="AD647" s="1303"/>
      <c r="AE647" s="1303"/>
      <c r="AF647" s="1303"/>
      <c r="AG647" s="1303"/>
      <c r="AL647" s="934" t="s">
        <v>2</v>
      </c>
      <c r="AM647" s="934" t="s">
        <v>3</v>
      </c>
      <c r="AO647" s="934" t="s">
        <v>2</v>
      </c>
      <c r="AP647" s="934" t="s">
        <v>3</v>
      </c>
    </row>
    <row r="648" spans="1:42" ht="16.5" customHeight="1" thickBot="1" x14ac:dyDescent="0.25">
      <c r="D648" s="1299" t="s">
        <v>179</v>
      </c>
      <c r="E648" s="1299"/>
      <c r="F648" s="1299"/>
      <c r="G648" s="1299"/>
      <c r="H648" s="1299"/>
      <c r="I648" s="1299"/>
      <c r="J648" s="1299"/>
      <c r="K648" s="1299"/>
      <c r="L648" s="1299"/>
      <c r="M648" s="1299"/>
      <c r="N648" s="1299"/>
      <c r="O648" s="1299"/>
      <c r="P648" s="1300"/>
      <c r="Q648" s="1300"/>
      <c r="R648" s="1300"/>
      <c r="S648" s="1300"/>
      <c r="T648" s="1300"/>
      <c r="U648" s="1300"/>
      <c r="V648" s="1300"/>
      <c r="W648" s="1300"/>
      <c r="X648" s="1301"/>
      <c r="Y648" s="1302"/>
      <c r="Z648" s="1300"/>
      <c r="AA648" s="1300"/>
      <c r="AB648" s="1300"/>
      <c r="AC648" s="1300"/>
      <c r="AD648" s="1300"/>
      <c r="AE648" s="1300"/>
      <c r="AF648" s="1300"/>
      <c r="AG648" s="1300"/>
      <c r="AL648" s="977">
        <f>SUM(P649:X649)-P648</f>
        <v>0</v>
      </c>
      <c r="AM648" s="972">
        <f>SUM(Y649:AG649)-Y648</f>
        <v>0</v>
      </c>
      <c r="AO648" s="977">
        <f>P648-BS!$D$71</f>
        <v>0</v>
      </c>
      <c r="AP648" s="972">
        <f>Y648-BS!$G$71</f>
        <v>0</v>
      </c>
    </row>
    <row r="649" spans="1:42" ht="16.5" customHeight="1" thickBot="1" x14ac:dyDescent="0.25">
      <c r="D649" s="1295"/>
      <c r="E649" s="1295"/>
      <c r="F649" s="1295"/>
      <c r="G649" s="1295"/>
      <c r="H649" s="1295"/>
      <c r="I649" s="1295"/>
      <c r="J649" s="1295"/>
      <c r="K649" s="1295"/>
      <c r="L649" s="1295"/>
      <c r="M649" s="1295"/>
      <c r="N649" s="1295"/>
      <c r="O649" s="1295"/>
      <c r="P649" s="1296"/>
      <c r="Q649" s="1296"/>
      <c r="R649" s="1296"/>
      <c r="S649" s="1296"/>
      <c r="T649" s="1296"/>
      <c r="U649" s="1296"/>
      <c r="V649" s="1296"/>
      <c r="W649" s="1296"/>
      <c r="X649" s="1297"/>
      <c r="Y649" s="1298"/>
      <c r="Z649" s="1296"/>
      <c r="AA649" s="1296"/>
      <c r="AB649" s="1296"/>
      <c r="AC649" s="1296"/>
      <c r="AD649" s="1296"/>
      <c r="AE649" s="1296"/>
      <c r="AF649" s="1296"/>
      <c r="AG649" s="1296"/>
      <c r="AL649" s="954"/>
      <c r="AM649" s="958"/>
      <c r="AO649" s="954"/>
      <c r="AP649" s="958"/>
    </row>
    <row r="650" spans="1:42" ht="16.5" customHeight="1" thickBot="1" x14ac:dyDescent="0.25">
      <c r="D650" s="1299" t="s">
        <v>180</v>
      </c>
      <c r="E650" s="1299"/>
      <c r="F650" s="1299"/>
      <c r="G650" s="1299"/>
      <c r="H650" s="1299"/>
      <c r="I650" s="1299"/>
      <c r="J650" s="1299"/>
      <c r="K650" s="1299"/>
      <c r="L650" s="1299"/>
      <c r="M650" s="1299"/>
      <c r="N650" s="1299"/>
      <c r="O650" s="1299"/>
      <c r="P650" s="1300">
        <v>1526</v>
      </c>
      <c r="Q650" s="1300"/>
      <c r="R650" s="1300"/>
      <c r="S650" s="1300"/>
      <c r="T650" s="1300"/>
      <c r="U650" s="1300"/>
      <c r="V650" s="1300"/>
      <c r="W650" s="1300"/>
      <c r="X650" s="1301"/>
      <c r="Y650" s="1302">
        <v>1889</v>
      </c>
      <c r="Z650" s="1300"/>
      <c r="AA650" s="1300"/>
      <c r="AB650" s="1300"/>
      <c r="AC650" s="1300"/>
      <c r="AD650" s="1300"/>
      <c r="AE650" s="1300"/>
      <c r="AF650" s="1300"/>
      <c r="AG650" s="1300"/>
      <c r="AL650" s="956">
        <f>SUM(P651:X651)-P650</f>
        <v>-1526</v>
      </c>
      <c r="AM650" s="955">
        <f>SUM(Y651:AG651)-Y650</f>
        <v>-1889</v>
      </c>
      <c r="AO650" s="956">
        <f>P650-BS!$D$72</f>
        <v>0</v>
      </c>
      <c r="AP650" s="955">
        <f>Y650-BS!$G$72</f>
        <v>0</v>
      </c>
    </row>
    <row r="651" spans="1:42" ht="16.5" customHeight="1" thickBot="1" x14ac:dyDescent="0.25">
      <c r="D651" s="1295"/>
      <c r="E651" s="1295"/>
      <c r="F651" s="1295"/>
      <c r="G651" s="1295"/>
      <c r="H651" s="1295"/>
      <c r="I651" s="1295"/>
      <c r="J651" s="1295"/>
      <c r="K651" s="1295"/>
      <c r="L651" s="1295"/>
      <c r="M651" s="1295"/>
      <c r="N651" s="1295"/>
      <c r="O651" s="1295"/>
      <c r="P651" s="1296"/>
      <c r="Q651" s="1296"/>
      <c r="R651" s="1296"/>
      <c r="S651" s="1296"/>
      <c r="T651" s="1296"/>
      <c r="U651" s="1296"/>
      <c r="V651" s="1296"/>
      <c r="W651" s="1296"/>
      <c r="X651" s="1297"/>
      <c r="Y651" s="1298"/>
      <c r="Z651" s="1296"/>
      <c r="AA651" s="1296"/>
      <c r="AB651" s="1296"/>
      <c r="AC651" s="1296"/>
      <c r="AD651" s="1296"/>
      <c r="AE651" s="1296"/>
      <c r="AF651" s="1296"/>
      <c r="AG651" s="1296"/>
      <c r="AL651" s="954"/>
      <c r="AM651" s="958"/>
      <c r="AO651" s="954"/>
      <c r="AP651" s="958"/>
    </row>
    <row r="652" spans="1:42" ht="16.5" customHeight="1" thickBot="1" x14ac:dyDescent="0.25">
      <c r="D652" s="1299" t="s">
        <v>181</v>
      </c>
      <c r="E652" s="1299"/>
      <c r="F652" s="1299"/>
      <c r="G652" s="1299"/>
      <c r="H652" s="1299"/>
      <c r="I652" s="1299"/>
      <c r="J652" s="1299"/>
      <c r="K652" s="1299"/>
      <c r="L652" s="1299"/>
      <c r="M652" s="1299"/>
      <c r="N652" s="1299"/>
      <c r="O652" s="1299"/>
      <c r="P652" s="1300"/>
      <c r="Q652" s="1300"/>
      <c r="R652" s="1300"/>
      <c r="S652" s="1300"/>
      <c r="T652" s="1300"/>
      <c r="U652" s="1300"/>
      <c r="V652" s="1300"/>
      <c r="W652" s="1300"/>
      <c r="X652" s="1301"/>
      <c r="Y652" s="1302"/>
      <c r="Z652" s="1300"/>
      <c r="AA652" s="1300"/>
      <c r="AB652" s="1300"/>
      <c r="AC652" s="1300"/>
      <c r="AD652" s="1300"/>
      <c r="AE652" s="1300"/>
      <c r="AF652" s="1300"/>
      <c r="AG652" s="1300"/>
      <c r="AL652" s="956">
        <f>SUM(P653:X653)-P652</f>
        <v>0</v>
      </c>
      <c r="AM652" s="955">
        <f>SUM(Y653:AG653)-Y652</f>
        <v>0</v>
      </c>
      <c r="AO652" s="956">
        <f>P652-BS!$D$73</f>
        <v>0</v>
      </c>
      <c r="AP652" s="955">
        <f>Y652-BS!$G$73</f>
        <v>0</v>
      </c>
    </row>
    <row r="653" spans="1:42" ht="16.5" customHeight="1" thickBot="1" x14ac:dyDescent="0.25">
      <c r="D653" s="1295"/>
      <c r="E653" s="1295"/>
      <c r="F653" s="1295"/>
      <c r="G653" s="1295"/>
      <c r="H653" s="1295"/>
      <c r="I653" s="1295"/>
      <c r="J653" s="1295"/>
      <c r="K653" s="1295"/>
      <c r="L653" s="1295"/>
      <c r="M653" s="1295"/>
      <c r="N653" s="1295"/>
      <c r="O653" s="1295"/>
      <c r="P653" s="1296"/>
      <c r="Q653" s="1296"/>
      <c r="R653" s="1296"/>
      <c r="S653" s="1296"/>
      <c r="T653" s="1296"/>
      <c r="U653" s="1296"/>
      <c r="V653" s="1296"/>
      <c r="W653" s="1296"/>
      <c r="X653" s="1297"/>
      <c r="Y653" s="1298"/>
      <c r="Z653" s="1296"/>
      <c r="AA653" s="1296"/>
      <c r="AB653" s="1296"/>
      <c r="AC653" s="1296"/>
      <c r="AD653" s="1296"/>
      <c r="AE653" s="1296"/>
      <c r="AF653" s="1296"/>
      <c r="AG653" s="1296"/>
      <c r="AL653" s="954"/>
      <c r="AM653" s="958"/>
      <c r="AO653" s="954"/>
      <c r="AP653" s="958"/>
    </row>
    <row r="654" spans="1:42" ht="16.5" customHeight="1" thickBot="1" x14ac:dyDescent="0.25">
      <c r="D654" s="1299" t="s">
        <v>182</v>
      </c>
      <c r="E654" s="1299"/>
      <c r="F654" s="1299"/>
      <c r="G654" s="1299"/>
      <c r="H654" s="1299"/>
      <c r="I654" s="1299"/>
      <c r="J654" s="1299"/>
      <c r="K654" s="1299"/>
      <c r="L654" s="1299"/>
      <c r="M654" s="1299"/>
      <c r="N654" s="1299"/>
      <c r="O654" s="1299"/>
      <c r="P654" s="1300">
        <v>25</v>
      </c>
      <c r="Q654" s="1300"/>
      <c r="R654" s="1300"/>
      <c r="S654" s="1300"/>
      <c r="T654" s="1300"/>
      <c r="U654" s="1300"/>
      <c r="V654" s="1300"/>
      <c r="W654" s="1300"/>
      <c r="X654" s="1301"/>
      <c r="Y654" s="1302">
        <v>4336</v>
      </c>
      <c r="Z654" s="1300"/>
      <c r="AA654" s="1300"/>
      <c r="AB654" s="1300"/>
      <c r="AC654" s="1300"/>
      <c r="AD654" s="1300"/>
      <c r="AE654" s="1300"/>
      <c r="AF654" s="1300"/>
      <c r="AG654" s="1300"/>
      <c r="AL654" s="956">
        <f>SUM(P655:X655)-P654</f>
        <v>-25</v>
      </c>
      <c r="AM654" s="955">
        <f>SUM(Y655:AG655)-Y654</f>
        <v>-4336</v>
      </c>
      <c r="AO654" s="956">
        <f>P654-BS!$D$74</f>
        <v>0</v>
      </c>
      <c r="AP654" s="955">
        <f>Y654-BS!$G$74</f>
        <v>0</v>
      </c>
    </row>
    <row r="655" spans="1:42" ht="16.5" customHeight="1" thickBot="1" x14ac:dyDescent="0.25">
      <c r="D655" s="1291"/>
      <c r="E655" s="1291"/>
      <c r="F655" s="1291"/>
      <c r="G655" s="1291"/>
      <c r="H655" s="1291"/>
      <c r="I655" s="1291"/>
      <c r="J655" s="1291"/>
      <c r="K655" s="1291"/>
      <c r="L655" s="1291"/>
      <c r="M655" s="1291"/>
      <c r="N655" s="1291"/>
      <c r="O655" s="1291"/>
      <c r="P655" s="1292"/>
      <c r="Q655" s="1292"/>
      <c r="R655" s="1292"/>
      <c r="S655" s="1292"/>
      <c r="T655" s="1292"/>
      <c r="U655" s="1292"/>
      <c r="V655" s="1292"/>
      <c r="W655" s="1292"/>
      <c r="X655" s="1293"/>
      <c r="Y655" s="1294"/>
      <c r="Z655" s="1292"/>
      <c r="AA655" s="1292"/>
      <c r="AB655" s="1292"/>
      <c r="AC655" s="1292"/>
      <c r="AD655" s="1292"/>
      <c r="AE655" s="1292"/>
      <c r="AF655" s="1292"/>
      <c r="AG655" s="1292"/>
      <c r="AL655" s="962"/>
      <c r="AM655" s="964"/>
      <c r="AO655" s="962"/>
      <c r="AP655" s="964"/>
    </row>
    <row r="657" spans="1:40" ht="14.25" hidden="1" customHeight="1" x14ac:dyDescent="0.2"/>
    <row r="658" spans="1:40" ht="14.25" hidden="1" customHeight="1" x14ac:dyDescent="0.2">
      <c r="D658" s="632" t="s">
        <v>1501</v>
      </c>
    </row>
    <row r="659" spans="1:40" ht="14.25" hidden="1" customHeight="1" x14ac:dyDescent="0.2"/>
    <row r="660" spans="1:40" ht="14.25" hidden="1" customHeight="1" x14ac:dyDescent="0.2">
      <c r="D660" s="1168" t="s">
        <v>1502</v>
      </c>
      <c r="E660" s="1168"/>
      <c r="F660" s="1168"/>
      <c r="G660" s="1168"/>
      <c r="H660" s="1168"/>
      <c r="I660" s="1168"/>
      <c r="J660" s="1168"/>
      <c r="K660" s="1168"/>
      <c r="L660" s="1168"/>
      <c r="M660" s="1168"/>
      <c r="N660" s="1168"/>
      <c r="O660" s="1168"/>
      <c r="P660" s="1168"/>
      <c r="Q660" s="1168"/>
      <c r="R660" s="1168"/>
      <c r="S660" s="1168"/>
      <c r="T660" s="1168"/>
      <c r="U660" s="1168"/>
      <c r="V660" s="1168"/>
      <c r="W660" s="1168"/>
      <c r="X660" s="1168"/>
      <c r="Y660" s="1168"/>
      <c r="Z660" s="1168"/>
      <c r="AA660" s="1168"/>
      <c r="AB660" s="1168"/>
      <c r="AC660" s="1168"/>
      <c r="AD660" s="1168"/>
      <c r="AE660" s="1168"/>
      <c r="AF660" s="1168"/>
      <c r="AG660" s="1168"/>
    </row>
    <row r="661" spans="1:40" ht="14.25" hidden="1" customHeight="1" thickBot="1" x14ac:dyDescent="0.25"/>
    <row r="662" spans="1:40" ht="29.25" hidden="1" customHeight="1" thickTop="1" thickBot="1" x14ac:dyDescent="0.25">
      <c r="A662" s="942">
        <v>23</v>
      </c>
      <c r="D662" s="1138" t="s">
        <v>1</v>
      </c>
      <c r="E662" s="1138"/>
      <c r="F662" s="1138"/>
      <c r="G662" s="1138"/>
      <c r="H662" s="1138"/>
      <c r="I662" s="1138"/>
      <c r="J662" s="1120" t="s">
        <v>2</v>
      </c>
      <c r="K662" s="1120"/>
      <c r="L662" s="1120"/>
      <c r="M662" s="1120"/>
      <c r="N662" s="1120"/>
      <c r="O662" s="1120"/>
      <c r="P662" s="1120"/>
      <c r="Q662" s="1120"/>
      <c r="R662" s="1120"/>
      <c r="S662" s="1120"/>
      <c r="T662" s="1120"/>
      <c r="U662" s="1120"/>
      <c r="V662" s="1120" t="s">
        <v>3</v>
      </c>
      <c r="W662" s="1120"/>
      <c r="X662" s="1120"/>
      <c r="Y662" s="1120"/>
      <c r="Z662" s="1120"/>
      <c r="AA662" s="1120"/>
      <c r="AB662" s="1120"/>
      <c r="AC662" s="1120"/>
      <c r="AD662" s="1120"/>
      <c r="AE662" s="1120"/>
      <c r="AF662" s="1120"/>
      <c r="AG662" s="1120"/>
      <c r="AI662" s="1194" t="s">
        <v>2</v>
      </c>
      <c r="AJ662" s="1195"/>
      <c r="AK662" s="1196"/>
      <c r="AL662" s="1197" t="s">
        <v>492</v>
      </c>
      <c r="AM662" s="1198"/>
      <c r="AN662" s="1199"/>
    </row>
    <row r="663" spans="1:40" ht="14.25" hidden="1" customHeight="1" thickTop="1" thickBot="1" x14ac:dyDescent="0.25">
      <c r="D663" s="1138"/>
      <c r="E663" s="1138"/>
      <c r="F663" s="1138"/>
      <c r="G663" s="1138"/>
      <c r="H663" s="1138"/>
      <c r="I663" s="1138"/>
      <c r="J663" s="1138" t="s">
        <v>184</v>
      </c>
      <c r="K663" s="1138"/>
      <c r="L663" s="1138"/>
      <c r="M663" s="1138"/>
      <c r="N663" s="1138"/>
      <c r="O663" s="1138"/>
      <c r="P663" s="1138"/>
      <c r="Q663" s="1138"/>
      <c r="R663" s="1138"/>
      <c r="S663" s="1138"/>
      <c r="T663" s="1138"/>
      <c r="U663" s="1138"/>
      <c r="V663" s="1138" t="s">
        <v>184</v>
      </c>
      <c r="W663" s="1138"/>
      <c r="X663" s="1138"/>
      <c r="Y663" s="1138"/>
      <c r="Z663" s="1138"/>
      <c r="AA663" s="1138"/>
      <c r="AB663" s="1138"/>
      <c r="AC663" s="1138"/>
      <c r="AD663" s="1138"/>
      <c r="AE663" s="1138"/>
      <c r="AF663" s="1138"/>
      <c r="AG663" s="1138"/>
      <c r="AI663" s="1194" t="s">
        <v>184</v>
      </c>
      <c r="AJ663" s="1195"/>
      <c r="AK663" s="1196"/>
      <c r="AL663" s="1194" t="s">
        <v>184</v>
      </c>
      <c r="AM663" s="1195"/>
      <c r="AN663" s="1196"/>
    </row>
    <row r="664" spans="1:40" ht="42.75" hidden="1" customHeight="1" thickTop="1" thickBot="1" x14ac:dyDescent="0.25">
      <c r="D664" s="1138"/>
      <c r="E664" s="1138"/>
      <c r="F664" s="1138"/>
      <c r="G664" s="1138"/>
      <c r="H664" s="1138"/>
      <c r="I664" s="1138"/>
      <c r="J664" s="1120" t="s">
        <v>185</v>
      </c>
      <c r="K664" s="1120"/>
      <c r="L664" s="1120"/>
      <c r="M664" s="1120"/>
      <c r="N664" s="1120" t="s">
        <v>186</v>
      </c>
      <c r="O664" s="1120"/>
      <c r="P664" s="1120"/>
      <c r="Q664" s="1120"/>
      <c r="R664" s="1120" t="s">
        <v>187</v>
      </c>
      <c r="S664" s="1120"/>
      <c r="T664" s="1120"/>
      <c r="U664" s="1120"/>
      <c r="V664" s="1120" t="s">
        <v>185</v>
      </c>
      <c r="W664" s="1120"/>
      <c r="X664" s="1120"/>
      <c r="Y664" s="1120"/>
      <c r="Z664" s="1120" t="s">
        <v>186</v>
      </c>
      <c r="AA664" s="1120"/>
      <c r="AB664" s="1120"/>
      <c r="AC664" s="1120"/>
      <c r="AD664" s="1120" t="s">
        <v>187</v>
      </c>
      <c r="AE664" s="1120"/>
      <c r="AF664" s="1120"/>
      <c r="AG664" s="1120"/>
      <c r="AI664" s="934" t="s">
        <v>185</v>
      </c>
      <c r="AJ664" s="40" t="s">
        <v>186</v>
      </c>
      <c r="AK664" s="40" t="s">
        <v>187</v>
      </c>
      <c r="AL664" s="40" t="s">
        <v>185</v>
      </c>
      <c r="AM664" s="40" t="s">
        <v>186</v>
      </c>
      <c r="AN664" s="40" t="s">
        <v>187</v>
      </c>
    </row>
    <row r="665" spans="1:40" ht="14.25" hidden="1" customHeight="1" x14ac:dyDescent="0.2">
      <c r="D665" s="1192" t="s">
        <v>188</v>
      </c>
      <c r="E665" s="1192"/>
      <c r="F665" s="1192"/>
      <c r="G665" s="1192"/>
      <c r="H665" s="1192"/>
      <c r="I665" s="1192"/>
      <c r="J665" s="1167"/>
      <c r="K665" s="1167"/>
      <c r="L665" s="1167"/>
      <c r="M665" s="1167"/>
      <c r="N665" s="1167"/>
      <c r="O665" s="1167"/>
      <c r="P665" s="1167"/>
      <c r="Q665" s="1167"/>
      <c r="R665" s="1167"/>
      <c r="S665" s="1167"/>
      <c r="T665" s="1167"/>
      <c r="U665" s="1167"/>
      <c r="V665" s="1167"/>
      <c r="W665" s="1167"/>
      <c r="X665" s="1167"/>
      <c r="Y665" s="1167"/>
      <c r="Z665" s="1167"/>
      <c r="AA665" s="1167"/>
      <c r="AB665" s="1167"/>
      <c r="AC665" s="1167"/>
      <c r="AD665" s="1167"/>
      <c r="AE665" s="1167"/>
      <c r="AF665" s="1167"/>
      <c r="AG665" s="1167"/>
      <c r="AI665" s="951"/>
      <c r="AJ665" s="952"/>
      <c r="AK665" s="952"/>
      <c r="AL665" s="952"/>
      <c r="AM665" s="952"/>
      <c r="AN665" s="953"/>
    </row>
    <row r="666" spans="1:40" ht="14.25" hidden="1" customHeight="1" x14ac:dyDescent="0.2">
      <c r="D666" s="1105" t="s">
        <v>189</v>
      </c>
      <c r="E666" s="1105"/>
      <c r="F666" s="1105"/>
      <c r="G666" s="1105"/>
      <c r="H666" s="1105"/>
      <c r="I666" s="1105"/>
      <c r="J666" s="1045"/>
      <c r="K666" s="1045"/>
      <c r="L666" s="1045"/>
      <c r="M666" s="1045"/>
      <c r="N666" s="1045"/>
      <c r="O666" s="1045"/>
      <c r="P666" s="1045"/>
      <c r="Q666" s="1045"/>
      <c r="R666" s="1045"/>
      <c r="S666" s="1045"/>
      <c r="T666" s="1045"/>
      <c r="U666" s="1045"/>
      <c r="V666" s="1045"/>
      <c r="W666" s="1045"/>
      <c r="X666" s="1045"/>
      <c r="Y666" s="1045"/>
      <c r="Z666" s="1045"/>
      <c r="AA666" s="1045"/>
      <c r="AB666" s="1045"/>
      <c r="AC666" s="1045"/>
      <c r="AD666" s="1045"/>
      <c r="AE666" s="1045"/>
      <c r="AF666" s="1045"/>
      <c r="AG666" s="1045"/>
      <c r="AI666" s="954"/>
      <c r="AJ666" s="949"/>
      <c r="AK666" s="949"/>
      <c r="AL666" s="949"/>
      <c r="AM666" s="949"/>
      <c r="AN666" s="958"/>
    </row>
    <row r="667" spans="1:40" ht="14.25" hidden="1" customHeight="1" thickBot="1" x14ac:dyDescent="0.25">
      <c r="D667" s="1185" t="s">
        <v>14</v>
      </c>
      <c r="E667" s="1185"/>
      <c r="F667" s="1185"/>
      <c r="G667" s="1185"/>
      <c r="H667" s="1185"/>
      <c r="I667" s="1185"/>
      <c r="J667" s="1186">
        <f>SUM(J665:M666)</f>
        <v>0</v>
      </c>
      <c r="K667" s="1186"/>
      <c r="L667" s="1186"/>
      <c r="M667" s="1186"/>
      <c r="N667" s="1186">
        <f>SUM(N665:Q666)</f>
        <v>0</v>
      </c>
      <c r="O667" s="1186"/>
      <c r="P667" s="1186"/>
      <c r="Q667" s="1186"/>
      <c r="R667" s="1186">
        <f>SUM(R665:U666)</f>
        <v>0</v>
      </c>
      <c r="S667" s="1186"/>
      <c r="T667" s="1186"/>
      <c r="U667" s="1186"/>
      <c r="V667" s="1186">
        <f>SUM(V665:Y666)</f>
        <v>0</v>
      </c>
      <c r="W667" s="1186"/>
      <c r="X667" s="1186"/>
      <c r="Y667" s="1186"/>
      <c r="Z667" s="1186">
        <f>SUM(Z665:AC666)</f>
        <v>0</v>
      </c>
      <c r="AA667" s="1186"/>
      <c r="AB667" s="1186"/>
      <c r="AC667" s="1186"/>
      <c r="AD667" s="1186">
        <f>SUM(AD665:AG666)</f>
        <v>0</v>
      </c>
      <c r="AE667" s="1186"/>
      <c r="AF667" s="1186"/>
      <c r="AG667" s="1186"/>
      <c r="AI667" s="959">
        <f>SUM(J665:M666)-J667</f>
        <v>0</v>
      </c>
      <c r="AJ667" s="960">
        <f>SUM(N665:Q666)-N667</f>
        <v>0</v>
      </c>
      <c r="AK667" s="960">
        <f>SUM(R665:U666)-R667</f>
        <v>0</v>
      </c>
      <c r="AL667" s="960">
        <f>SUM(V665:Y666)-V667</f>
        <v>0</v>
      </c>
      <c r="AM667" s="960">
        <f>SUM(Z665:AC666)-Z667</f>
        <v>0</v>
      </c>
      <c r="AN667" s="961">
        <f>SUM(AD665:AG666)-AD667</f>
        <v>0</v>
      </c>
    </row>
    <row r="668" spans="1:40" ht="14.25" hidden="1" customHeight="1" x14ac:dyDescent="0.2"/>
    <row r="669" spans="1:40" ht="14.25" hidden="1" customHeight="1" x14ac:dyDescent="0.2"/>
    <row r="670" spans="1:40" ht="14.25" customHeight="1" x14ac:dyDescent="0.2">
      <c r="D670" s="632" t="s">
        <v>1997</v>
      </c>
    </row>
    <row r="672" spans="1:40" ht="14.25" customHeight="1" x14ac:dyDescent="0.2">
      <c r="D672" s="1116" t="s">
        <v>2063</v>
      </c>
      <c r="E672" s="1116"/>
      <c r="F672" s="1116"/>
      <c r="G672" s="1116"/>
      <c r="H672" s="1116"/>
      <c r="I672" s="1116"/>
      <c r="J672" s="1116"/>
      <c r="K672" s="1116"/>
      <c r="L672" s="1116"/>
      <c r="M672" s="1116"/>
      <c r="N672" s="1116"/>
      <c r="O672" s="1116"/>
      <c r="P672" s="1116"/>
      <c r="Q672" s="1116"/>
      <c r="R672" s="1116"/>
      <c r="S672" s="1116"/>
      <c r="T672" s="1116"/>
      <c r="U672" s="1116"/>
      <c r="V672" s="1116"/>
      <c r="W672" s="1116"/>
      <c r="X672" s="1116"/>
      <c r="Y672" s="1116"/>
      <c r="Z672" s="1116"/>
      <c r="AA672" s="1116"/>
      <c r="AB672" s="1116"/>
      <c r="AC672" s="1116"/>
      <c r="AD672" s="1116"/>
      <c r="AE672" s="1116"/>
      <c r="AF672" s="1116"/>
      <c r="AG672" s="1116"/>
    </row>
    <row r="673" spans="1:39" ht="30.75" customHeight="1" x14ac:dyDescent="0.2">
      <c r="A673" s="1020"/>
      <c r="D673" s="1109" t="s">
        <v>2064</v>
      </c>
      <c r="E673" s="1109"/>
      <c r="F673" s="1109"/>
      <c r="G673" s="1109"/>
      <c r="H673" s="1109"/>
      <c r="I673" s="1109"/>
      <c r="J673" s="1109"/>
      <c r="K673" s="1109"/>
      <c r="L673" s="1109"/>
      <c r="M673" s="1109"/>
      <c r="N673" s="1109"/>
      <c r="O673" s="1109"/>
      <c r="P673" s="1109"/>
      <c r="Q673" s="1109"/>
      <c r="R673" s="1109"/>
      <c r="S673" s="1109"/>
      <c r="T673" s="1109"/>
      <c r="U673" s="1109"/>
      <c r="V673" s="1109"/>
      <c r="W673" s="1109"/>
      <c r="X673" s="1109"/>
      <c r="Y673" s="1109"/>
      <c r="Z673" s="1109"/>
      <c r="AA673" s="1109"/>
      <c r="AB673" s="1109"/>
      <c r="AC673" s="1109"/>
      <c r="AD673" s="1109"/>
      <c r="AE673" s="1109"/>
      <c r="AF673" s="1109"/>
      <c r="AG673" s="1109"/>
    </row>
    <row r="674" spans="1:39" ht="14.25" customHeight="1" x14ac:dyDescent="0.2">
      <c r="A674" s="1020"/>
      <c r="D674" s="1019"/>
      <c r="E674" s="1019"/>
      <c r="F674" s="1019"/>
      <c r="G674" s="1019"/>
      <c r="H674" s="1019"/>
      <c r="I674" s="1019"/>
      <c r="J674" s="1019"/>
      <c r="K674" s="1019"/>
      <c r="L674" s="1019"/>
      <c r="M674" s="1019"/>
      <c r="N674" s="1019"/>
      <c r="O674" s="1019"/>
      <c r="P674" s="1019"/>
      <c r="Q674" s="1019"/>
      <c r="R674" s="1019"/>
      <c r="S674" s="1019"/>
      <c r="T674" s="1019"/>
      <c r="U674" s="1019"/>
      <c r="V674" s="1019"/>
      <c r="W674" s="1019"/>
      <c r="X674" s="1019"/>
      <c r="Y674" s="1019"/>
      <c r="Z674" s="1019"/>
      <c r="AA674" s="1019"/>
      <c r="AB674" s="1019"/>
      <c r="AC674" s="1019"/>
      <c r="AD674" s="1019"/>
      <c r="AE674" s="1019"/>
      <c r="AF674" s="1019"/>
      <c r="AG674" s="1019"/>
    </row>
    <row r="675" spans="1:39" ht="14.25" customHeight="1" x14ac:dyDescent="0.2">
      <c r="D675" s="1183" t="s">
        <v>2055</v>
      </c>
      <c r="E675" s="1183"/>
      <c r="F675" s="1183"/>
      <c r="G675" s="1183"/>
      <c r="H675" s="1183"/>
      <c r="I675" s="1183"/>
      <c r="J675" s="1183"/>
      <c r="K675" s="1183"/>
      <c r="L675" s="1183"/>
      <c r="M675" s="1183"/>
      <c r="N675" s="1183"/>
      <c r="O675" s="1183"/>
      <c r="P675" s="1183"/>
      <c r="Q675" s="1183"/>
      <c r="R675" s="1183"/>
      <c r="S675" s="1183"/>
      <c r="T675" s="1183"/>
      <c r="U675" s="1183"/>
      <c r="V675" s="1183"/>
      <c r="W675" s="1183"/>
      <c r="X675" s="1183"/>
      <c r="Y675" s="1183"/>
      <c r="Z675" s="1183"/>
      <c r="AA675" s="1183"/>
      <c r="AB675" s="1183"/>
      <c r="AC675" s="1183"/>
      <c r="AD675" s="1183"/>
      <c r="AE675" s="1183"/>
      <c r="AF675" s="1183"/>
      <c r="AG675" s="1183"/>
    </row>
    <row r="676" spans="1:39" ht="14.25" customHeight="1" thickBot="1" x14ac:dyDescent="0.25"/>
    <row r="677" spans="1:39" ht="15.75" customHeight="1" thickTop="1" thickBot="1" x14ac:dyDescent="0.25">
      <c r="A677" s="942" t="s">
        <v>1503</v>
      </c>
      <c r="D677" s="1138" t="s">
        <v>131</v>
      </c>
      <c r="E677" s="1138"/>
      <c r="F677" s="1138"/>
      <c r="G677" s="1138"/>
      <c r="H677" s="1138"/>
      <c r="I677" s="1138"/>
      <c r="J677" s="1138"/>
      <c r="K677" s="1138"/>
      <c r="L677" s="1138"/>
      <c r="M677" s="1138"/>
      <c r="N677" s="1138"/>
      <c r="O677" s="1138"/>
      <c r="P677" s="1138"/>
      <c r="Q677" s="1138"/>
      <c r="R677" s="1138" t="s">
        <v>3</v>
      </c>
      <c r="S677" s="1138"/>
      <c r="T677" s="1138"/>
      <c r="U677" s="1138"/>
      <c r="V677" s="1138"/>
      <c r="W677" s="1138"/>
      <c r="X677" s="1138"/>
      <c r="Y677" s="1138"/>
      <c r="Z677" s="1138"/>
      <c r="AA677" s="1138"/>
      <c r="AB677" s="1138"/>
      <c r="AC677" s="1138"/>
      <c r="AD677" s="1138"/>
      <c r="AE677" s="1138"/>
      <c r="AF677" s="1138"/>
      <c r="AG677" s="1138"/>
      <c r="AM677" s="938" t="s">
        <v>3</v>
      </c>
    </row>
    <row r="678" spans="1:39" ht="15.75" customHeight="1" thickBot="1" x14ac:dyDescent="0.3">
      <c r="D678" s="1287" t="s">
        <v>191</v>
      </c>
      <c r="E678" s="1287"/>
      <c r="F678" s="1287"/>
      <c r="G678" s="1287"/>
      <c r="H678" s="1287"/>
      <c r="I678" s="1287"/>
      <c r="J678" s="1287"/>
      <c r="K678" s="1287"/>
      <c r="L678" s="1287"/>
      <c r="M678" s="1287"/>
      <c r="N678" s="1287"/>
      <c r="O678" s="1287"/>
      <c r="P678" s="1287"/>
      <c r="Q678" s="1287"/>
      <c r="R678" s="1288">
        <v>631593</v>
      </c>
      <c r="S678" s="1289"/>
      <c r="T678" s="1289"/>
      <c r="U678" s="1289"/>
      <c r="V678" s="1289"/>
      <c r="W678" s="1289"/>
      <c r="X678" s="1289"/>
      <c r="Y678" s="1289"/>
      <c r="Z678" s="1289"/>
      <c r="AA678" s="1289"/>
      <c r="AB678" s="1289"/>
      <c r="AC678" s="1289"/>
      <c r="AD678" s="1289"/>
      <c r="AE678" s="1289"/>
      <c r="AF678" s="1289"/>
      <c r="AG678" s="1290"/>
      <c r="AM678" s="980"/>
    </row>
    <row r="679" spans="1:39" ht="15.75" customHeight="1" thickBot="1" x14ac:dyDescent="0.3">
      <c r="D679" s="1287" t="s">
        <v>192</v>
      </c>
      <c r="E679" s="1287"/>
      <c r="F679" s="1287"/>
      <c r="G679" s="1287"/>
      <c r="H679" s="1287"/>
      <c r="I679" s="1287"/>
      <c r="J679" s="1287"/>
      <c r="K679" s="1287"/>
      <c r="L679" s="1287"/>
      <c r="M679" s="1287"/>
      <c r="N679" s="1287"/>
      <c r="O679" s="1287"/>
      <c r="P679" s="1287"/>
      <c r="Q679" s="1287"/>
      <c r="R679" s="1138" t="s">
        <v>2</v>
      </c>
      <c r="S679" s="1138"/>
      <c r="T679" s="1138"/>
      <c r="U679" s="1138"/>
      <c r="V679" s="1138"/>
      <c r="W679" s="1138"/>
      <c r="X679" s="1138"/>
      <c r="Y679" s="1138"/>
      <c r="Z679" s="1138"/>
      <c r="AA679" s="1138"/>
      <c r="AB679" s="1138"/>
      <c r="AC679" s="1138"/>
      <c r="AD679" s="1138"/>
      <c r="AE679" s="1138"/>
      <c r="AF679" s="1138"/>
      <c r="AG679" s="1138"/>
      <c r="AM679" s="979"/>
    </row>
    <row r="680" spans="1:39" ht="15.75" customHeight="1" x14ac:dyDescent="0.25">
      <c r="D680" s="1286" t="s">
        <v>193</v>
      </c>
      <c r="E680" s="1286"/>
      <c r="F680" s="1286"/>
      <c r="G680" s="1286"/>
      <c r="H680" s="1286"/>
      <c r="I680" s="1286"/>
      <c r="J680" s="1286"/>
      <c r="K680" s="1286"/>
      <c r="L680" s="1286"/>
      <c r="M680" s="1286"/>
      <c r="N680" s="1286"/>
      <c r="O680" s="1286"/>
      <c r="P680" s="1286"/>
      <c r="Q680" s="1286"/>
      <c r="R680" s="1256">
        <v>332</v>
      </c>
      <c r="S680" s="1256"/>
      <c r="T680" s="1256"/>
      <c r="U680" s="1256"/>
      <c r="V680" s="1256"/>
      <c r="W680" s="1256"/>
      <c r="X680" s="1256"/>
      <c r="Y680" s="1256"/>
      <c r="Z680" s="1256"/>
      <c r="AA680" s="1256"/>
      <c r="AB680" s="1256"/>
      <c r="AC680" s="1256"/>
      <c r="AD680" s="1256"/>
      <c r="AE680" s="1256"/>
      <c r="AF680" s="1256"/>
      <c r="AG680" s="1256"/>
      <c r="AM680" s="979"/>
    </row>
    <row r="681" spans="1:39" ht="15.75" customHeight="1" x14ac:dyDescent="0.25">
      <c r="D681" s="1105" t="s">
        <v>194</v>
      </c>
      <c r="E681" s="1105"/>
      <c r="F681" s="1105"/>
      <c r="G681" s="1105"/>
      <c r="H681" s="1105"/>
      <c r="I681" s="1105"/>
      <c r="J681" s="1105"/>
      <c r="K681" s="1105"/>
      <c r="L681" s="1105"/>
      <c r="M681" s="1105"/>
      <c r="N681" s="1105"/>
      <c r="O681" s="1105"/>
      <c r="P681" s="1105"/>
      <c r="Q681" s="1105"/>
      <c r="R681" s="1045"/>
      <c r="S681" s="1045"/>
      <c r="T681" s="1045"/>
      <c r="U681" s="1045"/>
      <c r="V681" s="1045"/>
      <c r="W681" s="1045"/>
      <c r="X681" s="1045"/>
      <c r="Y681" s="1045"/>
      <c r="Z681" s="1045"/>
      <c r="AA681" s="1045"/>
      <c r="AB681" s="1045"/>
      <c r="AC681" s="1045"/>
      <c r="AD681" s="1045"/>
      <c r="AE681" s="1045"/>
      <c r="AF681" s="1045"/>
      <c r="AG681" s="1045"/>
      <c r="AM681" s="979"/>
    </row>
    <row r="682" spans="1:39" ht="15.75" customHeight="1" x14ac:dyDescent="0.25">
      <c r="D682" s="1105" t="s">
        <v>195</v>
      </c>
      <c r="E682" s="1105"/>
      <c r="F682" s="1105"/>
      <c r="G682" s="1105"/>
      <c r="H682" s="1105"/>
      <c r="I682" s="1105"/>
      <c r="J682" s="1105"/>
      <c r="K682" s="1105"/>
      <c r="L682" s="1105"/>
      <c r="M682" s="1105"/>
      <c r="N682" s="1105"/>
      <c r="O682" s="1105"/>
      <c r="P682" s="1105"/>
      <c r="Q682" s="1105"/>
      <c r="R682" s="1045"/>
      <c r="S682" s="1045"/>
      <c r="T682" s="1045"/>
      <c r="U682" s="1045"/>
      <c r="V682" s="1045"/>
      <c r="W682" s="1045"/>
      <c r="X682" s="1045"/>
      <c r="Y682" s="1045"/>
      <c r="Z682" s="1045"/>
      <c r="AA682" s="1045"/>
      <c r="AB682" s="1045"/>
      <c r="AC682" s="1045"/>
      <c r="AD682" s="1045"/>
      <c r="AE682" s="1045"/>
      <c r="AF682" s="1045"/>
      <c r="AG682" s="1045"/>
      <c r="AM682" s="979"/>
    </row>
    <row r="683" spans="1:39" ht="15.75" customHeight="1" x14ac:dyDescent="0.25">
      <c r="D683" s="1105" t="s">
        <v>196</v>
      </c>
      <c r="E683" s="1105"/>
      <c r="F683" s="1105"/>
      <c r="G683" s="1105"/>
      <c r="H683" s="1105"/>
      <c r="I683" s="1105"/>
      <c r="J683" s="1105"/>
      <c r="K683" s="1105"/>
      <c r="L683" s="1105"/>
      <c r="M683" s="1105"/>
      <c r="N683" s="1105"/>
      <c r="O683" s="1105"/>
      <c r="P683" s="1105"/>
      <c r="Q683" s="1105"/>
      <c r="R683" s="1045"/>
      <c r="S683" s="1045"/>
      <c r="T683" s="1045"/>
      <c r="U683" s="1045"/>
      <c r="V683" s="1045"/>
      <c r="W683" s="1045"/>
      <c r="X683" s="1045"/>
      <c r="Y683" s="1045"/>
      <c r="Z683" s="1045"/>
      <c r="AA683" s="1045"/>
      <c r="AB683" s="1045"/>
      <c r="AC683" s="1045"/>
      <c r="AD683" s="1045"/>
      <c r="AE683" s="1045"/>
      <c r="AF683" s="1045"/>
      <c r="AG683" s="1045"/>
      <c r="AM683" s="979"/>
    </row>
    <row r="684" spans="1:39" ht="15.75" customHeight="1" x14ac:dyDescent="0.25">
      <c r="D684" s="1105" t="s">
        <v>197</v>
      </c>
      <c r="E684" s="1105"/>
      <c r="F684" s="1105"/>
      <c r="G684" s="1105"/>
      <c r="H684" s="1105"/>
      <c r="I684" s="1105"/>
      <c r="J684" s="1105"/>
      <c r="K684" s="1105"/>
      <c r="L684" s="1105"/>
      <c r="M684" s="1105"/>
      <c r="N684" s="1105"/>
      <c r="O684" s="1105"/>
      <c r="P684" s="1105"/>
      <c r="Q684" s="1105"/>
      <c r="R684" s="1045"/>
      <c r="S684" s="1045"/>
      <c r="T684" s="1045"/>
      <c r="U684" s="1045"/>
      <c r="V684" s="1045"/>
      <c r="W684" s="1045"/>
      <c r="X684" s="1045"/>
      <c r="Y684" s="1045"/>
      <c r="Z684" s="1045"/>
      <c r="AA684" s="1045"/>
      <c r="AB684" s="1045"/>
      <c r="AC684" s="1045"/>
      <c r="AD684" s="1045"/>
      <c r="AE684" s="1045"/>
      <c r="AF684" s="1045"/>
      <c r="AG684" s="1045"/>
      <c r="AM684" s="979"/>
    </row>
    <row r="685" spans="1:39" ht="15.75" customHeight="1" x14ac:dyDescent="0.25">
      <c r="D685" s="1105" t="s">
        <v>198</v>
      </c>
      <c r="E685" s="1105"/>
      <c r="F685" s="1105"/>
      <c r="G685" s="1105"/>
      <c r="H685" s="1105"/>
      <c r="I685" s="1105"/>
      <c r="J685" s="1105"/>
      <c r="K685" s="1105"/>
      <c r="L685" s="1105"/>
      <c r="M685" s="1105"/>
      <c r="N685" s="1105"/>
      <c r="O685" s="1105"/>
      <c r="P685" s="1105"/>
      <c r="Q685" s="1105"/>
      <c r="R685" s="1045"/>
      <c r="S685" s="1045"/>
      <c r="T685" s="1045"/>
      <c r="U685" s="1045"/>
      <c r="V685" s="1045"/>
      <c r="W685" s="1045"/>
      <c r="X685" s="1045"/>
      <c r="Y685" s="1045"/>
      <c r="Z685" s="1045"/>
      <c r="AA685" s="1045"/>
      <c r="AB685" s="1045"/>
      <c r="AC685" s="1045"/>
      <c r="AD685" s="1045"/>
      <c r="AE685" s="1045"/>
      <c r="AF685" s="1045"/>
      <c r="AG685" s="1045"/>
      <c r="AM685" s="979"/>
    </row>
    <row r="686" spans="1:39" ht="15.75" customHeight="1" x14ac:dyDescent="0.25">
      <c r="D686" s="1105" t="s">
        <v>199</v>
      </c>
      <c r="E686" s="1105"/>
      <c r="F686" s="1105"/>
      <c r="G686" s="1105"/>
      <c r="H686" s="1105"/>
      <c r="I686" s="1105"/>
      <c r="J686" s="1105"/>
      <c r="K686" s="1105"/>
      <c r="L686" s="1105"/>
      <c r="M686" s="1105"/>
      <c r="N686" s="1105"/>
      <c r="O686" s="1105"/>
      <c r="P686" s="1105"/>
      <c r="Q686" s="1105"/>
      <c r="R686" s="1045">
        <v>631261</v>
      </c>
      <c r="S686" s="1045"/>
      <c r="T686" s="1045"/>
      <c r="U686" s="1045"/>
      <c r="V686" s="1045"/>
      <c r="W686" s="1045"/>
      <c r="X686" s="1045"/>
      <c r="Y686" s="1045"/>
      <c r="Z686" s="1045"/>
      <c r="AA686" s="1045"/>
      <c r="AB686" s="1045"/>
      <c r="AC686" s="1045"/>
      <c r="AD686" s="1045"/>
      <c r="AE686" s="1045"/>
      <c r="AF686" s="1045"/>
      <c r="AG686" s="1045"/>
      <c r="AM686" s="979"/>
    </row>
    <row r="687" spans="1:39" ht="15.75" customHeight="1" x14ac:dyDescent="0.2">
      <c r="D687" s="1105" t="s">
        <v>200</v>
      </c>
      <c r="E687" s="1105"/>
      <c r="F687" s="1105"/>
      <c r="G687" s="1105"/>
      <c r="H687" s="1105"/>
      <c r="I687" s="1105"/>
      <c r="J687" s="1105"/>
      <c r="K687" s="1105"/>
      <c r="L687" s="1105"/>
      <c r="M687" s="1105"/>
      <c r="N687" s="1105"/>
      <c r="O687" s="1105"/>
      <c r="P687" s="1105"/>
      <c r="Q687" s="1105"/>
      <c r="R687" s="1045"/>
      <c r="S687" s="1045"/>
      <c r="T687" s="1045"/>
      <c r="U687" s="1045"/>
      <c r="V687" s="1045"/>
      <c r="W687" s="1045"/>
      <c r="X687" s="1045"/>
      <c r="Y687" s="1045"/>
      <c r="Z687" s="1045"/>
      <c r="AA687" s="1045"/>
      <c r="AB687" s="1045"/>
      <c r="AC687" s="1045"/>
      <c r="AD687" s="1045"/>
      <c r="AE687" s="1045"/>
      <c r="AF687" s="1045"/>
      <c r="AG687" s="1045"/>
      <c r="AM687" s="981"/>
    </row>
    <row r="688" spans="1:39" ht="15.75" customHeight="1" thickBot="1" x14ac:dyDescent="0.25">
      <c r="D688" s="1285" t="s">
        <v>14</v>
      </c>
      <c r="E688" s="1285"/>
      <c r="F688" s="1285"/>
      <c r="G688" s="1285"/>
      <c r="H688" s="1285"/>
      <c r="I688" s="1285"/>
      <c r="J688" s="1285"/>
      <c r="K688" s="1285"/>
      <c r="L688" s="1285"/>
      <c r="M688" s="1285"/>
      <c r="N688" s="1285"/>
      <c r="O688" s="1285"/>
      <c r="P688" s="1285"/>
      <c r="Q688" s="1285"/>
      <c r="R688" s="1275">
        <f>SUM(R680:AG687)</f>
        <v>631593</v>
      </c>
      <c r="S688" s="1276"/>
      <c r="T688" s="1276"/>
      <c r="U688" s="1276"/>
      <c r="V688" s="1276"/>
      <c r="W688" s="1276"/>
      <c r="X688" s="1276"/>
      <c r="Y688" s="1276"/>
      <c r="Z688" s="1276"/>
      <c r="AA688" s="1276"/>
      <c r="AB688" s="1276"/>
      <c r="AC688" s="1276"/>
      <c r="AD688" s="1276"/>
      <c r="AE688" s="1276"/>
      <c r="AF688" s="1276"/>
      <c r="AG688" s="1277"/>
      <c r="AM688" s="973">
        <f>SUM(R680:AG687)-R688</f>
        <v>0</v>
      </c>
    </row>
    <row r="689" spans="1:39" ht="14.25" customHeight="1" x14ac:dyDescent="0.2">
      <c r="AM689" s="981"/>
    </row>
    <row r="690" spans="1:39" ht="15.75" hidden="1" customHeight="1" thickBot="1" x14ac:dyDescent="0.25">
      <c r="A690" s="942" t="s">
        <v>1504</v>
      </c>
      <c r="D690" s="1272" t="s">
        <v>131</v>
      </c>
      <c r="E690" s="1273"/>
      <c r="F690" s="1273"/>
      <c r="G690" s="1273"/>
      <c r="H690" s="1273"/>
      <c r="I690" s="1273"/>
      <c r="J690" s="1273"/>
      <c r="K690" s="1273"/>
      <c r="L690" s="1273"/>
      <c r="M690" s="1273"/>
      <c r="N690" s="1273"/>
      <c r="O690" s="1273"/>
      <c r="P690" s="1273"/>
      <c r="Q690" s="1274"/>
      <c r="R690" s="1138" t="s">
        <v>3</v>
      </c>
      <c r="S690" s="1138"/>
      <c r="T690" s="1138"/>
      <c r="U690" s="1138"/>
      <c r="V690" s="1138"/>
      <c r="W690" s="1138"/>
      <c r="X690" s="1138"/>
      <c r="Y690" s="1138"/>
      <c r="Z690" s="1138"/>
      <c r="AA690" s="1138"/>
      <c r="AB690" s="1138"/>
      <c r="AC690" s="1138"/>
      <c r="AD690" s="1138"/>
      <c r="AE690" s="1138"/>
      <c r="AF690" s="1138"/>
      <c r="AG690" s="1138"/>
      <c r="AM690" s="981"/>
    </row>
    <row r="691" spans="1:39" ht="15.75" hidden="1" customHeight="1" thickBot="1" x14ac:dyDescent="0.25">
      <c r="D691" s="1269" t="s">
        <v>201</v>
      </c>
      <c r="E691" s="1270"/>
      <c r="F691" s="1270"/>
      <c r="G691" s="1270"/>
      <c r="H691" s="1270"/>
      <c r="I691" s="1270"/>
      <c r="J691" s="1270"/>
      <c r="K691" s="1270"/>
      <c r="L691" s="1270"/>
      <c r="M691" s="1270"/>
      <c r="N691" s="1270"/>
      <c r="O691" s="1270"/>
      <c r="P691" s="1270"/>
      <c r="Q691" s="1271"/>
      <c r="R691" s="1278"/>
      <c r="S691" s="1278"/>
      <c r="T691" s="1278"/>
      <c r="U691" s="1278"/>
      <c r="V691" s="1278"/>
      <c r="W691" s="1278"/>
      <c r="X691" s="1278"/>
      <c r="Y691" s="1278"/>
      <c r="Z691" s="1278"/>
      <c r="AA691" s="1278"/>
      <c r="AB691" s="1278"/>
      <c r="AC691" s="1278"/>
      <c r="AD691" s="1278"/>
      <c r="AE691" s="1278"/>
      <c r="AF691" s="1278"/>
      <c r="AG691" s="1278"/>
      <c r="AM691" s="981"/>
    </row>
    <row r="692" spans="1:39" ht="15.75" hidden="1" customHeight="1" thickBot="1" x14ac:dyDescent="0.25">
      <c r="D692" s="1269" t="s">
        <v>202</v>
      </c>
      <c r="E692" s="1270"/>
      <c r="F692" s="1270"/>
      <c r="G692" s="1270"/>
      <c r="H692" s="1270"/>
      <c r="I692" s="1270"/>
      <c r="J692" s="1270"/>
      <c r="K692" s="1270"/>
      <c r="L692" s="1270"/>
      <c r="M692" s="1270"/>
      <c r="N692" s="1270"/>
      <c r="O692" s="1270"/>
      <c r="P692" s="1270"/>
      <c r="Q692" s="1271"/>
      <c r="R692" s="1138" t="s">
        <v>2</v>
      </c>
      <c r="S692" s="1138"/>
      <c r="T692" s="1138"/>
      <c r="U692" s="1138"/>
      <c r="V692" s="1138"/>
      <c r="W692" s="1138"/>
      <c r="X692" s="1138"/>
      <c r="Y692" s="1138"/>
      <c r="Z692" s="1138"/>
      <c r="AA692" s="1138"/>
      <c r="AB692" s="1138"/>
      <c r="AC692" s="1138"/>
      <c r="AD692" s="1138"/>
      <c r="AE692" s="1138"/>
      <c r="AF692" s="1138"/>
      <c r="AG692" s="1138"/>
      <c r="AM692" s="981"/>
    </row>
    <row r="693" spans="1:39" ht="15.75" hidden="1" customHeight="1" x14ac:dyDescent="0.2">
      <c r="D693" s="1266" t="s">
        <v>203</v>
      </c>
      <c r="E693" s="1267"/>
      <c r="F693" s="1267"/>
      <c r="G693" s="1267"/>
      <c r="H693" s="1267"/>
      <c r="I693" s="1267"/>
      <c r="J693" s="1267"/>
      <c r="K693" s="1267"/>
      <c r="L693" s="1267"/>
      <c r="M693" s="1267"/>
      <c r="N693" s="1267"/>
      <c r="O693" s="1267"/>
      <c r="P693" s="1267"/>
      <c r="Q693" s="1268"/>
      <c r="R693" s="1256"/>
      <c r="S693" s="1256"/>
      <c r="T693" s="1256"/>
      <c r="U693" s="1256"/>
      <c r="V693" s="1256"/>
      <c r="W693" s="1256"/>
      <c r="X693" s="1256"/>
      <c r="Y693" s="1256"/>
      <c r="Z693" s="1256"/>
      <c r="AA693" s="1256"/>
      <c r="AB693" s="1256"/>
      <c r="AC693" s="1256"/>
      <c r="AD693" s="1256"/>
      <c r="AE693" s="1256"/>
      <c r="AF693" s="1256"/>
      <c r="AG693" s="1256"/>
      <c r="AM693" s="981"/>
    </row>
    <row r="694" spans="1:39" ht="15.75" hidden="1" customHeight="1" x14ac:dyDescent="0.2">
      <c r="D694" s="1260" t="s">
        <v>204</v>
      </c>
      <c r="E694" s="1261"/>
      <c r="F694" s="1261"/>
      <c r="G694" s="1261"/>
      <c r="H694" s="1261"/>
      <c r="I694" s="1261"/>
      <c r="J694" s="1261"/>
      <c r="K694" s="1261"/>
      <c r="L694" s="1261"/>
      <c r="M694" s="1261"/>
      <c r="N694" s="1261"/>
      <c r="O694" s="1261"/>
      <c r="P694" s="1261"/>
      <c r="Q694" s="1262"/>
      <c r="R694" s="1045"/>
      <c r="S694" s="1045"/>
      <c r="T694" s="1045"/>
      <c r="U694" s="1045"/>
      <c r="V694" s="1045"/>
      <c r="W694" s="1045"/>
      <c r="X694" s="1045"/>
      <c r="Y694" s="1045"/>
      <c r="Z694" s="1045"/>
      <c r="AA694" s="1045"/>
      <c r="AB694" s="1045"/>
      <c r="AC694" s="1045"/>
      <c r="AD694" s="1045"/>
      <c r="AE694" s="1045"/>
      <c r="AF694" s="1045"/>
      <c r="AG694" s="1045"/>
      <c r="AM694" s="981"/>
    </row>
    <row r="695" spans="1:39" ht="15.75" hidden="1" customHeight="1" x14ac:dyDescent="0.2">
      <c r="D695" s="1260" t="s">
        <v>205</v>
      </c>
      <c r="E695" s="1261"/>
      <c r="F695" s="1261"/>
      <c r="G695" s="1261"/>
      <c r="H695" s="1261"/>
      <c r="I695" s="1261"/>
      <c r="J695" s="1261"/>
      <c r="K695" s="1261"/>
      <c r="L695" s="1261"/>
      <c r="M695" s="1261"/>
      <c r="N695" s="1261"/>
      <c r="O695" s="1261"/>
      <c r="P695" s="1261"/>
      <c r="Q695" s="1262"/>
      <c r="R695" s="1045"/>
      <c r="S695" s="1045"/>
      <c r="T695" s="1045"/>
      <c r="U695" s="1045"/>
      <c r="V695" s="1045"/>
      <c r="W695" s="1045"/>
      <c r="X695" s="1045"/>
      <c r="Y695" s="1045"/>
      <c r="Z695" s="1045"/>
      <c r="AA695" s="1045"/>
      <c r="AB695" s="1045"/>
      <c r="AC695" s="1045"/>
      <c r="AD695" s="1045"/>
      <c r="AE695" s="1045"/>
      <c r="AF695" s="1045"/>
      <c r="AG695" s="1045"/>
      <c r="AM695" s="981"/>
    </row>
    <row r="696" spans="1:39" ht="15.75" hidden="1" customHeight="1" x14ac:dyDescent="0.2">
      <c r="D696" s="1260" t="s">
        <v>206</v>
      </c>
      <c r="E696" s="1261"/>
      <c r="F696" s="1261"/>
      <c r="G696" s="1261"/>
      <c r="H696" s="1261"/>
      <c r="I696" s="1261"/>
      <c r="J696" s="1261"/>
      <c r="K696" s="1261"/>
      <c r="L696" s="1261"/>
      <c r="M696" s="1261"/>
      <c r="N696" s="1261"/>
      <c r="O696" s="1261"/>
      <c r="P696" s="1261"/>
      <c r="Q696" s="1262"/>
      <c r="R696" s="1045"/>
      <c r="S696" s="1045"/>
      <c r="T696" s="1045"/>
      <c r="U696" s="1045"/>
      <c r="V696" s="1045"/>
      <c r="W696" s="1045"/>
      <c r="X696" s="1045"/>
      <c r="Y696" s="1045"/>
      <c r="Z696" s="1045"/>
      <c r="AA696" s="1045"/>
      <c r="AB696" s="1045"/>
      <c r="AC696" s="1045"/>
      <c r="AD696" s="1045"/>
      <c r="AE696" s="1045"/>
      <c r="AF696" s="1045"/>
      <c r="AG696" s="1045"/>
      <c r="AM696" s="981"/>
    </row>
    <row r="697" spans="1:39" ht="15.75" hidden="1" customHeight="1" x14ac:dyDescent="0.2">
      <c r="D697" s="1260" t="s">
        <v>207</v>
      </c>
      <c r="E697" s="1261"/>
      <c r="F697" s="1261"/>
      <c r="G697" s="1261"/>
      <c r="H697" s="1261"/>
      <c r="I697" s="1261"/>
      <c r="J697" s="1261"/>
      <c r="K697" s="1261"/>
      <c r="L697" s="1261"/>
      <c r="M697" s="1261"/>
      <c r="N697" s="1261"/>
      <c r="O697" s="1261"/>
      <c r="P697" s="1261"/>
      <c r="Q697" s="1262"/>
      <c r="R697" s="1045"/>
      <c r="S697" s="1045"/>
      <c r="T697" s="1045"/>
      <c r="U697" s="1045"/>
      <c r="V697" s="1045"/>
      <c r="W697" s="1045"/>
      <c r="X697" s="1045"/>
      <c r="Y697" s="1045"/>
      <c r="Z697" s="1045"/>
      <c r="AA697" s="1045"/>
      <c r="AB697" s="1045"/>
      <c r="AC697" s="1045"/>
      <c r="AD697" s="1045"/>
      <c r="AE697" s="1045"/>
      <c r="AF697" s="1045"/>
      <c r="AG697" s="1045"/>
      <c r="AM697" s="981"/>
    </row>
    <row r="698" spans="1:39" ht="15.75" hidden="1" customHeight="1" x14ac:dyDescent="0.2">
      <c r="D698" s="1260" t="s">
        <v>200</v>
      </c>
      <c r="E698" s="1261"/>
      <c r="F698" s="1261"/>
      <c r="G698" s="1261"/>
      <c r="H698" s="1261"/>
      <c r="I698" s="1261"/>
      <c r="J698" s="1261"/>
      <c r="K698" s="1261"/>
      <c r="L698" s="1261"/>
      <c r="M698" s="1261"/>
      <c r="N698" s="1261"/>
      <c r="O698" s="1261"/>
      <c r="P698" s="1261"/>
      <c r="Q698" s="1262"/>
      <c r="R698" s="1045"/>
      <c r="S698" s="1045"/>
      <c r="T698" s="1045"/>
      <c r="U698" s="1045"/>
      <c r="V698" s="1045"/>
      <c r="W698" s="1045"/>
      <c r="X698" s="1045"/>
      <c r="Y698" s="1045"/>
      <c r="Z698" s="1045"/>
      <c r="AA698" s="1045"/>
      <c r="AB698" s="1045"/>
      <c r="AC698" s="1045"/>
      <c r="AD698" s="1045"/>
      <c r="AE698" s="1045"/>
      <c r="AF698" s="1045"/>
      <c r="AG698" s="1045"/>
      <c r="AM698" s="981"/>
    </row>
    <row r="699" spans="1:39" ht="15.75" hidden="1" customHeight="1" thickBot="1" x14ac:dyDescent="0.25">
      <c r="D699" s="1257" t="s">
        <v>208</v>
      </c>
      <c r="E699" s="1258"/>
      <c r="F699" s="1258"/>
      <c r="G699" s="1258"/>
      <c r="H699" s="1258"/>
      <c r="I699" s="1258"/>
      <c r="J699" s="1258"/>
      <c r="K699" s="1258"/>
      <c r="L699" s="1258"/>
      <c r="M699" s="1258"/>
      <c r="N699" s="1258"/>
      <c r="O699" s="1258"/>
      <c r="P699" s="1258"/>
      <c r="Q699" s="1259"/>
      <c r="R699" s="1275">
        <f>SUM(R691:AG698)</f>
        <v>0</v>
      </c>
      <c r="S699" s="1276"/>
      <c r="T699" s="1276"/>
      <c r="U699" s="1276"/>
      <c r="V699" s="1276"/>
      <c r="W699" s="1276"/>
      <c r="X699" s="1276"/>
      <c r="Y699" s="1276"/>
      <c r="Z699" s="1276"/>
      <c r="AA699" s="1276"/>
      <c r="AB699" s="1276"/>
      <c r="AC699" s="1276"/>
      <c r="AD699" s="1276"/>
      <c r="AE699" s="1276"/>
      <c r="AF699" s="1276"/>
      <c r="AG699" s="1277"/>
      <c r="AM699" s="975">
        <f>SUM(R693:AG698)-R699</f>
        <v>0</v>
      </c>
    </row>
    <row r="700" spans="1:39" ht="14.25" customHeight="1" x14ac:dyDescent="0.2">
      <c r="D700" s="632" t="s">
        <v>1998</v>
      </c>
    </row>
    <row r="702" spans="1:39" ht="14.25" customHeight="1" x14ac:dyDescent="0.2">
      <c r="D702" s="1168" t="s">
        <v>1505</v>
      </c>
      <c r="E702" s="1168"/>
      <c r="F702" s="1168"/>
      <c r="G702" s="1168"/>
      <c r="H702" s="1168"/>
      <c r="I702" s="1168"/>
      <c r="J702" s="1168"/>
      <c r="K702" s="1168"/>
      <c r="L702" s="1168"/>
      <c r="M702" s="1168"/>
      <c r="N702" s="1168"/>
      <c r="O702" s="1168"/>
      <c r="P702" s="1168"/>
      <c r="Q702" s="1168"/>
      <c r="R702" s="1168"/>
      <c r="S702" s="1168"/>
      <c r="T702" s="1168"/>
      <c r="U702" s="1168"/>
      <c r="V702" s="1168"/>
      <c r="W702" s="1168"/>
      <c r="X702" s="1168"/>
      <c r="Y702" s="1168"/>
      <c r="Z702" s="1168"/>
      <c r="AA702" s="1168"/>
      <c r="AB702" s="1168"/>
      <c r="AC702" s="1168"/>
      <c r="AD702" s="1168"/>
      <c r="AE702" s="1168"/>
      <c r="AF702" s="1168"/>
      <c r="AG702" s="1168"/>
    </row>
    <row r="703" spans="1:39" ht="14.25" customHeight="1" thickBot="1" x14ac:dyDescent="0.25"/>
    <row r="704" spans="1:39" ht="14.25" customHeight="1" thickBot="1" x14ac:dyDescent="0.25">
      <c r="A704" s="942" t="s">
        <v>1506</v>
      </c>
      <c r="D704" s="1138" t="s">
        <v>1</v>
      </c>
      <c r="E704" s="1138"/>
      <c r="F704" s="1138"/>
      <c r="G704" s="1138"/>
      <c r="H704" s="1138"/>
      <c r="I704" s="1138" t="s">
        <v>2</v>
      </c>
      <c r="J704" s="1138"/>
      <c r="K704" s="1138"/>
      <c r="L704" s="1138"/>
      <c r="M704" s="1138"/>
      <c r="N704" s="1138"/>
      <c r="O704" s="1138"/>
      <c r="P704" s="1138"/>
      <c r="Q704" s="1138"/>
      <c r="R704" s="1138"/>
      <c r="S704" s="1138"/>
      <c r="T704" s="1138"/>
      <c r="U704" s="1138"/>
      <c r="V704" s="1138"/>
      <c r="W704" s="1138"/>
      <c r="X704" s="1138"/>
      <c r="Y704" s="1138"/>
      <c r="Z704" s="1138"/>
      <c r="AA704" s="1138"/>
      <c r="AB704" s="1138"/>
      <c r="AC704" s="1138"/>
      <c r="AD704" s="1138"/>
      <c r="AE704" s="1138"/>
      <c r="AF704" s="1138"/>
      <c r="AG704" s="1138"/>
    </row>
    <row r="705" spans="1:41" ht="30.75" customHeight="1" thickTop="1" thickBot="1" x14ac:dyDescent="0.25">
      <c r="D705" s="1138"/>
      <c r="E705" s="1138"/>
      <c r="F705" s="1138"/>
      <c r="G705" s="1138"/>
      <c r="H705" s="1138"/>
      <c r="I705" s="1120" t="s">
        <v>32</v>
      </c>
      <c r="J705" s="1120"/>
      <c r="K705" s="1120"/>
      <c r="L705" s="1120"/>
      <c r="M705" s="1120"/>
      <c r="N705" s="1120" t="s">
        <v>124</v>
      </c>
      <c r="O705" s="1120"/>
      <c r="P705" s="1120"/>
      <c r="Q705" s="1120"/>
      <c r="R705" s="1120"/>
      <c r="S705" s="1120" t="s">
        <v>210</v>
      </c>
      <c r="T705" s="1120"/>
      <c r="U705" s="1120"/>
      <c r="V705" s="1120"/>
      <c r="W705" s="1120"/>
      <c r="X705" s="1120" t="s">
        <v>211</v>
      </c>
      <c r="Y705" s="1120"/>
      <c r="Z705" s="1120"/>
      <c r="AA705" s="1120"/>
      <c r="AB705" s="1120"/>
      <c r="AC705" s="1120" t="s">
        <v>30</v>
      </c>
      <c r="AD705" s="1120"/>
      <c r="AE705" s="1120"/>
      <c r="AF705" s="1120"/>
      <c r="AG705" s="1120"/>
      <c r="AL705" s="934" t="s">
        <v>472</v>
      </c>
      <c r="AM705" s="934" t="s">
        <v>30</v>
      </c>
      <c r="AO705" s="934" t="s">
        <v>30</v>
      </c>
    </row>
    <row r="706" spans="1:41" ht="28.5" customHeight="1" thickBot="1" x14ac:dyDescent="0.25">
      <c r="D706" s="1077" t="s">
        <v>212</v>
      </c>
      <c r="E706" s="1078"/>
      <c r="F706" s="1078"/>
      <c r="G706" s="1078"/>
      <c r="H706" s="1079"/>
      <c r="I706" s="1080"/>
      <c r="J706" s="1063"/>
      <c r="K706" s="1063"/>
      <c r="L706" s="1063"/>
      <c r="M706" s="1063"/>
      <c r="N706" s="1063"/>
      <c r="O706" s="1063"/>
      <c r="P706" s="1063"/>
      <c r="Q706" s="1063"/>
      <c r="R706" s="1063"/>
      <c r="S706" s="1063"/>
      <c r="T706" s="1063"/>
      <c r="U706" s="1063"/>
      <c r="V706" s="1063"/>
      <c r="W706" s="1063"/>
      <c r="X706" s="1063"/>
      <c r="Y706" s="1063"/>
      <c r="Z706" s="1063"/>
      <c r="AA706" s="1063"/>
      <c r="AB706" s="1063"/>
      <c r="AC706" s="1064">
        <f>SUM(I706:AB706)</f>
        <v>0</v>
      </c>
      <c r="AD706" s="1064"/>
      <c r="AE706" s="1064"/>
      <c r="AF706" s="1064"/>
      <c r="AG706" s="1065"/>
      <c r="AL706" s="982">
        <f>I706-AC721</f>
        <v>0</v>
      </c>
      <c r="AM706" s="983">
        <f>SUM(I706:AB706)-AC706</f>
        <v>0</v>
      </c>
      <c r="AO706" s="984">
        <f>AC706-BS!$D$105-BS!$D$107</f>
        <v>0</v>
      </c>
    </row>
    <row r="707" spans="1:41" ht="28.5" customHeight="1" thickBot="1" x14ac:dyDescent="0.25">
      <c r="D707" s="1077" t="s">
        <v>213</v>
      </c>
      <c r="E707" s="1078"/>
      <c r="F707" s="1078"/>
      <c r="G707" s="1078"/>
      <c r="H707" s="1079"/>
      <c r="I707" s="1080">
        <v>131269</v>
      </c>
      <c r="J707" s="1063"/>
      <c r="K707" s="1063"/>
      <c r="L707" s="1063"/>
      <c r="M707" s="1063"/>
      <c r="N707" s="1063">
        <f>SUM(N708:R714)</f>
        <v>65580</v>
      </c>
      <c r="O707" s="1063"/>
      <c r="P707" s="1063"/>
      <c r="Q707" s="1063"/>
      <c r="R707" s="1063"/>
      <c r="S707" s="1063">
        <f>SUM(S708:W714)</f>
        <v>95972.66</v>
      </c>
      <c r="T707" s="1063"/>
      <c r="U707" s="1063"/>
      <c r="V707" s="1063"/>
      <c r="W707" s="1063"/>
      <c r="X707" s="1063"/>
      <c r="Y707" s="1063"/>
      <c r="Z707" s="1063"/>
      <c r="AA707" s="1063"/>
      <c r="AB707" s="1063"/>
      <c r="AC707" s="1064">
        <f>I707+N707-S707</f>
        <v>100876.34</v>
      </c>
      <c r="AD707" s="1064"/>
      <c r="AE707" s="1064"/>
      <c r="AF707" s="1064"/>
      <c r="AG707" s="1065"/>
      <c r="AL707" s="985">
        <f>I707-AC722</f>
        <v>0</v>
      </c>
      <c r="AM707" s="986">
        <f t="shared" ref="AM707:AM716" si="268">SUM(I707:AB707)-AC707</f>
        <v>191945.32000000004</v>
      </c>
      <c r="AO707" s="987">
        <f>AC707-BS!$D$106-BS!$D$108</f>
        <v>0.33999999999650754</v>
      </c>
    </row>
    <row r="708" spans="1:41" ht="21.75" customHeight="1" x14ac:dyDescent="0.2">
      <c r="D708" s="1066" t="s">
        <v>1958</v>
      </c>
      <c r="E708" s="1067"/>
      <c r="F708" s="1067"/>
      <c r="G708" s="1067"/>
      <c r="H708" s="1068"/>
      <c r="I708" s="1250">
        <v>7340</v>
      </c>
      <c r="J708" s="1251"/>
      <c r="K708" s="1251"/>
      <c r="L708" s="1251"/>
      <c r="M708" s="1252"/>
      <c r="N708" s="1074">
        <v>7078</v>
      </c>
      <c r="O708" s="1074"/>
      <c r="P708" s="1074"/>
      <c r="Q708" s="1074"/>
      <c r="R708" s="1074"/>
      <c r="S708" s="1074">
        <v>7340</v>
      </c>
      <c r="T708" s="1074"/>
      <c r="U708" s="1074"/>
      <c r="V708" s="1074"/>
      <c r="W708" s="1074"/>
      <c r="X708" s="1074"/>
      <c r="Y708" s="1074"/>
      <c r="Z708" s="1074"/>
      <c r="AA708" s="1074"/>
      <c r="AB708" s="1074"/>
      <c r="AC708" s="1075">
        <f t="shared" ref="AC708:AC716" si="269">I708+N708-S708</f>
        <v>7078</v>
      </c>
      <c r="AD708" s="1075"/>
      <c r="AE708" s="1075"/>
      <c r="AF708" s="1075"/>
      <c r="AG708" s="1076"/>
      <c r="AL708" s="985">
        <f>I708-AC723</f>
        <v>0</v>
      </c>
      <c r="AM708" s="986">
        <f>SUM(I708:AB708)-AC708</f>
        <v>14680</v>
      </c>
      <c r="AO708" s="986"/>
    </row>
    <row r="709" spans="1:41" ht="21.75" customHeight="1" x14ac:dyDescent="0.2">
      <c r="D709" s="1070" t="s">
        <v>1959</v>
      </c>
      <c r="E709" s="1071"/>
      <c r="F709" s="1071"/>
      <c r="G709" s="1071"/>
      <c r="H709" s="1072"/>
      <c r="I709" s="1046">
        <v>4316</v>
      </c>
      <c r="J709" s="1061"/>
      <c r="K709" s="1061"/>
      <c r="L709" s="1061"/>
      <c r="M709" s="1062"/>
      <c r="N709" s="1241">
        <v>3666</v>
      </c>
      <c r="O709" s="1241"/>
      <c r="P709" s="1241"/>
      <c r="Q709" s="1241"/>
      <c r="R709" s="1241"/>
      <c r="S709" s="1241">
        <v>4316</v>
      </c>
      <c r="T709" s="1241"/>
      <c r="U709" s="1241"/>
      <c r="V709" s="1241"/>
      <c r="W709" s="1241"/>
      <c r="X709" s="1241"/>
      <c r="Y709" s="1241"/>
      <c r="Z709" s="1241"/>
      <c r="AA709" s="1241"/>
      <c r="AB709" s="1241"/>
      <c r="AC709" s="1095">
        <f t="shared" si="269"/>
        <v>3666</v>
      </c>
      <c r="AD709" s="1095"/>
      <c r="AE709" s="1095"/>
      <c r="AF709" s="1095"/>
      <c r="AG709" s="1096"/>
      <c r="AL709" s="985">
        <f>I709-AC724</f>
        <v>0</v>
      </c>
      <c r="AM709" s="986">
        <f t="shared" si="268"/>
        <v>8632</v>
      </c>
      <c r="AO709" s="981"/>
    </row>
    <row r="710" spans="1:41" ht="21.75" customHeight="1" x14ac:dyDescent="0.2">
      <c r="D710" s="1070" t="s">
        <v>1960</v>
      </c>
      <c r="E710" s="1071"/>
      <c r="F710" s="1071"/>
      <c r="G710" s="1071"/>
      <c r="H710" s="1072"/>
      <c r="I710" s="1046">
        <v>1000</v>
      </c>
      <c r="J710" s="1061"/>
      <c r="K710" s="1061"/>
      <c r="L710" s="1061"/>
      <c r="M710" s="1062"/>
      <c r="N710" s="1241">
        <v>2050</v>
      </c>
      <c r="O710" s="1241"/>
      <c r="P710" s="1241"/>
      <c r="Q710" s="1241"/>
      <c r="R710" s="1241"/>
      <c r="S710" s="1241">
        <v>1000</v>
      </c>
      <c r="T710" s="1241"/>
      <c r="U710" s="1241"/>
      <c r="V710" s="1241"/>
      <c r="W710" s="1241"/>
      <c r="X710" s="1241"/>
      <c r="Y710" s="1241"/>
      <c r="Z710" s="1241"/>
      <c r="AA710" s="1241"/>
      <c r="AB710" s="1241"/>
      <c r="AC710" s="1095">
        <f t="shared" si="269"/>
        <v>2050</v>
      </c>
      <c r="AD710" s="1095"/>
      <c r="AE710" s="1095"/>
      <c r="AF710" s="1095"/>
      <c r="AG710" s="1096"/>
      <c r="AL710" s="985">
        <f>I710-AC725</f>
        <v>0</v>
      </c>
      <c r="AM710" s="986">
        <f t="shared" si="268"/>
        <v>2000</v>
      </c>
      <c r="AO710" s="981"/>
    </row>
    <row r="711" spans="1:41" ht="21.75" customHeight="1" x14ac:dyDescent="0.2">
      <c r="D711" s="1070" t="s">
        <v>2056</v>
      </c>
      <c r="E711" s="1071"/>
      <c r="F711" s="1071"/>
      <c r="G711" s="1071"/>
      <c r="H711" s="1072"/>
      <c r="I711" s="1046">
        <v>52022</v>
      </c>
      <c r="J711" s="1061"/>
      <c r="K711" s="1061"/>
      <c r="L711" s="1061"/>
      <c r="M711" s="1062"/>
      <c r="N711" s="1241">
        <v>22000</v>
      </c>
      <c r="O711" s="1241"/>
      <c r="P711" s="1241"/>
      <c r="Q711" s="1241"/>
      <c r="R711" s="1241"/>
      <c r="S711" s="1241">
        <v>37097</v>
      </c>
      <c r="T711" s="1241"/>
      <c r="U711" s="1241"/>
      <c r="V711" s="1241"/>
      <c r="W711" s="1241"/>
      <c r="X711" s="1241"/>
      <c r="Y711" s="1241"/>
      <c r="Z711" s="1241"/>
      <c r="AA711" s="1241"/>
      <c r="AB711" s="1241"/>
      <c r="AC711" s="1095">
        <f t="shared" si="269"/>
        <v>36925</v>
      </c>
      <c r="AD711" s="1095"/>
      <c r="AE711" s="1095"/>
      <c r="AF711" s="1095"/>
      <c r="AG711" s="1096"/>
      <c r="AL711" s="985">
        <f>I711-AC729</f>
        <v>26889</v>
      </c>
      <c r="AM711" s="986">
        <f t="shared" si="268"/>
        <v>74194</v>
      </c>
      <c r="AO711" s="981"/>
    </row>
    <row r="712" spans="1:41" ht="21.75" customHeight="1" x14ac:dyDescent="0.2">
      <c r="D712" s="1070" t="s">
        <v>1962</v>
      </c>
      <c r="E712" s="1071"/>
      <c r="F712" s="1071"/>
      <c r="G712" s="1071"/>
      <c r="H712" s="1072"/>
      <c r="I712" s="1046">
        <v>1100</v>
      </c>
      <c r="J712" s="1061"/>
      <c r="K712" s="1061"/>
      <c r="L712" s="1061"/>
      <c r="M712" s="1062"/>
      <c r="N712" s="1241">
        <v>1400</v>
      </c>
      <c r="O712" s="1241"/>
      <c r="P712" s="1241"/>
      <c r="Q712" s="1241"/>
      <c r="R712" s="1241"/>
      <c r="S712" s="1241">
        <v>1100</v>
      </c>
      <c r="T712" s="1241"/>
      <c r="U712" s="1241"/>
      <c r="V712" s="1241"/>
      <c r="W712" s="1241"/>
      <c r="X712" s="1241"/>
      <c r="Y712" s="1241"/>
      <c r="Z712" s="1241"/>
      <c r="AA712" s="1241"/>
      <c r="AB712" s="1241"/>
      <c r="AC712" s="1095">
        <f t="shared" si="269"/>
        <v>1400</v>
      </c>
      <c r="AD712" s="1095"/>
      <c r="AE712" s="1095"/>
      <c r="AF712" s="1095"/>
      <c r="AG712" s="1096"/>
      <c r="AL712" s="985">
        <f>I712-AC730</f>
        <v>1100</v>
      </c>
      <c r="AM712" s="986">
        <f t="shared" si="268"/>
        <v>2200</v>
      </c>
      <c r="AO712" s="981"/>
    </row>
    <row r="713" spans="1:41" ht="21.75" customHeight="1" x14ac:dyDescent="0.2">
      <c r="D713" s="1070" t="s">
        <v>1963</v>
      </c>
      <c r="E713" s="1071"/>
      <c r="F713" s="1071"/>
      <c r="G713" s="1071"/>
      <c r="H713" s="1072"/>
      <c r="I713" s="1046">
        <v>40358</v>
      </c>
      <c r="J713" s="1061"/>
      <c r="K713" s="1061"/>
      <c r="L713" s="1061"/>
      <c r="M713" s="1062"/>
      <c r="N713" s="1091">
        <v>0</v>
      </c>
      <c r="O713" s="1061"/>
      <c r="P713" s="1061"/>
      <c r="Q713" s="1061"/>
      <c r="R713" s="1062"/>
      <c r="S713" s="1091">
        <v>40358</v>
      </c>
      <c r="T713" s="1061"/>
      <c r="U713" s="1061"/>
      <c r="V713" s="1061"/>
      <c r="W713" s="1062"/>
      <c r="X713" s="1091"/>
      <c r="Y713" s="1061"/>
      <c r="Z713" s="1061"/>
      <c r="AA713" s="1061"/>
      <c r="AB713" s="1062"/>
      <c r="AC713" s="1095">
        <f t="shared" si="269"/>
        <v>0</v>
      </c>
      <c r="AD713" s="1095"/>
      <c r="AE713" s="1095"/>
      <c r="AF713" s="1095"/>
      <c r="AG713" s="1096"/>
      <c r="AL713" s="985"/>
      <c r="AM713" s="986">
        <f t="shared" si="268"/>
        <v>80716</v>
      </c>
      <c r="AO713" s="981"/>
    </row>
    <row r="714" spans="1:41" ht="21.75" customHeight="1" x14ac:dyDescent="0.2">
      <c r="D714" s="1070" t="s">
        <v>1999</v>
      </c>
      <c r="E714" s="1071"/>
      <c r="F714" s="1071"/>
      <c r="G714" s="1071"/>
      <c r="H714" s="1072"/>
      <c r="I714" s="1046">
        <v>25133</v>
      </c>
      <c r="J714" s="1061"/>
      <c r="K714" s="1061"/>
      <c r="L714" s="1061"/>
      <c r="M714" s="1062"/>
      <c r="N714" s="1091">
        <v>29386</v>
      </c>
      <c r="O714" s="1061"/>
      <c r="P714" s="1061"/>
      <c r="Q714" s="1061"/>
      <c r="R714" s="1062"/>
      <c r="S714" s="1091">
        <v>4761.66</v>
      </c>
      <c r="T714" s="1061"/>
      <c r="U714" s="1061"/>
      <c r="V714" s="1061"/>
      <c r="W714" s="1062"/>
      <c r="X714" s="1091"/>
      <c r="Y714" s="1061"/>
      <c r="Z714" s="1061"/>
      <c r="AA714" s="1061"/>
      <c r="AB714" s="1062"/>
      <c r="AC714" s="1095">
        <f t="shared" si="269"/>
        <v>49757.34</v>
      </c>
      <c r="AD714" s="1095"/>
      <c r="AE714" s="1095"/>
      <c r="AF714" s="1095"/>
      <c r="AG714" s="1096"/>
      <c r="AL714" s="985"/>
      <c r="AM714" s="986">
        <f t="shared" si="268"/>
        <v>9523.320000000007</v>
      </c>
      <c r="AO714" s="981"/>
    </row>
    <row r="715" spans="1:41" ht="21.75" customHeight="1" x14ac:dyDescent="0.2">
      <c r="D715" s="1070" t="s">
        <v>1965</v>
      </c>
      <c r="E715" s="1071"/>
      <c r="F715" s="1071"/>
      <c r="G715" s="1071"/>
      <c r="H715" s="1072"/>
      <c r="I715" s="1046">
        <v>0</v>
      </c>
      <c r="J715" s="1061"/>
      <c r="K715" s="1061"/>
      <c r="L715" s="1061"/>
      <c r="M715" s="1062"/>
      <c r="N715" s="1088">
        <v>0</v>
      </c>
      <c r="O715" s="1089"/>
      <c r="P715" s="1089"/>
      <c r="Q715" s="1089"/>
      <c r="R715" s="1090"/>
      <c r="S715" s="1091">
        <v>0</v>
      </c>
      <c r="T715" s="1061"/>
      <c r="U715" s="1061"/>
      <c r="V715" s="1061"/>
      <c r="W715" s="1062"/>
      <c r="X715" s="1092"/>
      <c r="Y715" s="1093"/>
      <c r="Z715" s="1093"/>
      <c r="AA715" s="1093"/>
      <c r="AB715" s="1094"/>
      <c r="AC715" s="1095">
        <f t="shared" si="269"/>
        <v>0</v>
      </c>
      <c r="AD715" s="1095"/>
      <c r="AE715" s="1095"/>
      <c r="AF715" s="1095"/>
      <c r="AG715" s="1096"/>
      <c r="AL715" s="985"/>
      <c r="AM715" s="986">
        <f t="shared" si="268"/>
        <v>0</v>
      </c>
      <c r="AO715" s="981"/>
    </row>
    <row r="716" spans="1:41" ht="21.75" customHeight="1" thickBot="1" x14ac:dyDescent="0.25">
      <c r="D716" s="1222" t="s">
        <v>1966</v>
      </c>
      <c r="E716" s="1222"/>
      <c r="F716" s="1222"/>
      <c r="G716" s="1222"/>
      <c r="H716" s="1222"/>
      <c r="I716" s="1247">
        <v>0</v>
      </c>
      <c r="J716" s="1248"/>
      <c r="K716" s="1248"/>
      <c r="L716" s="1248"/>
      <c r="M716" s="1249"/>
      <c r="N716" s="1244">
        <v>0</v>
      </c>
      <c r="O716" s="1244"/>
      <c r="P716" s="1244"/>
      <c r="Q716" s="1244"/>
      <c r="R716" s="1244"/>
      <c r="S716" s="1244">
        <v>0</v>
      </c>
      <c r="T716" s="1244"/>
      <c r="U716" s="1244"/>
      <c r="V716" s="1244"/>
      <c r="W716" s="1244"/>
      <c r="X716" s="1244"/>
      <c r="Y716" s="1244"/>
      <c r="Z716" s="1244"/>
      <c r="AA716" s="1244"/>
      <c r="AB716" s="1244"/>
      <c r="AC716" s="1245">
        <f t="shared" si="269"/>
        <v>0</v>
      </c>
      <c r="AD716" s="1245"/>
      <c r="AE716" s="1245"/>
      <c r="AF716" s="1245"/>
      <c r="AG716" s="1246"/>
      <c r="AL716" s="988">
        <f>I716-AC731</f>
        <v>0</v>
      </c>
      <c r="AM716" s="989">
        <f t="shared" si="268"/>
        <v>0</v>
      </c>
      <c r="AO716" s="990"/>
    </row>
    <row r="717" spans="1:41" ht="14.25" customHeight="1" x14ac:dyDescent="0.25">
      <c r="AL717" s="950"/>
      <c r="AM717" s="991"/>
    </row>
    <row r="718" spans="1:41" ht="14.25" customHeight="1" thickBot="1" x14ac:dyDescent="0.25">
      <c r="AL718" s="950"/>
    </row>
    <row r="719" spans="1:41" ht="14.25" customHeight="1" thickBot="1" x14ac:dyDescent="0.25">
      <c r="A719" s="942" t="s">
        <v>1507</v>
      </c>
      <c r="D719" s="1138" t="s">
        <v>1</v>
      </c>
      <c r="E719" s="1138"/>
      <c r="F719" s="1138"/>
      <c r="G719" s="1138"/>
      <c r="H719" s="1138"/>
      <c r="I719" s="1138" t="s">
        <v>3</v>
      </c>
      <c r="J719" s="1138"/>
      <c r="K719" s="1138"/>
      <c r="L719" s="1138"/>
      <c r="M719" s="1138"/>
      <c r="N719" s="1138"/>
      <c r="O719" s="1138"/>
      <c r="P719" s="1138"/>
      <c r="Q719" s="1138"/>
      <c r="R719" s="1138"/>
      <c r="S719" s="1138"/>
      <c r="T719" s="1138"/>
      <c r="U719" s="1138"/>
      <c r="V719" s="1138"/>
      <c r="W719" s="1138"/>
      <c r="X719" s="1138"/>
      <c r="Y719" s="1138"/>
      <c r="Z719" s="1138"/>
      <c r="AA719" s="1138"/>
      <c r="AB719" s="1138"/>
      <c r="AC719" s="1138"/>
      <c r="AD719" s="1138"/>
      <c r="AE719" s="1138"/>
      <c r="AF719" s="1138"/>
      <c r="AG719" s="1138"/>
      <c r="AL719" s="950"/>
    </row>
    <row r="720" spans="1:41" ht="30.75" customHeight="1" thickTop="1" thickBot="1" x14ac:dyDescent="0.25">
      <c r="D720" s="1138"/>
      <c r="E720" s="1138"/>
      <c r="F720" s="1138"/>
      <c r="G720" s="1138"/>
      <c r="H720" s="1138"/>
      <c r="I720" s="1120" t="s">
        <v>32</v>
      </c>
      <c r="J720" s="1120"/>
      <c r="K720" s="1120"/>
      <c r="L720" s="1120"/>
      <c r="M720" s="1120"/>
      <c r="N720" s="1120" t="s">
        <v>124</v>
      </c>
      <c r="O720" s="1120"/>
      <c r="P720" s="1120"/>
      <c r="Q720" s="1120"/>
      <c r="R720" s="1120"/>
      <c r="S720" s="1120" t="s">
        <v>210</v>
      </c>
      <c r="T720" s="1120"/>
      <c r="U720" s="1120"/>
      <c r="V720" s="1120"/>
      <c r="W720" s="1120"/>
      <c r="X720" s="1120" t="s">
        <v>211</v>
      </c>
      <c r="Y720" s="1120"/>
      <c r="Z720" s="1120"/>
      <c r="AA720" s="1120"/>
      <c r="AB720" s="1120"/>
      <c r="AC720" s="1120" t="s">
        <v>30</v>
      </c>
      <c r="AD720" s="1120"/>
      <c r="AE720" s="1120"/>
      <c r="AF720" s="1120"/>
      <c r="AG720" s="1120"/>
      <c r="AL720" s="950"/>
      <c r="AM720" s="934" t="s">
        <v>30</v>
      </c>
      <c r="AO720" s="934" t="s">
        <v>30</v>
      </c>
    </row>
    <row r="721" spans="4:41" ht="28.5" customHeight="1" thickBot="1" x14ac:dyDescent="0.25">
      <c r="D721" s="1077" t="s">
        <v>212</v>
      </c>
      <c r="E721" s="1078"/>
      <c r="F721" s="1078"/>
      <c r="G721" s="1078"/>
      <c r="H721" s="1079"/>
      <c r="I721" s="1080"/>
      <c r="J721" s="1063"/>
      <c r="K721" s="1063"/>
      <c r="L721" s="1063"/>
      <c r="M721" s="1063"/>
      <c r="N721" s="1063"/>
      <c r="O721" s="1063"/>
      <c r="P721" s="1063"/>
      <c r="Q721" s="1063"/>
      <c r="R721" s="1063"/>
      <c r="S721" s="1063"/>
      <c r="T721" s="1063"/>
      <c r="U721" s="1063"/>
      <c r="V721" s="1063"/>
      <c r="W721" s="1063"/>
      <c r="X721" s="1063"/>
      <c r="Y721" s="1063"/>
      <c r="Z721" s="1063"/>
      <c r="AA721" s="1063"/>
      <c r="AB721" s="1063"/>
      <c r="AC721" s="1064">
        <f>SUM(I721:AB721)</f>
        <v>0</v>
      </c>
      <c r="AD721" s="1064"/>
      <c r="AE721" s="1064"/>
      <c r="AF721" s="1064"/>
      <c r="AG721" s="1065"/>
      <c r="AL721" s="950"/>
      <c r="AM721" s="983">
        <f>SUM(I721:AB721)-AC721</f>
        <v>0</v>
      </c>
      <c r="AO721" s="984">
        <f>AC721-BS!$E$105-BS!$E$107</f>
        <v>0</v>
      </c>
    </row>
    <row r="722" spans="4:41" ht="28.5" customHeight="1" thickBot="1" x14ac:dyDescent="0.25">
      <c r="D722" s="1077" t="s">
        <v>213</v>
      </c>
      <c r="E722" s="1078"/>
      <c r="F722" s="1078"/>
      <c r="G722" s="1078"/>
      <c r="H722" s="1079"/>
      <c r="I722" s="1080">
        <v>182125</v>
      </c>
      <c r="J722" s="1063"/>
      <c r="K722" s="1063"/>
      <c r="L722" s="1063"/>
      <c r="M722" s="1063"/>
      <c r="N722" s="1063">
        <f>SUM(N723:R731)</f>
        <v>119247</v>
      </c>
      <c r="O722" s="1063"/>
      <c r="P722" s="1063"/>
      <c r="Q722" s="1063"/>
      <c r="R722" s="1063"/>
      <c r="S722" s="1063">
        <f>SUM(S723:W731)</f>
        <v>116871</v>
      </c>
      <c r="T722" s="1063"/>
      <c r="U722" s="1063"/>
      <c r="V722" s="1063"/>
      <c r="W722" s="1063"/>
      <c r="X722" s="1063">
        <v>54316</v>
      </c>
      <c r="Y722" s="1063"/>
      <c r="Z722" s="1063"/>
      <c r="AA722" s="1063"/>
      <c r="AB722" s="1063"/>
      <c r="AC722" s="1064">
        <v>131269</v>
      </c>
      <c r="AD722" s="1064"/>
      <c r="AE722" s="1064"/>
      <c r="AF722" s="1064"/>
      <c r="AG722" s="1065"/>
      <c r="AM722" s="986">
        <f t="shared" ref="AM722" si="270">SUM(I722:AB722)-AC722</f>
        <v>341290</v>
      </c>
      <c r="AO722" s="987">
        <f>AC722-BS!$E$106-BS!$E$108</f>
        <v>0</v>
      </c>
    </row>
    <row r="723" spans="4:41" ht="21.75" customHeight="1" x14ac:dyDescent="0.2">
      <c r="D723" s="1066" t="s">
        <v>1958</v>
      </c>
      <c r="E723" s="1067"/>
      <c r="F723" s="1067"/>
      <c r="G723" s="1067"/>
      <c r="H723" s="1068"/>
      <c r="I723" s="1073">
        <v>6493</v>
      </c>
      <c r="J723" s="1074"/>
      <c r="K723" s="1074"/>
      <c r="L723" s="1074"/>
      <c r="M723" s="1074"/>
      <c r="N723" s="1074">
        <v>7340</v>
      </c>
      <c r="O723" s="1074"/>
      <c r="P723" s="1074"/>
      <c r="Q723" s="1074"/>
      <c r="R723" s="1074"/>
      <c r="S723" s="1074">
        <v>6493</v>
      </c>
      <c r="T723" s="1074"/>
      <c r="U723" s="1074"/>
      <c r="V723" s="1074"/>
      <c r="W723" s="1074"/>
      <c r="X723" s="1074"/>
      <c r="Y723" s="1074"/>
      <c r="Z723" s="1074"/>
      <c r="AA723" s="1074"/>
      <c r="AB723" s="1074"/>
      <c r="AC723" s="1075">
        <f t="shared" ref="AC723:AC731" si="271">I723+N723-S723</f>
        <v>7340</v>
      </c>
      <c r="AD723" s="1075"/>
      <c r="AE723" s="1075"/>
      <c r="AF723" s="1075"/>
      <c r="AG723" s="1076"/>
      <c r="AM723" s="986">
        <f>SUM(I723:AB723)-AC723</f>
        <v>12986</v>
      </c>
      <c r="AO723" s="986"/>
    </row>
    <row r="724" spans="4:41" ht="21.75" customHeight="1" x14ac:dyDescent="0.2">
      <c r="D724" s="1070" t="s">
        <v>1959</v>
      </c>
      <c r="E724" s="1071"/>
      <c r="F724" s="1071"/>
      <c r="G724" s="1071"/>
      <c r="H724" s="1072"/>
      <c r="I724" s="1048">
        <v>4366</v>
      </c>
      <c r="J724" s="1241"/>
      <c r="K724" s="1241"/>
      <c r="L724" s="1241"/>
      <c r="M724" s="1241"/>
      <c r="N724" s="1241">
        <v>4316</v>
      </c>
      <c r="O724" s="1241"/>
      <c r="P724" s="1241"/>
      <c r="Q724" s="1241"/>
      <c r="R724" s="1241"/>
      <c r="S724" s="1241">
        <v>4366</v>
      </c>
      <c r="T724" s="1241"/>
      <c r="U724" s="1241"/>
      <c r="V724" s="1241"/>
      <c r="W724" s="1241"/>
      <c r="X724" s="1241"/>
      <c r="Y724" s="1241"/>
      <c r="Z724" s="1241"/>
      <c r="AA724" s="1241"/>
      <c r="AB724" s="1241"/>
      <c r="AC724" s="1097">
        <f t="shared" si="271"/>
        <v>4316</v>
      </c>
      <c r="AD724" s="1097"/>
      <c r="AE724" s="1097"/>
      <c r="AF724" s="1097"/>
      <c r="AG724" s="1098"/>
      <c r="AM724" s="986">
        <f t="shared" ref="AM724:AM731" si="272">SUM(I724:AB724)-AC724</f>
        <v>8732</v>
      </c>
      <c r="AO724" s="981"/>
    </row>
    <row r="725" spans="4:41" ht="21.75" customHeight="1" x14ac:dyDescent="0.2">
      <c r="D725" s="1070" t="s">
        <v>1960</v>
      </c>
      <c r="E725" s="1071"/>
      <c r="F725" s="1071"/>
      <c r="G725" s="1071"/>
      <c r="H725" s="1072"/>
      <c r="I725" s="1048">
        <v>4300</v>
      </c>
      <c r="J725" s="1241"/>
      <c r="K725" s="1241"/>
      <c r="L725" s="1241"/>
      <c r="M725" s="1241"/>
      <c r="N725" s="1241">
        <v>1000</v>
      </c>
      <c r="O725" s="1241"/>
      <c r="P725" s="1241"/>
      <c r="Q725" s="1241"/>
      <c r="R725" s="1241"/>
      <c r="S725" s="1241">
        <v>4300</v>
      </c>
      <c r="T725" s="1241"/>
      <c r="U725" s="1241"/>
      <c r="V725" s="1241"/>
      <c r="W725" s="1241"/>
      <c r="X725" s="1241"/>
      <c r="Y725" s="1241"/>
      <c r="Z725" s="1241"/>
      <c r="AA725" s="1241"/>
      <c r="AB725" s="1241"/>
      <c r="AC725" s="1095">
        <f t="shared" si="271"/>
        <v>1000</v>
      </c>
      <c r="AD725" s="1095"/>
      <c r="AE725" s="1095"/>
      <c r="AF725" s="1095"/>
      <c r="AG725" s="1096"/>
      <c r="AM725" s="986">
        <f t="shared" si="272"/>
        <v>8600</v>
      </c>
      <c r="AO725" s="981"/>
    </row>
    <row r="726" spans="4:41" ht="21.75" customHeight="1" x14ac:dyDescent="0.2">
      <c r="D726" s="1070" t="s">
        <v>1961</v>
      </c>
      <c r="E726" s="1071"/>
      <c r="F726" s="1071"/>
      <c r="G726" s="1071"/>
      <c r="H726" s="1072"/>
      <c r="I726" s="1046">
        <v>41022</v>
      </c>
      <c r="J726" s="1061"/>
      <c r="K726" s="1061"/>
      <c r="L726" s="1061"/>
      <c r="M726" s="1062"/>
      <c r="N726" s="1091">
        <v>40000</v>
      </c>
      <c r="O726" s="1061"/>
      <c r="P726" s="1061"/>
      <c r="Q726" s="1061"/>
      <c r="R726" s="1062"/>
      <c r="S726" s="1091">
        <v>12009</v>
      </c>
      <c r="T726" s="1061"/>
      <c r="U726" s="1061"/>
      <c r="V726" s="1061"/>
      <c r="W726" s="1062"/>
      <c r="X726" s="1091">
        <v>16991</v>
      </c>
      <c r="Y726" s="1061"/>
      <c r="Z726" s="1061"/>
      <c r="AA726" s="1061"/>
      <c r="AB726" s="1062"/>
      <c r="AC726" s="1095">
        <f>I726+N726-S726-X726</f>
        <v>52022</v>
      </c>
      <c r="AD726" s="1095"/>
      <c r="AE726" s="1095"/>
      <c r="AF726" s="1095"/>
      <c r="AG726" s="1096"/>
      <c r="AM726" s="986">
        <f t="shared" si="272"/>
        <v>58000</v>
      </c>
      <c r="AO726" s="981"/>
    </row>
    <row r="727" spans="4:41" ht="21.75" customHeight="1" x14ac:dyDescent="0.2">
      <c r="D727" s="1070" t="s">
        <v>1962</v>
      </c>
      <c r="E727" s="1071"/>
      <c r="F727" s="1071"/>
      <c r="G727" s="1071"/>
      <c r="H727" s="1072"/>
      <c r="I727" s="1046">
        <v>1655</v>
      </c>
      <c r="J727" s="1061"/>
      <c r="K727" s="1061"/>
      <c r="L727" s="1061"/>
      <c r="M727" s="1062"/>
      <c r="N727" s="1091">
        <v>1100</v>
      </c>
      <c r="O727" s="1061"/>
      <c r="P727" s="1061"/>
      <c r="Q727" s="1061"/>
      <c r="R727" s="1062"/>
      <c r="S727" s="1091">
        <v>1655</v>
      </c>
      <c r="T727" s="1061"/>
      <c r="U727" s="1061"/>
      <c r="V727" s="1061"/>
      <c r="W727" s="1062"/>
      <c r="X727" s="1091"/>
      <c r="Y727" s="1061"/>
      <c r="Z727" s="1061"/>
      <c r="AA727" s="1061"/>
      <c r="AB727" s="1062"/>
      <c r="AC727" s="1095">
        <f t="shared" si="271"/>
        <v>1100</v>
      </c>
      <c r="AD727" s="1095"/>
      <c r="AE727" s="1095"/>
      <c r="AF727" s="1095"/>
      <c r="AG727" s="1096"/>
      <c r="AM727" s="986">
        <f t="shared" si="272"/>
        <v>3310</v>
      </c>
      <c r="AO727" s="981"/>
    </row>
    <row r="728" spans="4:41" ht="21.75" customHeight="1" x14ac:dyDescent="0.2">
      <c r="D728" s="1070" t="s">
        <v>1963</v>
      </c>
      <c r="E728" s="1071"/>
      <c r="F728" s="1071"/>
      <c r="G728" s="1071"/>
      <c r="H728" s="1072"/>
      <c r="I728" s="1046">
        <v>89389</v>
      </c>
      <c r="J728" s="1061"/>
      <c r="K728" s="1061"/>
      <c r="L728" s="1061"/>
      <c r="M728" s="1062"/>
      <c r="N728" s="1091">
        <v>40358</v>
      </c>
      <c r="O728" s="1061"/>
      <c r="P728" s="1061"/>
      <c r="Q728" s="1061"/>
      <c r="R728" s="1062"/>
      <c r="S728" s="1091">
        <v>52064</v>
      </c>
      <c r="T728" s="1061"/>
      <c r="U728" s="1061"/>
      <c r="V728" s="1061"/>
      <c r="W728" s="1062"/>
      <c r="X728" s="1091">
        <v>37325</v>
      </c>
      <c r="Y728" s="1061"/>
      <c r="Z728" s="1061"/>
      <c r="AA728" s="1061"/>
      <c r="AB728" s="1062"/>
      <c r="AC728" s="1097">
        <f>I728+N728-S728-X728</f>
        <v>40358</v>
      </c>
      <c r="AD728" s="1097"/>
      <c r="AE728" s="1097"/>
      <c r="AF728" s="1097"/>
      <c r="AG728" s="1098"/>
      <c r="AM728" s="986">
        <f t="shared" si="272"/>
        <v>178778</v>
      </c>
      <c r="AO728" s="981"/>
    </row>
    <row r="729" spans="4:41" ht="21.75" customHeight="1" x14ac:dyDescent="0.2">
      <c r="D729" s="1070" t="s">
        <v>1964</v>
      </c>
      <c r="E729" s="1071"/>
      <c r="F729" s="1071"/>
      <c r="G729" s="1071"/>
      <c r="H729" s="1072"/>
      <c r="I729" s="1048">
        <v>1084</v>
      </c>
      <c r="J729" s="1241"/>
      <c r="K729" s="1241"/>
      <c r="L729" s="1241"/>
      <c r="M729" s="1241"/>
      <c r="N729" s="1241">
        <v>25133</v>
      </c>
      <c r="O729" s="1241"/>
      <c r="P729" s="1241"/>
      <c r="Q729" s="1241"/>
      <c r="R729" s="1241"/>
      <c r="S729" s="1241">
        <v>1084</v>
      </c>
      <c r="T729" s="1241"/>
      <c r="U729" s="1241"/>
      <c r="V729" s="1241"/>
      <c r="W729" s="1241"/>
      <c r="X729" s="1241"/>
      <c r="Y729" s="1241"/>
      <c r="Z729" s="1241"/>
      <c r="AA729" s="1241"/>
      <c r="AB729" s="1241"/>
      <c r="AC729" s="1097">
        <f t="shared" si="271"/>
        <v>25133</v>
      </c>
      <c r="AD729" s="1097"/>
      <c r="AE729" s="1097"/>
      <c r="AF729" s="1097"/>
      <c r="AG729" s="1098"/>
      <c r="AM729" s="986">
        <f t="shared" si="272"/>
        <v>2168</v>
      </c>
      <c r="AO729" s="981"/>
    </row>
    <row r="730" spans="4:41" ht="21.75" customHeight="1" x14ac:dyDescent="0.2">
      <c r="D730" s="1070" t="s">
        <v>1965</v>
      </c>
      <c r="E730" s="1071"/>
      <c r="F730" s="1071"/>
      <c r="G730" s="1071"/>
      <c r="H730" s="1072"/>
      <c r="I730" s="1048">
        <v>16000</v>
      </c>
      <c r="J730" s="1241"/>
      <c r="K730" s="1241"/>
      <c r="L730" s="1241"/>
      <c r="M730" s="1241"/>
      <c r="N730" s="1241">
        <v>0</v>
      </c>
      <c r="O730" s="1241"/>
      <c r="P730" s="1241"/>
      <c r="Q730" s="1241"/>
      <c r="R730" s="1241"/>
      <c r="S730" s="1241">
        <v>16000</v>
      </c>
      <c r="T730" s="1241"/>
      <c r="U730" s="1241"/>
      <c r="V730" s="1241"/>
      <c r="W730" s="1241"/>
      <c r="X730" s="1241"/>
      <c r="Y730" s="1241"/>
      <c r="Z730" s="1241"/>
      <c r="AA730" s="1241"/>
      <c r="AB730" s="1241"/>
      <c r="AC730" s="1097">
        <f t="shared" si="271"/>
        <v>0</v>
      </c>
      <c r="AD730" s="1097"/>
      <c r="AE730" s="1097"/>
      <c r="AF730" s="1097"/>
      <c r="AG730" s="1098"/>
      <c r="AM730" s="986">
        <f t="shared" si="272"/>
        <v>32000</v>
      </c>
      <c r="AO730" s="981"/>
    </row>
    <row r="731" spans="4:41" ht="21.75" customHeight="1" thickBot="1" x14ac:dyDescent="0.25">
      <c r="D731" s="1222" t="s">
        <v>1966</v>
      </c>
      <c r="E731" s="1222"/>
      <c r="F731" s="1222"/>
      <c r="G731" s="1222"/>
      <c r="H731" s="1222"/>
      <c r="I731" s="1242">
        <v>18900</v>
      </c>
      <c r="J731" s="1243"/>
      <c r="K731" s="1243"/>
      <c r="L731" s="1243"/>
      <c r="M731" s="1243"/>
      <c r="N731" s="1244">
        <v>0</v>
      </c>
      <c r="O731" s="1244"/>
      <c r="P731" s="1244"/>
      <c r="Q731" s="1244"/>
      <c r="R731" s="1244"/>
      <c r="S731" s="1243">
        <v>18900</v>
      </c>
      <c r="T731" s="1243"/>
      <c r="U731" s="1243"/>
      <c r="V731" s="1243"/>
      <c r="W731" s="1243"/>
      <c r="X731" s="1244"/>
      <c r="Y731" s="1244"/>
      <c r="Z731" s="1244"/>
      <c r="AA731" s="1244"/>
      <c r="AB731" s="1244"/>
      <c r="AC731" s="1245">
        <f t="shared" si="271"/>
        <v>0</v>
      </c>
      <c r="AD731" s="1245"/>
      <c r="AE731" s="1245"/>
      <c r="AF731" s="1245"/>
      <c r="AG731" s="1246"/>
      <c r="AM731" s="989">
        <f t="shared" si="272"/>
        <v>37800</v>
      </c>
      <c r="AO731" s="990"/>
    </row>
    <row r="733" spans="4:41" ht="14.25" customHeight="1" x14ac:dyDescent="0.2">
      <c r="D733" s="1168" t="s">
        <v>2057</v>
      </c>
      <c r="E733" s="1168"/>
      <c r="F733" s="1168"/>
      <c r="G733" s="1168"/>
      <c r="H733" s="1168"/>
      <c r="I733" s="1168"/>
      <c r="J733" s="1168"/>
      <c r="K733" s="1168"/>
      <c r="L733" s="1168"/>
      <c r="M733" s="1168"/>
      <c r="N733" s="1168"/>
      <c r="O733" s="1168"/>
      <c r="P733" s="1168"/>
      <c r="Q733" s="1168"/>
      <c r="R733" s="1168"/>
      <c r="S733" s="1168"/>
      <c r="T733" s="1168"/>
      <c r="U733" s="1168"/>
      <c r="V733" s="1168"/>
      <c r="W733" s="1168"/>
      <c r="X733" s="1168"/>
      <c r="Y733" s="1168"/>
      <c r="Z733" s="1168"/>
      <c r="AA733" s="1168"/>
      <c r="AB733" s="1168"/>
      <c r="AC733" s="1168"/>
      <c r="AD733" s="1168"/>
      <c r="AE733" s="1168"/>
      <c r="AF733" s="1168"/>
      <c r="AG733" s="1168"/>
    </row>
    <row r="735" spans="4:41" ht="14.25" customHeight="1" x14ac:dyDescent="0.2">
      <c r="D735" s="632" t="s">
        <v>2000</v>
      </c>
    </row>
    <row r="737" spans="1:42" ht="14.25" customHeight="1" x14ac:dyDescent="0.2">
      <c r="D737" s="1168" t="s">
        <v>1508</v>
      </c>
      <c r="E737" s="1168"/>
      <c r="F737" s="1168"/>
      <c r="G737" s="1168"/>
      <c r="H737" s="1168"/>
      <c r="I737" s="1168"/>
      <c r="J737" s="1168"/>
      <c r="K737" s="1168"/>
      <c r="L737" s="1168"/>
      <c r="M737" s="1168"/>
      <c r="N737" s="1168"/>
      <c r="O737" s="1168"/>
      <c r="P737" s="1168"/>
      <c r="Q737" s="1168"/>
      <c r="R737" s="1168"/>
      <c r="S737" s="1168"/>
      <c r="T737" s="1168"/>
      <c r="U737" s="1168"/>
      <c r="V737" s="1168"/>
      <c r="W737" s="1168"/>
      <c r="X737" s="1168"/>
      <c r="Y737" s="1168"/>
      <c r="Z737" s="1168"/>
      <c r="AA737" s="1168"/>
      <c r="AB737" s="1168"/>
      <c r="AC737" s="1168"/>
      <c r="AD737" s="1168"/>
      <c r="AE737" s="1168"/>
      <c r="AF737" s="1168"/>
      <c r="AG737" s="1168"/>
    </row>
    <row r="738" spans="1:42" ht="14.25" customHeight="1" thickBot="1" x14ac:dyDescent="0.25"/>
    <row r="739" spans="1:42" ht="28.5" customHeight="1" thickTop="1" thickBot="1" x14ac:dyDescent="0.25">
      <c r="A739" s="942">
        <v>26</v>
      </c>
      <c r="D739" s="1214" t="s">
        <v>131</v>
      </c>
      <c r="E739" s="1215"/>
      <c r="F739" s="1215"/>
      <c r="G739" s="1215"/>
      <c r="H739" s="1215"/>
      <c r="I739" s="1215"/>
      <c r="J739" s="1215"/>
      <c r="K739" s="1215"/>
      <c r="L739" s="1215"/>
      <c r="M739" s="1216"/>
      <c r="N739" s="1214" t="s">
        <v>2</v>
      </c>
      <c r="O739" s="1215"/>
      <c r="P739" s="1215"/>
      <c r="Q739" s="1215"/>
      <c r="R739" s="1215"/>
      <c r="S739" s="1215"/>
      <c r="T739" s="1215"/>
      <c r="U739" s="1215"/>
      <c r="V739" s="1215"/>
      <c r="W739" s="1216"/>
      <c r="X739" s="1214" t="s">
        <v>3</v>
      </c>
      <c r="Y739" s="1215"/>
      <c r="Z739" s="1215"/>
      <c r="AA739" s="1215"/>
      <c r="AB739" s="1215"/>
      <c r="AC739" s="1215"/>
      <c r="AD739" s="1215"/>
      <c r="AE739" s="1215"/>
      <c r="AF739" s="1215"/>
      <c r="AG739" s="1216"/>
      <c r="AL739" s="934" t="s">
        <v>2</v>
      </c>
      <c r="AM739" s="937" t="s">
        <v>3</v>
      </c>
      <c r="AO739" s="934" t="s">
        <v>2</v>
      </c>
      <c r="AP739" s="937" t="s">
        <v>3</v>
      </c>
    </row>
    <row r="740" spans="1:42" ht="28.5" customHeight="1" thickBot="1" x14ac:dyDescent="0.25">
      <c r="D740" s="1225" t="s">
        <v>219</v>
      </c>
      <c r="E740" s="1226"/>
      <c r="F740" s="1226"/>
      <c r="G740" s="1226"/>
      <c r="H740" s="1226"/>
      <c r="I740" s="1226"/>
      <c r="J740" s="1226"/>
      <c r="K740" s="1226"/>
      <c r="L740" s="1226"/>
      <c r="M740" s="1227"/>
      <c r="N740" s="1212">
        <v>2814</v>
      </c>
      <c r="O740" s="1186"/>
      <c r="P740" s="1186"/>
      <c r="Q740" s="1186"/>
      <c r="R740" s="1186"/>
      <c r="S740" s="1186"/>
      <c r="T740" s="1186"/>
      <c r="U740" s="1186"/>
      <c r="V740" s="1186"/>
      <c r="W740" s="1186"/>
      <c r="X740" s="1212">
        <v>10823</v>
      </c>
      <c r="Y740" s="1186"/>
      <c r="Z740" s="1186"/>
      <c r="AA740" s="1186"/>
      <c r="AB740" s="1186"/>
      <c r="AC740" s="1186"/>
      <c r="AD740" s="1186"/>
      <c r="AE740" s="1186"/>
      <c r="AF740" s="1186"/>
      <c r="AG740" s="1186"/>
      <c r="AL740" s="959">
        <f>SUM(N742:W745)-N740</f>
        <v>7740528</v>
      </c>
      <c r="AM740" s="961">
        <f>SUM(X742:AG745)-X740</f>
        <v>5402396</v>
      </c>
      <c r="AO740" s="654">
        <f>N740-BS!$D$109</f>
        <v>0</v>
      </c>
      <c r="AP740" s="655">
        <f>X740-BS!$E$109</f>
        <v>0</v>
      </c>
    </row>
    <row r="741" spans="1:42" ht="28.5" customHeight="1" x14ac:dyDescent="0.2">
      <c r="D741" s="1236" t="s">
        <v>218</v>
      </c>
      <c r="E741" s="1237"/>
      <c r="F741" s="1237"/>
      <c r="G741" s="1237"/>
      <c r="H741" s="1237"/>
      <c r="I741" s="1237"/>
      <c r="J741" s="1237"/>
      <c r="K741" s="1237"/>
      <c r="L741" s="1237"/>
      <c r="M741" s="1238"/>
      <c r="N741" s="1203"/>
      <c r="O741" s="1045"/>
      <c r="P741" s="1045"/>
      <c r="Q741" s="1045"/>
      <c r="R741" s="1045"/>
      <c r="S741" s="1045"/>
      <c r="T741" s="1045"/>
      <c r="U741" s="1045"/>
      <c r="V741" s="1045"/>
      <c r="W741" s="1045"/>
      <c r="X741" s="1239"/>
      <c r="Y741" s="1239"/>
      <c r="Z741" s="1239"/>
      <c r="AA741" s="1239"/>
      <c r="AB741" s="1239"/>
      <c r="AC741" s="1239"/>
      <c r="AD741" s="1239"/>
      <c r="AE741" s="1239"/>
      <c r="AF741" s="1239"/>
      <c r="AG741" s="1239"/>
      <c r="AL741" s="954"/>
      <c r="AM741" s="958"/>
      <c r="AO741" s="652"/>
      <c r="AP741" s="653"/>
    </row>
    <row r="742" spans="1:42" ht="28.5" customHeight="1" x14ac:dyDescent="0.2">
      <c r="D742" s="1228" t="s">
        <v>217</v>
      </c>
      <c r="E742" s="1229"/>
      <c r="F742" s="1229"/>
      <c r="G742" s="1229"/>
      <c r="H742" s="1229"/>
      <c r="I742" s="1229"/>
      <c r="J742" s="1229"/>
      <c r="K742" s="1229"/>
      <c r="L742" s="1229"/>
      <c r="M742" s="1230"/>
      <c r="N742" s="1203">
        <v>2814</v>
      </c>
      <c r="O742" s="1045"/>
      <c r="P742" s="1045"/>
      <c r="Q742" s="1045"/>
      <c r="R742" s="1045"/>
      <c r="S742" s="1045"/>
      <c r="T742" s="1045"/>
      <c r="U742" s="1045"/>
      <c r="V742" s="1045"/>
      <c r="W742" s="1045"/>
      <c r="X742" s="1045">
        <v>10823</v>
      </c>
      <c r="Y742" s="1045"/>
      <c r="Z742" s="1045"/>
      <c r="AA742" s="1045"/>
      <c r="AB742" s="1045"/>
      <c r="AC742" s="1045"/>
      <c r="AD742" s="1045"/>
      <c r="AE742" s="1045"/>
      <c r="AF742" s="1045"/>
      <c r="AG742" s="1045"/>
      <c r="AL742" s="954"/>
      <c r="AM742" s="958"/>
      <c r="AO742" s="652"/>
      <c r="AP742" s="653"/>
    </row>
    <row r="743" spans="1:42" ht="28.5" customHeight="1" thickBot="1" x14ac:dyDescent="0.25">
      <c r="D743" s="1225" t="s">
        <v>216</v>
      </c>
      <c r="E743" s="1226"/>
      <c r="F743" s="1226"/>
      <c r="G743" s="1226"/>
      <c r="H743" s="1226"/>
      <c r="I743" s="1226"/>
      <c r="J743" s="1226"/>
      <c r="K743" s="1226"/>
      <c r="L743" s="1226"/>
      <c r="M743" s="1227"/>
      <c r="N743" s="1212">
        <v>3870264</v>
      </c>
      <c r="O743" s="1186"/>
      <c r="P743" s="1186"/>
      <c r="Q743" s="1186"/>
      <c r="R743" s="1186"/>
      <c r="S743" s="1186"/>
      <c r="T743" s="1186"/>
      <c r="U743" s="1186"/>
      <c r="V743" s="1186"/>
      <c r="W743" s="1186"/>
      <c r="X743" s="1212">
        <v>2701198</v>
      </c>
      <c r="Y743" s="1186"/>
      <c r="Z743" s="1186"/>
      <c r="AA743" s="1186"/>
      <c r="AB743" s="1186"/>
      <c r="AC743" s="1186"/>
      <c r="AD743" s="1186"/>
      <c r="AE743" s="1186"/>
      <c r="AF743" s="1186"/>
      <c r="AG743" s="1186"/>
      <c r="AL743" s="956">
        <f>SUM(N745:W745)-N743</f>
        <v>-3731372</v>
      </c>
      <c r="AM743" s="955">
        <f>SUM(X745:AG745)-X743</f>
        <v>-2427184</v>
      </c>
      <c r="AO743" s="650">
        <f>N743-BS!$D$121</f>
        <v>0</v>
      </c>
      <c r="AP743" s="651">
        <f>X743-BS!$E$121</f>
        <v>0</v>
      </c>
    </row>
    <row r="744" spans="1:42" ht="28.5" customHeight="1" x14ac:dyDescent="0.2">
      <c r="D744" s="1236" t="s">
        <v>473</v>
      </c>
      <c r="E744" s="1237"/>
      <c r="F744" s="1237"/>
      <c r="G744" s="1237"/>
      <c r="H744" s="1237"/>
      <c r="I744" s="1237"/>
      <c r="J744" s="1237"/>
      <c r="K744" s="1237"/>
      <c r="L744" s="1237"/>
      <c r="M744" s="1238"/>
      <c r="N744" s="1203">
        <v>3731372</v>
      </c>
      <c r="O744" s="1045"/>
      <c r="P744" s="1045"/>
      <c r="Q744" s="1045"/>
      <c r="R744" s="1045"/>
      <c r="S744" s="1045"/>
      <c r="T744" s="1045"/>
      <c r="U744" s="1045"/>
      <c r="V744" s="1045"/>
      <c r="W744" s="1045"/>
      <c r="X744" s="1046">
        <v>2427184</v>
      </c>
      <c r="Y744" s="1061"/>
      <c r="Z744" s="1061"/>
      <c r="AA744" s="1061"/>
      <c r="AB744" s="1061"/>
      <c r="AC744" s="1061"/>
      <c r="AD744" s="1061"/>
      <c r="AE744" s="1061"/>
      <c r="AF744" s="1061"/>
      <c r="AG744" s="1203"/>
      <c r="AL744" s="954"/>
      <c r="AM744" s="958"/>
      <c r="AO744" s="652"/>
      <c r="AP744" s="653"/>
    </row>
    <row r="745" spans="1:42" ht="28.5" customHeight="1" thickBot="1" x14ac:dyDescent="0.25">
      <c r="D745" s="1231" t="s">
        <v>215</v>
      </c>
      <c r="E745" s="1232"/>
      <c r="F745" s="1232"/>
      <c r="G745" s="1232"/>
      <c r="H745" s="1232"/>
      <c r="I745" s="1232"/>
      <c r="J745" s="1232"/>
      <c r="K745" s="1232"/>
      <c r="L745" s="1232"/>
      <c r="M745" s="1233"/>
      <c r="N745" s="1234">
        <v>138892</v>
      </c>
      <c r="O745" s="1235"/>
      <c r="P745" s="1235"/>
      <c r="Q745" s="1235"/>
      <c r="R745" s="1235"/>
      <c r="S745" s="1235"/>
      <c r="T745" s="1235"/>
      <c r="U745" s="1235"/>
      <c r="V745" s="1235"/>
      <c r="W745" s="1235"/>
      <c r="X745" s="1235">
        <v>274014</v>
      </c>
      <c r="Y745" s="1235"/>
      <c r="Z745" s="1235"/>
      <c r="AA745" s="1235"/>
      <c r="AB745" s="1235"/>
      <c r="AC745" s="1235"/>
      <c r="AD745" s="1235"/>
      <c r="AE745" s="1235"/>
      <c r="AF745" s="1235"/>
      <c r="AG745" s="1235"/>
      <c r="AL745" s="951"/>
      <c r="AM745" s="953"/>
      <c r="AO745" s="657"/>
      <c r="AP745" s="658"/>
    </row>
    <row r="747" spans="1:42" ht="14.25" customHeight="1" x14ac:dyDescent="0.2">
      <c r="D747" s="1240" t="s">
        <v>2058</v>
      </c>
      <c r="E747" s="1240"/>
      <c r="F747" s="1240"/>
      <c r="G747" s="1240"/>
      <c r="H747" s="1240"/>
      <c r="I747" s="1240"/>
      <c r="J747" s="1240"/>
      <c r="K747" s="1240"/>
      <c r="L747" s="1240"/>
      <c r="M747" s="1240"/>
      <c r="N747" s="1240"/>
      <c r="O747" s="1240"/>
      <c r="P747" s="1240"/>
      <c r="Q747" s="1240"/>
      <c r="R747" s="1240"/>
      <c r="S747" s="1240"/>
      <c r="T747" s="1240"/>
      <c r="U747" s="1240"/>
      <c r="V747" s="1240"/>
      <c r="W747" s="1240"/>
      <c r="X747" s="1240"/>
      <c r="Y747" s="1240"/>
      <c r="Z747" s="1240"/>
      <c r="AA747" s="1240"/>
      <c r="AB747" s="1240"/>
      <c r="AC747" s="1240"/>
      <c r="AD747" s="1240"/>
      <c r="AE747" s="1240"/>
      <c r="AF747" s="1240"/>
      <c r="AG747" s="1240"/>
    </row>
    <row r="749" spans="1:42" ht="14.25" customHeight="1" x14ac:dyDescent="0.2">
      <c r="D749" s="922" t="s">
        <v>2001</v>
      </c>
      <c r="E749" s="992"/>
      <c r="F749" s="992"/>
      <c r="G749" s="992"/>
      <c r="H749" s="992"/>
      <c r="I749" s="992"/>
      <c r="J749" s="992"/>
      <c r="K749" s="992"/>
      <c r="L749" s="992"/>
      <c r="M749" s="992"/>
    </row>
    <row r="751" spans="1:42" ht="14.25" customHeight="1" x14ac:dyDescent="0.2">
      <c r="D751" s="1168" t="s">
        <v>2008</v>
      </c>
      <c r="E751" s="1168"/>
      <c r="F751" s="1168"/>
      <c r="G751" s="1168"/>
      <c r="H751" s="1168"/>
      <c r="I751" s="1168"/>
      <c r="J751" s="1168"/>
      <c r="K751" s="1168"/>
      <c r="L751" s="1168"/>
      <c r="M751" s="1168"/>
      <c r="N751" s="1168"/>
      <c r="O751" s="1168"/>
      <c r="P751" s="1168"/>
      <c r="Q751" s="1168"/>
      <c r="R751" s="1168"/>
      <c r="S751" s="1168"/>
      <c r="T751" s="1168"/>
      <c r="U751" s="1168"/>
      <c r="V751" s="1168"/>
      <c r="W751" s="1168"/>
      <c r="X751" s="1168"/>
      <c r="Y751" s="1168"/>
      <c r="Z751" s="1168"/>
      <c r="AA751" s="1168"/>
      <c r="AB751" s="1168"/>
      <c r="AC751" s="1168"/>
      <c r="AD751" s="1168"/>
      <c r="AE751" s="1168"/>
      <c r="AF751" s="1168"/>
      <c r="AG751" s="1168"/>
    </row>
    <row r="752" spans="1:42" ht="14.25" customHeight="1" thickBot="1" x14ac:dyDescent="0.25"/>
    <row r="753" spans="4:33" ht="14.25" customHeight="1" thickBot="1" x14ac:dyDescent="0.25">
      <c r="D753" s="1120" t="s">
        <v>131</v>
      </c>
      <c r="E753" s="1120"/>
      <c r="F753" s="1120"/>
      <c r="G753" s="1120"/>
      <c r="H753" s="1120"/>
      <c r="I753" s="1120"/>
      <c r="J753" s="1120"/>
      <c r="K753" s="1120"/>
      <c r="L753" s="1120"/>
      <c r="M753" s="1120"/>
      <c r="N753" s="1120" t="s">
        <v>2</v>
      </c>
      <c r="O753" s="1120"/>
      <c r="P753" s="1120"/>
      <c r="Q753" s="1120"/>
      <c r="R753" s="1120"/>
      <c r="S753" s="1120"/>
      <c r="T753" s="1120"/>
      <c r="U753" s="1120"/>
      <c r="V753" s="1120"/>
      <c r="W753" s="1120"/>
      <c r="X753" s="1120" t="s">
        <v>3</v>
      </c>
      <c r="Y753" s="1120"/>
      <c r="Z753" s="1120"/>
      <c r="AA753" s="1120"/>
      <c r="AB753" s="1120"/>
      <c r="AC753" s="1120"/>
      <c r="AD753" s="1120"/>
      <c r="AE753" s="1120"/>
      <c r="AF753" s="1120"/>
      <c r="AG753" s="1120"/>
    </row>
    <row r="754" spans="4:33" ht="19.5" customHeight="1" x14ac:dyDescent="0.2">
      <c r="D754" s="1142" t="s">
        <v>220</v>
      </c>
      <c r="E754" s="1142"/>
      <c r="F754" s="1142"/>
      <c r="G754" s="1142"/>
      <c r="H754" s="1142"/>
      <c r="I754" s="1142"/>
      <c r="J754" s="1142"/>
      <c r="K754" s="1142"/>
      <c r="L754" s="1142"/>
      <c r="M754" s="1142"/>
      <c r="N754" s="1224">
        <f>N755</f>
        <v>13878.545454545456</v>
      </c>
      <c r="O754" s="1224"/>
      <c r="P754" s="1224"/>
      <c r="Q754" s="1224"/>
      <c r="R754" s="1224"/>
      <c r="S754" s="1224"/>
      <c r="T754" s="1224"/>
      <c r="U754" s="1224"/>
      <c r="V754" s="1224"/>
      <c r="W754" s="1224"/>
      <c r="X754" s="1224">
        <v>-8757</v>
      </c>
      <c r="Y754" s="1224"/>
      <c r="Z754" s="1224"/>
      <c r="AA754" s="1224"/>
      <c r="AB754" s="1224"/>
      <c r="AC754" s="1224"/>
      <c r="AD754" s="1224"/>
      <c r="AE754" s="1224"/>
      <c r="AF754" s="1224"/>
      <c r="AG754" s="1224"/>
    </row>
    <row r="755" spans="4:33" ht="14.25" customHeight="1" x14ac:dyDescent="0.2">
      <c r="D755" s="1184" t="s">
        <v>221</v>
      </c>
      <c r="E755" s="1184"/>
      <c r="F755" s="1184"/>
      <c r="G755" s="1184"/>
      <c r="H755" s="1184"/>
      <c r="I755" s="1184"/>
      <c r="J755" s="1184"/>
      <c r="K755" s="1184"/>
      <c r="L755" s="1184"/>
      <c r="M755" s="1184"/>
      <c r="N755" s="1045">
        <f>N763/0.22-N758</f>
        <v>13878.545454545456</v>
      </c>
      <c r="O755" s="1045"/>
      <c r="P755" s="1045"/>
      <c r="Q755" s="1045"/>
      <c r="R755" s="1045"/>
      <c r="S755" s="1045"/>
      <c r="T755" s="1045"/>
      <c r="U755" s="1045"/>
      <c r="V755" s="1045"/>
      <c r="W755" s="1045"/>
      <c r="X755" s="1045"/>
      <c r="Y755" s="1045"/>
      <c r="Z755" s="1045"/>
      <c r="AA755" s="1045"/>
      <c r="AB755" s="1045"/>
      <c r="AC755" s="1045"/>
      <c r="AD755" s="1045"/>
      <c r="AE755" s="1045"/>
      <c r="AF755" s="1045"/>
      <c r="AG755" s="1045"/>
    </row>
    <row r="756" spans="4:33" ht="14.25" customHeight="1" x14ac:dyDescent="0.2">
      <c r="D756" s="1184" t="s">
        <v>222</v>
      </c>
      <c r="E756" s="1184"/>
      <c r="F756" s="1184"/>
      <c r="G756" s="1184"/>
      <c r="H756" s="1184"/>
      <c r="I756" s="1184"/>
      <c r="J756" s="1184"/>
      <c r="K756" s="1184"/>
      <c r="L756" s="1184"/>
      <c r="M756" s="1184"/>
      <c r="N756" s="1045"/>
      <c r="O756" s="1045"/>
      <c r="P756" s="1045"/>
      <c r="Q756" s="1045"/>
      <c r="R756" s="1045"/>
      <c r="S756" s="1045"/>
      <c r="T756" s="1045"/>
      <c r="U756" s="1045"/>
      <c r="V756" s="1045"/>
      <c r="W756" s="1045"/>
      <c r="X756" s="1045">
        <v>-8757</v>
      </c>
      <c r="Y756" s="1045"/>
      <c r="Z756" s="1045"/>
      <c r="AA756" s="1045"/>
      <c r="AB756" s="1045"/>
      <c r="AC756" s="1045"/>
      <c r="AD756" s="1045"/>
      <c r="AE756" s="1045"/>
      <c r="AF756" s="1045"/>
      <c r="AG756" s="1045"/>
    </row>
    <row r="757" spans="4:33" ht="19.5" customHeight="1" x14ac:dyDescent="0.2">
      <c r="D757" s="1223" t="s">
        <v>223</v>
      </c>
      <c r="E757" s="1223"/>
      <c r="F757" s="1223"/>
      <c r="G757" s="1223"/>
      <c r="H757" s="1223"/>
      <c r="I757" s="1223"/>
      <c r="J757" s="1223"/>
      <c r="K757" s="1223"/>
      <c r="L757" s="1223"/>
      <c r="M757" s="1223"/>
      <c r="N757" s="1193">
        <f>N758</f>
        <v>38326</v>
      </c>
      <c r="O757" s="1193"/>
      <c r="P757" s="1193"/>
      <c r="Q757" s="1193"/>
      <c r="R757" s="1193"/>
      <c r="S757" s="1193"/>
      <c r="T757" s="1193"/>
      <c r="U757" s="1193"/>
      <c r="V757" s="1193"/>
      <c r="W757" s="1193"/>
      <c r="X757" s="1193">
        <v>96683</v>
      </c>
      <c r="Y757" s="1193"/>
      <c r="Z757" s="1193"/>
      <c r="AA757" s="1193"/>
      <c r="AB757" s="1193"/>
      <c r="AC757" s="1193"/>
      <c r="AD757" s="1193"/>
      <c r="AE757" s="1193"/>
      <c r="AF757" s="1193"/>
      <c r="AG757" s="1193"/>
    </row>
    <row r="758" spans="4:33" ht="14.25" customHeight="1" x14ac:dyDescent="0.2">
      <c r="D758" s="1184" t="s">
        <v>221</v>
      </c>
      <c r="E758" s="1184"/>
      <c r="F758" s="1184"/>
      <c r="G758" s="1184"/>
      <c r="H758" s="1184"/>
      <c r="I758" s="1184"/>
      <c r="J758" s="1184"/>
      <c r="K758" s="1184"/>
      <c r="L758" s="1184"/>
      <c r="M758" s="1184"/>
      <c r="N758" s="1045">
        <v>38326</v>
      </c>
      <c r="O758" s="1045"/>
      <c r="P758" s="1045"/>
      <c r="Q758" s="1045"/>
      <c r="R758" s="1045"/>
      <c r="S758" s="1045"/>
      <c r="T758" s="1045"/>
      <c r="U758" s="1045"/>
      <c r="V758" s="1045"/>
      <c r="W758" s="1045"/>
      <c r="X758" s="1045">
        <v>96683</v>
      </c>
      <c r="Y758" s="1045"/>
      <c r="Z758" s="1045"/>
      <c r="AA758" s="1045"/>
      <c r="AB758" s="1045"/>
      <c r="AC758" s="1045"/>
      <c r="AD758" s="1045"/>
      <c r="AE758" s="1045"/>
      <c r="AF758" s="1045"/>
      <c r="AG758" s="1045"/>
    </row>
    <row r="759" spans="4:33" ht="14.25" customHeight="1" x14ac:dyDescent="0.2">
      <c r="D759" s="1184" t="s">
        <v>222</v>
      </c>
      <c r="E759" s="1184"/>
      <c r="F759" s="1184"/>
      <c r="G759" s="1184"/>
      <c r="H759" s="1184"/>
      <c r="I759" s="1184"/>
      <c r="J759" s="1184"/>
      <c r="K759" s="1184"/>
      <c r="L759" s="1184"/>
      <c r="M759" s="1184"/>
      <c r="N759" s="1045"/>
      <c r="O759" s="1045"/>
      <c r="P759" s="1045"/>
      <c r="Q759" s="1045"/>
      <c r="R759" s="1045"/>
      <c r="S759" s="1045"/>
      <c r="T759" s="1045"/>
      <c r="U759" s="1045"/>
      <c r="V759" s="1045"/>
      <c r="W759" s="1045"/>
      <c r="X759" s="1045"/>
      <c r="Y759" s="1045"/>
      <c r="Z759" s="1045"/>
      <c r="AA759" s="1045"/>
      <c r="AB759" s="1045"/>
      <c r="AC759" s="1045"/>
      <c r="AD759" s="1045"/>
      <c r="AE759" s="1045"/>
      <c r="AF759" s="1045"/>
      <c r="AG759" s="1045"/>
    </row>
    <row r="760" spans="4:33" ht="21" customHeight="1" x14ac:dyDescent="0.2">
      <c r="D760" s="1223" t="s">
        <v>224</v>
      </c>
      <c r="E760" s="1223"/>
      <c r="F760" s="1223"/>
      <c r="G760" s="1223"/>
      <c r="H760" s="1223"/>
      <c r="I760" s="1223"/>
      <c r="J760" s="1223"/>
      <c r="K760" s="1223"/>
      <c r="L760" s="1223"/>
      <c r="M760" s="1223"/>
      <c r="N760" s="1193"/>
      <c r="O760" s="1193"/>
      <c r="P760" s="1193"/>
      <c r="Q760" s="1193"/>
      <c r="R760" s="1193"/>
      <c r="S760" s="1193"/>
      <c r="T760" s="1193"/>
      <c r="U760" s="1193"/>
      <c r="V760" s="1193"/>
      <c r="W760" s="1193"/>
      <c r="X760" s="1193"/>
      <c r="Y760" s="1193"/>
      <c r="Z760" s="1193"/>
      <c r="AA760" s="1193"/>
      <c r="AB760" s="1193"/>
      <c r="AC760" s="1193"/>
      <c r="AD760" s="1193"/>
      <c r="AE760" s="1193"/>
      <c r="AF760" s="1193"/>
      <c r="AG760" s="1193"/>
    </row>
    <row r="761" spans="4:33" ht="21" customHeight="1" x14ac:dyDescent="0.2">
      <c r="D761" s="1223" t="s">
        <v>225</v>
      </c>
      <c r="E761" s="1223"/>
      <c r="F761" s="1223"/>
      <c r="G761" s="1223"/>
      <c r="H761" s="1223"/>
      <c r="I761" s="1223"/>
      <c r="J761" s="1223"/>
      <c r="K761" s="1223"/>
      <c r="L761" s="1223"/>
      <c r="M761" s="1223"/>
      <c r="N761" s="1193"/>
      <c r="O761" s="1193"/>
      <c r="P761" s="1193"/>
      <c r="Q761" s="1193"/>
      <c r="R761" s="1193"/>
      <c r="S761" s="1193"/>
      <c r="T761" s="1193"/>
      <c r="U761" s="1193"/>
      <c r="V761" s="1193"/>
      <c r="W761" s="1193"/>
      <c r="X761" s="1193"/>
      <c r="Y761" s="1193"/>
      <c r="Z761" s="1193"/>
      <c r="AA761" s="1193"/>
      <c r="AB761" s="1193"/>
      <c r="AC761" s="1193"/>
      <c r="AD761" s="1193"/>
      <c r="AE761" s="1193"/>
      <c r="AF761" s="1193"/>
      <c r="AG761" s="1193"/>
    </row>
    <row r="762" spans="4:33" ht="14.25" customHeight="1" x14ac:dyDescent="0.2">
      <c r="D762" s="1223" t="s">
        <v>226</v>
      </c>
      <c r="E762" s="1223"/>
      <c r="F762" s="1223"/>
      <c r="G762" s="1223"/>
      <c r="H762" s="1223"/>
      <c r="I762" s="1223"/>
      <c r="J762" s="1223"/>
      <c r="K762" s="1223"/>
      <c r="L762" s="1223"/>
      <c r="M762" s="1223"/>
      <c r="N762" s="1193">
        <v>22</v>
      </c>
      <c r="O762" s="1193"/>
      <c r="P762" s="1193"/>
      <c r="Q762" s="1193"/>
      <c r="R762" s="1193"/>
      <c r="S762" s="1193"/>
      <c r="T762" s="1193"/>
      <c r="U762" s="1193"/>
      <c r="V762" s="1193"/>
      <c r="W762" s="1193"/>
      <c r="X762" s="1193">
        <v>23</v>
      </c>
      <c r="Y762" s="1193"/>
      <c r="Z762" s="1193"/>
      <c r="AA762" s="1193"/>
      <c r="AB762" s="1193"/>
      <c r="AC762" s="1193"/>
      <c r="AD762" s="1193"/>
      <c r="AE762" s="1193"/>
      <c r="AF762" s="1193"/>
      <c r="AG762" s="1193"/>
    </row>
    <row r="763" spans="4:33" ht="14.25" customHeight="1" x14ac:dyDescent="0.2">
      <c r="D763" s="1223" t="s">
        <v>227</v>
      </c>
      <c r="E763" s="1223"/>
      <c r="F763" s="1223"/>
      <c r="G763" s="1223"/>
      <c r="H763" s="1223"/>
      <c r="I763" s="1223"/>
      <c r="J763" s="1223"/>
      <c r="K763" s="1223"/>
      <c r="L763" s="1223"/>
      <c r="M763" s="1223"/>
      <c r="N763" s="1193">
        <v>11485</v>
      </c>
      <c r="O763" s="1193"/>
      <c r="P763" s="1193"/>
      <c r="Q763" s="1193"/>
      <c r="R763" s="1193"/>
      <c r="S763" s="1193"/>
      <c r="T763" s="1193"/>
      <c r="U763" s="1193"/>
      <c r="V763" s="1193"/>
      <c r="W763" s="1193"/>
      <c r="X763" s="1193">
        <v>20223</v>
      </c>
      <c r="Y763" s="1193"/>
      <c r="Z763" s="1193"/>
      <c r="AA763" s="1193"/>
      <c r="AB763" s="1193"/>
      <c r="AC763" s="1193"/>
      <c r="AD763" s="1193"/>
      <c r="AE763" s="1193"/>
      <c r="AF763" s="1193"/>
      <c r="AG763" s="1193"/>
    </row>
    <row r="764" spans="4:33" ht="14.25" customHeight="1" x14ac:dyDescent="0.2">
      <c r="D764" s="1223" t="s">
        <v>228</v>
      </c>
      <c r="E764" s="1223"/>
      <c r="F764" s="1223"/>
      <c r="G764" s="1223"/>
      <c r="H764" s="1223"/>
      <c r="I764" s="1223"/>
      <c r="J764" s="1223"/>
      <c r="K764" s="1223"/>
      <c r="L764" s="1223"/>
      <c r="M764" s="1223"/>
      <c r="N764" s="1193">
        <v>11485</v>
      </c>
      <c r="O764" s="1193"/>
      <c r="P764" s="1193"/>
      <c r="Q764" s="1193"/>
      <c r="R764" s="1193"/>
      <c r="S764" s="1193"/>
      <c r="T764" s="1193"/>
      <c r="U764" s="1193"/>
      <c r="V764" s="1193"/>
      <c r="W764" s="1193"/>
      <c r="X764" s="1193">
        <v>20223</v>
      </c>
      <c r="Y764" s="1193"/>
      <c r="Z764" s="1193"/>
      <c r="AA764" s="1193"/>
      <c r="AB764" s="1193"/>
      <c r="AC764" s="1193"/>
      <c r="AD764" s="1193"/>
      <c r="AE764" s="1193"/>
      <c r="AF764" s="1193"/>
      <c r="AG764" s="1193"/>
    </row>
    <row r="765" spans="4:33" ht="14.25" customHeight="1" x14ac:dyDescent="0.2">
      <c r="D765" s="1184" t="s">
        <v>229</v>
      </c>
      <c r="E765" s="1184"/>
      <c r="F765" s="1184"/>
      <c r="G765" s="1184"/>
      <c r="H765" s="1184"/>
      <c r="I765" s="1184"/>
      <c r="J765" s="1184"/>
      <c r="K765" s="1184"/>
      <c r="L765" s="1184"/>
      <c r="M765" s="1184"/>
      <c r="N765" s="1045">
        <v>8738</v>
      </c>
      <c r="O765" s="1045"/>
      <c r="P765" s="1045"/>
      <c r="Q765" s="1045"/>
      <c r="R765" s="1045"/>
      <c r="S765" s="1045"/>
      <c r="T765" s="1045"/>
      <c r="U765" s="1045"/>
      <c r="V765" s="1045"/>
      <c r="W765" s="1045"/>
      <c r="X765" s="1045">
        <v>-5383</v>
      </c>
      <c r="Y765" s="1045"/>
      <c r="Z765" s="1045"/>
      <c r="AA765" s="1045"/>
      <c r="AB765" s="1045"/>
      <c r="AC765" s="1045"/>
      <c r="AD765" s="1045"/>
      <c r="AE765" s="1045"/>
      <c r="AF765" s="1045"/>
      <c r="AG765" s="1045"/>
    </row>
    <row r="766" spans="4:33" ht="14.25" customHeight="1" x14ac:dyDescent="0.2">
      <c r="D766" s="1184" t="s">
        <v>230</v>
      </c>
      <c r="E766" s="1184"/>
      <c r="F766" s="1184"/>
      <c r="G766" s="1184"/>
      <c r="H766" s="1184"/>
      <c r="I766" s="1184"/>
      <c r="J766" s="1184"/>
      <c r="K766" s="1184"/>
      <c r="L766" s="1184"/>
      <c r="M766" s="1184"/>
      <c r="N766" s="1045"/>
      <c r="O766" s="1045"/>
      <c r="P766" s="1045"/>
      <c r="Q766" s="1045"/>
      <c r="R766" s="1045"/>
      <c r="S766" s="1045"/>
      <c r="T766" s="1045"/>
      <c r="U766" s="1045"/>
      <c r="V766" s="1045"/>
      <c r="W766" s="1045"/>
      <c r="X766" s="1045"/>
      <c r="Y766" s="1045"/>
      <c r="Z766" s="1045"/>
      <c r="AA766" s="1045"/>
      <c r="AB766" s="1045"/>
      <c r="AC766" s="1045"/>
      <c r="AD766" s="1045"/>
      <c r="AE766" s="1045"/>
      <c r="AF766" s="1045"/>
      <c r="AG766" s="1045"/>
    </row>
    <row r="767" spans="4:33" ht="14.25" customHeight="1" x14ac:dyDescent="0.2">
      <c r="D767" s="1223" t="s">
        <v>231</v>
      </c>
      <c r="E767" s="1223"/>
      <c r="F767" s="1223"/>
      <c r="G767" s="1223"/>
      <c r="H767" s="1223"/>
      <c r="I767" s="1223"/>
      <c r="J767" s="1223"/>
      <c r="K767" s="1223"/>
      <c r="L767" s="1223"/>
      <c r="M767" s="1223"/>
      <c r="N767" s="1193"/>
      <c r="O767" s="1193"/>
      <c r="P767" s="1193"/>
      <c r="Q767" s="1193"/>
      <c r="R767" s="1193"/>
      <c r="S767" s="1193"/>
      <c r="T767" s="1193"/>
      <c r="U767" s="1193"/>
      <c r="V767" s="1193"/>
      <c r="W767" s="1193"/>
      <c r="X767" s="1193"/>
      <c r="Y767" s="1193"/>
      <c r="Z767" s="1193"/>
      <c r="AA767" s="1193"/>
      <c r="AB767" s="1193"/>
      <c r="AC767" s="1193"/>
      <c r="AD767" s="1193"/>
      <c r="AE767" s="1193"/>
      <c r="AF767" s="1193"/>
      <c r="AG767" s="1193"/>
    </row>
    <row r="768" spans="4:33" ht="14.25" customHeight="1" x14ac:dyDescent="0.2">
      <c r="D768" s="1223" t="s">
        <v>232</v>
      </c>
      <c r="E768" s="1223"/>
      <c r="F768" s="1223"/>
      <c r="G768" s="1223"/>
      <c r="H768" s="1223"/>
      <c r="I768" s="1223"/>
      <c r="J768" s="1223"/>
      <c r="K768" s="1223"/>
      <c r="L768" s="1223"/>
      <c r="M768" s="1223"/>
      <c r="N768" s="1193"/>
      <c r="O768" s="1193"/>
      <c r="P768" s="1193"/>
      <c r="Q768" s="1193"/>
      <c r="R768" s="1193"/>
      <c r="S768" s="1193"/>
      <c r="T768" s="1193"/>
      <c r="U768" s="1193"/>
      <c r="V768" s="1193"/>
      <c r="W768" s="1193"/>
      <c r="X768" s="1193"/>
      <c r="Y768" s="1193"/>
      <c r="Z768" s="1193"/>
      <c r="AA768" s="1193"/>
      <c r="AB768" s="1193"/>
      <c r="AC768" s="1193"/>
      <c r="AD768" s="1193"/>
      <c r="AE768" s="1193"/>
      <c r="AF768" s="1193"/>
      <c r="AG768" s="1193"/>
    </row>
    <row r="769" spans="1:42" ht="14.25" customHeight="1" x14ac:dyDescent="0.2">
      <c r="D769" s="1184" t="s">
        <v>233</v>
      </c>
      <c r="E769" s="1184"/>
      <c r="F769" s="1184"/>
      <c r="G769" s="1184"/>
      <c r="H769" s="1184"/>
      <c r="I769" s="1184"/>
      <c r="J769" s="1184"/>
      <c r="K769" s="1184"/>
      <c r="L769" s="1184"/>
      <c r="M769" s="1184"/>
      <c r="N769" s="1045"/>
      <c r="O769" s="1045"/>
      <c r="P769" s="1045"/>
      <c r="Q769" s="1045"/>
      <c r="R769" s="1045"/>
      <c r="S769" s="1045"/>
      <c r="T769" s="1045"/>
      <c r="U769" s="1045"/>
      <c r="V769" s="1045"/>
      <c r="W769" s="1045"/>
      <c r="X769" s="1045"/>
      <c r="Y769" s="1045"/>
      <c r="Z769" s="1045"/>
      <c r="AA769" s="1045"/>
      <c r="AB769" s="1045"/>
      <c r="AC769" s="1045"/>
      <c r="AD769" s="1045"/>
      <c r="AE769" s="1045"/>
      <c r="AF769" s="1045"/>
      <c r="AG769" s="1045"/>
    </row>
    <row r="770" spans="1:42" ht="14.25" customHeight="1" thickBot="1" x14ac:dyDescent="0.25">
      <c r="D770" s="1222" t="s">
        <v>230</v>
      </c>
      <c r="E770" s="1222"/>
      <c r="F770" s="1222"/>
      <c r="G770" s="1222"/>
      <c r="H770" s="1222"/>
      <c r="I770" s="1222"/>
      <c r="J770" s="1222"/>
      <c r="K770" s="1222"/>
      <c r="L770" s="1222"/>
      <c r="M770" s="1222"/>
      <c r="N770" s="1208"/>
      <c r="O770" s="1208"/>
      <c r="P770" s="1208"/>
      <c r="Q770" s="1208"/>
      <c r="R770" s="1208"/>
      <c r="S770" s="1208"/>
      <c r="T770" s="1208"/>
      <c r="U770" s="1208"/>
      <c r="V770" s="1208"/>
      <c r="W770" s="1208"/>
      <c r="X770" s="1208"/>
      <c r="Y770" s="1208"/>
      <c r="Z770" s="1208"/>
      <c r="AA770" s="1208"/>
      <c r="AB770" s="1208"/>
      <c r="AC770" s="1208"/>
      <c r="AD770" s="1208"/>
      <c r="AE770" s="1208"/>
      <c r="AF770" s="1208"/>
      <c r="AG770" s="1208"/>
    </row>
    <row r="772" spans="1:42" ht="14.25" customHeight="1" x14ac:dyDescent="0.2">
      <c r="D772" s="1116"/>
      <c r="E772" s="1116"/>
      <c r="F772" s="1116"/>
      <c r="G772" s="1116"/>
      <c r="H772" s="1116"/>
      <c r="I772" s="1116"/>
      <c r="J772" s="1116"/>
      <c r="K772" s="1116"/>
      <c r="L772" s="1116"/>
      <c r="M772" s="1116"/>
      <c r="N772" s="1116"/>
      <c r="O772" s="1116"/>
      <c r="P772" s="1116"/>
      <c r="Q772" s="1116"/>
      <c r="R772" s="1116"/>
      <c r="S772" s="1116"/>
      <c r="T772" s="1116"/>
      <c r="U772" s="1116"/>
      <c r="V772" s="1116"/>
      <c r="W772" s="1116"/>
      <c r="X772" s="1116"/>
      <c r="Y772" s="1116"/>
      <c r="Z772" s="1116"/>
      <c r="AA772" s="1116"/>
      <c r="AB772" s="1116"/>
      <c r="AC772" s="1116"/>
      <c r="AD772" s="1116"/>
      <c r="AE772" s="1116"/>
      <c r="AF772" s="1116"/>
      <c r="AG772" s="1116"/>
    </row>
    <row r="773" spans="1:42" ht="14.25" customHeight="1" x14ac:dyDescent="0.2">
      <c r="D773" s="1116"/>
      <c r="E773" s="1116"/>
      <c r="F773" s="1116"/>
      <c r="G773" s="1116"/>
      <c r="H773" s="1116"/>
      <c r="I773" s="1116"/>
      <c r="J773" s="1116"/>
      <c r="K773" s="1116"/>
      <c r="L773" s="1116"/>
      <c r="M773" s="1116"/>
      <c r="N773" s="1116"/>
      <c r="O773" s="1116"/>
      <c r="P773" s="1116"/>
      <c r="Q773" s="1116"/>
      <c r="R773" s="1116"/>
      <c r="S773" s="1116"/>
      <c r="T773" s="1116"/>
      <c r="U773" s="1116"/>
      <c r="V773" s="1116"/>
      <c r="W773" s="1116"/>
      <c r="X773" s="1116"/>
      <c r="Y773" s="1116"/>
      <c r="Z773" s="1116"/>
      <c r="AA773" s="1116"/>
      <c r="AB773" s="1116"/>
      <c r="AC773" s="1116"/>
      <c r="AD773" s="1116"/>
      <c r="AE773" s="1116"/>
      <c r="AF773" s="1116"/>
      <c r="AG773" s="1116"/>
    </row>
    <row r="775" spans="1:42" ht="14.25" customHeight="1" x14ac:dyDescent="0.2">
      <c r="D775" s="1213" t="s">
        <v>2065</v>
      </c>
      <c r="E775" s="1213"/>
      <c r="F775" s="1213"/>
      <c r="G775" s="1213"/>
      <c r="H775" s="1213"/>
      <c r="I775" s="1213"/>
      <c r="J775" s="1213"/>
      <c r="K775" s="1213"/>
      <c r="L775" s="1213"/>
      <c r="M775" s="1213"/>
      <c r="N775" s="1213"/>
      <c r="O775" s="1213"/>
      <c r="P775" s="1213"/>
      <c r="Q775" s="1213"/>
      <c r="R775" s="1213"/>
      <c r="S775" s="1213"/>
      <c r="T775" s="1213"/>
      <c r="U775" s="1213"/>
      <c r="V775" s="1213"/>
      <c r="W775" s="1213"/>
      <c r="X775" s="1213"/>
      <c r="Y775" s="1213"/>
      <c r="Z775" s="1213"/>
      <c r="AA775" s="1213"/>
      <c r="AB775" s="1213"/>
      <c r="AC775" s="1213"/>
      <c r="AD775" s="1213"/>
      <c r="AE775" s="1213"/>
      <c r="AF775" s="1213"/>
      <c r="AG775" s="1213"/>
    </row>
    <row r="776" spans="1:42" ht="14.25" customHeight="1" thickBot="1" x14ac:dyDescent="0.25"/>
    <row r="777" spans="1:42" ht="28.5" customHeight="1" thickTop="1" thickBot="1" x14ac:dyDescent="0.25">
      <c r="A777" s="942">
        <v>27</v>
      </c>
      <c r="D777" s="1214" t="s">
        <v>131</v>
      </c>
      <c r="E777" s="1215"/>
      <c r="F777" s="1215"/>
      <c r="G777" s="1215"/>
      <c r="H777" s="1215"/>
      <c r="I777" s="1215"/>
      <c r="J777" s="1215"/>
      <c r="K777" s="1215"/>
      <c r="L777" s="1215"/>
      <c r="M777" s="1216"/>
      <c r="N777" s="1214" t="s">
        <v>2</v>
      </c>
      <c r="O777" s="1215"/>
      <c r="P777" s="1215"/>
      <c r="Q777" s="1215"/>
      <c r="R777" s="1215"/>
      <c r="S777" s="1215"/>
      <c r="T777" s="1215"/>
      <c r="U777" s="1215"/>
      <c r="V777" s="1215"/>
      <c r="W777" s="1216"/>
      <c r="X777" s="1214" t="s">
        <v>3</v>
      </c>
      <c r="Y777" s="1215"/>
      <c r="Z777" s="1215"/>
      <c r="AA777" s="1215"/>
      <c r="AB777" s="1215"/>
      <c r="AC777" s="1215"/>
      <c r="AD777" s="1215"/>
      <c r="AE777" s="1215"/>
      <c r="AF777" s="1215"/>
      <c r="AG777" s="1216"/>
      <c r="AL777" s="934" t="s">
        <v>2</v>
      </c>
      <c r="AM777" s="937" t="s">
        <v>3</v>
      </c>
      <c r="AO777" s="934" t="s">
        <v>2</v>
      </c>
      <c r="AP777" s="937" t="s">
        <v>3</v>
      </c>
    </row>
    <row r="778" spans="1:42" ht="18.75" customHeight="1" x14ac:dyDescent="0.2">
      <c r="D778" s="1217" t="s">
        <v>234</v>
      </c>
      <c r="E778" s="1218"/>
      <c r="F778" s="1218"/>
      <c r="G778" s="1218"/>
      <c r="H778" s="1218"/>
      <c r="I778" s="1218"/>
      <c r="J778" s="1218"/>
      <c r="K778" s="1218"/>
      <c r="L778" s="1218"/>
      <c r="M778" s="1219"/>
      <c r="N778" s="1220">
        <v>28</v>
      </c>
      <c r="O778" s="1221"/>
      <c r="P778" s="1221"/>
      <c r="Q778" s="1221"/>
      <c r="R778" s="1221"/>
      <c r="S778" s="1221"/>
      <c r="T778" s="1221"/>
      <c r="U778" s="1221"/>
      <c r="V778" s="1221"/>
      <c r="W778" s="1221"/>
      <c r="X778" s="1221">
        <v>97</v>
      </c>
      <c r="Y778" s="1221"/>
      <c r="Z778" s="1221"/>
      <c r="AA778" s="1221"/>
      <c r="AB778" s="1221"/>
      <c r="AC778" s="1221"/>
      <c r="AD778" s="1221"/>
      <c r="AE778" s="1221"/>
      <c r="AF778" s="1221"/>
      <c r="AG778" s="1221"/>
      <c r="AL778" s="951"/>
      <c r="AM778" s="953"/>
      <c r="AO778" s="951"/>
      <c r="AP778" s="953"/>
    </row>
    <row r="779" spans="1:42" ht="18.75" customHeight="1" x14ac:dyDescent="0.2">
      <c r="D779" s="1200" t="s">
        <v>235</v>
      </c>
      <c r="E779" s="1201"/>
      <c r="F779" s="1201"/>
      <c r="G779" s="1201"/>
      <c r="H779" s="1201"/>
      <c r="I779" s="1201"/>
      <c r="J779" s="1201"/>
      <c r="K779" s="1201"/>
      <c r="L779" s="1201"/>
      <c r="M779" s="1202"/>
      <c r="N779" s="1203">
        <v>1599</v>
      </c>
      <c r="O779" s="1045"/>
      <c r="P779" s="1045"/>
      <c r="Q779" s="1045"/>
      <c r="R779" s="1045"/>
      <c r="S779" s="1045"/>
      <c r="T779" s="1045"/>
      <c r="U779" s="1045"/>
      <c r="V779" s="1045"/>
      <c r="W779" s="1045"/>
      <c r="X779" s="1046">
        <v>1420</v>
      </c>
      <c r="Y779" s="1061"/>
      <c r="Z779" s="1061"/>
      <c r="AA779" s="1061"/>
      <c r="AB779" s="1061"/>
      <c r="AC779" s="1061"/>
      <c r="AD779" s="1061"/>
      <c r="AE779" s="1061"/>
      <c r="AF779" s="1061"/>
      <c r="AG779" s="1203"/>
      <c r="AL779" s="954"/>
      <c r="AM779" s="958"/>
      <c r="AO779" s="954"/>
      <c r="AP779" s="958"/>
    </row>
    <row r="780" spans="1:42" ht="18.75" customHeight="1" x14ac:dyDescent="0.2">
      <c r="D780" s="1200" t="s">
        <v>236</v>
      </c>
      <c r="E780" s="1201"/>
      <c r="F780" s="1201"/>
      <c r="G780" s="1201"/>
      <c r="H780" s="1201"/>
      <c r="I780" s="1201"/>
      <c r="J780" s="1201"/>
      <c r="K780" s="1201"/>
      <c r="L780" s="1201"/>
      <c r="M780" s="1202"/>
      <c r="N780" s="1203"/>
      <c r="O780" s="1045"/>
      <c r="P780" s="1045"/>
      <c r="Q780" s="1045"/>
      <c r="R780" s="1045"/>
      <c r="S780" s="1045"/>
      <c r="T780" s="1045"/>
      <c r="U780" s="1045"/>
      <c r="V780" s="1045"/>
      <c r="W780" s="1045"/>
      <c r="X780" s="1046"/>
      <c r="Y780" s="1061"/>
      <c r="Z780" s="1061"/>
      <c r="AA780" s="1061"/>
      <c r="AB780" s="1061"/>
      <c r="AC780" s="1061"/>
      <c r="AD780" s="1061"/>
      <c r="AE780" s="1061"/>
      <c r="AF780" s="1061"/>
      <c r="AG780" s="1203"/>
      <c r="AL780" s="954"/>
      <c r="AM780" s="958"/>
      <c r="AO780" s="954"/>
      <c r="AP780" s="958"/>
    </row>
    <row r="781" spans="1:42" ht="18.75" customHeight="1" x14ac:dyDescent="0.2">
      <c r="D781" s="1200" t="s">
        <v>237</v>
      </c>
      <c r="E781" s="1201"/>
      <c r="F781" s="1201"/>
      <c r="G781" s="1201"/>
      <c r="H781" s="1201"/>
      <c r="I781" s="1201"/>
      <c r="J781" s="1201"/>
      <c r="K781" s="1201"/>
      <c r="L781" s="1201"/>
      <c r="M781" s="1202"/>
      <c r="N781" s="1203"/>
      <c r="O781" s="1045"/>
      <c r="P781" s="1045"/>
      <c r="Q781" s="1045"/>
      <c r="R781" s="1045"/>
      <c r="S781" s="1045"/>
      <c r="T781" s="1045"/>
      <c r="U781" s="1045"/>
      <c r="V781" s="1045"/>
      <c r="W781" s="1045"/>
      <c r="X781" s="1046"/>
      <c r="Y781" s="1061"/>
      <c r="Z781" s="1061"/>
      <c r="AA781" s="1061"/>
      <c r="AB781" s="1061"/>
      <c r="AC781" s="1061"/>
      <c r="AD781" s="1061"/>
      <c r="AE781" s="1061"/>
      <c r="AF781" s="1061"/>
      <c r="AG781" s="1203"/>
      <c r="AL781" s="954"/>
      <c r="AM781" s="958"/>
      <c r="AO781" s="954"/>
      <c r="AP781" s="958"/>
    </row>
    <row r="782" spans="1:42" ht="18.75" customHeight="1" x14ac:dyDescent="0.2">
      <c r="D782" s="1204" t="s">
        <v>238</v>
      </c>
      <c r="E782" s="1205"/>
      <c r="F782" s="1205"/>
      <c r="G782" s="1205"/>
      <c r="H782" s="1205"/>
      <c r="I782" s="1205"/>
      <c r="J782" s="1205"/>
      <c r="K782" s="1205"/>
      <c r="L782" s="1205"/>
      <c r="M782" s="1206"/>
      <c r="N782" s="1207">
        <f>SUM(N779:W781)</f>
        <v>1599</v>
      </c>
      <c r="O782" s="1139"/>
      <c r="P782" s="1139"/>
      <c r="Q782" s="1139"/>
      <c r="R782" s="1139"/>
      <c r="S782" s="1139"/>
      <c r="T782" s="1139"/>
      <c r="U782" s="1139"/>
      <c r="V782" s="1139"/>
      <c r="W782" s="1139"/>
      <c r="X782" s="1207">
        <f>SUM(X779:AG781)</f>
        <v>1420</v>
      </c>
      <c r="Y782" s="1139"/>
      <c r="Z782" s="1139"/>
      <c r="AA782" s="1139"/>
      <c r="AB782" s="1139"/>
      <c r="AC782" s="1139"/>
      <c r="AD782" s="1139"/>
      <c r="AE782" s="1139"/>
      <c r="AF782" s="1139"/>
      <c r="AG782" s="1139"/>
      <c r="AL782" s="956">
        <f>SUM(N779:W781)-N782</f>
        <v>0</v>
      </c>
      <c r="AM782" s="955">
        <f>SUM(X779:AG781)-X782</f>
        <v>0</v>
      </c>
      <c r="AO782" s="954"/>
      <c r="AP782" s="958"/>
    </row>
    <row r="783" spans="1:42" ht="18.75" customHeight="1" x14ac:dyDescent="0.2">
      <c r="D783" s="1204" t="s">
        <v>239</v>
      </c>
      <c r="E783" s="1205"/>
      <c r="F783" s="1205"/>
      <c r="G783" s="1205"/>
      <c r="H783" s="1205"/>
      <c r="I783" s="1205"/>
      <c r="J783" s="1205"/>
      <c r="K783" s="1205"/>
      <c r="L783" s="1205"/>
      <c r="M783" s="1206"/>
      <c r="N783" s="1203">
        <v>1550</v>
      </c>
      <c r="O783" s="1045"/>
      <c r="P783" s="1045"/>
      <c r="Q783" s="1045"/>
      <c r="R783" s="1045"/>
      <c r="S783" s="1045"/>
      <c r="T783" s="1045"/>
      <c r="U783" s="1045"/>
      <c r="V783" s="1045"/>
      <c r="W783" s="1045"/>
      <c r="X783" s="1046">
        <v>1489</v>
      </c>
      <c r="Y783" s="1061"/>
      <c r="Z783" s="1061"/>
      <c r="AA783" s="1061"/>
      <c r="AB783" s="1061"/>
      <c r="AC783" s="1061"/>
      <c r="AD783" s="1061"/>
      <c r="AE783" s="1061"/>
      <c r="AF783" s="1061"/>
      <c r="AG783" s="1203"/>
      <c r="AL783" s="954"/>
      <c r="AM783" s="958"/>
      <c r="AO783" s="954"/>
      <c r="AP783" s="958"/>
    </row>
    <row r="784" spans="1:42" ht="18.75" customHeight="1" thickBot="1" x14ac:dyDescent="0.25">
      <c r="D784" s="1209" t="s">
        <v>240</v>
      </c>
      <c r="E784" s="1210"/>
      <c r="F784" s="1210"/>
      <c r="G784" s="1210"/>
      <c r="H784" s="1210"/>
      <c r="I784" s="1210"/>
      <c r="J784" s="1210"/>
      <c r="K784" s="1210"/>
      <c r="L784" s="1210"/>
      <c r="M784" s="1211"/>
      <c r="N784" s="1212">
        <v>77</v>
      </c>
      <c r="O784" s="1186"/>
      <c r="P784" s="1186"/>
      <c r="Q784" s="1186"/>
      <c r="R784" s="1186"/>
      <c r="S784" s="1186"/>
      <c r="T784" s="1186"/>
      <c r="U784" s="1186"/>
      <c r="V784" s="1186"/>
      <c r="W784" s="1186"/>
      <c r="X784" s="1212">
        <v>28</v>
      </c>
      <c r="Y784" s="1186"/>
      <c r="Z784" s="1186"/>
      <c r="AA784" s="1186"/>
      <c r="AB784" s="1186"/>
      <c r="AC784" s="1186"/>
      <c r="AD784" s="1186"/>
      <c r="AE784" s="1186"/>
      <c r="AF784" s="1186"/>
      <c r="AG784" s="1186"/>
      <c r="AL784" s="959">
        <f>N778+N782+N783-N784</f>
        <v>3100</v>
      </c>
      <c r="AM784" s="961">
        <f>X778+X782+X783-X784</f>
        <v>2978</v>
      </c>
      <c r="AO784" s="959">
        <f>N784-BS!$D$118</f>
        <v>0</v>
      </c>
      <c r="AP784" s="961">
        <f>X784-BS!$E$118</f>
        <v>0</v>
      </c>
    </row>
    <row r="786" spans="1:40" ht="14.25" hidden="1" customHeight="1" x14ac:dyDescent="0.2">
      <c r="D786" s="632" t="s">
        <v>2002</v>
      </c>
    </row>
    <row r="787" spans="1:40" ht="14.25" hidden="1" customHeight="1" x14ac:dyDescent="0.2"/>
    <row r="788" spans="1:40" ht="14.25" hidden="1" customHeight="1" x14ac:dyDescent="0.2">
      <c r="D788" s="1168" t="s">
        <v>1509</v>
      </c>
      <c r="E788" s="1168"/>
      <c r="F788" s="1168"/>
      <c r="G788" s="1168"/>
      <c r="H788" s="1168"/>
      <c r="I788" s="1168"/>
      <c r="J788" s="1168"/>
      <c r="K788" s="1168"/>
      <c r="L788" s="1168"/>
      <c r="M788" s="1168"/>
      <c r="N788" s="1168"/>
      <c r="O788" s="1168"/>
      <c r="P788" s="1168"/>
      <c r="Q788" s="1168"/>
      <c r="R788" s="1168"/>
      <c r="S788" s="1168"/>
      <c r="T788" s="1168"/>
      <c r="U788" s="1168"/>
      <c r="V788" s="1168"/>
      <c r="W788" s="1168"/>
      <c r="X788" s="1168"/>
      <c r="Y788" s="1168"/>
      <c r="Z788" s="1168"/>
      <c r="AA788" s="1168"/>
      <c r="AB788" s="1168"/>
      <c r="AC788" s="1168"/>
      <c r="AD788" s="1168"/>
      <c r="AE788" s="1168"/>
      <c r="AF788" s="1168"/>
      <c r="AG788" s="1168"/>
    </row>
    <row r="790" spans="1:40" ht="14.25" customHeight="1" x14ac:dyDescent="0.2">
      <c r="D790" s="632" t="s">
        <v>2024</v>
      </c>
    </row>
    <row r="792" spans="1:40" ht="14.25" customHeight="1" x14ac:dyDescent="0.2">
      <c r="D792" s="1168" t="s">
        <v>1502</v>
      </c>
      <c r="E792" s="1168"/>
      <c r="F792" s="1168"/>
      <c r="G792" s="1168"/>
      <c r="H792" s="1168"/>
      <c r="I792" s="1168"/>
      <c r="J792" s="1168"/>
      <c r="K792" s="1168"/>
      <c r="L792" s="1168"/>
      <c r="M792" s="1168"/>
      <c r="N792" s="1168"/>
      <c r="O792" s="1168"/>
      <c r="P792" s="1168"/>
      <c r="Q792" s="1168"/>
      <c r="R792" s="1168"/>
      <c r="S792" s="1168"/>
      <c r="T792" s="1168"/>
      <c r="U792" s="1168"/>
      <c r="V792" s="1168"/>
      <c r="W792" s="1168"/>
      <c r="X792" s="1168"/>
      <c r="Y792" s="1168"/>
      <c r="Z792" s="1168"/>
      <c r="AA792" s="1168"/>
      <c r="AB792" s="1168"/>
      <c r="AC792" s="1168"/>
      <c r="AD792" s="1168"/>
      <c r="AE792" s="1168"/>
      <c r="AF792" s="1168"/>
      <c r="AG792" s="1168"/>
    </row>
    <row r="793" spans="1:40" ht="14.25" customHeight="1" thickBot="1" x14ac:dyDescent="0.25"/>
    <row r="794" spans="1:40" ht="25.5" customHeight="1" thickTop="1" thickBot="1" x14ac:dyDescent="0.25">
      <c r="A794" s="942">
        <v>34</v>
      </c>
      <c r="D794" s="1138" t="s">
        <v>1</v>
      </c>
      <c r="E794" s="1138"/>
      <c r="F794" s="1138"/>
      <c r="G794" s="1138"/>
      <c r="H794" s="1138"/>
      <c r="I794" s="1138"/>
      <c r="J794" s="1120" t="s">
        <v>2</v>
      </c>
      <c r="K794" s="1120"/>
      <c r="L794" s="1120"/>
      <c r="M794" s="1120"/>
      <c r="N794" s="1120"/>
      <c r="O794" s="1120"/>
      <c r="P794" s="1120"/>
      <c r="Q794" s="1120"/>
      <c r="R794" s="1120"/>
      <c r="S794" s="1120"/>
      <c r="T794" s="1120"/>
      <c r="U794" s="1120"/>
      <c r="V794" s="1120" t="s">
        <v>3</v>
      </c>
      <c r="W794" s="1120"/>
      <c r="X794" s="1120"/>
      <c r="Y794" s="1120"/>
      <c r="Z794" s="1120"/>
      <c r="AA794" s="1120"/>
      <c r="AB794" s="1120"/>
      <c r="AC794" s="1120"/>
      <c r="AD794" s="1120"/>
      <c r="AE794" s="1120"/>
      <c r="AF794" s="1120"/>
      <c r="AG794" s="1120"/>
      <c r="AI794" s="1194" t="s">
        <v>2</v>
      </c>
      <c r="AJ794" s="1195"/>
      <c r="AK794" s="1196"/>
      <c r="AL794" s="1197" t="s">
        <v>492</v>
      </c>
      <c r="AM794" s="1198"/>
      <c r="AN794" s="1199"/>
    </row>
    <row r="795" spans="1:40" ht="14.25" customHeight="1" thickTop="1" thickBot="1" x14ac:dyDescent="0.25">
      <c r="D795" s="1138"/>
      <c r="E795" s="1138"/>
      <c r="F795" s="1138"/>
      <c r="G795" s="1138"/>
      <c r="H795" s="1138"/>
      <c r="I795" s="1138"/>
      <c r="J795" s="1138" t="s">
        <v>184</v>
      </c>
      <c r="K795" s="1138"/>
      <c r="L795" s="1138"/>
      <c r="M795" s="1138"/>
      <c r="N795" s="1138"/>
      <c r="O795" s="1138"/>
      <c r="P795" s="1138"/>
      <c r="Q795" s="1138"/>
      <c r="R795" s="1138"/>
      <c r="S795" s="1138"/>
      <c r="T795" s="1138"/>
      <c r="U795" s="1138"/>
      <c r="V795" s="1138" t="s">
        <v>184</v>
      </c>
      <c r="W795" s="1138"/>
      <c r="X795" s="1138"/>
      <c r="Y795" s="1138"/>
      <c r="Z795" s="1138"/>
      <c r="AA795" s="1138"/>
      <c r="AB795" s="1138"/>
      <c r="AC795" s="1138"/>
      <c r="AD795" s="1138"/>
      <c r="AE795" s="1138"/>
      <c r="AF795" s="1138"/>
      <c r="AG795" s="1138"/>
      <c r="AI795" s="1194" t="s">
        <v>184</v>
      </c>
      <c r="AJ795" s="1195"/>
      <c r="AK795" s="1196"/>
      <c r="AL795" s="1194" t="s">
        <v>184</v>
      </c>
      <c r="AM795" s="1195"/>
      <c r="AN795" s="1196"/>
    </row>
    <row r="796" spans="1:40" ht="40.5" customHeight="1" thickTop="1" thickBot="1" x14ac:dyDescent="0.25">
      <c r="D796" s="1138"/>
      <c r="E796" s="1138"/>
      <c r="F796" s="1138"/>
      <c r="G796" s="1138"/>
      <c r="H796" s="1138"/>
      <c r="I796" s="1138"/>
      <c r="J796" s="1120" t="s">
        <v>185</v>
      </c>
      <c r="K796" s="1120"/>
      <c r="L796" s="1120"/>
      <c r="M796" s="1120"/>
      <c r="N796" s="1120" t="s">
        <v>186</v>
      </c>
      <c r="O796" s="1120"/>
      <c r="P796" s="1120"/>
      <c r="Q796" s="1120"/>
      <c r="R796" s="1120" t="s">
        <v>187</v>
      </c>
      <c r="S796" s="1120"/>
      <c r="T796" s="1120"/>
      <c r="U796" s="1120"/>
      <c r="V796" s="1120" t="s">
        <v>185</v>
      </c>
      <c r="W796" s="1120"/>
      <c r="X796" s="1120"/>
      <c r="Y796" s="1120"/>
      <c r="Z796" s="1120" t="s">
        <v>186</v>
      </c>
      <c r="AA796" s="1120"/>
      <c r="AB796" s="1120"/>
      <c r="AC796" s="1120"/>
      <c r="AD796" s="1120" t="s">
        <v>187</v>
      </c>
      <c r="AE796" s="1120"/>
      <c r="AF796" s="1120"/>
      <c r="AG796" s="1120"/>
      <c r="AI796" s="934" t="s">
        <v>185</v>
      </c>
      <c r="AJ796" s="40" t="s">
        <v>186</v>
      </c>
      <c r="AK796" s="40" t="s">
        <v>187</v>
      </c>
      <c r="AL796" s="40" t="s">
        <v>185</v>
      </c>
      <c r="AM796" s="40" t="s">
        <v>186</v>
      </c>
      <c r="AN796" s="40" t="s">
        <v>187</v>
      </c>
    </row>
    <row r="797" spans="1:40" ht="14.25" customHeight="1" x14ac:dyDescent="0.2">
      <c r="D797" s="1192" t="s">
        <v>188</v>
      </c>
      <c r="E797" s="1192"/>
      <c r="F797" s="1192"/>
      <c r="G797" s="1192"/>
      <c r="H797" s="1192"/>
      <c r="I797" s="1192"/>
      <c r="J797" s="1167">
        <v>8054</v>
      </c>
      <c r="K797" s="1167"/>
      <c r="L797" s="1167"/>
      <c r="M797" s="1167"/>
      <c r="N797" s="1167">
        <v>2737</v>
      </c>
      <c r="O797" s="1167"/>
      <c r="P797" s="1167"/>
      <c r="Q797" s="1167"/>
      <c r="R797" s="1167"/>
      <c r="S797" s="1167"/>
      <c r="T797" s="1167"/>
      <c r="U797" s="1167"/>
      <c r="V797" s="1167">
        <v>9432</v>
      </c>
      <c r="W797" s="1167"/>
      <c r="X797" s="1167"/>
      <c r="Y797" s="1167"/>
      <c r="Z797" s="1167">
        <v>9187</v>
      </c>
      <c r="AA797" s="1167"/>
      <c r="AB797" s="1167"/>
      <c r="AC797" s="1167"/>
      <c r="AD797" s="1167"/>
      <c r="AE797" s="1167"/>
      <c r="AF797" s="1167"/>
      <c r="AG797" s="1167"/>
      <c r="AI797" s="951"/>
      <c r="AJ797" s="952"/>
      <c r="AK797" s="952"/>
      <c r="AL797" s="952"/>
      <c r="AM797" s="952"/>
      <c r="AN797" s="953"/>
    </row>
    <row r="798" spans="1:40" ht="14.25" customHeight="1" x14ac:dyDescent="0.2">
      <c r="D798" s="1141" t="s">
        <v>273</v>
      </c>
      <c r="E798" s="1141"/>
      <c r="F798" s="1141"/>
      <c r="G798" s="1141"/>
      <c r="H798" s="1141"/>
      <c r="I798" s="1141"/>
      <c r="J798" s="1045">
        <v>425</v>
      </c>
      <c r="K798" s="1045"/>
      <c r="L798" s="1045"/>
      <c r="M798" s="1045"/>
      <c r="N798" s="1045"/>
      <c r="O798" s="1045"/>
      <c r="P798" s="1045"/>
      <c r="Q798" s="1045"/>
      <c r="R798" s="1045"/>
      <c r="S798" s="1045"/>
      <c r="T798" s="1045"/>
      <c r="U798" s="1045"/>
      <c r="V798" s="1045">
        <v>417</v>
      </c>
      <c r="W798" s="1045"/>
      <c r="X798" s="1045"/>
      <c r="Y798" s="1045"/>
      <c r="Z798" s="1045">
        <v>196</v>
      </c>
      <c r="AA798" s="1045"/>
      <c r="AB798" s="1045"/>
      <c r="AC798" s="1045"/>
      <c r="AD798" s="1045"/>
      <c r="AE798" s="1045"/>
      <c r="AF798" s="1045"/>
      <c r="AG798" s="1045"/>
      <c r="AI798" s="954"/>
      <c r="AJ798" s="949"/>
      <c r="AK798" s="949"/>
      <c r="AL798" s="949"/>
      <c r="AM798" s="949"/>
      <c r="AN798" s="958"/>
    </row>
    <row r="799" spans="1:40" ht="14.25" customHeight="1" thickBot="1" x14ac:dyDescent="0.25">
      <c r="D799" s="1185" t="s">
        <v>14</v>
      </c>
      <c r="E799" s="1185"/>
      <c r="F799" s="1185"/>
      <c r="G799" s="1185"/>
      <c r="H799" s="1185"/>
      <c r="I799" s="1185"/>
      <c r="J799" s="1186">
        <f>SUM(J797:M798)</f>
        <v>8479</v>
      </c>
      <c r="K799" s="1186"/>
      <c r="L799" s="1186"/>
      <c r="M799" s="1186"/>
      <c r="N799" s="1186">
        <f>SUM(N797:Q798)</f>
        <v>2737</v>
      </c>
      <c r="O799" s="1186"/>
      <c r="P799" s="1186"/>
      <c r="Q799" s="1186"/>
      <c r="R799" s="1186">
        <f>SUM(R797:U798)</f>
        <v>0</v>
      </c>
      <c r="S799" s="1186"/>
      <c r="T799" s="1186"/>
      <c r="U799" s="1186"/>
      <c r="V799" s="1186">
        <f>SUM(V797:Y798)</f>
        <v>9849</v>
      </c>
      <c r="W799" s="1186"/>
      <c r="X799" s="1186"/>
      <c r="Y799" s="1186"/>
      <c r="Z799" s="1186">
        <f>SUM(Z797:AC798)</f>
        <v>9383</v>
      </c>
      <c r="AA799" s="1186"/>
      <c r="AB799" s="1186"/>
      <c r="AC799" s="1186"/>
      <c r="AD799" s="1186">
        <f>SUM(AD797:AG798)</f>
        <v>0</v>
      </c>
      <c r="AE799" s="1186"/>
      <c r="AF799" s="1186"/>
      <c r="AG799" s="1186"/>
      <c r="AI799" s="959">
        <f>SUM(J797:M798)-J799</f>
        <v>0</v>
      </c>
      <c r="AJ799" s="960">
        <f>SUM(N797:Q798)-N799</f>
        <v>0</v>
      </c>
      <c r="AK799" s="960">
        <f>SUM(R797:U798)-R799</f>
        <v>0</v>
      </c>
      <c r="AL799" s="960">
        <f>SUM(V797:Y798)-V799</f>
        <v>0</v>
      </c>
      <c r="AM799" s="960">
        <f>SUM(Z797:AC798)-Z799</f>
        <v>0</v>
      </c>
      <c r="AN799" s="961">
        <f>SUM(AD797:AG798)-AD799</f>
        <v>0</v>
      </c>
    </row>
    <row r="800" spans="1:40" s="992" customFormat="1" ht="14.25" customHeight="1" x14ac:dyDescent="0.2">
      <c r="A800" s="993"/>
      <c r="D800" s="929"/>
      <c r="E800" s="929"/>
      <c r="F800" s="929"/>
      <c r="G800" s="929"/>
      <c r="H800" s="929"/>
      <c r="I800" s="929"/>
      <c r="J800" s="924"/>
      <c r="K800" s="924"/>
      <c r="L800" s="924"/>
      <c r="M800" s="924"/>
      <c r="N800" s="924"/>
      <c r="O800" s="924"/>
      <c r="P800" s="924"/>
      <c r="Q800" s="924"/>
      <c r="R800" s="924"/>
      <c r="S800" s="924"/>
      <c r="T800" s="924"/>
      <c r="U800" s="924"/>
      <c r="V800" s="924"/>
      <c r="W800" s="924"/>
      <c r="X800" s="924"/>
      <c r="Y800" s="924"/>
      <c r="Z800" s="924"/>
      <c r="AA800" s="924"/>
      <c r="AB800" s="924"/>
      <c r="AC800" s="924"/>
      <c r="AD800" s="924"/>
      <c r="AE800" s="924"/>
      <c r="AF800" s="924"/>
      <c r="AG800" s="924"/>
      <c r="AI800" s="994"/>
      <c r="AJ800" s="994"/>
      <c r="AK800" s="994"/>
      <c r="AL800" s="994"/>
      <c r="AM800" s="994"/>
      <c r="AN800" s="994"/>
    </row>
    <row r="801" spans="1:33" ht="14.25" customHeight="1" x14ac:dyDescent="0.2">
      <c r="D801" s="632" t="s">
        <v>2025</v>
      </c>
    </row>
    <row r="803" spans="1:33" ht="14.25" customHeight="1" x14ac:dyDescent="0.2">
      <c r="D803" s="1052" t="s">
        <v>1511</v>
      </c>
      <c r="E803" s="1052"/>
      <c r="F803" s="1052"/>
      <c r="G803" s="1052"/>
      <c r="H803" s="1052"/>
      <c r="I803" s="1052"/>
      <c r="J803" s="1052"/>
      <c r="K803" s="1052"/>
      <c r="L803" s="1052"/>
      <c r="M803" s="1052"/>
      <c r="N803" s="1052"/>
      <c r="O803" s="1052"/>
      <c r="P803" s="1052"/>
      <c r="Q803" s="1052"/>
      <c r="R803" s="1052"/>
      <c r="S803" s="1052"/>
      <c r="T803" s="1052"/>
      <c r="U803" s="1052"/>
      <c r="V803" s="1052"/>
      <c r="W803" s="1052"/>
      <c r="X803" s="1052"/>
      <c r="Y803" s="1052"/>
      <c r="Z803" s="1052"/>
      <c r="AA803" s="1052"/>
      <c r="AB803" s="1052"/>
      <c r="AC803" s="1052"/>
      <c r="AD803" s="1052"/>
      <c r="AE803" s="1052"/>
      <c r="AF803" s="1052"/>
      <c r="AG803" s="1052"/>
    </row>
    <row r="805" spans="1:33" ht="14.25" customHeight="1" x14ac:dyDescent="0.2">
      <c r="D805" s="1168" t="s">
        <v>1512</v>
      </c>
      <c r="E805" s="1168"/>
      <c r="F805" s="1168"/>
      <c r="G805" s="1168"/>
      <c r="H805" s="1168"/>
      <c r="I805" s="1168"/>
      <c r="J805" s="1168"/>
      <c r="K805" s="1168"/>
      <c r="L805" s="1168"/>
      <c r="M805" s="1168"/>
      <c r="N805" s="1168"/>
      <c r="O805" s="1168"/>
      <c r="P805" s="1168"/>
      <c r="Q805" s="1168"/>
      <c r="R805" s="1168"/>
      <c r="S805" s="1168"/>
      <c r="T805" s="1168"/>
      <c r="U805" s="1168"/>
      <c r="V805" s="1168"/>
      <c r="W805" s="1168"/>
      <c r="X805" s="1168"/>
      <c r="Y805" s="1168"/>
      <c r="Z805" s="1168"/>
      <c r="AA805" s="1168"/>
      <c r="AB805" s="1168"/>
      <c r="AC805" s="1168"/>
      <c r="AD805" s="1168"/>
      <c r="AE805" s="1168"/>
      <c r="AF805" s="1168"/>
      <c r="AG805" s="1168"/>
    </row>
    <row r="806" spans="1:33" ht="14.25" customHeight="1" thickBot="1" x14ac:dyDescent="0.25"/>
    <row r="807" spans="1:33" ht="35.25" customHeight="1" thickBot="1" x14ac:dyDescent="0.25">
      <c r="A807" s="942">
        <v>35</v>
      </c>
      <c r="D807" s="1187" t="s">
        <v>275</v>
      </c>
      <c r="E807" s="1187"/>
      <c r="F807" s="1187"/>
      <c r="G807" s="1187"/>
      <c r="H807" s="1187"/>
      <c r="I807" s="1187"/>
      <c r="J807" s="1188" t="s">
        <v>2003</v>
      </c>
      <c r="K807" s="1188"/>
      <c r="L807" s="1188"/>
      <c r="M807" s="1188"/>
      <c r="N807" s="1188"/>
      <c r="O807" s="1188"/>
      <c r="P807" s="1188"/>
      <c r="Q807" s="1188"/>
      <c r="R807" s="1189"/>
      <c r="S807" s="1189"/>
      <c r="T807" s="1189"/>
      <c r="U807" s="1189"/>
      <c r="V807" s="1189"/>
      <c r="W807" s="1189"/>
      <c r="X807" s="1189"/>
      <c r="Y807" s="1189"/>
      <c r="Z807" s="1189"/>
      <c r="AA807" s="1189"/>
      <c r="AB807" s="1189"/>
      <c r="AC807" s="1189"/>
      <c r="AD807" s="1189"/>
      <c r="AE807" s="1189"/>
      <c r="AF807" s="1189"/>
      <c r="AG807" s="1189"/>
    </row>
    <row r="808" spans="1:33" ht="49.5" customHeight="1" thickBot="1" x14ac:dyDescent="0.25">
      <c r="D808" s="1187"/>
      <c r="E808" s="1187"/>
      <c r="F808" s="1187"/>
      <c r="G808" s="1187"/>
      <c r="H808" s="1187"/>
      <c r="I808" s="1187"/>
      <c r="J808" s="1188" t="s">
        <v>2</v>
      </c>
      <c r="K808" s="1188"/>
      <c r="L808" s="1188"/>
      <c r="M808" s="1188"/>
      <c r="N808" s="1188" t="s">
        <v>484</v>
      </c>
      <c r="O808" s="1188"/>
      <c r="P808" s="1188"/>
      <c r="Q808" s="1188"/>
      <c r="R808" s="1189"/>
      <c r="S808" s="1189"/>
      <c r="T808" s="1189"/>
      <c r="U808" s="1189"/>
      <c r="V808" s="1189"/>
      <c r="W808" s="1189"/>
      <c r="X808" s="1189"/>
      <c r="Y808" s="1189"/>
      <c r="Z808" s="1189"/>
      <c r="AA808" s="1189"/>
      <c r="AB808" s="1189"/>
      <c r="AC808" s="1189"/>
      <c r="AD808" s="1189"/>
      <c r="AE808" s="1189"/>
      <c r="AF808" s="1189"/>
      <c r="AG808" s="1189"/>
    </row>
    <row r="809" spans="1:33" ht="14.25" customHeight="1" x14ac:dyDescent="0.2">
      <c r="D809" s="1190" t="s">
        <v>1968</v>
      </c>
      <c r="E809" s="1190"/>
      <c r="F809" s="1190"/>
      <c r="G809" s="1190"/>
      <c r="H809" s="1190"/>
      <c r="I809" s="1190"/>
      <c r="J809" s="1153">
        <v>11330433</v>
      </c>
      <c r="K809" s="1153"/>
      <c r="L809" s="1153"/>
      <c r="M809" s="1153"/>
      <c r="N809" s="1153">
        <v>9479560</v>
      </c>
      <c r="O809" s="1153"/>
      <c r="P809" s="1153"/>
      <c r="Q809" s="1153"/>
      <c r="R809" s="1102"/>
      <c r="S809" s="1102"/>
      <c r="T809" s="1102"/>
      <c r="U809" s="1102"/>
      <c r="V809" s="1102"/>
      <c r="W809" s="1102"/>
      <c r="X809" s="1102"/>
      <c r="Y809" s="1102"/>
      <c r="Z809" s="1102"/>
      <c r="AA809" s="1102"/>
      <c r="AB809" s="1102"/>
      <c r="AC809" s="1102"/>
      <c r="AD809" s="1102"/>
      <c r="AE809" s="1102"/>
      <c r="AF809" s="1102"/>
      <c r="AG809" s="1102"/>
    </row>
    <row r="810" spans="1:33" ht="14.25" customHeight="1" x14ac:dyDescent="0.2">
      <c r="D810" s="1191" t="s">
        <v>1967</v>
      </c>
      <c r="E810" s="1191"/>
      <c r="F810" s="1191"/>
      <c r="G810" s="1191"/>
      <c r="H810" s="1191"/>
      <c r="I810" s="1191"/>
      <c r="J810" s="1128">
        <v>0</v>
      </c>
      <c r="K810" s="1128"/>
      <c r="L810" s="1128"/>
      <c r="M810" s="1128"/>
      <c r="N810" s="1128">
        <v>1237091</v>
      </c>
      <c r="O810" s="1128"/>
      <c r="P810" s="1128"/>
      <c r="Q810" s="1128"/>
      <c r="R810" s="1102"/>
      <c r="S810" s="1102"/>
      <c r="T810" s="1102"/>
      <c r="U810" s="1102"/>
      <c r="V810" s="1102"/>
      <c r="W810" s="1102"/>
      <c r="X810" s="1102"/>
      <c r="Y810" s="1102"/>
      <c r="Z810" s="1102"/>
      <c r="AA810" s="1102"/>
      <c r="AB810" s="1102"/>
      <c r="AC810" s="1102"/>
      <c r="AD810" s="1102"/>
      <c r="AE810" s="1102"/>
      <c r="AF810" s="1102"/>
      <c r="AG810" s="1102"/>
    </row>
    <row r="811" spans="1:33" ht="14.25" customHeight="1" x14ac:dyDescent="0.2">
      <c r="D811" s="1118"/>
      <c r="E811" s="1118"/>
      <c r="F811" s="1118"/>
      <c r="G811" s="1118"/>
      <c r="H811" s="1118"/>
      <c r="I811" s="1118"/>
      <c r="J811" s="1128"/>
      <c r="K811" s="1128"/>
      <c r="L811" s="1128"/>
      <c r="M811" s="1128"/>
      <c r="N811" s="1128"/>
      <c r="O811" s="1128"/>
      <c r="P811" s="1128"/>
      <c r="Q811" s="1128"/>
      <c r="R811" s="1102"/>
      <c r="S811" s="1102"/>
      <c r="T811" s="1102"/>
      <c r="U811" s="1102"/>
      <c r="V811" s="1102"/>
      <c r="W811" s="1102"/>
      <c r="X811" s="1102"/>
      <c r="Y811" s="1102"/>
      <c r="Z811" s="1102"/>
      <c r="AA811" s="1102"/>
      <c r="AB811" s="1102"/>
      <c r="AC811" s="1102"/>
      <c r="AD811" s="1102"/>
      <c r="AE811" s="1102"/>
      <c r="AF811" s="1102"/>
      <c r="AG811" s="1102"/>
    </row>
    <row r="812" spans="1:33" ht="14.25" customHeight="1" x14ac:dyDescent="0.2">
      <c r="D812" s="1118"/>
      <c r="E812" s="1118"/>
      <c r="F812" s="1118"/>
      <c r="G812" s="1118"/>
      <c r="H812" s="1118"/>
      <c r="I812" s="1118"/>
      <c r="J812" s="1128"/>
      <c r="K812" s="1128"/>
      <c r="L812" s="1128"/>
      <c r="M812" s="1128"/>
      <c r="N812" s="1128"/>
      <c r="O812" s="1128"/>
      <c r="P812" s="1128"/>
      <c r="Q812" s="1128"/>
      <c r="R812" s="1102"/>
      <c r="S812" s="1102"/>
      <c r="T812" s="1102"/>
      <c r="U812" s="1102"/>
      <c r="V812" s="1102"/>
      <c r="W812" s="1102"/>
      <c r="X812" s="1102"/>
      <c r="Y812" s="1102"/>
      <c r="Z812" s="1102"/>
      <c r="AA812" s="1102"/>
      <c r="AB812" s="1102"/>
      <c r="AC812" s="1102"/>
      <c r="AD812" s="1102"/>
      <c r="AE812" s="1102"/>
      <c r="AF812" s="1102"/>
      <c r="AG812" s="1102"/>
    </row>
    <row r="813" spans="1:33" ht="14.25" customHeight="1" thickBot="1" x14ac:dyDescent="0.25">
      <c r="D813" s="1117" t="s">
        <v>14</v>
      </c>
      <c r="E813" s="1117"/>
      <c r="F813" s="1117"/>
      <c r="G813" s="1117"/>
      <c r="H813" s="1117"/>
      <c r="I813" s="1117"/>
      <c r="J813" s="1171">
        <f>SUM(J809:M812)</f>
        <v>11330433</v>
      </c>
      <c r="K813" s="1171"/>
      <c r="L813" s="1171"/>
      <c r="M813" s="1171"/>
      <c r="N813" s="1171">
        <f t="shared" ref="N813" si="273">SUM(N809:Q812)</f>
        <v>10716651</v>
      </c>
      <c r="O813" s="1171"/>
      <c r="P813" s="1171"/>
      <c r="Q813" s="1171"/>
      <c r="R813" s="1102"/>
      <c r="S813" s="1102"/>
      <c r="T813" s="1102"/>
      <c r="U813" s="1102"/>
      <c r="V813" s="1102"/>
      <c r="W813" s="1102"/>
      <c r="X813" s="1102"/>
      <c r="Y813" s="1102"/>
      <c r="Z813" s="1102"/>
      <c r="AA813" s="1102"/>
      <c r="AB813" s="1102"/>
      <c r="AC813" s="1102"/>
      <c r="AD813" s="1102"/>
      <c r="AE813" s="1102"/>
      <c r="AF813" s="1102"/>
      <c r="AG813" s="1102"/>
    </row>
    <row r="815" spans="1:33" ht="14.25" customHeight="1" x14ac:dyDescent="0.2">
      <c r="D815" s="1116" t="s">
        <v>1969</v>
      </c>
      <c r="E815" s="1116"/>
      <c r="F815" s="1116"/>
      <c r="G815" s="1116"/>
      <c r="H815" s="1116"/>
      <c r="I815" s="1116"/>
      <c r="J815" s="1116"/>
      <c r="K815" s="1116"/>
      <c r="L815" s="1116"/>
      <c r="M815" s="1116"/>
      <c r="N815" s="1116"/>
      <c r="O815" s="1116"/>
      <c r="P815" s="1116"/>
      <c r="Q815" s="1116"/>
      <c r="R815" s="1116"/>
      <c r="S815" s="1116"/>
      <c r="T815" s="1116"/>
      <c r="U815" s="1116"/>
      <c r="V815" s="1116"/>
      <c r="W815" s="1116"/>
      <c r="X815" s="1116"/>
      <c r="Y815" s="1116"/>
      <c r="Z815" s="1116"/>
      <c r="AA815" s="1116"/>
      <c r="AB815" s="1116"/>
      <c r="AC815" s="1116"/>
      <c r="AD815" s="1116"/>
      <c r="AE815" s="1116"/>
      <c r="AF815" s="1116"/>
      <c r="AG815" s="1116"/>
    </row>
    <row r="816" spans="1:33" ht="14.25" customHeight="1" x14ac:dyDescent="0.2">
      <c r="D816" s="1116"/>
      <c r="E816" s="1116"/>
      <c r="F816" s="1116"/>
      <c r="G816" s="1116"/>
      <c r="H816" s="1116"/>
      <c r="I816" s="1116"/>
      <c r="J816" s="1116"/>
      <c r="K816" s="1116"/>
      <c r="L816" s="1116"/>
      <c r="M816" s="1116"/>
      <c r="N816" s="1116"/>
      <c r="O816" s="1116"/>
      <c r="P816" s="1116"/>
      <c r="Q816" s="1116"/>
      <c r="R816" s="1116"/>
      <c r="S816" s="1116"/>
      <c r="T816" s="1116"/>
      <c r="U816" s="1116"/>
      <c r="V816" s="1116"/>
      <c r="W816" s="1116"/>
      <c r="X816" s="1116"/>
      <c r="Y816" s="1116"/>
      <c r="Z816" s="1116"/>
      <c r="AA816" s="1116"/>
      <c r="AB816" s="1116"/>
      <c r="AC816" s="1116"/>
      <c r="AD816" s="1116"/>
      <c r="AE816" s="1116"/>
      <c r="AF816" s="1116"/>
      <c r="AG816" s="1116"/>
    </row>
    <row r="817" spans="1:33" ht="14.25" customHeight="1" x14ac:dyDescent="0.2">
      <c r="D817" s="932"/>
      <c r="E817" s="932"/>
      <c r="F817" s="932"/>
      <c r="G817" s="932"/>
      <c r="H817" s="932"/>
      <c r="I817" s="932"/>
      <c r="J817" s="932"/>
      <c r="K817" s="932"/>
      <c r="L817" s="932"/>
      <c r="M817" s="932"/>
      <c r="N817" s="932"/>
      <c r="O817" s="932"/>
      <c r="P817" s="932"/>
      <c r="Q817" s="932"/>
      <c r="R817" s="932"/>
      <c r="S817" s="932"/>
      <c r="T817" s="932"/>
      <c r="U817" s="932"/>
      <c r="V817" s="932"/>
      <c r="W817" s="932"/>
      <c r="X817" s="932"/>
      <c r="Y817" s="932"/>
      <c r="Z817" s="932"/>
      <c r="AA817" s="932"/>
      <c r="AB817" s="932"/>
      <c r="AC817" s="932"/>
      <c r="AD817" s="932"/>
      <c r="AE817" s="932"/>
      <c r="AF817" s="932"/>
      <c r="AG817" s="932"/>
    </row>
    <row r="818" spans="1:33" ht="14.25" customHeight="1" x14ac:dyDescent="0.2">
      <c r="D818" s="932"/>
      <c r="E818" s="932"/>
      <c r="F818" s="932"/>
      <c r="G818" s="932"/>
      <c r="H818" s="932"/>
      <c r="I818" s="932"/>
      <c r="J818" s="932"/>
      <c r="K818" s="932"/>
      <c r="L818" s="932"/>
      <c r="M818" s="932"/>
      <c r="N818" s="932"/>
      <c r="O818" s="932"/>
      <c r="P818" s="932"/>
      <c r="Q818" s="932"/>
      <c r="R818" s="932"/>
      <c r="S818" s="932"/>
      <c r="T818" s="932"/>
      <c r="U818" s="932"/>
      <c r="V818" s="932"/>
      <c r="W818" s="932"/>
      <c r="X818" s="932"/>
      <c r="Y818" s="932"/>
      <c r="Z818" s="932"/>
      <c r="AA818" s="932"/>
      <c r="AB818" s="932"/>
      <c r="AC818" s="932"/>
      <c r="AD818" s="932"/>
      <c r="AE818" s="932"/>
      <c r="AF818" s="932"/>
      <c r="AG818" s="932"/>
    </row>
    <row r="819" spans="1:33" ht="14.25" customHeight="1" x14ac:dyDescent="0.2">
      <c r="D819" s="932"/>
      <c r="E819" s="932"/>
      <c r="F819" s="932"/>
      <c r="G819" s="932"/>
      <c r="H819" s="932"/>
      <c r="I819" s="932"/>
      <c r="J819" s="932"/>
      <c r="K819" s="932"/>
      <c r="L819" s="932"/>
      <c r="M819" s="932"/>
      <c r="N819" s="932"/>
      <c r="O819" s="932"/>
      <c r="P819" s="932"/>
      <c r="Q819" s="932"/>
      <c r="R819" s="932"/>
      <c r="S819" s="932"/>
      <c r="T819" s="932"/>
      <c r="U819" s="932"/>
      <c r="V819" s="932"/>
      <c r="W819" s="932"/>
      <c r="X819" s="932"/>
      <c r="Y819" s="932"/>
      <c r="Z819" s="932"/>
      <c r="AA819" s="932"/>
      <c r="AB819" s="932"/>
      <c r="AC819" s="932"/>
      <c r="AD819" s="932"/>
      <c r="AE819" s="932"/>
      <c r="AF819" s="932"/>
      <c r="AG819" s="932"/>
    </row>
    <row r="820" spans="1:33" ht="14.25" customHeight="1" x14ac:dyDescent="0.2">
      <c r="D820" s="932"/>
      <c r="E820" s="932"/>
      <c r="F820" s="932"/>
      <c r="G820" s="932"/>
      <c r="H820" s="932"/>
      <c r="I820" s="932"/>
      <c r="J820" s="932"/>
      <c r="K820" s="932"/>
      <c r="L820" s="932"/>
      <c r="M820" s="932"/>
      <c r="N820" s="932"/>
      <c r="O820" s="932"/>
      <c r="P820" s="932"/>
      <c r="Q820" s="932"/>
      <c r="R820" s="932"/>
      <c r="S820" s="932"/>
      <c r="T820" s="932"/>
      <c r="U820" s="932"/>
      <c r="V820" s="932"/>
      <c r="W820" s="932"/>
      <c r="X820" s="932"/>
      <c r="Y820" s="932"/>
      <c r="Z820" s="932"/>
      <c r="AA820" s="932"/>
      <c r="AB820" s="932"/>
      <c r="AC820" s="932"/>
      <c r="AD820" s="932"/>
      <c r="AE820" s="932"/>
      <c r="AF820" s="932"/>
      <c r="AG820" s="932"/>
    </row>
    <row r="821" spans="1:33" ht="14.25" customHeight="1" x14ac:dyDescent="0.2">
      <c r="D821" s="932"/>
      <c r="E821" s="932"/>
      <c r="F821" s="932"/>
      <c r="G821" s="932"/>
      <c r="H821" s="932"/>
      <c r="I821" s="932"/>
      <c r="J821" s="932"/>
      <c r="K821" s="932"/>
      <c r="L821" s="932"/>
      <c r="M821" s="932"/>
      <c r="N821" s="932"/>
      <c r="O821" s="932"/>
      <c r="P821" s="932"/>
      <c r="Q821" s="932"/>
      <c r="R821" s="932"/>
      <c r="S821" s="932"/>
      <c r="T821" s="932"/>
      <c r="U821" s="932"/>
      <c r="V821" s="932"/>
      <c r="W821" s="932"/>
      <c r="X821" s="932"/>
      <c r="Y821" s="932"/>
      <c r="Z821" s="932"/>
      <c r="AA821" s="932"/>
      <c r="AB821" s="932"/>
      <c r="AC821" s="932"/>
      <c r="AD821" s="932"/>
      <c r="AE821" s="932"/>
      <c r="AF821" s="932"/>
      <c r="AG821" s="932"/>
    </row>
    <row r="822" spans="1:33" ht="14.25" customHeight="1" x14ac:dyDescent="0.2">
      <c r="D822" s="932"/>
      <c r="E822" s="932"/>
      <c r="F822" s="932"/>
      <c r="G822" s="932"/>
      <c r="H822" s="932"/>
      <c r="I822" s="932"/>
      <c r="J822" s="932"/>
      <c r="K822" s="932"/>
      <c r="L822" s="932"/>
      <c r="M822" s="932"/>
      <c r="N822" s="932"/>
      <c r="O822" s="932"/>
      <c r="P822" s="932"/>
      <c r="Q822" s="932"/>
      <c r="R822" s="932"/>
      <c r="S822" s="932"/>
      <c r="T822" s="932"/>
      <c r="U822" s="932"/>
      <c r="V822" s="932"/>
      <c r="W822" s="932"/>
      <c r="X822" s="932"/>
      <c r="Y822" s="932"/>
      <c r="Z822" s="932"/>
      <c r="AA822" s="932"/>
      <c r="AB822" s="932"/>
      <c r="AC822" s="932"/>
      <c r="AD822" s="932"/>
      <c r="AE822" s="932"/>
      <c r="AF822" s="932"/>
      <c r="AG822" s="932"/>
    </row>
    <row r="823" spans="1:33" ht="14.25" customHeight="1" x14ac:dyDescent="0.2">
      <c r="D823" s="932"/>
      <c r="E823" s="932"/>
      <c r="F823" s="932"/>
      <c r="G823" s="932"/>
      <c r="H823" s="932"/>
      <c r="I823" s="932"/>
      <c r="J823" s="932"/>
      <c r="K823" s="932"/>
      <c r="L823" s="932"/>
      <c r="M823" s="932"/>
      <c r="N823" s="932"/>
      <c r="O823" s="932"/>
      <c r="P823" s="932"/>
      <c r="Q823" s="932"/>
      <c r="R823" s="932"/>
      <c r="S823" s="932"/>
      <c r="T823" s="932"/>
      <c r="U823" s="932"/>
      <c r="V823" s="932"/>
      <c r="W823" s="932"/>
      <c r="X823" s="932"/>
      <c r="Y823" s="932"/>
      <c r="Z823" s="932"/>
      <c r="AA823" s="932"/>
      <c r="AB823" s="932"/>
      <c r="AC823" s="932"/>
      <c r="AD823" s="932"/>
      <c r="AE823" s="932"/>
      <c r="AF823" s="932"/>
      <c r="AG823" s="932"/>
    </row>
    <row r="824" spans="1:33" ht="14.25" customHeight="1" x14ac:dyDescent="0.2">
      <c r="D824" s="932"/>
      <c r="E824" s="932"/>
      <c r="F824" s="932"/>
      <c r="G824" s="932"/>
      <c r="H824" s="932"/>
      <c r="I824" s="932"/>
      <c r="J824" s="932"/>
      <c r="K824" s="932"/>
      <c r="L824" s="932"/>
      <c r="M824" s="932"/>
      <c r="N824" s="932"/>
      <c r="O824" s="932"/>
      <c r="P824" s="932"/>
      <c r="Q824" s="932"/>
      <c r="R824" s="932"/>
      <c r="S824" s="932"/>
      <c r="T824" s="932"/>
      <c r="U824" s="932"/>
      <c r="V824" s="932"/>
      <c r="W824" s="932"/>
      <c r="X824" s="932"/>
      <c r="Y824" s="932"/>
      <c r="Z824" s="932"/>
      <c r="AA824" s="932"/>
      <c r="AB824" s="932"/>
      <c r="AC824" s="932"/>
      <c r="AD824" s="932"/>
      <c r="AE824" s="932"/>
      <c r="AF824" s="932"/>
      <c r="AG824" s="932"/>
    </row>
    <row r="825" spans="1:33" ht="14.25" customHeight="1" x14ac:dyDescent="0.2">
      <c r="D825" s="932"/>
      <c r="E825" s="932"/>
      <c r="F825" s="932"/>
      <c r="G825" s="932"/>
      <c r="H825" s="932"/>
      <c r="I825" s="932"/>
      <c r="J825" s="932"/>
      <c r="K825" s="932"/>
      <c r="L825" s="932"/>
      <c r="M825" s="932"/>
      <c r="N825" s="932"/>
      <c r="O825" s="932"/>
      <c r="P825" s="932"/>
      <c r="Q825" s="932"/>
      <c r="R825" s="932"/>
      <c r="S825" s="932"/>
      <c r="T825" s="932"/>
      <c r="U825" s="932"/>
      <c r="V825" s="932"/>
      <c r="W825" s="932"/>
      <c r="X825" s="932"/>
      <c r="Y825" s="932"/>
      <c r="Z825" s="932"/>
      <c r="AA825" s="932"/>
      <c r="AB825" s="932"/>
      <c r="AC825" s="932"/>
      <c r="AD825" s="932"/>
      <c r="AE825" s="932"/>
      <c r="AF825" s="932"/>
      <c r="AG825" s="932"/>
    </row>
    <row r="826" spans="1:33" ht="14.25" customHeight="1" x14ac:dyDescent="0.2">
      <c r="D826" s="932"/>
      <c r="E826" s="932"/>
      <c r="F826" s="932"/>
      <c r="G826" s="932"/>
      <c r="H826" s="932"/>
      <c r="I826" s="932"/>
      <c r="J826" s="932"/>
      <c r="K826" s="932"/>
      <c r="L826" s="932"/>
      <c r="M826" s="932"/>
      <c r="N826" s="932"/>
      <c r="O826" s="932"/>
      <c r="P826" s="932"/>
      <c r="Q826" s="932"/>
      <c r="R826" s="932"/>
      <c r="S826" s="932"/>
      <c r="T826" s="932"/>
      <c r="U826" s="932"/>
      <c r="V826" s="932"/>
      <c r="W826" s="932"/>
      <c r="X826" s="932"/>
      <c r="Y826" s="932"/>
      <c r="Z826" s="932"/>
      <c r="AA826" s="932"/>
      <c r="AB826" s="932"/>
      <c r="AC826" s="932"/>
      <c r="AD826" s="932"/>
      <c r="AE826" s="932"/>
      <c r="AF826" s="932"/>
      <c r="AG826" s="932"/>
    </row>
    <row r="827" spans="1:33" ht="14.25" customHeight="1" x14ac:dyDescent="0.2">
      <c r="D827" s="1052" t="s">
        <v>1513</v>
      </c>
      <c r="E827" s="1052"/>
      <c r="F827" s="1052"/>
      <c r="G827" s="1052"/>
      <c r="H827" s="1052"/>
      <c r="I827" s="1052"/>
      <c r="J827" s="1052"/>
      <c r="K827" s="1052"/>
      <c r="L827" s="1052"/>
      <c r="M827" s="1052"/>
      <c r="N827" s="1052"/>
      <c r="O827" s="1052"/>
      <c r="P827" s="1052"/>
      <c r="Q827" s="1052"/>
      <c r="R827" s="1052"/>
      <c r="S827" s="1052"/>
      <c r="T827" s="1052"/>
      <c r="U827" s="1052"/>
      <c r="V827" s="1052"/>
      <c r="W827" s="1052"/>
      <c r="X827" s="1052"/>
      <c r="Y827" s="1052"/>
      <c r="Z827" s="1052"/>
      <c r="AA827" s="1052"/>
      <c r="AB827" s="1052"/>
      <c r="AC827" s="1052"/>
      <c r="AD827" s="1052"/>
      <c r="AE827" s="1052"/>
      <c r="AF827" s="1052"/>
      <c r="AG827" s="1052"/>
    </row>
    <row r="829" spans="1:33" ht="14.25" customHeight="1" x14ac:dyDescent="0.2">
      <c r="D829" s="1053" t="s">
        <v>1514</v>
      </c>
      <c r="E829" s="1053"/>
      <c r="F829" s="1053"/>
      <c r="G829" s="1053"/>
      <c r="H829" s="1053"/>
      <c r="I829" s="1053"/>
      <c r="J829" s="1053"/>
      <c r="K829" s="1053"/>
      <c r="L829" s="1053"/>
      <c r="M829" s="1053"/>
      <c r="N829" s="1053"/>
      <c r="O829" s="1053"/>
      <c r="P829" s="1053"/>
      <c r="Q829" s="1053"/>
      <c r="R829" s="1053"/>
      <c r="S829" s="1053"/>
      <c r="T829" s="1053"/>
      <c r="U829" s="1053"/>
      <c r="V829" s="1053"/>
      <c r="W829" s="1053"/>
      <c r="X829" s="1053"/>
      <c r="Y829" s="1053"/>
      <c r="Z829" s="1053"/>
      <c r="AA829" s="1053"/>
      <c r="AB829" s="1053"/>
      <c r="AC829" s="1053"/>
      <c r="AD829" s="1053"/>
      <c r="AE829" s="1053"/>
      <c r="AF829" s="1053"/>
      <c r="AG829" s="1053"/>
    </row>
    <row r="830" spans="1:33" ht="14.25" customHeight="1" x14ac:dyDescent="0.2">
      <c r="D830" s="1053"/>
      <c r="E830" s="1053"/>
      <c r="F830" s="1053"/>
      <c r="G830" s="1053"/>
      <c r="H830" s="1053"/>
      <c r="I830" s="1053"/>
      <c r="J830" s="1053"/>
      <c r="K830" s="1053"/>
      <c r="L830" s="1053"/>
      <c r="M830" s="1053"/>
      <c r="N830" s="1053"/>
      <c r="O830" s="1053"/>
      <c r="P830" s="1053"/>
      <c r="Q830" s="1053"/>
      <c r="R830" s="1053"/>
      <c r="S830" s="1053"/>
      <c r="T830" s="1053"/>
      <c r="U830" s="1053"/>
      <c r="V830" s="1053"/>
      <c r="W830" s="1053"/>
      <c r="X830" s="1053"/>
      <c r="Y830" s="1053"/>
      <c r="Z830" s="1053"/>
      <c r="AA830" s="1053"/>
      <c r="AB830" s="1053"/>
      <c r="AC830" s="1053"/>
      <c r="AD830" s="1053"/>
      <c r="AE830" s="1053"/>
      <c r="AF830" s="1053"/>
      <c r="AG830" s="1053"/>
    </row>
    <row r="831" spans="1:33" ht="14.25" customHeight="1" thickBot="1" x14ac:dyDescent="0.25"/>
    <row r="832" spans="1:33" ht="14.25" customHeight="1" thickBot="1" x14ac:dyDescent="0.25">
      <c r="A832" s="942">
        <v>37</v>
      </c>
      <c r="D832" s="1054" t="s">
        <v>131</v>
      </c>
      <c r="E832" s="1055"/>
      <c r="F832" s="1055"/>
      <c r="G832" s="1055"/>
      <c r="H832" s="1055"/>
      <c r="I832" s="1055"/>
      <c r="J832" s="1055"/>
      <c r="K832" s="1055"/>
      <c r="L832" s="1055"/>
      <c r="M832" s="1056"/>
      <c r="N832" s="1057" t="s">
        <v>2</v>
      </c>
      <c r="O832" s="1058"/>
      <c r="P832" s="1058"/>
      <c r="Q832" s="1058"/>
      <c r="R832" s="1058"/>
      <c r="S832" s="1058"/>
      <c r="T832" s="1058"/>
      <c r="U832" s="1058"/>
      <c r="V832" s="1058"/>
      <c r="W832" s="1058"/>
      <c r="X832" s="1057" t="s">
        <v>3</v>
      </c>
      <c r="Y832" s="1058"/>
      <c r="Z832" s="1058"/>
      <c r="AA832" s="1058"/>
      <c r="AB832" s="1058"/>
      <c r="AC832" s="1058"/>
      <c r="AD832" s="1058"/>
      <c r="AE832" s="1058"/>
      <c r="AF832" s="1058"/>
      <c r="AG832" s="1099"/>
    </row>
    <row r="833" spans="1:42" ht="14.25" customHeight="1" thickBot="1" x14ac:dyDescent="0.25">
      <c r="D833" s="1054"/>
      <c r="E833" s="1055"/>
      <c r="F833" s="1055"/>
      <c r="G833" s="1055"/>
      <c r="H833" s="1055"/>
      <c r="I833" s="1055"/>
      <c r="J833" s="1055"/>
      <c r="K833" s="1055"/>
      <c r="L833" s="1055"/>
      <c r="M833" s="1056"/>
      <c r="N833" s="1059"/>
      <c r="O833" s="1060"/>
      <c r="P833" s="1060"/>
      <c r="Q833" s="1060"/>
      <c r="R833" s="1060"/>
      <c r="S833" s="1060"/>
      <c r="T833" s="1060"/>
      <c r="U833" s="1060"/>
      <c r="V833" s="1060"/>
      <c r="W833" s="1060"/>
      <c r="X833" s="1059"/>
      <c r="Y833" s="1060"/>
      <c r="Z833" s="1060"/>
      <c r="AA833" s="1060"/>
      <c r="AB833" s="1060"/>
      <c r="AC833" s="1060"/>
      <c r="AD833" s="1060"/>
      <c r="AE833" s="1060"/>
      <c r="AF833" s="1060"/>
      <c r="AG833" s="1100"/>
      <c r="AO833" s="664" t="s">
        <v>2</v>
      </c>
      <c r="AP833" s="665" t="s">
        <v>3</v>
      </c>
    </row>
    <row r="834" spans="1:42" s="946" customFormat="1" ht="27" customHeight="1" x14ac:dyDescent="0.2">
      <c r="A834" s="978"/>
      <c r="D834" s="1085" t="s">
        <v>487</v>
      </c>
      <c r="E834" s="1086"/>
      <c r="F834" s="1086"/>
      <c r="G834" s="1086"/>
      <c r="H834" s="1086"/>
      <c r="I834" s="1086"/>
      <c r="J834" s="1086"/>
      <c r="K834" s="1086"/>
      <c r="L834" s="1086"/>
      <c r="M834" s="1087"/>
      <c r="N834" s="1101"/>
      <c r="O834" s="1101"/>
      <c r="P834" s="1101"/>
      <c r="Q834" s="1101"/>
      <c r="R834" s="1101"/>
      <c r="S834" s="1101"/>
      <c r="T834" s="1101"/>
      <c r="U834" s="1101"/>
      <c r="V834" s="1101"/>
      <c r="W834" s="1101"/>
      <c r="X834" s="1101"/>
      <c r="Y834" s="1101"/>
      <c r="Z834" s="1101"/>
      <c r="AA834" s="1101"/>
      <c r="AB834" s="1101"/>
      <c r="AC834" s="1101"/>
      <c r="AD834" s="1101"/>
      <c r="AE834" s="1101"/>
      <c r="AF834" s="1101"/>
      <c r="AG834" s="1101"/>
      <c r="AO834" s="995"/>
      <c r="AP834" s="996"/>
    </row>
    <row r="835" spans="1:42" s="946" customFormat="1" ht="27" customHeight="1" x14ac:dyDescent="0.2">
      <c r="A835" s="978"/>
      <c r="D835" s="1069"/>
      <c r="E835" s="1069"/>
      <c r="F835" s="1069"/>
      <c r="G835" s="1069"/>
      <c r="H835" s="1069"/>
      <c r="I835" s="1069"/>
      <c r="J835" s="1069"/>
      <c r="K835" s="1069"/>
      <c r="L835" s="1069"/>
      <c r="M835" s="1069"/>
      <c r="N835" s="1051"/>
      <c r="O835" s="1051"/>
      <c r="P835" s="1051"/>
      <c r="Q835" s="1051"/>
      <c r="R835" s="1051"/>
      <c r="S835" s="1051"/>
      <c r="T835" s="1051"/>
      <c r="U835" s="1051"/>
      <c r="V835" s="1051"/>
      <c r="W835" s="1051"/>
      <c r="X835" s="1051"/>
      <c r="Y835" s="1051"/>
      <c r="Z835" s="1051"/>
      <c r="AA835" s="1051"/>
      <c r="AB835" s="1051"/>
      <c r="AC835" s="1051"/>
      <c r="AD835" s="1051"/>
      <c r="AE835" s="1051"/>
      <c r="AF835" s="1051"/>
      <c r="AG835" s="1051"/>
      <c r="AO835" s="995"/>
      <c r="AP835" s="996"/>
    </row>
    <row r="836" spans="1:42" s="946" customFormat="1" ht="27" customHeight="1" x14ac:dyDescent="0.2">
      <c r="A836" s="978"/>
      <c r="D836" s="1084" t="s">
        <v>290</v>
      </c>
      <c r="E836" s="1084"/>
      <c r="F836" s="1084"/>
      <c r="G836" s="1084"/>
      <c r="H836" s="1084"/>
      <c r="I836" s="1084"/>
      <c r="J836" s="1084"/>
      <c r="K836" s="1084"/>
      <c r="L836" s="1084"/>
      <c r="M836" s="1084"/>
      <c r="N836" s="1115">
        <v>1082</v>
      </c>
      <c r="O836" s="1115"/>
      <c r="P836" s="1115"/>
      <c r="Q836" s="1115"/>
      <c r="R836" s="1115"/>
      <c r="S836" s="1115"/>
      <c r="T836" s="1115"/>
      <c r="U836" s="1115"/>
      <c r="V836" s="1115"/>
      <c r="W836" s="1115"/>
      <c r="X836" s="1115">
        <v>132466</v>
      </c>
      <c r="Y836" s="1115"/>
      <c r="Z836" s="1115"/>
      <c r="AA836" s="1115"/>
      <c r="AB836" s="1115"/>
      <c r="AC836" s="1115"/>
      <c r="AD836" s="1115"/>
      <c r="AE836" s="1115"/>
      <c r="AF836" s="1115"/>
      <c r="AG836" s="1115"/>
      <c r="AO836" s="995"/>
      <c r="AP836" s="996"/>
    </row>
    <row r="837" spans="1:42" s="946" customFormat="1" ht="27" customHeight="1" x14ac:dyDescent="0.2">
      <c r="A837" s="978"/>
      <c r="D837" s="1069" t="s">
        <v>1970</v>
      </c>
      <c r="E837" s="1069"/>
      <c r="F837" s="1069"/>
      <c r="G837" s="1069"/>
      <c r="H837" s="1069"/>
      <c r="I837" s="1069"/>
      <c r="J837" s="1069"/>
      <c r="K837" s="1069"/>
      <c r="L837" s="1069"/>
      <c r="M837" s="1069"/>
      <c r="N837" s="1051">
        <v>1082</v>
      </c>
      <c r="O837" s="1051"/>
      <c r="P837" s="1051"/>
      <c r="Q837" s="1051"/>
      <c r="R837" s="1051"/>
      <c r="S837" s="1051"/>
      <c r="T837" s="1051"/>
      <c r="U837" s="1051"/>
      <c r="V837" s="1051"/>
      <c r="W837" s="1051"/>
      <c r="X837" s="1051">
        <v>132466</v>
      </c>
      <c r="Y837" s="1051"/>
      <c r="Z837" s="1051"/>
      <c r="AA837" s="1051"/>
      <c r="AB837" s="1051"/>
      <c r="AC837" s="1051"/>
      <c r="AD837" s="1051"/>
      <c r="AE837" s="1051"/>
      <c r="AF837" s="1051"/>
      <c r="AG837" s="1051"/>
      <c r="AO837" s="995"/>
      <c r="AP837" s="996"/>
    </row>
    <row r="838" spans="1:42" s="946" customFormat="1" ht="27" customHeight="1" x14ac:dyDescent="0.2">
      <c r="A838" s="978"/>
      <c r="D838" s="1069"/>
      <c r="E838" s="1069"/>
      <c r="F838" s="1069"/>
      <c r="G838" s="1069"/>
      <c r="H838" s="1069"/>
      <c r="I838" s="1069"/>
      <c r="J838" s="1069"/>
      <c r="K838" s="1069"/>
      <c r="L838" s="1069"/>
      <c r="M838" s="1069"/>
      <c r="N838" s="1115"/>
      <c r="O838" s="1115"/>
      <c r="P838" s="1115"/>
      <c r="Q838" s="1115"/>
      <c r="R838" s="1115"/>
      <c r="S838" s="1115"/>
      <c r="T838" s="1115"/>
      <c r="U838" s="1115"/>
      <c r="V838" s="1115"/>
      <c r="W838" s="1115"/>
      <c r="X838" s="1115"/>
      <c r="Y838" s="1115"/>
      <c r="Z838" s="1115"/>
      <c r="AA838" s="1115"/>
      <c r="AB838" s="1115"/>
      <c r="AC838" s="1115"/>
      <c r="AD838" s="1115"/>
      <c r="AE838" s="1115"/>
      <c r="AF838" s="1115"/>
      <c r="AG838" s="1115"/>
      <c r="AO838" s="995"/>
      <c r="AP838" s="996"/>
    </row>
    <row r="839" spans="1:42" s="946" customFormat="1" ht="27" customHeight="1" x14ac:dyDescent="0.2">
      <c r="A839" s="978"/>
      <c r="D839" s="1084" t="s">
        <v>291</v>
      </c>
      <c r="E839" s="1084"/>
      <c r="F839" s="1084"/>
      <c r="G839" s="1084"/>
      <c r="H839" s="1084"/>
      <c r="I839" s="1084"/>
      <c r="J839" s="1084"/>
      <c r="K839" s="1084"/>
      <c r="L839" s="1084"/>
      <c r="M839" s="1084"/>
      <c r="N839" s="1051">
        <v>439</v>
      </c>
      <c r="O839" s="1051"/>
      <c r="P839" s="1051"/>
      <c r="Q839" s="1051"/>
      <c r="R839" s="1051"/>
      <c r="S839" s="1051"/>
      <c r="T839" s="1051"/>
      <c r="U839" s="1051"/>
      <c r="V839" s="1051"/>
      <c r="W839" s="1051"/>
      <c r="X839" s="1051">
        <v>3848</v>
      </c>
      <c r="Y839" s="1051"/>
      <c r="Z839" s="1051"/>
      <c r="AA839" s="1051"/>
      <c r="AB839" s="1051"/>
      <c r="AC839" s="1051"/>
      <c r="AD839" s="1051"/>
      <c r="AE839" s="1051"/>
      <c r="AF839" s="1051"/>
      <c r="AG839" s="1051"/>
      <c r="AO839" s="956">
        <f>N839-SUM('P&amp;L'!$D$35,'P&amp;L'!$D$37,'P&amp;L'!$D$41,'P&amp;L'!$D$43,'P&amp;L'!$D$46,'P&amp;L'!$D$48,'P&amp;L'!$D$50,'P&amp;L'!$D$52)</f>
        <v>0</v>
      </c>
      <c r="AP839" s="955">
        <f>X839-SUM('P&amp;L'!$E$35,'P&amp;L'!$E$37,'P&amp;L'!$E$41,'P&amp;L'!$E$43,'P&amp;L'!$E$46,'P&amp;L'!$E$48,'P&amp;L'!$E$50,'P&amp;L'!$E$52)</f>
        <v>0</v>
      </c>
    </row>
    <row r="840" spans="1:42" s="946" customFormat="1" ht="27" customHeight="1" x14ac:dyDescent="0.2">
      <c r="A840" s="978"/>
      <c r="D840" s="1069" t="s">
        <v>292</v>
      </c>
      <c r="E840" s="1069"/>
      <c r="F840" s="1069"/>
      <c r="G840" s="1069"/>
      <c r="H840" s="1069"/>
      <c r="I840" s="1069"/>
      <c r="J840" s="1069"/>
      <c r="K840" s="1069"/>
      <c r="L840" s="1069"/>
      <c r="M840" s="1069"/>
      <c r="N840" s="1051">
        <v>369</v>
      </c>
      <c r="O840" s="1051"/>
      <c r="P840" s="1051"/>
      <c r="Q840" s="1051"/>
      <c r="R840" s="1051"/>
      <c r="S840" s="1051"/>
      <c r="T840" s="1051"/>
      <c r="U840" s="1051"/>
      <c r="V840" s="1051"/>
      <c r="W840" s="1051"/>
      <c r="X840" s="1051">
        <v>99</v>
      </c>
      <c r="Y840" s="1051"/>
      <c r="Z840" s="1051"/>
      <c r="AA840" s="1051"/>
      <c r="AB840" s="1051"/>
      <c r="AC840" s="1051"/>
      <c r="AD840" s="1051"/>
      <c r="AE840" s="1051"/>
      <c r="AF840" s="1051"/>
      <c r="AG840" s="1051"/>
      <c r="AO840" s="956">
        <f>N840-'P&amp;L'!$D$48</f>
        <v>0</v>
      </c>
      <c r="AP840" s="955">
        <f>X840-'P&amp;L'!$E$48</f>
        <v>0</v>
      </c>
    </row>
    <row r="841" spans="1:42" s="946" customFormat="1" ht="27" customHeight="1" x14ac:dyDescent="0.2">
      <c r="A841" s="978"/>
      <c r="D841" s="1069" t="s">
        <v>293</v>
      </c>
      <c r="E841" s="1069"/>
      <c r="F841" s="1069"/>
      <c r="G841" s="1069"/>
      <c r="H841" s="1069"/>
      <c r="I841" s="1069"/>
      <c r="J841" s="1069"/>
      <c r="K841" s="1069"/>
      <c r="L841" s="1069"/>
      <c r="M841" s="1069"/>
      <c r="N841" s="1051">
        <v>369</v>
      </c>
      <c r="O841" s="1051"/>
      <c r="P841" s="1051"/>
      <c r="Q841" s="1051"/>
      <c r="R841" s="1051"/>
      <c r="S841" s="1051"/>
      <c r="T841" s="1051"/>
      <c r="U841" s="1051"/>
      <c r="V841" s="1051"/>
      <c r="W841" s="1051"/>
      <c r="X841" s="1051">
        <v>99</v>
      </c>
      <c r="Y841" s="1051"/>
      <c r="Z841" s="1051"/>
      <c r="AA841" s="1051"/>
      <c r="AB841" s="1051"/>
      <c r="AC841" s="1051"/>
      <c r="AD841" s="1051"/>
      <c r="AE841" s="1051"/>
      <c r="AF841" s="1051"/>
      <c r="AG841" s="1051"/>
      <c r="AO841" s="954"/>
      <c r="AP841" s="958"/>
    </row>
    <row r="842" spans="1:42" s="946" customFormat="1" ht="27" customHeight="1" x14ac:dyDescent="0.2">
      <c r="A842" s="978"/>
      <c r="D842" s="1069" t="s">
        <v>294</v>
      </c>
      <c r="E842" s="1069"/>
      <c r="F842" s="1069"/>
      <c r="G842" s="1069"/>
      <c r="H842" s="1069"/>
      <c r="I842" s="1069"/>
      <c r="J842" s="1069"/>
      <c r="K842" s="1069"/>
      <c r="L842" s="1069"/>
      <c r="M842" s="1069"/>
      <c r="N842" s="1051">
        <v>70</v>
      </c>
      <c r="O842" s="1051"/>
      <c r="P842" s="1051"/>
      <c r="Q842" s="1051"/>
      <c r="R842" s="1051"/>
      <c r="S842" s="1051"/>
      <c r="T842" s="1051"/>
      <c r="U842" s="1051"/>
      <c r="V842" s="1051"/>
      <c r="W842" s="1051"/>
      <c r="X842" s="1051">
        <v>3749</v>
      </c>
      <c r="Y842" s="1051"/>
      <c r="Z842" s="1051"/>
      <c r="AA842" s="1051"/>
      <c r="AB842" s="1051"/>
      <c r="AC842" s="1051"/>
      <c r="AD842" s="1051"/>
      <c r="AE842" s="1051"/>
      <c r="AF842" s="1051"/>
      <c r="AG842" s="1051"/>
      <c r="AO842" s="954"/>
      <c r="AP842" s="958"/>
    </row>
    <row r="843" spans="1:42" s="946" customFormat="1" ht="27" customHeight="1" x14ac:dyDescent="0.2">
      <c r="A843" s="978"/>
      <c r="D843" s="1069" t="s">
        <v>1971</v>
      </c>
      <c r="E843" s="1069"/>
      <c r="F843" s="1069"/>
      <c r="G843" s="1069"/>
      <c r="H843" s="1069"/>
      <c r="I843" s="1069"/>
      <c r="J843" s="1069"/>
      <c r="K843" s="1069"/>
      <c r="L843" s="1069"/>
      <c r="M843" s="1069"/>
      <c r="N843" s="1051">
        <v>70</v>
      </c>
      <c r="O843" s="1051"/>
      <c r="P843" s="1051"/>
      <c r="Q843" s="1051"/>
      <c r="R843" s="1051"/>
      <c r="S843" s="1051"/>
      <c r="T843" s="1051"/>
      <c r="U843" s="1051"/>
      <c r="V843" s="1051"/>
      <c r="W843" s="1051"/>
      <c r="X843" s="1051">
        <v>3749</v>
      </c>
      <c r="Y843" s="1051"/>
      <c r="Z843" s="1051"/>
      <c r="AA843" s="1051"/>
      <c r="AB843" s="1051"/>
      <c r="AC843" s="1051"/>
      <c r="AD843" s="1051"/>
      <c r="AE843" s="1051"/>
      <c r="AF843" s="1051"/>
      <c r="AG843" s="1051"/>
      <c r="AO843" s="954"/>
      <c r="AP843" s="958"/>
    </row>
    <row r="844" spans="1:42" s="946" customFormat="1" ht="27" customHeight="1" x14ac:dyDescent="0.2">
      <c r="A844" s="978"/>
      <c r="D844" s="1069"/>
      <c r="E844" s="1069"/>
      <c r="F844" s="1069"/>
      <c r="G844" s="1069"/>
      <c r="H844" s="1069"/>
      <c r="I844" s="1069"/>
      <c r="J844" s="1069"/>
      <c r="K844" s="1069"/>
      <c r="L844" s="1069"/>
      <c r="M844" s="1069"/>
      <c r="N844" s="1051"/>
      <c r="O844" s="1051"/>
      <c r="P844" s="1051"/>
      <c r="Q844" s="1051"/>
      <c r="R844" s="1051"/>
      <c r="S844" s="1051"/>
      <c r="T844" s="1051"/>
      <c r="U844" s="1051"/>
      <c r="V844" s="1051"/>
      <c r="W844" s="1051"/>
      <c r="X844" s="1051"/>
      <c r="Y844" s="1051"/>
      <c r="Z844" s="1051"/>
      <c r="AA844" s="1051"/>
      <c r="AB844" s="1051"/>
      <c r="AC844" s="1051"/>
      <c r="AD844" s="1051"/>
      <c r="AE844" s="1051"/>
      <c r="AF844" s="1051"/>
      <c r="AG844" s="1051"/>
      <c r="AO844" s="954"/>
      <c r="AP844" s="958"/>
    </row>
    <row r="845" spans="1:42" s="946" customFormat="1" ht="27" customHeight="1" x14ac:dyDescent="0.2">
      <c r="A845" s="978"/>
      <c r="D845" s="1084" t="s">
        <v>295</v>
      </c>
      <c r="E845" s="1084"/>
      <c r="F845" s="1084"/>
      <c r="G845" s="1084"/>
      <c r="H845" s="1084"/>
      <c r="I845" s="1084"/>
      <c r="J845" s="1084"/>
      <c r="K845" s="1084"/>
      <c r="L845" s="1084"/>
      <c r="M845" s="1084"/>
      <c r="N845" s="1051"/>
      <c r="O845" s="1051"/>
      <c r="P845" s="1051"/>
      <c r="Q845" s="1051"/>
      <c r="R845" s="1051"/>
      <c r="S845" s="1051"/>
      <c r="T845" s="1051"/>
      <c r="U845" s="1051"/>
      <c r="V845" s="1051"/>
      <c r="W845" s="1051"/>
      <c r="X845" s="1051"/>
      <c r="Y845" s="1051"/>
      <c r="Z845" s="1051"/>
      <c r="AA845" s="1051"/>
      <c r="AB845" s="1051"/>
      <c r="AC845" s="1051"/>
      <c r="AD845" s="1051"/>
      <c r="AE845" s="1051"/>
      <c r="AF845" s="1051"/>
      <c r="AG845" s="1051"/>
      <c r="AO845" s="956">
        <f>N845-'P&amp;L'!$D$60</f>
        <v>0</v>
      </c>
      <c r="AP845" s="955">
        <f>X845-'P&amp;L'!$E$60</f>
        <v>0</v>
      </c>
    </row>
    <row r="846" spans="1:42" s="946" customFormat="1" ht="27" customHeight="1" thickBot="1" x14ac:dyDescent="0.25">
      <c r="A846" s="978"/>
      <c r="D846" s="1081"/>
      <c r="E846" s="1082"/>
      <c r="F846" s="1082"/>
      <c r="G846" s="1082"/>
      <c r="H846" s="1082"/>
      <c r="I846" s="1082"/>
      <c r="J846" s="1082"/>
      <c r="K846" s="1082"/>
      <c r="L846" s="1082"/>
      <c r="M846" s="1083"/>
      <c r="N846" s="1126"/>
      <c r="O846" s="1126"/>
      <c r="P846" s="1126"/>
      <c r="Q846" s="1126"/>
      <c r="R846" s="1126"/>
      <c r="S846" s="1126"/>
      <c r="T846" s="1126"/>
      <c r="U846" s="1126"/>
      <c r="V846" s="1126"/>
      <c r="W846" s="1126"/>
      <c r="X846" s="1172"/>
      <c r="Y846" s="1126"/>
      <c r="Z846" s="1126"/>
      <c r="AA846" s="1126"/>
      <c r="AB846" s="1126"/>
      <c r="AC846" s="1126"/>
      <c r="AD846" s="1126"/>
      <c r="AE846" s="1126"/>
      <c r="AF846" s="1126"/>
      <c r="AG846" s="1126"/>
      <c r="AO846" s="962"/>
      <c r="AP846" s="964"/>
    </row>
    <row r="847" spans="1:42" ht="14.25" customHeight="1" x14ac:dyDescent="0.2">
      <c r="D847" s="997"/>
      <c r="E847" s="997"/>
      <c r="F847" s="997"/>
      <c r="G847" s="997"/>
      <c r="H847" s="997"/>
      <c r="I847" s="997"/>
      <c r="J847" s="997"/>
      <c r="K847" s="997"/>
      <c r="L847" s="997"/>
      <c r="M847" s="997"/>
    </row>
    <row r="848" spans="1:42" ht="14.25" customHeight="1" x14ac:dyDescent="0.2">
      <c r="D848" s="1168" t="s">
        <v>1515</v>
      </c>
      <c r="E848" s="1168"/>
      <c r="F848" s="1168"/>
      <c r="G848" s="1168"/>
      <c r="H848" s="1168"/>
      <c r="I848" s="1168"/>
      <c r="J848" s="1168"/>
      <c r="K848" s="1168"/>
      <c r="L848" s="1168"/>
      <c r="M848" s="1168"/>
      <c r="N848" s="1168"/>
      <c r="O848" s="1168"/>
      <c r="P848" s="1168"/>
      <c r="Q848" s="1168"/>
      <c r="R848" s="1168"/>
      <c r="S848" s="1168"/>
      <c r="T848" s="1168"/>
      <c r="U848" s="1168"/>
      <c r="V848" s="1168"/>
      <c r="W848" s="1168"/>
      <c r="X848" s="1168"/>
      <c r="Y848" s="1168"/>
      <c r="Z848" s="1168"/>
      <c r="AA848" s="1168"/>
      <c r="AB848" s="1168"/>
      <c r="AC848" s="1168"/>
      <c r="AD848" s="1168"/>
      <c r="AE848" s="1168"/>
      <c r="AF848" s="1168"/>
      <c r="AG848" s="1168"/>
    </row>
    <row r="849" spans="1:42" ht="14.25" customHeight="1" thickBot="1" x14ac:dyDescent="0.25">
      <c r="D849" s="997"/>
      <c r="E849" s="997"/>
      <c r="F849" s="997"/>
      <c r="G849" s="997"/>
      <c r="H849" s="997"/>
      <c r="I849" s="997"/>
      <c r="J849" s="997"/>
      <c r="K849" s="997"/>
      <c r="L849" s="997"/>
      <c r="M849" s="997"/>
    </row>
    <row r="850" spans="1:42" ht="14.25" customHeight="1" thickBot="1" x14ac:dyDescent="0.25">
      <c r="A850" s="942">
        <v>38</v>
      </c>
      <c r="D850" s="1173" t="s">
        <v>131</v>
      </c>
      <c r="E850" s="1174"/>
      <c r="F850" s="1174"/>
      <c r="G850" s="1174"/>
      <c r="H850" s="1174"/>
      <c r="I850" s="1174"/>
      <c r="J850" s="1174"/>
      <c r="K850" s="1174"/>
      <c r="L850" s="1174"/>
      <c r="M850" s="1175"/>
      <c r="N850" s="1132" t="s">
        <v>2</v>
      </c>
      <c r="O850" s="1133"/>
      <c r="P850" s="1133"/>
      <c r="Q850" s="1133"/>
      <c r="R850" s="1133"/>
      <c r="S850" s="1133"/>
      <c r="T850" s="1133"/>
      <c r="U850" s="1133"/>
      <c r="V850" s="1133"/>
      <c r="W850" s="1133"/>
      <c r="X850" s="1132" t="s">
        <v>3</v>
      </c>
      <c r="Y850" s="1133"/>
      <c r="Z850" s="1133"/>
      <c r="AA850" s="1133"/>
      <c r="AB850" s="1133"/>
      <c r="AC850" s="1133"/>
      <c r="AD850" s="1133"/>
      <c r="AE850" s="1133"/>
      <c r="AF850" s="1133"/>
      <c r="AG850" s="1134"/>
    </row>
    <row r="851" spans="1:42" ht="14.25" customHeight="1" thickTop="1" thickBot="1" x14ac:dyDescent="0.25">
      <c r="D851" s="1173"/>
      <c r="E851" s="1174"/>
      <c r="F851" s="1174"/>
      <c r="G851" s="1174"/>
      <c r="H851" s="1174"/>
      <c r="I851" s="1174"/>
      <c r="J851" s="1174"/>
      <c r="K851" s="1174"/>
      <c r="L851" s="1174"/>
      <c r="M851" s="1175"/>
      <c r="N851" s="1135"/>
      <c r="O851" s="1136"/>
      <c r="P851" s="1136"/>
      <c r="Q851" s="1136"/>
      <c r="R851" s="1136"/>
      <c r="S851" s="1136"/>
      <c r="T851" s="1136"/>
      <c r="U851" s="1136"/>
      <c r="V851" s="1136"/>
      <c r="W851" s="1136"/>
      <c r="X851" s="1135"/>
      <c r="Y851" s="1136"/>
      <c r="Z851" s="1136"/>
      <c r="AA851" s="1136"/>
      <c r="AB851" s="1136"/>
      <c r="AC851" s="1136"/>
      <c r="AD851" s="1136"/>
      <c r="AE851" s="1136"/>
      <c r="AF851" s="1136"/>
      <c r="AG851" s="1137"/>
      <c r="AL851" s="934" t="s">
        <v>2</v>
      </c>
      <c r="AM851" s="937" t="s">
        <v>3</v>
      </c>
      <c r="AO851" s="934" t="s">
        <v>2</v>
      </c>
      <c r="AP851" s="937" t="s">
        <v>3</v>
      </c>
    </row>
    <row r="852" spans="1:42" ht="26.25" customHeight="1" x14ac:dyDescent="0.2">
      <c r="D852" s="1176" t="s">
        <v>297</v>
      </c>
      <c r="E852" s="1177"/>
      <c r="F852" s="1177"/>
      <c r="G852" s="1177"/>
      <c r="H852" s="1177"/>
      <c r="I852" s="1177"/>
      <c r="J852" s="1177"/>
      <c r="K852" s="1177"/>
      <c r="L852" s="1177"/>
      <c r="M852" s="1178"/>
      <c r="N852" s="1179"/>
      <c r="O852" s="1179"/>
      <c r="P852" s="1179"/>
      <c r="Q852" s="1179"/>
      <c r="R852" s="1179"/>
      <c r="S852" s="1179"/>
      <c r="T852" s="1179"/>
      <c r="U852" s="1179"/>
      <c r="V852" s="1179"/>
      <c r="W852" s="1179"/>
      <c r="X852" s="1179"/>
      <c r="Y852" s="1179"/>
      <c r="Z852" s="1179"/>
      <c r="AA852" s="1179"/>
      <c r="AB852" s="1179"/>
      <c r="AC852" s="1179"/>
      <c r="AD852" s="1179"/>
      <c r="AE852" s="1179"/>
      <c r="AF852" s="1179"/>
      <c r="AG852" s="1179"/>
      <c r="AL852" s="982"/>
      <c r="AM852" s="998"/>
      <c r="AO852" s="977">
        <f>N852+N853-'P&amp;L'!$D$13+N855+N857+N856</f>
        <v>1082</v>
      </c>
      <c r="AP852" s="972">
        <f>X852+X853-'P&amp;L'!$E$13+X855+X856+X857</f>
        <v>132466</v>
      </c>
    </row>
    <row r="853" spans="1:42" ht="26.25" customHeight="1" x14ac:dyDescent="0.2">
      <c r="D853" s="1070" t="s">
        <v>298</v>
      </c>
      <c r="E853" s="1071"/>
      <c r="F853" s="1071"/>
      <c r="G853" s="1071"/>
      <c r="H853" s="1071"/>
      <c r="I853" s="1071"/>
      <c r="J853" s="1071"/>
      <c r="K853" s="1071"/>
      <c r="L853" s="1071"/>
      <c r="M853" s="1072"/>
      <c r="N853" s="1169">
        <v>11330433</v>
      </c>
      <c r="O853" s="1169"/>
      <c r="P853" s="1169"/>
      <c r="Q853" s="1169"/>
      <c r="R853" s="1169"/>
      <c r="S853" s="1169"/>
      <c r="T853" s="1169"/>
      <c r="U853" s="1169"/>
      <c r="V853" s="1169"/>
      <c r="W853" s="1169"/>
      <c r="X853" s="1169">
        <v>10716651</v>
      </c>
      <c r="Y853" s="1169"/>
      <c r="Z853" s="1169"/>
      <c r="AA853" s="1169"/>
      <c r="AB853" s="1169"/>
      <c r="AC853" s="1169"/>
      <c r="AD853" s="1169"/>
      <c r="AE853" s="1169"/>
      <c r="AF853" s="1169"/>
      <c r="AG853" s="1169"/>
      <c r="AL853" s="985"/>
      <c r="AM853" s="999"/>
      <c r="AO853" s="956">
        <f>AO852</f>
        <v>1082</v>
      </c>
      <c r="AP853" s="955">
        <f>AP852</f>
        <v>132466</v>
      </c>
    </row>
    <row r="854" spans="1:42" ht="26.25" customHeight="1" x14ac:dyDescent="0.2">
      <c r="D854" s="1070" t="s">
        <v>299</v>
      </c>
      <c r="E854" s="1071"/>
      <c r="F854" s="1071"/>
      <c r="G854" s="1071"/>
      <c r="H854" s="1071"/>
      <c r="I854" s="1071"/>
      <c r="J854" s="1071"/>
      <c r="K854" s="1071"/>
      <c r="L854" s="1071"/>
      <c r="M854" s="1072"/>
      <c r="N854" s="1169"/>
      <c r="O854" s="1169"/>
      <c r="P854" s="1169"/>
      <c r="Q854" s="1169"/>
      <c r="R854" s="1169"/>
      <c r="S854" s="1169"/>
      <c r="T854" s="1169"/>
      <c r="U854" s="1169"/>
      <c r="V854" s="1169"/>
      <c r="W854" s="1169"/>
      <c r="X854" s="1169"/>
      <c r="Y854" s="1169"/>
      <c r="Z854" s="1169"/>
      <c r="AA854" s="1169"/>
      <c r="AB854" s="1169"/>
      <c r="AC854" s="1169"/>
      <c r="AD854" s="1169"/>
      <c r="AE854" s="1169"/>
      <c r="AF854" s="1169"/>
      <c r="AG854" s="1169"/>
      <c r="AL854" s="985"/>
      <c r="AM854" s="999"/>
      <c r="AO854" s="956">
        <f>N854-'P&amp;L'!$D$9</f>
        <v>0</v>
      </c>
      <c r="AP854" s="955">
        <f>X854-'P&amp;L'!$E$9</f>
        <v>0</v>
      </c>
    </row>
    <row r="855" spans="1:42" ht="26.25" customHeight="1" x14ac:dyDescent="0.2">
      <c r="D855" s="1070" t="s">
        <v>300</v>
      </c>
      <c r="E855" s="1071"/>
      <c r="F855" s="1071"/>
      <c r="G855" s="1071"/>
      <c r="H855" s="1071"/>
      <c r="I855" s="1071"/>
      <c r="J855" s="1071"/>
      <c r="K855" s="1071"/>
      <c r="L855" s="1071"/>
      <c r="M855" s="1072"/>
      <c r="N855" s="1115"/>
      <c r="O855" s="1115"/>
      <c r="P855" s="1115"/>
      <c r="Q855" s="1115"/>
      <c r="R855" s="1115"/>
      <c r="S855" s="1115"/>
      <c r="T855" s="1115"/>
      <c r="U855" s="1115"/>
      <c r="V855" s="1115"/>
      <c r="W855" s="1115"/>
      <c r="X855" s="1115"/>
      <c r="Y855" s="1115"/>
      <c r="Z855" s="1115"/>
      <c r="AA855" s="1115"/>
      <c r="AB855" s="1115"/>
      <c r="AC855" s="1115"/>
      <c r="AD855" s="1115"/>
      <c r="AE855" s="1115"/>
      <c r="AF855" s="1115"/>
      <c r="AG855" s="1115"/>
      <c r="AL855" s="985"/>
      <c r="AM855" s="999"/>
      <c r="AO855" s="995"/>
      <c r="AP855" s="996"/>
    </row>
    <row r="856" spans="1:42" ht="26.25" customHeight="1" x14ac:dyDescent="0.2">
      <c r="D856" s="1070" t="s">
        <v>301</v>
      </c>
      <c r="E856" s="1071"/>
      <c r="F856" s="1071"/>
      <c r="G856" s="1071"/>
      <c r="H856" s="1071"/>
      <c r="I856" s="1071"/>
      <c r="J856" s="1071"/>
      <c r="K856" s="1071"/>
      <c r="L856" s="1071"/>
      <c r="M856" s="1072"/>
      <c r="N856" s="1051"/>
      <c r="O856" s="1051"/>
      <c r="P856" s="1051"/>
      <c r="Q856" s="1051"/>
      <c r="R856" s="1051"/>
      <c r="S856" s="1051"/>
      <c r="T856" s="1051"/>
      <c r="U856" s="1051"/>
      <c r="V856" s="1051"/>
      <c r="W856" s="1051"/>
      <c r="X856" s="1051"/>
      <c r="Y856" s="1051"/>
      <c r="Z856" s="1051"/>
      <c r="AA856" s="1051"/>
      <c r="AB856" s="1051"/>
      <c r="AC856" s="1051"/>
      <c r="AD856" s="1051"/>
      <c r="AE856" s="1051"/>
      <c r="AF856" s="1051"/>
      <c r="AG856" s="1051"/>
      <c r="AL856" s="985"/>
      <c r="AM856" s="999"/>
      <c r="AO856" s="956"/>
      <c r="AP856" s="955"/>
    </row>
    <row r="857" spans="1:42" ht="26.25" customHeight="1" x14ac:dyDescent="0.2">
      <c r="D857" s="1070" t="s">
        <v>302</v>
      </c>
      <c r="E857" s="1071"/>
      <c r="F857" s="1071"/>
      <c r="G857" s="1071"/>
      <c r="H857" s="1071"/>
      <c r="I857" s="1071"/>
      <c r="J857" s="1071"/>
      <c r="K857" s="1071"/>
      <c r="L857" s="1071"/>
      <c r="M857" s="1072"/>
      <c r="N857" s="1169">
        <v>1082</v>
      </c>
      <c r="O857" s="1169"/>
      <c r="P857" s="1169"/>
      <c r="Q857" s="1169"/>
      <c r="R857" s="1169"/>
      <c r="S857" s="1169"/>
      <c r="T857" s="1169"/>
      <c r="U857" s="1169"/>
      <c r="V857" s="1169"/>
      <c r="W857" s="1169"/>
      <c r="X857" s="1169">
        <v>132466</v>
      </c>
      <c r="Y857" s="1169"/>
      <c r="Z857" s="1169"/>
      <c r="AA857" s="1169"/>
      <c r="AB857" s="1169"/>
      <c r="AC857" s="1169"/>
      <c r="AD857" s="1169"/>
      <c r="AE857" s="1169"/>
      <c r="AF857" s="1169"/>
      <c r="AG857" s="1169"/>
      <c r="AL857" s="985"/>
      <c r="AM857" s="999"/>
      <c r="AO857" s="995"/>
      <c r="AP857" s="996"/>
    </row>
    <row r="858" spans="1:42" ht="26.25" customHeight="1" thickBot="1" x14ac:dyDescent="0.25">
      <c r="D858" s="1180" t="s">
        <v>303</v>
      </c>
      <c r="E858" s="1181"/>
      <c r="F858" s="1181"/>
      <c r="G858" s="1181"/>
      <c r="H858" s="1181"/>
      <c r="I858" s="1181"/>
      <c r="J858" s="1181"/>
      <c r="K858" s="1181"/>
      <c r="L858" s="1181"/>
      <c r="M858" s="1182"/>
      <c r="N858" s="1170">
        <f>SUM(N852:W857)</f>
        <v>11331515</v>
      </c>
      <c r="O858" s="1170"/>
      <c r="P858" s="1170"/>
      <c r="Q858" s="1170"/>
      <c r="R858" s="1170"/>
      <c r="S858" s="1170"/>
      <c r="T858" s="1170"/>
      <c r="U858" s="1170"/>
      <c r="V858" s="1170"/>
      <c r="W858" s="1170"/>
      <c r="X858" s="1170">
        <f>SUM(X852:AG857)</f>
        <v>10849117</v>
      </c>
      <c r="Y858" s="1170"/>
      <c r="Z858" s="1170"/>
      <c r="AA858" s="1170"/>
      <c r="AB858" s="1170"/>
      <c r="AC858" s="1170"/>
      <c r="AD858" s="1170"/>
      <c r="AE858" s="1170"/>
      <c r="AF858" s="1170"/>
      <c r="AG858" s="1170"/>
      <c r="AL858" s="1000">
        <f>SUM(N852:W857)-N858</f>
        <v>0</v>
      </c>
      <c r="AM858" s="1001">
        <f>SUM(X852:AG857)-X858</f>
        <v>0</v>
      </c>
      <c r="AO858" s="1002">
        <f>N858-'P&amp;L'!D13</f>
        <v>1082</v>
      </c>
      <c r="AP858" s="1003">
        <f>X858-'P&amp;L'!E13</f>
        <v>132466</v>
      </c>
    </row>
    <row r="861" spans="1:42" ht="14.25" customHeight="1" x14ac:dyDescent="0.2">
      <c r="D861" s="1052" t="s">
        <v>1516</v>
      </c>
      <c r="E861" s="1052"/>
      <c r="F861" s="1052"/>
      <c r="G861" s="1052"/>
      <c r="H861" s="1052"/>
      <c r="I861" s="1052"/>
      <c r="J861" s="1052"/>
      <c r="K861" s="1052"/>
      <c r="L861" s="1052"/>
      <c r="M861" s="1052"/>
      <c r="N861" s="1052"/>
      <c r="O861" s="1052"/>
      <c r="P861" s="1052"/>
      <c r="Q861" s="1052"/>
      <c r="R861" s="1052"/>
      <c r="S861" s="1052"/>
      <c r="T861" s="1052"/>
      <c r="U861" s="1052"/>
      <c r="V861" s="1052"/>
      <c r="W861" s="1052"/>
      <c r="X861" s="1052"/>
      <c r="Y861" s="1052"/>
      <c r="Z861" s="1052"/>
      <c r="AA861" s="1052"/>
      <c r="AB861" s="1052"/>
      <c r="AC861" s="1052"/>
      <c r="AD861" s="1052"/>
      <c r="AE861" s="1052"/>
      <c r="AF861" s="1052"/>
      <c r="AG861" s="1052"/>
    </row>
    <row r="863" spans="1:42" ht="14.25" customHeight="1" x14ac:dyDescent="0.2">
      <c r="D863" s="1168" t="s">
        <v>1517</v>
      </c>
      <c r="E863" s="1168"/>
      <c r="F863" s="1168"/>
      <c r="G863" s="1168"/>
      <c r="H863" s="1168"/>
      <c r="I863" s="1168"/>
      <c r="J863" s="1168"/>
      <c r="K863" s="1168"/>
      <c r="L863" s="1168"/>
      <c r="M863" s="1168"/>
      <c r="N863" s="1168"/>
      <c r="O863" s="1168"/>
      <c r="P863" s="1168"/>
      <c r="Q863" s="1168"/>
      <c r="R863" s="1168"/>
      <c r="S863" s="1168"/>
      <c r="T863" s="1168"/>
      <c r="U863" s="1168"/>
      <c r="V863" s="1168"/>
      <c r="W863" s="1168"/>
      <c r="X863" s="1168"/>
      <c r="Y863" s="1168"/>
      <c r="Z863" s="1168"/>
      <c r="AA863" s="1168"/>
      <c r="AB863" s="1168"/>
      <c r="AC863" s="1168"/>
      <c r="AD863" s="1168"/>
      <c r="AE863" s="1168"/>
      <c r="AF863" s="1168"/>
      <c r="AG863" s="1168"/>
    </row>
    <row r="864" spans="1:42" ht="14.25" customHeight="1" thickBot="1" x14ac:dyDescent="0.25"/>
    <row r="865" spans="1:42" ht="14.25" customHeight="1" thickBot="1" x14ac:dyDescent="0.25">
      <c r="A865" s="942">
        <v>39</v>
      </c>
      <c r="D865" s="1279" t="s">
        <v>131</v>
      </c>
      <c r="E865" s="1280"/>
      <c r="F865" s="1280"/>
      <c r="G865" s="1280"/>
      <c r="H865" s="1280"/>
      <c r="I865" s="1280"/>
      <c r="J865" s="1280"/>
      <c r="K865" s="1280"/>
      <c r="L865" s="1280"/>
      <c r="M865" s="1281"/>
      <c r="N865" s="1132" t="s">
        <v>2</v>
      </c>
      <c r="O865" s="1133"/>
      <c r="P865" s="1133"/>
      <c r="Q865" s="1133"/>
      <c r="R865" s="1133"/>
      <c r="S865" s="1133"/>
      <c r="T865" s="1133"/>
      <c r="U865" s="1133"/>
      <c r="V865" s="1133"/>
      <c r="W865" s="1133"/>
      <c r="X865" s="1132" t="s">
        <v>3</v>
      </c>
      <c r="Y865" s="1133"/>
      <c r="Z865" s="1133"/>
      <c r="AA865" s="1133"/>
      <c r="AB865" s="1133"/>
      <c r="AC865" s="1133"/>
      <c r="AD865" s="1133"/>
      <c r="AE865" s="1133"/>
      <c r="AF865" s="1133"/>
      <c r="AG865" s="1134"/>
    </row>
    <row r="866" spans="1:42" ht="14.25" customHeight="1" thickTop="1" thickBot="1" x14ac:dyDescent="0.25">
      <c r="D866" s="1282"/>
      <c r="E866" s="1283"/>
      <c r="F866" s="1283"/>
      <c r="G866" s="1283"/>
      <c r="H866" s="1283"/>
      <c r="I866" s="1283"/>
      <c r="J866" s="1283"/>
      <c r="K866" s="1283"/>
      <c r="L866" s="1283"/>
      <c r="M866" s="1284"/>
      <c r="N866" s="1135"/>
      <c r="O866" s="1136"/>
      <c r="P866" s="1136"/>
      <c r="Q866" s="1136"/>
      <c r="R866" s="1136"/>
      <c r="S866" s="1136"/>
      <c r="T866" s="1136"/>
      <c r="U866" s="1136"/>
      <c r="V866" s="1136"/>
      <c r="W866" s="1136"/>
      <c r="X866" s="1135"/>
      <c r="Y866" s="1136"/>
      <c r="Z866" s="1136"/>
      <c r="AA866" s="1136"/>
      <c r="AB866" s="1136"/>
      <c r="AC866" s="1136"/>
      <c r="AD866" s="1136"/>
      <c r="AE866" s="1136"/>
      <c r="AF866" s="1136"/>
      <c r="AG866" s="1137"/>
      <c r="AL866" s="934" t="s">
        <v>2</v>
      </c>
      <c r="AM866" s="937" t="s">
        <v>3</v>
      </c>
      <c r="AO866" s="934" t="s">
        <v>2</v>
      </c>
      <c r="AP866" s="937" t="s">
        <v>3</v>
      </c>
    </row>
    <row r="867" spans="1:42" s="971" customFormat="1" ht="29.25" customHeight="1" x14ac:dyDescent="0.2">
      <c r="A867" s="970"/>
      <c r="D867" s="1263" t="s">
        <v>305</v>
      </c>
      <c r="E867" s="1264"/>
      <c r="F867" s="1264"/>
      <c r="G867" s="1264"/>
      <c r="H867" s="1264"/>
      <c r="I867" s="1264"/>
      <c r="J867" s="1264"/>
      <c r="K867" s="1264"/>
      <c r="L867" s="1264"/>
      <c r="M867" s="1265"/>
      <c r="N867" s="1115">
        <v>10038611</v>
      </c>
      <c r="O867" s="1115"/>
      <c r="P867" s="1115"/>
      <c r="Q867" s="1115"/>
      <c r="R867" s="1115"/>
      <c r="S867" s="1115"/>
      <c r="T867" s="1115"/>
      <c r="U867" s="1115"/>
      <c r="V867" s="1115"/>
      <c r="W867" s="1115"/>
      <c r="X867" s="1115">
        <v>9578452</v>
      </c>
      <c r="Y867" s="1115"/>
      <c r="Z867" s="1115"/>
      <c r="AA867" s="1115"/>
      <c r="AB867" s="1115"/>
      <c r="AC867" s="1115"/>
      <c r="AD867" s="1115"/>
      <c r="AE867" s="1115"/>
      <c r="AF867" s="1115"/>
      <c r="AG867" s="1115"/>
      <c r="AL867" s="977">
        <f>SUM(N868,N874)-N867</f>
        <v>0</v>
      </c>
      <c r="AM867" s="972">
        <f>SUM(X868,X874)-X867</f>
        <v>0</v>
      </c>
      <c r="AO867" s="977">
        <f>N867-'P&amp;L'!$D$18</f>
        <v>0</v>
      </c>
      <c r="AP867" s="972">
        <f>X867-'P&amp;L'!$E$18</f>
        <v>0</v>
      </c>
    </row>
    <row r="868" spans="1:42" s="971" customFormat="1" ht="29.25" customHeight="1" x14ac:dyDescent="0.2">
      <c r="A868" s="970"/>
      <c r="D868" s="1070" t="s">
        <v>306</v>
      </c>
      <c r="E868" s="1071"/>
      <c r="F868" s="1071"/>
      <c r="G868" s="1071"/>
      <c r="H868" s="1071"/>
      <c r="I868" s="1071"/>
      <c r="J868" s="1071"/>
      <c r="K868" s="1071"/>
      <c r="L868" s="1071"/>
      <c r="M868" s="1072"/>
      <c r="N868" s="1169">
        <v>3655</v>
      </c>
      <c r="O868" s="1169"/>
      <c r="P868" s="1169"/>
      <c r="Q868" s="1169"/>
      <c r="R868" s="1169"/>
      <c r="S868" s="1169"/>
      <c r="T868" s="1169"/>
      <c r="U868" s="1169"/>
      <c r="V868" s="1169"/>
      <c r="W868" s="1169"/>
      <c r="X868" s="1169">
        <v>7796</v>
      </c>
      <c r="Y868" s="1169"/>
      <c r="Z868" s="1169"/>
      <c r="AA868" s="1169"/>
      <c r="AB868" s="1169"/>
      <c r="AC868" s="1169"/>
      <c r="AD868" s="1169"/>
      <c r="AE868" s="1169"/>
      <c r="AF868" s="1169"/>
      <c r="AG868" s="1169"/>
      <c r="AL868" s="956">
        <f>SUM(N869:W873)-N868</f>
        <v>0</v>
      </c>
      <c r="AM868" s="955">
        <f>SUM(X869:AG873)-X868</f>
        <v>0</v>
      </c>
      <c r="AO868" s="956"/>
      <c r="AP868" s="955"/>
    </row>
    <row r="869" spans="1:42" s="971" customFormat="1" ht="29.25" customHeight="1" x14ac:dyDescent="0.2">
      <c r="A869" s="970"/>
      <c r="D869" s="1070" t="s">
        <v>307</v>
      </c>
      <c r="E869" s="1071"/>
      <c r="F869" s="1071"/>
      <c r="G869" s="1071"/>
      <c r="H869" s="1071"/>
      <c r="I869" s="1071"/>
      <c r="J869" s="1071"/>
      <c r="K869" s="1071"/>
      <c r="L869" s="1071"/>
      <c r="M869" s="1072"/>
      <c r="N869" s="1169">
        <v>3655</v>
      </c>
      <c r="O869" s="1169"/>
      <c r="P869" s="1169"/>
      <c r="Q869" s="1169"/>
      <c r="R869" s="1169"/>
      <c r="S869" s="1169"/>
      <c r="T869" s="1169"/>
      <c r="U869" s="1169"/>
      <c r="V869" s="1169"/>
      <c r="W869" s="1169"/>
      <c r="X869" s="1169">
        <v>3566</v>
      </c>
      <c r="Y869" s="1169"/>
      <c r="Z869" s="1169"/>
      <c r="AA869" s="1169"/>
      <c r="AB869" s="1169"/>
      <c r="AC869" s="1169"/>
      <c r="AD869" s="1169"/>
      <c r="AE869" s="1169"/>
      <c r="AF869" s="1169"/>
      <c r="AG869" s="1169"/>
      <c r="AL869" s="954"/>
      <c r="AM869" s="955"/>
      <c r="AO869" s="1004"/>
      <c r="AP869" s="1005"/>
    </row>
    <row r="870" spans="1:42" s="971" customFormat="1" ht="29.25" customHeight="1" x14ac:dyDescent="0.2">
      <c r="A870" s="970"/>
      <c r="D870" s="1070" t="s">
        <v>308</v>
      </c>
      <c r="E870" s="1071"/>
      <c r="F870" s="1071"/>
      <c r="G870" s="1071"/>
      <c r="H870" s="1071"/>
      <c r="I870" s="1071"/>
      <c r="J870" s="1071"/>
      <c r="K870" s="1071"/>
      <c r="L870" s="1071"/>
      <c r="M870" s="1072"/>
      <c r="N870" s="1169"/>
      <c r="O870" s="1169"/>
      <c r="P870" s="1169"/>
      <c r="Q870" s="1169"/>
      <c r="R870" s="1169"/>
      <c r="S870" s="1169"/>
      <c r="T870" s="1169"/>
      <c r="U870" s="1169"/>
      <c r="V870" s="1169"/>
      <c r="W870" s="1169"/>
      <c r="X870" s="1169"/>
      <c r="Y870" s="1169"/>
      <c r="Z870" s="1169"/>
      <c r="AA870" s="1169"/>
      <c r="AB870" s="1169"/>
      <c r="AC870" s="1169"/>
      <c r="AD870" s="1169"/>
      <c r="AE870" s="1169"/>
      <c r="AF870" s="1169"/>
      <c r="AG870" s="1169"/>
      <c r="AL870" s="954"/>
      <c r="AM870" s="955"/>
      <c r="AO870" s="1006"/>
      <c r="AP870" s="1007"/>
    </row>
    <row r="871" spans="1:42" s="971" customFormat="1" ht="29.25" customHeight="1" x14ac:dyDescent="0.2">
      <c r="A871" s="970"/>
      <c r="D871" s="1070" t="s">
        <v>309</v>
      </c>
      <c r="E871" s="1071"/>
      <c r="F871" s="1071"/>
      <c r="G871" s="1071"/>
      <c r="H871" s="1071"/>
      <c r="I871" s="1071"/>
      <c r="J871" s="1071"/>
      <c r="K871" s="1071"/>
      <c r="L871" s="1071"/>
      <c r="M871" s="1072"/>
      <c r="N871" s="1169"/>
      <c r="O871" s="1169"/>
      <c r="P871" s="1169"/>
      <c r="Q871" s="1169"/>
      <c r="R871" s="1169"/>
      <c r="S871" s="1169"/>
      <c r="T871" s="1169"/>
      <c r="U871" s="1169"/>
      <c r="V871" s="1169"/>
      <c r="W871" s="1169"/>
      <c r="X871" s="1169">
        <v>4230</v>
      </c>
      <c r="Y871" s="1169"/>
      <c r="Z871" s="1169"/>
      <c r="AA871" s="1169"/>
      <c r="AB871" s="1169"/>
      <c r="AC871" s="1169"/>
      <c r="AD871" s="1169"/>
      <c r="AE871" s="1169"/>
      <c r="AF871" s="1169"/>
      <c r="AG871" s="1169"/>
      <c r="AL871" s="954"/>
      <c r="AM871" s="955"/>
      <c r="AO871" s="1004"/>
      <c r="AP871" s="1005"/>
    </row>
    <row r="872" spans="1:42" s="971" customFormat="1" ht="29.25" customHeight="1" x14ac:dyDescent="0.2">
      <c r="A872" s="970"/>
      <c r="D872" s="1070" t="s">
        <v>310</v>
      </c>
      <c r="E872" s="1071"/>
      <c r="F872" s="1071"/>
      <c r="G872" s="1071"/>
      <c r="H872" s="1071"/>
      <c r="I872" s="1071"/>
      <c r="J872" s="1071"/>
      <c r="K872" s="1071"/>
      <c r="L872" s="1071"/>
      <c r="M872" s="1072"/>
      <c r="N872" s="1169"/>
      <c r="O872" s="1169"/>
      <c r="P872" s="1169"/>
      <c r="Q872" s="1169"/>
      <c r="R872" s="1169"/>
      <c r="S872" s="1169"/>
      <c r="T872" s="1169"/>
      <c r="U872" s="1169"/>
      <c r="V872" s="1169"/>
      <c r="W872" s="1169"/>
      <c r="X872" s="1169"/>
      <c r="Y872" s="1169"/>
      <c r="Z872" s="1169"/>
      <c r="AA872" s="1169"/>
      <c r="AB872" s="1169"/>
      <c r="AC872" s="1169"/>
      <c r="AD872" s="1169"/>
      <c r="AE872" s="1169"/>
      <c r="AF872" s="1169"/>
      <c r="AG872" s="1169"/>
      <c r="AL872" s="954"/>
      <c r="AM872" s="955"/>
      <c r="AO872" s="1006"/>
      <c r="AP872" s="1007"/>
    </row>
    <row r="873" spans="1:42" s="971" customFormat="1" ht="29.25" customHeight="1" x14ac:dyDescent="0.2">
      <c r="A873" s="970"/>
      <c r="D873" s="1070" t="s">
        <v>311</v>
      </c>
      <c r="E873" s="1071"/>
      <c r="F873" s="1071"/>
      <c r="G873" s="1071"/>
      <c r="H873" s="1071"/>
      <c r="I873" s="1071"/>
      <c r="J873" s="1071"/>
      <c r="K873" s="1071"/>
      <c r="L873" s="1071"/>
      <c r="M873" s="1072"/>
      <c r="N873" s="1169"/>
      <c r="O873" s="1169"/>
      <c r="P873" s="1169"/>
      <c r="Q873" s="1169"/>
      <c r="R873" s="1169"/>
      <c r="S873" s="1169"/>
      <c r="T873" s="1169"/>
      <c r="U873" s="1169"/>
      <c r="V873" s="1169"/>
      <c r="W873" s="1169"/>
      <c r="X873" s="1169"/>
      <c r="Y873" s="1169"/>
      <c r="Z873" s="1169"/>
      <c r="AA873" s="1169"/>
      <c r="AB873" s="1169"/>
      <c r="AC873" s="1169"/>
      <c r="AD873" s="1169"/>
      <c r="AE873" s="1169"/>
      <c r="AF873" s="1169"/>
      <c r="AG873" s="1169"/>
      <c r="AL873" s="956"/>
      <c r="AM873" s="955"/>
      <c r="AO873" s="1006"/>
      <c r="AP873" s="1007"/>
    </row>
    <row r="874" spans="1:42" s="971" customFormat="1" ht="29.25" customHeight="1" x14ac:dyDescent="0.2">
      <c r="A874" s="970"/>
      <c r="D874" s="1236" t="s">
        <v>312</v>
      </c>
      <c r="E874" s="1237"/>
      <c r="F874" s="1237"/>
      <c r="G874" s="1237"/>
      <c r="H874" s="1237"/>
      <c r="I874" s="1237"/>
      <c r="J874" s="1237"/>
      <c r="K874" s="1237"/>
      <c r="L874" s="1237"/>
      <c r="M874" s="1238"/>
      <c r="N874" s="1051">
        <f>N867-N868</f>
        <v>10034956</v>
      </c>
      <c r="O874" s="1051"/>
      <c r="P874" s="1051"/>
      <c r="Q874" s="1051"/>
      <c r="R874" s="1051"/>
      <c r="S874" s="1051"/>
      <c r="T874" s="1051"/>
      <c r="U874" s="1051"/>
      <c r="V874" s="1051"/>
      <c r="W874" s="1051"/>
      <c r="X874" s="1051">
        <v>9570656</v>
      </c>
      <c r="Y874" s="1051"/>
      <c r="Z874" s="1051"/>
      <c r="AA874" s="1051"/>
      <c r="AB874" s="1051"/>
      <c r="AC874" s="1051"/>
      <c r="AD874" s="1051"/>
      <c r="AE874" s="1051"/>
      <c r="AF874" s="1051"/>
      <c r="AG874" s="1051"/>
      <c r="AL874" s="956">
        <f>SUM(N875:W877)-N874</f>
        <v>-509818</v>
      </c>
      <c r="AM874" s="955">
        <f>SUM(X875:AG877)-X874</f>
        <v>-395850</v>
      </c>
      <c r="AO874" s="1004"/>
      <c r="AP874" s="1005"/>
    </row>
    <row r="875" spans="1:42" s="971" customFormat="1" ht="29.25" customHeight="1" x14ac:dyDescent="0.2">
      <c r="A875" s="970"/>
      <c r="D875" s="1069" t="s">
        <v>1972</v>
      </c>
      <c r="E875" s="1069"/>
      <c r="F875" s="1069"/>
      <c r="G875" s="1069"/>
      <c r="H875" s="1069"/>
      <c r="I875" s="1069"/>
      <c r="J875" s="1069"/>
      <c r="K875" s="1069"/>
      <c r="L875" s="1069"/>
      <c r="M875" s="1069"/>
      <c r="N875" s="1051">
        <v>9518251</v>
      </c>
      <c r="O875" s="1051"/>
      <c r="P875" s="1051"/>
      <c r="Q875" s="1051"/>
      <c r="R875" s="1051"/>
      <c r="S875" s="1051"/>
      <c r="T875" s="1051"/>
      <c r="U875" s="1051"/>
      <c r="V875" s="1051"/>
      <c r="W875" s="1051"/>
      <c r="X875" s="1051">
        <v>9059183</v>
      </c>
      <c r="Y875" s="1051"/>
      <c r="Z875" s="1051"/>
      <c r="AA875" s="1051"/>
      <c r="AB875" s="1051"/>
      <c r="AC875" s="1051"/>
      <c r="AD875" s="1051"/>
      <c r="AE875" s="1051"/>
      <c r="AF875" s="1051"/>
      <c r="AG875" s="1051"/>
      <c r="AL875" s="954"/>
      <c r="AM875" s="955"/>
      <c r="AO875" s="954"/>
      <c r="AP875" s="958"/>
    </row>
    <row r="876" spans="1:42" s="971" customFormat="1" ht="29.25" customHeight="1" x14ac:dyDescent="0.2">
      <c r="A876" s="970"/>
      <c r="D876" s="1069" t="s">
        <v>1973</v>
      </c>
      <c r="E876" s="1069"/>
      <c r="F876" s="1069"/>
      <c r="G876" s="1069"/>
      <c r="H876" s="1069"/>
      <c r="I876" s="1069"/>
      <c r="J876" s="1069"/>
      <c r="K876" s="1069"/>
      <c r="L876" s="1069"/>
      <c r="M876" s="1069"/>
      <c r="N876" s="1051"/>
      <c r="O876" s="1051"/>
      <c r="P876" s="1051"/>
      <c r="Q876" s="1051"/>
      <c r="R876" s="1051"/>
      <c r="S876" s="1051"/>
      <c r="T876" s="1051"/>
      <c r="U876" s="1051"/>
      <c r="V876" s="1051"/>
      <c r="W876" s="1051"/>
      <c r="X876" s="1051">
        <v>105004</v>
      </c>
      <c r="Y876" s="1051"/>
      <c r="Z876" s="1051"/>
      <c r="AA876" s="1051"/>
      <c r="AB876" s="1051"/>
      <c r="AC876" s="1051"/>
      <c r="AD876" s="1051"/>
      <c r="AE876" s="1051"/>
      <c r="AF876" s="1051"/>
      <c r="AG876" s="1051"/>
      <c r="AL876" s="954"/>
      <c r="AM876" s="955"/>
      <c r="AO876" s="954"/>
      <c r="AP876" s="958"/>
    </row>
    <row r="877" spans="1:42" s="971" customFormat="1" ht="29.25" customHeight="1" x14ac:dyDescent="0.2">
      <c r="A877" s="970"/>
      <c r="D877" s="1069" t="s">
        <v>1974</v>
      </c>
      <c r="E877" s="1069"/>
      <c r="F877" s="1069"/>
      <c r="G877" s="1069"/>
      <c r="H877" s="1069"/>
      <c r="I877" s="1069"/>
      <c r="J877" s="1069"/>
      <c r="K877" s="1069"/>
      <c r="L877" s="1069"/>
      <c r="M877" s="1069"/>
      <c r="N877" s="1051">
        <v>6887</v>
      </c>
      <c r="O877" s="1051"/>
      <c r="P877" s="1051"/>
      <c r="Q877" s="1051"/>
      <c r="R877" s="1051"/>
      <c r="S877" s="1051"/>
      <c r="T877" s="1051"/>
      <c r="U877" s="1051"/>
      <c r="V877" s="1051"/>
      <c r="W877" s="1051"/>
      <c r="X877" s="1051">
        <v>10619</v>
      </c>
      <c r="Y877" s="1051"/>
      <c r="Z877" s="1051"/>
      <c r="AA877" s="1051"/>
      <c r="AB877" s="1051"/>
      <c r="AC877" s="1051"/>
      <c r="AD877" s="1051"/>
      <c r="AE877" s="1051"/>
      <c r="AF877" s="1051"/>
      <c r="AG877" s="1051"/>
      <c r="AL877" s="954"/>
      <c r="AM877" s="955"/>
      <c r="AO877" s="954"/>
      <c r="AP877" s="958"/>
    </row>
    <row r="878" spans="1:42" s="971" customFormat="1" ht="29.25" customHeight="1" x14ac:dyDescent="0.2">
      <c r="A878" s="970"/>
      <c r="D878" s="1069" t="s">
        <v>1975</v>
      </c>
      <c r="E878" s="1069"/>
      <c r="F878" s="1069"/>
      <c r="G878" s="1069"/>
      <c r="H878" s="1069"/>
      <c r="I878" s="1069"/>
      <c r="J878" s="1069"/>
      <c r="K878" s="1069"/>
      <c r="L878" s="1069"/>
      <c r="M878" s="1069"/>
      <c r="N878" s="1051">
        <v>22747</v>
      </c>
      <c r="O878" s="1051"/>
      <c r="P878" s="1051"/>
      <c r="Q878" s="1051"/>
      <c r="R878" s="1051"/>
      <c r="S878" s="1051"/>
      <c r="T878" s="1051"/>
      <c r="U878" s="1051"/>
      <c r="V878" s="1051"/>
      <c r="W878" s="1051"/>
      <c r="X878" s="1051">
        <v>2350</v>
      </c>
      <c r="Y878" s="1051"/>
      <c r="Z878" s="1051"/>
      <c r="AA878" s="1051"/>
      <c r="AB878" s="1051"/>
      <c r="AC878" s="1051"/>
      <c r="AD878" s="1051"/>
      <c r="AE878" s="1051"/>
      <c r="AF878" s="1051"/>
      <c r="AG878" s="1051"/>
      <c r="AL878" s="956">
        <f>SUM(N879:W882)-N878</f>
        <v>464324</v>
      </c>
      <c r="AM878" s="955">
        <f>SUM(X879:AG882)-X878</f>
        <v>391150</v>
      </c>
      <c r="AO878" s="954"/>
      <c r="AP878" s="958"/>
    </row>
    <row r="879" spans="1:42" s="971" customFormat="1" ht="29.25" customHeight="1" x14ac:dyDescent="0.2">
      <c r="A879" s="970"/>
      <c r="D879" s="1069" t="s">
        <v>1976</v>
      </c>
      <c r="E879" s="1069"/>
      <c r="F879" s="1069"/>
      <c r="G879" s="1069"/>
      <c r="H879" s="1069"/>
      <c r="I879" s="1069"/>
      <c r="J879" s="1069"/>
      <c r="K879" s="1069"/>
      <c r="L879" s="1069"/>
      <c r="M879" s="1069"/>
      <c r="N879" s="1051">
        <v>11146</v>
      </c>
      <c r="O879" s="1051"/>
      <c r="P879" s="1051"/>
      <c r="Q879" s="1051"/>
      <c r="R879" s="1051"/>
      <c r="S879" s="1051"/>
      <c r="T879" s="1051"/>
      <c r="U879" s="1051"/>
      <c r="V879" s="1051"/>
      <c r="W879" s="1051"/>
      <c r="X879" s="1051">
        <v>10331</v>
      </c>
      <c r="Y879" s="1051"/>
      <c r="Z879" s="1051"/>
      <c r="AA879" s="1051"/>
      <c r="AB879" s="1051"/>
      <c r="AC879" s="1051"/>
      <c r="AD879" s="1051"/>
      <c r="AE879" s="1051"/>
      <c r="AF879" s="1051"/>
      <c r="AG879" s="1051"/>
      <c r="AL879" s="954"/>
      <c r="AM879" s="955"/>
      <c r="AO879" s="954"/>
      <c r="AP879" s="958"/>
    </row>
    <row r="880" spans="1:42" s="971" customFormat="1" ht="29.25" customHeight="1" x14ac:dyDescent="0.2">
      <c r="A880" s="970"/>
      <c r="D880" s="1069" t="s">
        <v>1977</v>
      </c>
      <c r="E880" s="1069"/>
      <c r="F880" s="1069"/>
      <c r="G880" s="1069"/>
      <c r="H880" s="1069"/>
      <c r="I880" s="1069"/>
      <c r="J880" s="1069"/>
      <c r="K880" s="1069"/>
      <c r="L880" s="1069"/>
      <c r="M880" s="1069"/>
      <c r="N880" s="1051">
        <v>17263</v>
      </c>
      <c r="O880" s="1051"/>
      <c r="P880" s="1051"/>
      <c r="Q880" s="1051"/>
      <c r="R880" s="1051"/>
      <c r="S880" s="1051"/>
      <c r="T880" s="1051"/>
      <c r="U880" s="1051"/>
      <c r="V880" s="1051"/>
      <c r="W880" s="1051"/>
      <c r="X880" s="1051">
        <v>24498</v>
      </c>
      <c r="Y880" s="1051"/>
      <c r="Z880" s="1051"/>
      <c r="AA880" s="1051"/>
      <c r="AB880" s="1051"/>
      <c r="AC880" s="1051"/>
      <c r="AD880" s="1051"/>
      <c r="AE880" s="1051"/>
      <c r="AF880" s="1051"/>
      <c r="AG880" s="1051"/>
      <c r="AL880" s="954"/>
      <c r="AM880" s="955"/>
      <c r="AO880" s="954"/>
      <c r="AP880" s="958"/>
    </row>
    <row r="881" spans="1:42" s="971" customFormat="1" ht="29.25" customHeight="1" x14ac:dyDescent="0.2">
      <c r="A881" s="970"/>
      <c r="D881" s="1069" t="s">
        <v>1978</v>
      </c>
      <c r="E881" s="1069"/>
      <c r="F881" s="1069"/>
      <c r="G881" s="1069"/>
      <c r="H881" s="1069"/>
      <c r="I881" s="1069"/>
      <c r="J881" s="1069"/>
      <c r="K881" s="1069"/>
      <c r="L881" s="1069"/>
      <c r="M881" s="1069"/>
      <c r="N881" s="1051">
        <v>131209</v>
      </c>
      <c r="O881" s="1051"/>
      <c r="P881" s="1051"/>
      <c r="Q881" s="1051"/>
      <c r="R881" s="1051"/>
      <c r="S881" s="1051"/>
      <c r="T881" s="1051"/>
      <c r="U881" s="1051"/>
      <c r="V881" s="1051"/>
      <c r="W881" s="1051"/>
      <c r="X881" s="1051">
        <v>109956</v>
      </c>
      <c r="Y881" s="1051"/>
      <c r="Z881" s="1051"/>
      <c r="AA881" s="1051"/>
      <c r="AB881" s="1051"/>
      <c r="AC881" s="1051"/>
      <c r="AD881" s="1051"/>
      <c r="AE881" s="1051"/>
      <c r="AF881" s="1051"/>
      <c r="AG881" s="1051"/>
      <c r="AL881" s="954"/>
      <c r="AM881" s="955"/>
      <c r="AO881" s="954"/>
      <c r="AP881" s="958"/>
    </row>
    <row r="882" spans="1:42" s="971" customFormat="1" ht="29.25" customHeight="1" x14ac:dyDescent="0.2">
      <c r="A882" s="970"/>
      <c r="D882" s="1069" t="s">
        <v>1980</v>
      </c>
      <c r="E882" s="1069"/>
      <c r="F882" s="1069"/>
      <c r="G882" s="1069"/>
      <c r="H882" s="1069"/>
      <c r="I882" s="1069"/>
      <c r="J882" s="1069"/>
      <c r="K882" s="1069"/>
      <c r="L882" s="1069"/>
      <c r="M882" s="1069"/>
      <c r="N882" s="1051">
        <f>N874-SUM(N875:W881)</f>
        <v>327453</v>
      </c>
      <c r="O882" s="1051"/>
      <c r="P882" s="1051"/>
      <c r="Q882" s="1051"/>
      <c r="R882" s="1051"/>
      <c r="S882" s="1051"/>
      <c r="T882" s="1051"/>
      <c r="U882" s="1051"/>
      <c r="V882" s="1051"/>
      <c r="W882" s="1051"/>
      <c r="X882" s="1051">
        <v>248715</v>
      </c>
      <c r="Y882" s="1051"/>
      <c r="Z882" s="1051"/>
      <c r="AA882" s="1051"/>
      <c r="AB882" s="1051"/>
      <c r="AC882" s="1051"/>
      <c r="AD882" s="1051"/>
      <c r="AE882" s="1051"/>
      <c r="AF882" s="1051"/>
      <c r="AG882" s="1051"/>
      <c r="AL882" s="954"/>
      <c r="AM882" s="955"/>
      <c r="AO882" s="954"/>
      <c r="AP882" s="958"/>
    </row>
    <row r="883" spans="1:42" s="971" customFormat="1" ht="29.25" customHeight="1" x14ac:dyDescent="0.2">
      <c r="A883" s="970"/>
      <c r="D883" s="1432" t="s">
        <v>314</v>
      </c>
      <c r="E883" s="1433"/>
      <c r="F883" s="1433"/>
      <c r="G883" s="1433"/>
      <c r="H883" s="1433"/>
      <c r="I883" s="1433"/>
      <c r="J883" s="1433"/>
      <c r="K883" s="1433"/>
      <c r="L883" s="1433"/>
      <c r="M883" s="1434"/>
      <c r="N883" s="1051">
        <v>9740</v>
      </c>
      <c r="O883" s="1051"/>
      <c r="P883" s="1051"/>
      <c r="Q883" s="1051"/>
      <c r="R883" s="1051"/>
      <c r="S883" s="1051"/>
      <c r="T883" s="1051"/>
      <c r="U883" s="1051"/>
      <c r="V883" s="1051"/>
      <c r="W883" s="1051"/>
      <c r="X883" s="1051">
        <v>2633</v>
      </c>
      <c r="Y883" s="1051"/>
      <c r="Z883" s="1051"/>
      <c r="AA883" s="1051"/>
      <c r="AB883" s="1051"/>
      <c r="AC883" s="1051"/>
      <c r="AD883" s="1051"/>
      <c r="AE883" s="1051"/>
      <c r="AF883" s="1051"/>
      <c r="AG883" s="1051"/>
      <c r="AL883" s="956">
        <f>SUM(N884,N886)-N883</f>
        <v>-7603</v>
      </c>
      <c r="AM883" s="955">
        <f>SUM(X884,X886)-X883</f>
        <v>0</v>
      </c>
      <c r="AO883" s="956">
        <f>N883-SUM('P&amp;L'!$D$36,'P&amp;L'!$D$42,'P&amp;L'!$D$44,'P&amp;L'!$D$45,'P&amp;L'!$D$47,'P&amp;L'!$D$49,'P&amp;L'!$D$51,'P&amp;L'!$D$53)</f>
        <v>31</v>
      </c>
      <c r="AP883" s="955">
        <f>X883-SUM('P&amp;L'!$E$36,'P&amp;L'!$E$42,'P&amp;L'!$E$44,'P&amp;L'!$E$45,'P&amp;L'!$E$47,'P&amp;L'!$E$49,'P&amp;L'!$E$51,'P&amp;L'!$E$53)</f>
        <v>-10091</v>
      </c>
    </row>
    <row r="884" spans="1:42" s="971" customFormat="1" ht="29.25" customHeight="1" x14ac:dyDescent="0.2">
      <c r="A884" s="970"/>
      <c r="D884" s="1236" t="s">
        <v>315</v>
      </c>
      <c r="E884" s="1237"/>
      <c r="F884" s="1237"/>
      <c r="G884" s="1237"/>
      <c r="H884" s="1237"/>
      <c r="I884" s="1237"/>
      <c r="J884" s="1237"/>
      <c r="K884" s="1237"/>
      <c r="L884" s="1237"/>
      <c r="M884" s="1238"/>
      <c r="N884" s="1051">
        <v>1704</v>
      </c>
      <c r="O884" s="1051"/>
      <c r="P884" s="1051"/>
      <c r="Q884" s="1051"/>
      <c r="R884" s="1051"/>
      <c r="S884" s="1051"/>
      <c r="T884" s="1051"/>
      <c r="U884" s="1051"/>
      <c r="V884" s="1051"/>
      <c r="W884" s="1051"/>
      <c r="X884" s="1051">
        <v>2014</v>
      </c>
      <c r="Y884" s="1051"/>
      <c r="Z884" s="1051"/>
      <c r="AA884" s="1051"/>
      <c r="AB884" s="1051"/>
      <c r="AC884" s="1051"/>
      <c r="AD884" s="1051"/>
      <c r="AE884" s="1051"/>
      <c r="AF884" s="1051"/>
      <c r="AG884" s="1051"/>
      <c r="AL884" s="956"/>
      <c r="AM884" s="955"/>
      <c r="AO884" s="956">
        <f>N884-'P&amp;L'!$D$49</f>
        <v>0</v>
      </c>
      <c r="AP884" s="955">
        <f>X884-'P&amp;L'!$E$49</f>
        <v>0</v>
      </c>
    </row>
    <row r="885" spans="1:42" s="971" customFormat="1" ht="29.25" customHeight="1" x14ac:dyDescent="0.2">
      <c r="A885" s="970"/>
      <c r="D885" s="1236" t="s">
        <v>316</v>
      </c>
      <c r="E885" s="1237"/>
      <c r="F885" s="1237"/>
      <c r="G885" s="1237"/>
      <c r="H885" s="1237"/>
      <c r="I885" s="1237"/>
      <c r="J885" s="1237"/>
      <c r="K885" s="1237"/>
      <c r="L885" s="1237"/>
      <c r="M885" s="1238"/>
      <c r="N885" s="1051">
        <v>1704</v>
      </c>
      <c r="O885" s="1051"/>
      <c r="P885" s="1051"/>
      <c r="Q885" s="1051"/>
      <c r="R885" s="1051"/>
      <c r="S885" s="1051"/>
      <c r="T885" s="1051"/>
      <c r="U885" s="1051"/>
      <c r="V885" s="1051"/>
      <c r="W885" s="1051"/>
      <c r="X885" s="1051">
        <v>2014</v>
      </c>
      <c r="Y885" s="1051"/>
      <c r="Z885" s="1051"/>
      <c r="AA885" s="1051"/>
      <c r="AB885" s="1051"/>
      <c r="AC885" s="1051"/>
      <c r="AD885" s="1051"/>
      <c r="AE885" s="1051"/>
      <c r="AF885" s="1051"/>
      <c r="AG885" s="1051"/>
      <c r="AL885" s="954"/>
      <c r="AM885" s="955"/>
      <c r="AO885" s="954"/>
      <c r="AP885" s="958"/>
    </row>
    <row r="886" spans="1:42" s="971" customFormat="1" ht="29.25" customHeight="1" x14ac:dyDescent="0.2">
      <c r="A886" s="970"/>
      <c r="D886" s="1236" t="s">
        <v>317</v>
      </c>
      <c r="E886" s="1237"/>
      <c r="F886" s="1237"/>
      <c r="G886" s="1237"/>
      <c r="H886" s="1237"/>
      <c r="I886" s="1237"/>
      <c r="J886" s="1237"/>
      <c r="K886" s="1237"/>
      <c r="L886" s="1237"/>
      <c r="M886" s="1238"/>
      <c r="N886" s="1051">
        <v>433</v>
      </c>
      <c r="O886" s="1051"/>
      <c r="P886" s="1051"/>
      <c r="Q886" s="1051"/>
      <c r="R886" s="1051"/>
      <c r="S886" s="1051"/>
      <c r="T886" s="1051"/>
      <c r="U886" s="1051"/>
      <c r="V886" s="1051"/>
      <c r="W886" s="1051"/>
      <c r="X886" s="1051">
        <v>619</v>
      </c>
      <c r="Y886" s="1051"/>
      <c r="Z886" s="1051"/>
      <c r="AA886" s="1051"/>
      <c r="AB886" s="1051"/>
      <c r="AC886" s="1051"/>
      <c r="AD886" s="1051"/>
      <c r="AE886" s="1051"/>
      <c r="AF886" s="1051"/>
      <c r="AG886" s="1051"/>
      <c r="AL886" s="956">
        <f>SUM(N887:W888)-N886</f>
        <v>7572</v>
      </c>
      <c r="AM886" s="955">
        <f>SUM(X887:AG888)-X886</f>
        <v>0</v>
      </c>
      <c r="AO886" s="954"/>
      <c r="AP886" s="958"/>
    </row>
    <row r="887" spans="1:42" s="971" customFormat="1" ht="29.25" customHeight="1" x14ac:dyDescent="0.2">
      <c r="A887" s="970"/>
      <c r="D887" s="1236" t="s">
        <v>1979</v>
      </c>
      <c r="E887" s="1237"/>
      <c r="F887" s="1237"/>
      <c r="G887" s="1237"/>
      <c r="H887" s="1237"/>
      <c r="I887" s="1237"/>
      <c r="J887" s="1237"/>
      <c r="K887" s="1237"/>
      <c r="L887" s="1237"/>
      <c r="M887" s="1238"/>
      <c r="N887" s="1051">
        <v>433</v>
      </c>
      <c r="O887" s="1051"/>
      <c r="P887" s="1051"/>
      <c r="Q887" s="1051"/>
      <c r="R887" s="1051"/>
      <c r="S887" s="1051"/>
      <c r="T887" s="1051"/>
      <c r="U887" s="1051"/>
      <c r="V887" s="1051"/>
      <c r="W887" s="1051"/>
      <c r="X887" s="1051">
        <v>619</v>
      </c>
      <c r="Y887" s="1051"/>
      <c r="Z887" s="1051"/>
      <c r="AA887" s="1051"/>
      <c r="AB887" s="1051"/>
      <c r="AC887" s="1051"/>
      <c r="AD887" s="1051"/>
      <c r="AE887" s="1051"/>
      <c r="AF887" s="1051"/>
      <c r="AG887" s="1051"/>
      <c r="AL887" s="954"/>
      <c r="AM887" s="955"/>
      <c r="AO887" s="954"/>
      <c r="AP887" s="958"/>
    </row>
    <row r="888" spans="1:42" s="971" customFormat="1" ht="29.25" customHeight="1" x14ac:dyDescent="0.2">
      <c r="A888" s="970"/>
      <c r="D888" s="1236" t="s">
        <v>1981</v>
      </c>
      <c r="E888" s="1237"/>
      <c r="F888" s="1237"/>
      <c r="G888" s="1237"/>
      <c r="H888" s="1237"/>
      <c r="I888" s="1237"/>
      <c r="J888" s="1237"/>
      <c r="K888" s="1237"/>
      <c r="L888" s="1237"/>
      <c r="M888" s="1238"/>
      <c r="N888" s="1051">
        <v>7572</v>
      </c>
      <c r="O888" s="1051"/>
      <c r="P888" s="1051"/>
      <c r="Q888" s="1051"/>
      <c r="R888" s="1051"/>
      <c r="S888" s="1051"/>
      <c r="T888" s="1051"/>
      <c r="U888" s="1051"/>
      <c r="V888" s="1051"/>
      <c r="W888" s="1051"/>
      <c r="X888" s="1051"/>
      <c r="Y888" s="1051"/>
      <c r="Z888" s="1051"/>
      <c r="AA888" s="1051"/>
      <c r="AB888" s="1051"/>
      <c r="AC888" s="1051"/>
      <c r="AD888" s="1051"/>
      <c r="AE888" s="1051"/>
      <c r="AF888" s="1051"/>
      <c r="AG888" s="1051"/>
      <c r="AL888" s="954"/>
      <c r="AM888" s="955"/>
      <c r="AO888" s="954"/>
      <c r="AP888" s="958"/>
    </row>
    <row r="889" spans="1:42" s="971" customFormat="1" ht="29.25" customHeight="1" x14ac:dyDescent="0.2">
      <c r="A889" s="970"/>
      <c r="D889" s="1432" t="s">
        <v>318</v>
      </c>
      <c r="E889" s="1433"/>
      <c r="F889" s="1433"/>
      <c r="G889" s="1433"/>
      <c r="H889" s="1433"/>
      <c r="I889" s="1433"/>
      <c r="J889" s="1433"/>
      <c r="K889" s="1433"/>
      <c r="L889" s="1433"/>
      <c r="M889" s="1434"/>
      <c r="N889" s="1051"/>
      <c r="O889" s="1051"/>
      <c r="P889" s="1051"/>
      <c r="Q889" s="1051"/>
      <c r="R889" s="1051"/>
      <c r="S889" s="1051"/>
      <c r="T889" s="1051"/>
      <c r="U889" s="1051"/>
      <c r="V889" s="1051"/>
      <c r="W889" s="1051"/>
      <c r="X889" s="1051"/>
      <c r="Y889" s="1051"/>
      <c r="Z889" s="1051"/>
      <c r="AA889" s="1051"/>
      <c r="AB889" s="1051"/>
      <c r="AC889" s="1051"/>
      <c r="AD889" s="1051"/>
      <c r="AE889" s="1051"/>
      <c r="AF889" s="1051"/>
      <c r="AG889" s="1051"/>
      <c r="AL889" s="956">
        <f>SUM(N890:W890)-N889</f>
        <v>0</v>
      </c>
      <c r="AM889" s="955">
        <f>SUM(X890:AG890)-X889</f>
        <v>0</v>
      </c>
      <c r="AO889" s="956">
        <f>N889-'P&amp;L'!$D$61</f>
        <v>0</v>
      </c>
      <c r="AP889" s="955">
        <f>X889-'P&amp;L'!$E$61</f>
        <v>0</v>
      </c>
    </row>
    <row r="890" spans="1:42" s="971" customFormat="1" ht="29.25" customHeight="1" x14ac:dyDescent="0.2">
      <c r="A890" s="970"/>
      <c r="D890" s="1069"/>
      <c r="E890" s="1069"/>
      <c r="F890" s="1069"/>
      <c r="G890" s="1069"/>
      <c r="H890" s="1069"/>
      <c r="I890" s="1069"/>
      <c r="J890" s="1069"/>
      <c r="K890" s="1069"/>
      <c r="L890" s="1069"/>
      <c r="M890" s="1069"/>
      <c r="N890" s="1051"/>
      <c r="O890" s="1051"/>
      <c r="P890" s="1051"/>
      <c r="Q890" s="1051"/>
      <c r="R890" s="1051"/>
      <c r="S890" s="1051"/>
      <c r="T890" s="1051"/>
      <c r="U890" s="1051"/>
      <c r="V890" s="1051"/>
      <c r="W890" s="1051"/>
      <c r="X890" s="1051"/>
      <c r="Y890" s="1051"/>
      <c r="Z890" s="1051"/>
      <c r="AA890" s="1051"/>
      <c r="AB890" s="1051"/>
      <c r="AC890" s="1051"/>
      <c r="AD890" s="1051"/>
      <c r="AE890" s="1051"/>
      <c r="AF890" s="1051"/>
      <c r="AG890" s="1051"/>
      <c r="AL890" s="954"/>
      <c r="AM890" s="955"/>
      <c r="AO890" s="985"/>
      <c r="AP890" s="999"/>
    </row>
    <row r="891" spans="1:42" ht="14.25" customHeight="1" x14ac:dyDescent="0.2">
      <c r="D891" s="666"/>
      <c r="E891" s="666"/>
      <c r="F891" s="666"/>
      <c r="G891" s="666"/>
      <c r="H891" s="666"/>
      <c r="I891" s="666"/>
      <c r="J891" s="666"/>
      <c r="K891" s="666"/>
      <c r="L891" s="666"/>
      <c r="M891" s="666"/>
      <c r="N891" s="1008"/>
      <c r="O891" s="1008"/>
      <c r="P891" s="1008"/>
      <c r="Q891" s="1008"/>
      <c r="R891" s="1008"/>
      <c r="S891" s="1008"/>
      <c r="T891" s="1008"/>
      <c r="U891" s="1008"/>
      <c r="V891" s="1008"/>
      <c r="W891" s="1008"/>
      <c r="X891" s="1008"/>
      <c r="Y891" s="1008"/>
      <c r="Z891" s="1008"/>
      <c r="AA891" s="1008"/>
      <c r="AB891" s="1008"/>
      <c r="AC891" s="1008"/>
      <c r="AD891" s="1008"/>
      <c r="AE891" s="1008"/>
      <c r="AF891" s="1008"/>
      <c r="AG891" s="1008"/>
    </row>
    <row r="892" spans="1:42" ht="14.25" customHeight="1" x14ac:dyDescent="0.2">
      <c r="D892" s="666"/>
      <c r="E892" s="666"/>
      <c r="F892" s="666"/>
      <c r="G892" s="666"/>
      <c r="H892" s="666"/>
      <c r="I892" s="666"/>
      <c r="J892" s="666"/>
      <c r="K892" s="666"/>
      <c r="L892" s="666"/>
      <c r="M892" s="666"/>
      <c r="N892" s="1008"/>
      <c r="O892" s="1008"/>
      <c r="P892" s="1008"/>
      <c r="Q892" s="1008"/>
      <c r="R892" s="1008"/>
      <c r="S892" s="1008"/>
      <c r="T892" s="1008"/>
      <c r="U892" s="1008"/>
      <c r="V892" s="1008"/>
      <c r="W892" s="1008"/>
      <c r="X892" s="1008"/>
      <c r="Y892" s="1008"/>
      <c r="Z892" s="1008"/>
      <c r="AA892" s="1008"/>
      <c r="AB892" s="1008"/>
      <c r="AC892" s="1008"/>
      <c r="AD892" s="1008"/>
      <c r="AE892" s="1008"/>
      <c r="AF892" s="1008"/>
      <c r="AG892" s="1008"/>
    </row>
    <row r="893" spans="1:42" ht="14.25" customHeight="1" x14ac:dyDescent="0.2">
      <c r="D893" s="1052" t="s">
        <v>1518</v>
      </c>
      <c r="E893" s="1052"/>
      <c r="F893" s="1052"/>
      <c r="G893" s="1052"/>
      <c r="H893" s="1052"/>
      <c r="I893" s="1052"/>
      <c r="J893" s="1052"/>
      <c r="K893" s="1052"/>
      <c r="L893" s="1052"/>
      <c r="M893" s="1052"/>
      <c r="N893" s="1052"/>
      <c r="O893" s="1052"/>
      <c r="P893" s="1052"/>
      <c r="Q893" s="1052"/>
      <c r="R893" s="1052"/>
      <c r="S893" s="1052"/>
      <c r="T893" s="1052"/>
      <c r="U893" s="1052"/>
      <c r="V893" s="1052"/>
      <c r="W893" s="1052"/>
      <c r="X893" s="1052"/>
      <c r="Y893" s="1052"/>
      <c r="Z893" s="1052"/>
      <c r="AA893" s="1052"/>
      <c r="AB893" s="1052"/>
      <c r="AC893" s="1052"/>
      <c r="AD893" s="1052"/>
      <c r="AE893" s="1052"/>
      <c r="AF893" s="1052"/>
      <c r="AG893" s="1052"/>
    </row>
    <row r="895" spans="1:42" ht="14.25" customHeight="1" x14ac:dyDescent="0.2">
      <c r="D895" s="1168" t="s">
        <v>1519</v>
      </c>
      <c r="E895" s="1168"/>
      <c r="F895" s="1168"/>
      <c r="G895" s="1168"/>
      <c r="H895" s="1168"/>
      <c r="I895" s="1168"/>
      <c r="J895" s="1168"/>
      <c r="K895" s="1168"/>
      <c r="L895" s="1168"/>
      <c r="M895" s="1168"/>
      <c r="N895" s="1168"/>
      <c r="O895" s="1168"/>
      <c r="P895" s="1168"/>
      <c r="Q895" s="1168"/>
      <c r="R895" s="1168"/>
      <c r="S895" s="1168"/>
      <c r="T895" s="1168"/>
      <c r="U895" s="1168"/>
      <c r="V895" s="1168"/>
      <c r="W895" s="1168"/>
      <c r="X895" s="1168"/>
      <c r="Y895" s="1168"/>
      <c r="Z895" s="1168"/>
      <c r="AA895" s="1168"/>
      <c r="AB895" s="1168"/>
      <c r="AC895" s="1168"/>
      <c r="AD895" s="1168"/>
      <c r="AE895" s="1168"/>
      <c r="AF895" s="1168"/>
      <c r="AG895" s="1168"/>
    </row>
    <row r="896" spans="1:42" ht="14.25" customHeight="1" thickBot="1" x14ac:dyDescent="0.25"/>
    <row r="897" spans="1:42" ht="28.5" customHeight="1" thickBot="1" x14ac:dyDescent="0.25">
      <c r="A897" s="942">
        <v>40</v>
      </c>
      <c r="D897" s="1120" t="s">
        <v>131</v>
      </c>
      <c r="E897" s="1120"/>
      <c r="F897" s="1120"/>
      <c r="G897" s="1120"/>
      <c r="H897" s="1120"/>
      <c r="I897" s="1120"/>
      <c r="J897" s="1120"/>
      <c r="K897" s="1120"/>
      <c r="L897" s="1120"/>
      <c r="M897" s="1120"/>
      <c r="N897" s="1120"/>
      <c r="O897" s="1120"/>
      <c r="P897" s="1120" t="s">
        <v>2</v>
      </c>
      <c r="Q897" s="1120"/>
      <c r="R897" s="1120"/>
      <c r="S897" s="1120"/>
      <c r="T897" s="1120"/>
      <c r="U897" s="1120"/>
      <c r="V897" s="1120"/>
      <c r="W897" s="1120"/>
      <c r="X897" s="1120"/>
      <c r="Y897" s="1120" t="s">
        <v>3</v>
      </c>
      <c r="Z897" s="1120"/>
      <c r="AA897" s="1120"/>
      <c r="AB897" s="1120"/>
      <c r="AC897" s="1120"/>
      <c r="AD897" s="1120"/>
      <c r="AE897" s="1120"/>
      <c r="AF897" s="1120"/>
      <c r="AG897" s="1120"/>
    </row>
    <row r="898" spans="1:42" ht="46.5" customHeight="1" x14ac:dyDescent="0.2">
      <c r="D898" s="1331" t="s">
        <v>320</v>
      </c>
      <c r="E898" s="1331"/>
      <c r="F898" s="1331"/>
      <c r="G898" s="1331"/>
      <c r="H898" s="1331"/>
      <c r="I898" s="1331"/>
      <c r="J898" s="1331"/>
      <c r="K898" s="1331"/>
      <c r="L898" s="1331"/>
      <c r="M898" s="1331"/>
      <c r="N898" s="1331"/>
      <c r="O898" s="1331"/>
      <c r="P898" s="1167">
        <v>-522</v>
      </c>
      <c r="Q898" s="1167"/>
      <c r="R898" s="1167"/>
      <c r="S898" s="1167"/>
      <c r="T898" s="1167"/>
      <c r="U898" s="1167"/>
      <c r="V898" s="1167"/>
      <c r="W898" s="1167"/>
      <c r="X898" s="1167"/>
      <c r="Y898" s="1167">
        <v>3517</v>
      </c>
      <c r="Z898" s="1167"/>
      <c r="AA898" s="1167"/>
      <c r="AB898" s="1167"/>
      <c r="AC898" s="1167"/>
      <c r="AD898" s="1167"/>
      <c r="AE898" s="1167"/>
      <c r="AF898" s="1167"/>
      <c r="AG898" s="1167"/>
    </row>
    <row r="899" spans="1:42" ht="45.75" customHeight="1" x14ac:dyDescent="0.2">
      <c r="D899" s="1184" t="s">
        <v>321</v>
      </c>
      <c r="E899" s="1184"/>
      <c r="F899" s="1184"/>
      <c r="G899" s="1184"/>
      <c r="H899" s="1184"/>
      <c r="I899" s="1184"/>
      <c r="J899" s="1184"/>
      <c r="K899" s="1184"/>
      <c r="L899" s="1184"/>
      <c r="M899" s="1184"/>
      <c r="N899" s="1184"/>
      <c r="O899" s="1184"/>
      <c r="P899" s="1045"/>
      <c r="Q899" s="1045"/>
      <c r="R899" s="1045"/>
      <c r="S899" s="1045"/>
      <c r="T899" s="1045"/>
      <c r="U899" s="1045"/>
      <c r="V899" s="1045"/>
      <c r="W899" s="1045"/>
      <c r="X899" s="1045"/>
      <c r="Y899" s="1045"/>
      <c r="Z899" s="1045"/>
      <c r="AA899" s="1045"/>
      <c r="AB899" s="1045"/>
      <c r="AC899" s="1045"/>
      <c r="AD899" s="1045"/>
      <c r="AE899" s="1045"/>
      <c r="AF899" s="1045"/>
      <c r="AG899" s="1045"/>
    </row>
    <row r="900" spans="1:42" ht="72" customHeight="1" x14ac:dyDescent="0.2">
      <c r="D900" s="1184" t="s">
        <v>322</v>
      </c>
      <c r="E900" s="1184"/>
      <c r="F900" s="1184"/>
      <c r="G900" s="1184"/>
      <c r="H900" s="1184"/>
      <c r="I900" s="1184"/>
      <c r="J900" s="1184"/>
      <c r="K900" s="1184"/>
      <c r="L900" s="1184"/>
      <c r="M900" s="1184"/>
      <c r="N900" s="1184"/>
      <c r="O900" s="1184"/>
      <c r="P900" s="1045"/>
      <c r="Q900" s="1045"/>
      <c r="R900" s="1045"/>
      <c r="S900" s="1045"/>
      <c r="T900" s="1045"/>
      <c r="U900" s="1045"/>
      <c r="V900" s="1045"/>
      <c r="W900" s="1045"/>
      <c r="X900" s="1045"/>
      <c r="Y900" s="1045"/>
      <c r="Z900" s="1045"/>
      <c r="AA900" s="1045"/>
      <c r="AB900" s="1045"/>
      <c r="AC900" s="1045"/>
      <c r="AD900" s="1045"/>
      <c r="AE900" s="1045"/>
      <c r="AF900" s="1045"/>
      <c r="AG900" s="1045"/>
    </row>
    <row r="901" spans="1:42" ht="55.5" customHeight="1" x14ac:dyDescent="0.2">
      <c r="D901" s="1184" t="s">
        <v>323</v>
      </c>
      <c r="E901" s="1184"/>
      <c r="F901" s="1184"/>
      <c r="G901" s="1184"/>
      <c r="H901" s="1184"/>
      <c r="I901" s="1184"/>
      <c r="J901" s="1184"/>
      <c r="K901" s="1184"/>
      <c r="L901" s="1184"/>
      <c r="M901" s="1184"/>
      <c r="N901" s="1184"/>
      <c r="O901" s="1184"/>
      <c r="P901" s="1045"/>
      <c r="Q901" s="1045"/>
      <c r="R901" s="1045"/>
      <c r="S901" s="1045"/>
      <c r="T901" s="1045"/>
      <c r="U901" s="1045"/>
      <c r="V901" s="1045"/>
      <c r="W901" s="1045"/>
      <c r="X901" s="1045"/>
      <c r="Y901" s="1045"/>
      <c r="Z901" s="1045"/>
      <c r="AA901" s="1045"/>
      <c r="AB901" s="1045"/>
      <c r="AC901" s="1045"/>
      <c r="AD901" s="1045"/>
      <c r="AE901" s="1045"/>
      <c r="AF901" s="1045"/>
      <c r="AG901" s="1045"/>
    </row>
    <row r="902" spans="1:42" ht="55.5" customHeight="1" x14ac:dyDescent="0.2">
      <c r="D902" s="1184" t="s">
        <v>324</v>
      </c>
      <c r="E902" s="1184"/>
      <c r="F902" s="1184"/>
      <c r="G902" s="1184"/>
      <c r="H902" s="1184"/>
      <c r="I902" s="1184"/>
      <c r="J902" s="1184"/>
      <c r="K902" s="1184"/>
      <c r="L902" s="1184"/>
      <c r="M902" s="1184"/>
      <c r="N902" s="1184"/>
      <c r="O902" s="1184"/>
      <c r="P902" s="1045"/>
      <c r="Q902" s="1045"/>
      <c r="R902" s="1045"/>
      <c r="S902" s="1045"/>
      <c r="T902" s="1045"/>
      <c r="U902" s="1045"/>
      <c r="V902" s="1045"/>
      <c r="W902" s="1045"/>
      <c r="X902" s="1045"/>
      <c r="Y902" s="1045"/>
      <c r="Z902" s="1045"/>
      <c r="AA902" s="1045"/>
      <c r="AB902" s="1045"/>
      <c r="AC902" s="1045"/>
      <c r="AD902" s="1045"/>
      <c r="AE902" s="1045"/>
      <c r="AF902" s="1045"/>
      <c r="AG902" s="1045"/>
    </row>
    <row r="903" spans="1:42" ht="44.25" customHeight="1" thickBot="1" x14ac:dyDescent="0.25">
      <c r="D903" s="1222" t="s">
        <v>325</v>
      </c>
      <c r="E903" s="1222"/>
      <c r="F903" s="1222"/>
      <c r="G903" s="1222"/>
      <c r="H903" s="1222"/>
      <c r="I903" s="1222"/>
      <c r="J903" s="1222"/>
      <c r="K903" s="1222"/>
      <c r="L903" s="1222"/>
      <c r="M903" s="1222"/>
      <c r="N903" s="1222"/>
      <c r="O903" s="1222"/>
      <c r="P903" s="1208"/>
      <c r="Q903" s="1208"/>
      <c r="R903" s="1208"/>
      <c r="S903" s="1208"/>
      <c r="T903" s="1208"/>
      <c r="U903" s="1208"/>
      <c r="V903" s="1208"/>
      <c r="W903" s="1208"/>
      <c r="X903" s="1208"/>
      <c r="Y903" s="1208"/>
      <c r="Z903" s="1208"/>
      <c r="AA903" s="1208"/>
      <c r="AB903" s="1208"/>
      <c r="AC903" s="1208"/>
      <c r="AD903" s="1208"/>
      <c r="AE903" s="1208"/>
      <c r="AF903" s="1208"/>
      <c r="AG903" s="1208"/>
    </row>
    <row r="906" spans="1:42" ht="14.25" customHeight="1" x14ac:dyDescent="0.2">
      <c r="D906" s="1348" t="s">
        <v>1519</v>
      </c>
      <c r="E906" s="1348"/>
      <c r="F906" s="1348"/>
      <c r="G906" s="1348"/>
      <c r="H906" s="1348"/>
      <c r="I906" s="1348"/>
      <c r="J906" s="1348"/>
      <c r="K906" s="1348"/>
      <c r="L906" s="1348"/>
      <c r="M906" s="1348"/>
      <c r="N906" s="1348"/>
      <c r="O906" s="1348"/>
      <c r="P906" s="1348"/>
      <c r="Q906" s="1348"/>
      <c r="R906" s="1348"/>
      <c r="S906" s="1348"/>
      <c r="T906" s="1348"/>
      <c r="U906" s="1348"/>
      <c r="V906" s="1348"/>
      <c r="W906" s="1348"/>
      <c r="X906" s="1348"/>
      <c r="Y906" s="1348"/>
      <c r="Z906" s="1348"/>
      <c r="AA906" s="1348"/>
      <c r="AB906" s="1348"/>
      <c r="AC906" s="1348"/>
      <c r="AD906" s="1348"/>
      <c r="AE906" s="1348"/>
      <c r="AF906" s="1348"/>
      <c r="AG906" s="1348"/>
    </row>
    <row r="907" spans="1:42" ht="14.25" customHeight="1" thickBot="1" x14ac:dyDescent="0.25"/>
    <row r="908" spans="1:42" ht="14.25" customHeight="1" thickBot="1" x14ac:dyDescent="0.25">
      <c r="A908" s="942">
        <v>41</v>
      </c>
      <c r="D908" s="1138" t="s">
        <v>1</v>
      </c>
      <c r="E908" s="1138"/>
      <c r="F908" s="1138"/>
      <c r="G908" s="1138"/>
      <c r="H908" s="1138"/>
      <c r="I908" s="1138"/>
      <c r="J908" s="1132" t="s">
        <v>2</v>
      </c>
      <c r="K908" s="1133"/>
      <c r="L908" s="1133"/>
      <c r="M908" s="1133"/>
      <c r="N908" s="1133"/>
      <c r="O908" s="1133"/>
      <c r="P908" s="1133"/>
      <c r="Q908" s="1133"/>
      <c r="R908" s="1133"/>
      <c r="S908" s="1133"/>
      <c r="T908" s="1133"/>
      <c r="U908" s="1134"/>
      <c r="V908" s="1132" t="s">
        <v>3</v>
      </c>
      <c r="W908" s="1133"/>
      <c r="X908" s="1133"/>
      <c r="Y908" s="1133"/>
      <c r="Z908" s="1133"/>
      <c r="AA908" s="1133"/>
      <c r="AB908" s="1133"/>
      <c r="AC908" s="1133"/>
      <c r="AD908" s="1133"/>
      <c r="AE908" s="1133"/>
      <c r="AF908" s="1133"/>
      <c r="AG908" s="1134"/>
    </row>
    <row r="909" spans="1:42" ht="14.25" customHeight="1" thickTop="1" thickBot="1" x14ac:dyDescent="0.25">
      <c r="D909" s="1138"/>
      <c r="E909" s="1138"/>
      <c r="F909" s="1138"/>
      <c r="G909" s="1138"/>
      <c r="H909" s="1138"/>
      <c r="I909" s="1138"/>
      <c r="J909" s="1135"/>
      <c r="K909" s="1136"/>
      <c r="L909" s="1136"/>
      <c r="M909" s="1136"/>
      <c r="N909" s="1136"/>
      <c r="O909" s="1136"/>
      <c r="P909" s="1136"/>
      <c r="Q909" s="1136"/>
      <c r="R909" s="1136"/>
      <c r="S909" s="1136"/>
      <c r="T909" s="1136"/>
      <c r="U909" s="1137"/>
      <c r="V909" s="1135"/>
      <c r="W909" s="1136"/>
      <c r="X909" s="1136"/>
      <c r="Y909" s="1136"/>
      <c r="Z909" s="1136"/>
      <c r="AA909" s="1136"/>
      <c r="AB909" s="1136"/>
      <c r="AC909" s="1136"/>
      <c r="AD909" s="1136"/>
      <c r="AE909" s="1136"/>
      <c r="AF909" s="1136"/>
      <c r="AG909" s="1137"/>
      <c r="AO909" s="936" t="s">
        <v>2</v>
      </c>
      <c r="AP909" s="934" t="s">
        <v>3</v>
      </c>
    </row>
    <row r="910" spans="1:42" ht="14.25" customHeight="1" thickBot="1" x14ac:dyDescent="0.25">
      <c r="D910" s="1138"/>
      <c r="E910" s="1138"/>
      <c r="F910" s="1138"/>
      <c r="G910" s="1138"/>
      <c r="H910" s="1138"/>
      <c r="I910" s="1138"/>
      <c r="J910" s="1120" t="s">
        <v>327</v>
      </c>
      <c r="K910" s="1120"/>
      <c r="L910" s="1120"/>
      <c r="M910" s="1120"/>
      <c r="N910" s="1120" t="s">
        <v>328</v>
      </c>
      <c r="O910" s="1120"/>
      <c r="P910" s="1120"/>
      <c r="Q910" s="1120"/>
      <c r="R910" s="1120" t="s">
        <v>1520</v>
      </c>
      <c r="S910" s="1120"/>
      <c r="T910" s="1120"/>
      <c r="U910" s="1120"/>
      <c r="V910" s="1120" t="s">
        <v>327</v>
      </c>
      <c r="W910" s="1120"/>
      <c r="X910" s="1120"/>
      <c r="Y910" s="1120"/>
      <c r="Z910" s="1120" t="s">
        <v>328</v>
      </c>
      <c r="AA910" s="1120"/>
      <c r="AB910" s="1120"/>
      <c r="AC910" s="1120"/>
      <c r="AD910" s="1120" t="s">
        <v>1520</v>
      </c>
      <c r="AE910" s="1120"/>
      <c r="AF910" s="1120"/>
      <c r="AG910" s="1120"/>
      <c r="AO910" s="1009"/>
      <c r="AP910" s="1010"/>
    </row>
    <row r="911" spans="1:42" ht="34.5" customHeight="1" x14ac:dyDescent="0.2">
      <c r="D911" s="1066" t="s">
        <v>330</v>
      </c>
      <c r="E911" s="1067"/>
      <c r="F911" s="1067"/>
      <c r="G911" s="1067"/>
      <c r="H911" s="1067"/>
      <c r="I911" s="1068"/>
      <c r="J911" s="1167">
        <v>790539</v>
      </c>
      <c r="K911" s="1167"/>
      <c r="L911" s="1167"/>
      <c r="M911" s="1435"/>
      <c r="N911" s="1436" t="s">
        <v>18</v>
      </c>
      <c r="O911" s="1437"/>
      <c r="P911" s="1437"/>
      <c r="Q911" s="1438"/>
      <c r="R911" s="1439" t="s">
        <v>18</v>
      </c>
      <c r="S911" s="1437"/>
      <c r="T911" s="1437"/>
      <c r="U911" s="1437"/>
      <c r="V911" s="1167">
        <v>783307</v>
      </c>
      <c r="W911" s="1167"/>
      <c r="X911" s="1167"/>
      <c r="Y911" s="1435"/>
      <c r="Z911" s="1436" t="s">
        <v>18</v>
      </c>
      <c r="AA911" s="1437"/>
      <c r="AB911" s="1437"/>
      <c r="AC911" s="1438"/>
      <c r="AD911" s="1439" t="s">
        <v>18</v>
      </c>
      <c r="AE911" s="1437"/>
      <c r="AF911" s="1437"/>
      <c r="AG911" s="1437"/>
      <c r="AO911" s="956">
        <f>J911-'P&amp;L'!$D$55</f>
        <v>0</v>
      </c>
      <c r="AP911" s="955">
        <f>V911-'P&amp;L'!$E$55</f>
        <v>0</v>
      </c>
    </row>
    <row r="912" spans="1:42" ht="27.75" customHeight="1" x14ac:dyDescent="0.2">
      <c r="D912" s="1070" t="s">
        <v>331</v>
      </c>
      <c r="E912" s="1071"/>
      <c r="F912" s="1071"/>
      <c r="G912" s="1071"/>
      <c r="H912" s="1071"/>
      <c r="I912" s="1072"/>
      <c r="J912" s="1343" t="s">
        <v>18</v>
      </c>
      <c r="K912" s="1343"/>
      <c r="L912" s="1343"/>
      <c r="M912" s="1440"/>
      <c r="N912" s="1047">
        <v>181824</v>
      </c>
      <c r="O912" s="1045"/>
      <c r="P912" s="1045"/>
      <c r="Q912" s="1048"/>
      <c r="R912" s="1441">
        <v>23</v>
      </c>
      <c r="S912" s="1442"/>
      <c r="T912" s="1442"/>
      <c r="U912" s="1442"/>
      <c r="V912" s="1343" t="s">
        <v>18</v>
      </c>
      <c r="W912" s="1343"/>
      <c r="X912" s="1343"/>
      <c r="Y912" s="1440"/>
      <c r="Z912" s="1047">
        <v>148828</v>
      </c>
      <c r="AA912" s="1045"/>
      <c r="AB912" s="1045"/>
      <c r="AC912" s="1048"/>
      <c r="AD912" s="1441">
        <v>19</v>
      </c>
      <c r="AE912" s="1442"/>
      <c r="AF912" s="1442"/>
      <c r="AG912" s="1442"/>
      <c r="AO912" s="954"/>
      <c r="AP912" s="958"/>
    </row>
    <row r="913" spans="1:42" ht="27.75" customHeight="1" x14ac:dyDescent="0.2">
      <c r="D913" s="1070" t="s">
        <v>332</v>
      </c>
      <c r="E913" s="1071"/>
      <c r="F913" s="1071"/>
      <c r="G913" s="1071"/>
      <c r="H913" s="1071"/>
      <c r="I913" s="1072"/>
      <c r="J913" s="1443">
        <v>44746</v>
      </c>
      <c r="K913" s="1443"/>
      <c r="L913" s="1443"/>
      <c r="M913" s="1444"/>
      <c r="N913" s="1445">
        <v>10292</v>
      </c>
      <c r="O913" s="1443"/>
      <c r="P913" s="1443"/>
      <c r="Q913" s="1446"/>
      <c r="R913" s="1447">
        <f>N913/J911*100</f>
        <v>1.3018965541231995</v>
      </c>
      <c r="S913" s="1448"/>
      <c r="T913" s="1448"/>
      <c r="U913" s="1448"/>
      <c r="V913" s="1443">
        <v>36046</v>
      </c>
      <c r="W913" s="1443"/>
      <c r="X913" s="1443"/>
      <c r="Y913" s="1444"/>
      <c r="Z913" s="1445">
        <v>6849</v>
      </c>
      <c r="AA913" s="1443"/>
      <c r="AB913" s="1443"/>
      <c r="AC913" s="1446"/>
      <c r="AD913" s="1447">
        <f>Z913/V911*100</f>
        <v>0.87436981924073187</v>
      </c>
      <c r="AE913" s="1448"/>
      <c r="AF913" s="1448"/>
      <c r="AG913" s="1448"/>
      <c r="AO913" s="954"/>
      <c r="AP913" s="958"/>
    </row>
    <row r="914" spans="1:42" ht="27.75" customHeight="1" x14ac:dyDescent="0.2">
      <c r="D914" s="1070" t="s">
        <v>333</v>
      </c>
      <c r="E914" s="1071"/>
      <c r="F914" s="1071"/>
      <c r="G914" s="1071"/>
      <c r="H914" s="1071"/>
      <c r="I914" s="1072"/>
      <c r="J914" s="1045"/>
      <c r="K914" s="1045"/>
      <c r="L914" s="1045"/>
      <c r="M914" s="1046"/>
      <c r="N914" s="1047"/>
      <c r="O914" s="1045"/>
      <c r="P914" s="1045"/>
      <c r="Q914" s="1048"/>
      <c r="R914" s="1049"/>
      <c r="S914" s="1050"/>
      <c r="T914" s="1050"/>
      <c r="U914" s="1050"/>
      <c r="V914" s="1045"/>
      <c r="W914" s="1045"/>
      <c r="X914" s="1045"/>
      <c r="Y914" s="1046"/>
      <c r="Z914" s="1047"/>
      <c r="AA914" s="1045"/>
      <c r="AB914" s="1045"/>
      <c r="AC914" s="1048"/>
      <c r="AD914" s="1049"/>
      <c r="AE914" s="1050"/>
      <c r="AF914" s="1050"/>
      <c r="AG914" s="1050"/>
      <c r="AO914" s="954"/>
      <c r="AP914" s="958"/>
    </row>
    <row r="915" spans="1:42" ht="27.75" customHeight="1" x14ac:dyDescent="0.2">
      <c r="D915" s="1236" t="s">
        <v>1930</v>
      </c>
      <c r="E915" s="1237"/>
      <c r="F915" s="1237"/>
      <c r="G915" s="1237"/>
      <c r="H915" s="1237"/>
      <c r="I915" s="1238"/>
      <c r="J915" s="1045"/>
      <c r="K915" s="1045"/>
      <c r="L915" s="1045"/>
      <c r="M915" s="1046"/>
      <c r="N915" s="1047"/>
      <c r="O915" s="1045"/>
      <c r="P915" s="1045"/>
      <c r="Q915" s="1048"/>
      <c r="R915" s="1049"/>
      <c r="S915" s="1050"/>
      <c r="T915" s="1050"/>
      <c r="U915" s="1050"/>
      <c r="V915" s="1045" t="s">
        <v>1440</v>
      </c>
      <c r="W915" s="1045"/>
      <c r="X915" s="1045"/>
      <c r="Y915" s="1046"/>
      <c r="Z915" s="1047" t="s">
        <v>1440</v>
      </c>
      <c r="AA915" s="1045"/>
      <c r="AB915" s="1045"/>
      <c r="AC915" s="1048"/>
      <c r="AD915" s="1049"/>
      <c r="AE915" s="1050"/>
      <c r="AF915" s="1050"/>
      <c r="AG915" s="1050"/>
      <c r="AO915" s="954"/>
      <c r="AP915" s="958"/>
    </row>
    <row r="916" spans="1:42" ht="27.75" customHeight="1" x14ac:dyDescent="0.2">
      <c r="D916" s="1070" t="s">
        <v>334</v>
      </c>
      <c r="E916" s="1071"/>
      <c r="F916" s="1071"/>
      <c r="G916" s="1071"/>
      <c r="H916" s="1071"/>
      <c r="I916" s="1072"/>
      <c r="J916" s="1045"/>
      <c r="K916" s="1045"/>
      <c r="L916" s="1045"/>
      <c r="M916" s="1046"/>
      <c r="N916" s="1047"/>
      <c r="O916" s="1045"/>
      <c r="P916" s="1045"/>
      <c r="Q916" s="1048"/>
      <c r="R916" s="1049"/>
      <c r="S916" s="1050"/>
      <c r="T916" s="1050"/>
      <c r="U916" s="1050"/>
      <c r="V916" s="1045" t="s">
        <v>1440</v>
      </c>
      <c r="W916" s="1045"/>
      <c r="X916" s="1045"/>
      <c r="Y916" s="1046"/>
      <c r="Z916" s="1047" t="s">
        <v>1440</v>
      </c>
      <c r="AA916" s="1045"/>
      <c r="AB916" s="1045"/>
      <c r="AC916" s="1048"/>
      <c r="AD916" s="1049"/>
      <c r="AE916" s="1050"/>
      <c r="AF916" s="1050"/>
      <c r="AG916" s="1050"/>
      <c r="AO916" s="954"/>
      <c r="AP916" s="958"/>
    </row>
    <row r="917" spans="1:42" ht="27.75" customHeight="1" x14ac:dyDescent="0.2">
      <c r="D917" s="1236" t="s">
        <v>1931</v>
      </c>
      <c r="E917" s="1237"/>
      <c r="F917" s="1237"/>
      <c r="G917" s="1237"/>
      <c r="H917" s="1237"/>
      <c r="I917" s="1238"/>
      <c r="J917" s="1045"/>
      <c r="K917" s="1045"/>
      <c r="L917" s="1045"/>
      <c r="M917" s="1046"/>
      <c r="N917" s="1047">
        <v>522</v>
      </c>
      <c r="O917" s="1045"/>
      <c r="P917" s="1045"/>
      <c r="Q917" s="1048"/>
      <c r="R917" s="1049">
        <f>N917/J911*100</f>
        <v>6.6030897906365155E-2</v>
      </c>
      <c r="S917" s="1050"/>
      <c r="T917" s="1050"/>
      <c r="U917" s="1050"/>
      <c r="V917" s="1045"/>
      <c r="W917" s="1045"/>
      <c r="X917" s="1045"/>
      <c r="Y917" s="1046"/>
      <c r="Z917" s="1047">
        <v>-3517</v>
      </c>
      <c r="AA917" s="1045"/>
      <c r="AB917" s="1045"/>
      <c r="AC917" s="1048"/>
      <c r="AD917" s="1049">
        <v>1</v>
      </c>
      <c r="AE917" s="1050"/>
      <c r="AF917" s="1050"/>
      <c r="AG917" s="1050"/>
      <c r="AO917" s="954"/>
      <c r="AP917" s="958"/>
    </row>
    <row r="918" spans="1:42" ht="27.75" customHeight="1" x14ac:dyDescent="0.2">
      <c r="D918" s="1236" t="s">
        <v>287</v>
      </c>
      <c r="E918" s="1237"/>
      <c r="F918" s="1237"/>
      <c r="G918" s="1237"/>
      <c r="H918" s="1237"/>
      <c r="I918" s="1238"/>
      <c r="J918" s="1045"/>
      <c r="K918" s="1045"/>
      <c r="L918" s="1045"/>
      <c r="M918" s="1046"/>
      <c r="N918" s="1047">
        <f>N919-N913-N912-N917</f>
        <v>-4603</v>
      </c>
      <c r="O918" s="1045"/>
      <c r="P918" s="1045"/>
      <c r="Q918" s="1048"/>
      <c r="R918" s="1049">
        <v>0</v>
      </c>
      <c r="S918" s="1050"/>
      <c r="T918" s="1050"/>
      <c r="U918" s="1050"/>
      <c r="V918" s="1045"/>
      <c r="W918" s="1045"/>
      <c r="X918" s="1045"/>
      <c r="Y918" s="1046"/>
      <c r="Z918" s="1047">
        <v>-446</v>
      </c>
      <c r="AA918" s="1045"/>
      <c r="AB918" s="1045"/>
      <c r="AC918" s="1048"/>
      <c r="AD918" s="1049">
        <v>0</v>
      </c>
      <c r="AE918" s="1050"/>
      <c r="AF918" s="1050"/>
      <c r="AG918" s="1050"/>
      <c r="AO918" s="954"/>
      <c r="AP918" s="958"/>
    </row>
    <row r="919" spans="1:42" ht="27.75" customHeight="1" x14ac:dyDescent="0.2">
      <c r="D919" s="1070" t="s">
        <v>14</v>
      </c>
      <c r="E919" s="1071"/>
      <c r="F919" s="1071"/>
      <c r="G919" s="1071"/>
      <c r="H919" s="1071"/>
      <c r="I919" s="1072"/>
      <c r="J919" s="1045"/>
      <c r="K919" s="1045"/>
      <c r="L919" s="1045"/>
      <c r="M919" s="1046"/>
      <c r="N919" s="1047">
        <v>188035</v>
      </c>
      <c r="O919" s="1045"/>
      <c r="P919" s="1045"/>
      <c r="Q919" s="1048"/>
      <c r="R919" s="1049">
        <f>N919/J911*100</f>
        <v>23.785670283186537</v>
      </c>
      <c r="S919" s="1050"/>
      <c r="T919" s="1050"/>
      <c r="U919" s="1050"/>
      <c r="V919" s="1045"/>
      <c r="W919" s="1045"/>
      <c r="X919" s="1045"/>
      <c r="Y919" s="1046"/>
      <c r="Z919" s="1047">
        <v>151714</v>
      </c>
      <c r="AA919" s="1045"/>
      <c r="AB919" s="1045"/>
      <c r="AC919" s="1048"/>
      <c r="AD919" s="1049">
        <f>Z919/V911*100</f>
        <v>19.368395788624383</v>
      </c>
      <c r="AE919" s="1050"/>
      <c r="AF919" s="1050"/>
      <c r="AG919" s="1050"/>
      <c r="AO919" s="954"/>
      <c r="AP919" s="958"/>
    </row>
    <row r="920" spans="1:42" ht="27.75" customHeight="1" x14ac:dyDescent="0.2">
      <c r="D920" s="1070" t="s">
        <v>335</v>
      </c>
      <c r="E920" s="1071"/>
      <c r="F920" s="1071"/>
      <c r="G920" s="1071"/>
      <c r="H920" s="1071"/>
      <c r="I920" s="1072"/>
      <c r="J920" s="1343" t="s">
        <v>18</v>
      </c>
      <c r="K920" s="1343"/>
      <c r="L920" s="1343"/>
      <c r="M920" s="1440"/>
      <c r="N920" s="1047">
        <v>179297</v>
      </c>
      <c r="O920" s="1045"/>
      <c r="P920" s="1045"/>
      <c r="Q920" s="1048"/>
      <c r="R920" s="1049">
        <f>N920/J911*100</f>
        <v>22.680348471106424</v>
      </c>
      <c r="S920" s="1050"/>
      <c r="T920" s="1050"/>
      <c r="U920" s="1050"/>
      <c r="V920" s="1343" t="s">
        <v>18</v>
      </c>
      <c r="W920" s="1343"/>
      <c r="X920" s="1343"/>
      <c r="Y920" s="1440"/>
      <c r="Z920" s="1047">
        <v>146331</v>
      </c>
      <c r="AA920" s="1045"/>
      <c r="AB920" s="1045"/>
      <c r="AC920" s="1048"/>
      <c r="AD920" s="1049">
        <f>Z920/V911*100</f>
        <v>18.681181197155141</v>
      </c>
      <c r="AE920" s="1050"/>
      <c r="AF920" s="1050"/>
      <c r="AG920" s="1050"/>
      <c r="AO920" s="956">
        <f>N920-'P&amp;L'!$D$57-'P&amp;L'!$D$64</f>
        <v>0</v>
      </c>
      <c r="AP920" s="955">
        <f>Z920-'P&amp;L'!$E$57-'P&amp;L'!$E$64</f>
        <v>0</v>
      </c>
    </row>
    <row r="921" spans="1:42" ht="27.75" customHeight="1" x14ac:dyDescent="0.2">
      <c r="D921" s="1070" t="s">
        <v>336</v>
      </c>
      <c r="E921" s="1071"/>
      <c r="F921" s="1071"/>
      <c r="G921" s="1071"/>
      <c r="H921" s="1071"/>
      <c r="I921" s="1072"/>
      <c r="J921" s="1343" t="s">
        <v>18</v>
      </c>
      <c r="K921" s="1343"/>
      <c r="L921" s="1343"/>
      <c r="M921" s="1440"/>
      <c r="N921" s="1047">
        <v>8738</v>
      </c>
      <c r="O921" s="1045"/>
      <c r="P921" s="1045"/>
      <c r="Q921" s="1048"/>
      <c r="R921" s="1049">
        <f>N921/J911*100</f>
        <v>1.1053218120801125</v>
      </c>
      <c r="S921" s="1050"/>
      <c r="T921" s="1050"/>
      <c r="U921" s="1050"/>
      <c r="V921" s="1343" t="s">
        <v>18</v>
      </c>
      <c r="W921" s="1343"/>
      <c r="X921" s="1343"/>
      <c r="Y921" s="1440"/>
      <c r="Z921" s="1047">
        <v>5383</v>
      </c>
      <c r="AA921" s="1045"/>
      <c r="AB921" s="1045"/>
      <c r="AC921" s="1048"/>
      <c r="AD921" s="1049">
        <f>Z921/V911*100</f>
        <v>0.68721459146924513</v>
      </c>
      <c r="AE921" s="1050"/>
      <c r="AF921" s="1050"/>
      <c r="AG921" s="1050"/>
      <c r="AO921" s="956">
        <f>N921-'P&amp;L'!$D$58-'P&amp;L'!$D$65</f>
        <v>0</v>
      </c>
      <c r="AP921" s="955">
        <f>Z921-'P&amp;L'!$E$58-'P&amp;L'!$E$65</f>
        <v>0</v>
      </c>
    </row>
    <row r="922" spans="1:42" ht="27.75" customHeight="1" thickBot="1" x14ac:dyDescent="0.25">
      <c r="D922" s="1349" t="s">
        <v>337</v>
      </c>
      <c r="E922" s="1350"/>
      <c r="F922" s="1350"/>
      <c r="G922" s="1350"/>
      <c r="H922" s="1350"/>
      <c r="I922" s="1351"/>
      <c r="J922" s="1457" t="s">
        <v>18</v>
      </c>
      <c r="K922" s="1457"/>
      <c r="L922" s="1457"/>
      <c r="M922" s="1458"/>
      <c r="N922" s="1459">
        <f>N920+N921</f>
        <v>188035</v>
      </c>
      <c r="O922" s="1254"/>
      <c r="P922" s="1254"/>
      <c r="Q922" s="1460"/>
      <c r="R922" s="1461">
        <v>24</v>
      </c>
      <c r="S922" s="1462"/>
      <c r="T922" s="1462"/>
      <c r="U922" s="1462"/>
      <c r="V922" s="1457" t="s">
        <v>18</v>
      </c>
      <c r="W922" s="1457"/>
      <c r="X922" s="1457"/>
      <c r="Y922" s="1458"/>
      <c r="Z922" s="1459">
        <f>Z920+Z921</f>
        <v>151714</v>
      </c>
      <c r="AA922" s="1254"/>
      <c r="AB922" s="1254"/>
      <c r="AC922" s="1460"/>
      <c r="AD922" s="1463">
        <f>Z922/V911*100</f>
        <v>19.368395788624383</v>
      </c>
      <c r="AE922" s="1464"/>
      <c r="AF922" s="1464"/>
      <c r="AG922" s="1464"/>
      <c r="AO922" s="959">
        <f>N922-'P&amp;L'!$D$56-'P&amp;L'!$D$63</f>
        <v>0</v>
      </c>
      <c r="AP922" s="961">
        <f>Z922-'P&amp;L'!$E$56-'P&amp;L'!$E$63</f>
        <v>0</v>
      </c>
    </row>
    <row r="924" spans="1:42" s="992" customFormat="1" ht="14.25" customHeight="1" x14ac:dyDescent="0.2">
      <c r="A924" s="993"/>
      <c r="D924" s="922" t="s">
        <v>2026</v>
      </c>
    </row>
    <row r="925" spans="1:42" s="992" customFormat="1" ht="14.25" customHeight="1" x14ac:dyDescent="0.2">
      <c r="A925" s="993"/>
    </row>
    <row r="926" spans="1:42" s="992" customFormat="1" ht="26.25" customHeight="1" thickBot="1" x14ac:dyDescent="0.25">
      <c r="A926" s="993"/>
      <c r="D926" s="1449" t="s">
        <v>2072</v>
      </c>
      <c r="E926" s="1449"/>
      <c r="F926" s="1449"/>
      <c r="G926" s="1449"/>
      <c r="H926" s="1449"/>
      <c r="I926" s="1449"/>
      <c r="J926" s="1449"/>
      <c r="K926" s="1449"/>
      <c r="L926" s="1449"/>
      <c r="M926" s="1449"/>
      <c r="N926" s="1449"/>
      <c r="O926" s="1449"/>
      <c r="P926" s="1449"/>
      <c r="Q926" s="1449"/>
      <c r="R926" s="1449"/>
      <c r="S926" s="1449"/>
      <c r="T926" s="1449"/>
      <c r="U926" s="1449"/>
      <c r="V926" s="1449"/>
      <c r="W926" s="1449"/>
      <c r="X926" s="1449"/>
      <c r="Y926" s="1449"/>
      <c r="Z926" s="1449"/>
      <c r="AA926" s="1449"/>
      <c r="AB926" s="1449"/>
      <c r="AC926" s="1449"/>
      <c r="AD926" s="1449"/>
      <c r="AE926" s="1449"/>
      <c r="AF926" s="1449"/>
      <c r="AG926" s="1449"/>
    </row>
    <row r="927" spans="1:42" s="992" customFormat="1" ht="14.25" customHeight="1" thickBot="1" x14ac:dyDescent="0.25">
      <c r="A927" s="993" t="s">
        <v>1521</v>
      </c>
      <c r="D927" s="1187" t="s">
        <v>387</v>
      </c>
      <c r="E927" s="1187"/>
      <c r="F927" s="1187"/>
      <c r="G927" s="1187"/>
      <c r="H927" s="1187"/>
      <c r="I927" s="1187"/>
      <c r="J927" s="1187"/>
      <c r="K927" s="1187"/>
      <c r="L927" s="1187"/>
      <c r="M927" s="1188" t="s">
        <v>388</v>
      </c>
      <c r="N927" s="1188"/>
      <c r="O927" s="1188"/>
      <c r="P927" s="1188"/>
      <c r="Q927" s="1188"/>
      <c r="R927" s="1188" t="s">
        <v>389</v>
      </c>
      <c r="S927" s="1188"/>
      <c r="T927" s="1188"/>
      <c r="U927" s="1188"/>
      <c r="V927" s="1188"/>
      <c r="W927" s="1188"/>
      <c r="X927" s="1188"/>
      <c r="Y927" s="1188"/>
      <c r="Z927" s="1188"/>
      <c r="AA927" s="1188"/>
      <c r="AB927" s="1188"/>
      <c r="AC927" s="1188"/>
      <c r="AD927" s="1188"/>
      <c r="AE927" s="1188"/>
      <c r="AF927" s="1188"/>
      <c r="AG927" s="1188"/>
    </row>
    <row r="928" spans="1:42" s="992" customFormat="1" ht="26.25" customHeight="1" thickBot="1" x14ac:dyDescent="0.25">
      <c r="A928" s="993"/>
      <c r="D928" s="1187"/>
      <c r="E928" s="1187"/>
      <c r="F928" s="1187"/>
      <c r="G928" s="1187"/>
      <c r="H928" s="1187"/>
      <c r="I928" s="1187"/>
      <c r="J928" s="1187"/>
      <c r="K928" s="1187"/>
      <c r="L928" s="1187"/>
      <c r="M928" s="1188"/>
      <c r="N928" s="1188"/>
      <c r="O928" s="1188"/>
      <c r="P928" s="1188"/>
      <c r="Q928" s="1188"/>
      <c r="R928" s="1188" t="s">
        <v>2</v>
      </c>
      <c r="S928" s="1188"/>
      <c r="T928" s="1188"/>
      <c r="U928" s="1188"/>
      <c r="V928" s="1188"/>
      <c r="W928" s="1188"/>
      <c r="X928" s="1188"/>
      <c r="Y928" s="1188"/>
      <c r="Z928" s="1188" t="s">
        <v>390</v>
      </c>
      <c r="AA928" s="1188"/>
      <c r="AB928" s="1188"/>
      <c r="AC928" s="1188"/>
      <c r="AD928" s="1188"/>
      <c r="AE928" s="1188"/>
      <c r="AF928" s="1188"/>
      <c r="AG928" s="1188"/>
    </row>
    <row r="929" spans="1:33" s="992" customFormat="1" ht="18.75" customHeight="1" x14ac:dyDescent="0.2">
      <c r="A929" s="993"/>
      <c r="D929" s="1450" t="s">
        <v>1984</v>
      </c>
      <c r="E929" s="1450"/>
      <c r="F929" s="1450"/>
      <c r="G929" s="1450"/>
      <c r="H929" s="1450"/>
      <c r="I929" s="1450"/>
      <c r="J929" s="1450"/>
      <c r="K929" s="1450"/>
      <c r="L929" s="1450"/>
      <c r="M929" s="1451">
        <v>3</v>
      </c>
      <c r="N929" s="1451"/>
      <c r="O929" s="1451"/>
      <c r="P929" s="1451"/>
      <c r="Q929" s="1451"/>
      <c r="R929" s="1154" t="s">
        <v>1440</v>
      </c>
      <c r="S929" s="1452"/>
      <c r="T929" s="1452"/>
      <c r="U929" s="1452"/>
      <c r="V929" s="1452"/>
      <c r="W929" s="1452"/>
      <c r="X929" s="1452"/>
      <c r="Y929" s="1453"/>
      <c r="Z929" s="1153">
        <v>9884</v>
      </c>
      <c r="AA929" s="1153"/>
      <c r="AB929" s="1153"/>
      <c r="AC929" s="1153"/>
      <c r="AD929" s="1153"/>
      <c r="AE929" s="1153"/>
      <c r="AF929" s="1153"/>
      <c r="AG929" s="1153"/>
    </row>
    <row r="930" spans="1:33" s="992" customFormat="1" ht="18.75" customHeight="1" x14ac:dyDescent="0.2">
      <c r="A930" s="993"/>
      <c r="D930" s="1465" t="s">
        <v>2030</v>
      </c>
      <c r="E930" s="1465"/>
      <c r="F930" s="1465"/>
      <c r="G930" s="1465"/>
      <c r="H930" s="1465"/>
      <c r="I930" s="1465"/>
      <c r="J930" s="1465"/>
      <c r="K930" s="1465"/>
      <c r="L930" s="1465"/>
      <c r="M930" s="1466">
        <v>4</v>
      </c>
      <c r="N930" s="1467"/>
      <c r="O930" s="1467"/>
      <c r="P930" s="1467"/>
      <c r="Q930" s="1468"/>
      <c r="R930" s="1155">
        <v>36068</v>
      </c>
      <c r="S930" s="1455"/>
      <c r="T930" s="1455"/>
      <c r="U930" s="1455"/>
      <c r="V930" s="1455"/>
      <c r="W930" s="1455"/>
      <c r="X930" s="1455"/>
      <c r="Y930" s="1456"/>
      <c r="Z930" s="1155">
        <v>17336</v>
      </c>
      <c r="AA930" s="1455"/>
      <c r="AB930" s="1455"/>
      <c r="AC930" s="1455"/>
      <c r="AD930" s="1455"/>
      <c r="AE930" s="1455"/>
      <c r="AF930" s="1455"/>
      <c r="AG930" s="1456"/>
    </row>
    <row r="931" spans="1:33" s="992" customFormat="1" ht="18.75" customHeight="1" x14ac:dyDescent="0.2">
      <c r="A931" s="993"/>
      <c r="D931" s="1141" t="s">
        <v>2031</v>
      </c>
      <c r="E931" s="1141"/>
      <c r="F931" s="1141"/>
      <c r="G931" s="1141"/>
      <c r="H931" s="1141"/>
      <c r="I931" s="1141"/>
      <c r="J931" s="1141"/>
      <c r="K931" s="1141"/>
      <c r="L931" s="1141"/>
      <c r="M931" s="1454">
        <v>4</v>
      </c>
      <c r="N931" s="1454"/>
      <c r="O931" s="1454"/>
      <c r="P931" s="1454"/>
      <c r="Q931" s="1454"/>
      <c r="R931" s="1155">
        <v>84901</v>
      </c>
      <c r="S931" s="1455"/>
      <c r="T931" s="1455"/>
      <c r="U931" s="1455"/>
      <c r="V931" s="1455"/>
      <c r="W931" s="1455"/>
      <c r="X931" s="1455"/>
      <c r="Y931" s="1456"/>
      <c r="Z931" s="1128">
        <v>137682</v>
      </c>
      <c r="AA931" s="1128"/>
      <c r="AB931" s="1128"/>
      <c r="AC931" s="1128"/>
      <c r="AD931" s="1128"/>
      <c r="AE931" s="1128"/>
      <c r="AF931" s="1128"/>
      <c r="AG931" s="1128"/>
    </row>
    <row r="932" spans="1:33" s="992" customFormat="1" ht="18.75" customHeight="1" x14ac:dyDescent="0.2">
      <c r="A932" s="993"/>
      <c r="D932" s="1141" t="s">
        <v>2004</v>
      </c>
      <c r="E932" s="1141"/>
      <c r="F932" s="1141"/>
      <c r="G932" s="1141"/>
      <c r="H932" s="1141"/>
      <c r="I932" s="1141"/>
      <c r="J932" s="1141"/>
      <c r="K932" s="1141"/>
      <c r="L932" s="1141"/>
      <c r="M932" s="1454">
        <v>4</v>
      </c>
      <c r="N932" s="1454"/>
      <c r="O932" s="1454"/>
      <c r="P932" s="1454"/>
      <c r="Q932" s="1454"/>
      <c r="R932" s="1128">
        <v>8250.18</v>
      </c>
      <c r="S932" s="1128"/>
      <c r="T932" s="1128"/>
      <c r="U932" s="1128"/>
      <c r="V932" s="1128"/>
      <c r="W932" s="1128"/>
      <c r="X932" s="1128"/>
      <c r="Y932" s="1128"/>
      <c r="Z932" s="1128">
        <v>8250</v>
      </c>
      <c r="AA932" s="1128"/>
      <c r="AB932" s="1128"/>
      <c r="AC932" s="1128"/>
      <c r="AD932" s="1128"/>
      <c r="AE932" s="1128"/>
      <c r="AF932" s="1128"/>
      <c r="AG932" s="1128"/>
    </row>
    <row r="933" spans="1:33" s="992" customFormat="1" ht="18.75" customHeight="1" x14ac:dyDescent="0.2">
      <c r="A933" s="993"/>
      <c r="D933" s="1141" t="s">
        <v>2032</v>
      </c>
      <c r="E933" s="1141"/>
      <c r="F933" s="1141"/>
      <c r="G933" s="1141"/>
      <c r="H933" s="1141"/>
      <c r="I933" s="1141"/>
      <c r="J933" s="1141"/>
      <c r="K933" s="1141"/>
      <c r="L933" s="1141"/>
      <c r="M933" s="1454">
        <v>4</v>
      </c>
      <c r="N933" s="1454"/>
      <c r="O933" s="1454"/>
      <c r="P933" s="1454"/>
      <c r="Q933" s="1454"/>
      <c r="R933" s="1128">
        <v>94326.19</v>
      </c>
      <c r="S933" s="1128"/>
      <c r="T933" s="1128"/>
      <c r="U933" s="1128"/>
      <c r="V933" s="1128"/>
      <c r="W933" s="1128"/>
      <c r="X933" s="1128"/>
      <c r="Y933" s="1128"/>
      <c r="Z933" s="1128">
        <v>119558</v>
      </c>
      <c r="AA933" s="1128"/>
      <c r="AB933" s="1128"/>
      <c r="AC933" s="1128"/>
      <c r="AD933" s="1128"/>
      <c r="AE933" s="1128"/>
      <c r="AF933" s="1128"/>
      <c r="AG933" s="1128"/>
    </row>
    <row r="934" spans="1:33" s="992" customFormat="1" ht="18.75" customHeight="1" x14ac:dyDescent="0.2">
      <c r="A934" s="993"/>
      <c r="D934" s="1141" t="s">
        <v>2005</v>
      </c>
      <c r="E934" s="1141"/>
      <c r="F934" s="1141"/>
      <c r="G934" s="1141"/>
      <c r="H934" s="1141"/>
      <c r="I934" s="1141"/>
      <c r="J934" s="1141"/>
      <c r="K934" s="1141"/>
      <c r="L934" s="1141"/>
      <c r="M934" s="1454">
        <v>4</v>
      </c>
      <c r="N934" s="1454"/>
      <c r="O934" s="1454"/>
      <c r="P934" s="1454"/>
      <c r="Q934" s="1454"/>
      <c r="R934" s="1128">
        <v>1670.32</v>
      </c>
      <c r="S934" s="1128"/>
      <c r="T934" s="1128"/>
      <c r="U934" s="1128"/>
      <c r="V934" s="1128"/>
      <c r="W934" s="1128"/>
      <c r="X934" s="1128"/>
      <c r="Y934" s="1128"/>
      <c r="Z934" s="1128">
        <v>3207</v>
      </c>
      <c r="AA934" s="1128"/>
      <c r="AB934" s="1128"/>
      <c r="AC934" s="1128"/>
      <c r="AD934" s="1128"/>
      <c r="AE934" s="1128"/>
      <c r="AF934" s="1128"/>
      <c r="AG934" s="1128"/>
    </row>
    <row r="935" spans="1:33" s="992" customFormat="1" ht="18.75" customHeight="1" x14ac:dyDescent="0.2">
      <c r="A935" s="993"/>
      <c r="D935" s="1141" t="s">
        <v>2033</v>
      </c>
      <c r="E935" s="1141"/>
      <c r="F935" s="1141"/>
      <c r="G935" s="1141"/>
      <c r="H935" s="1141"/>
      <c r="I935" s="1141"/>
      <c r="J935" s="1141"/>
      <c r="K935" s="1141"/>
      <c r="L935" s="1141"/>
      <c r="M935" s="1454">
        <v>4</v>
      </c>
      <c r="N935" s="1454"/>
      <c r="O935" s="1454"/>
      <c r="P935" s="1454"/>
      <c r="Q935" s="1454"/>
      <c r="R935" s="1128" t="s">
        <v>1440</v>
      </c>
      <c r="S935" s="1128"/>
      <c r="T935" s="1128"/>
      <c r="U935" s="1128"/>
      <c r="V935" s="1128"/>
      <c r="W935" s="1128"/>
      <c r="X935" s="1128"/>
      <c r="Y935" s="1128"/>
      <c r="Z935" s="1128">
        <v>1738</v>
      </c>
      <c r="AA935" s="1128"/>
      <c r="AB935" s="1128"/>
      <c r="AC935" s="1128"/>
      <c r="AD935" s="1128"/>
      <c r="AE935" s="1128"/>
      <c r="AF935" s="1128"/>
      <c r="AG935" s="1128"/>
    </row>
    <row r="936" spans="1:33" s="992" customFormat="1" ht="18.75" customHeight="1" x14ac:dyDescent="0.2">
      <c r="A936" s="993"/>
      <c r="D936" s="1141" t="s">
        <v>2034</v>
      </c>
      <c r="E936" s="1141"/>
      <c r="F936" s="1141"/>
      <c r="G936" s="1141"/>
      <c r="H936" s="1141"/>
      <c r="I936" s="1141"/>
      <c r="J936" s="1141"/>
      <c r="K936" s="1141"/>
      <c r="L936" s="1141"/>
      <c r="M936" s="1454">
        <v>4</v>
      </c>
      <c r="N936" s="1454"/>
      <c r="O936" s="1454"/>
      <c r="P936" s="1454"/>
      <c r="Q936" s="1454"/>
      <c r="R936" s="1128" t="s">
        <v>1440</v>
      </c>
      <c r="S936" s="1128"/>
      <c r="T936" s="1128"/>
      <c r="U936" s="1128"/>
      <c r="V936" s="1128"/>
      <c r="W936" s="1128"/>
      <c r="X936" s="1128"/>
      <c r="Y936" s="1128"/>
      <c r="Z936" s="1128">
        <v>294</v>
      </c>
      <c r="AA936" s="1128"/>
      <c r="AB936" s="1128"/>
      <c r="AC936" s="1128"/>
      <c r="AD936" s="1128"/>
      <c r="AE936" s="1128"/>
      <c r="AF936" s="1128"/>
      <c r="AG936" s="1128"/>
    </row>
    <row r="937" spans="1:33" s="992" customFormat="1" ht="18.75" customHeight="1" x14ac:dyDescent="0.2">
      <c r="A937" s="993"/>
      <c r="D937" s="1141" t="s">
        <v>2036</v>
      </c>
      <c r="E937" s="1141"/>
      <c r="F937" s="1141"/>
      <c r="G937" s="1141"/>
      <c r="H937" s="1141"/>
      <c r="I937" s="1141"/>
      <c r="J937" s="1141"/>
      <c r="K937" s="1141"/>
      <c r="L937" s="1141"/>
      <c r="M937" s="1454">
        <v>3</v>
      </c>
      <c r="N937" s="1454"/>
      <c r="O937" s="1454"/>
      <c r="P937" s="1454"/>
      <c r="Q937" s="1454"/>
      <c r="R937" s="1128">
        <v>8253214</v>
      </c>
      <c r="S937" s="1128"/>
      <c r="T937" s="1128"/>
      <c r="U937" s="1128"/>
      <c r="V937" s="1128"/>
      <c r="W937" s="1128"/>
      <c r="X937" s="1128"/>
      <c r="Y937" s="1128"/>
      <c r="Z937" s="1128">
        <v>7080024</v>
      </c>
      <c r="AA937" s="1128"/>
      <c r="AB937" s="1128"/>
      <c r="AC937" s="1128"/>
      <c r="AD937" s="1128"/>
      <c r="AE937" s="1128"/>
      <c r="AF937" s="1128"/>
      <c r="AG937" s="1128"/>
    </row>
    <row r="938" spans="1:33" s="992" customFormat="1" ht="18.75" customHeight="1" x14ac:dyDescent="0.2">
      <c r="A938" s="993"/>
      <c r="D938" s="1141" t="s">
        <v>2037</v>
      </c>
      <c r="E938" s="1141"/>
      <c r="F938" s="1141"/>
      <c r="G938" s="1141"/>
      <c r="H938" s="1141"/>
      <c r="I938" s="1141"/>
      <c r="J938" s="1141"/>
      <c r="K938" s="1141"/>
      <c r="L938" s="1141"/>
      <c r="M938" s="1454">
        <v>4</v>
      </c>
      <c r="N938" s="1454"/>
      <c r="O938" s="1454"/>
      <c r="P938" s="1454"/>
      <c r="Q938" s="1454"/>
      <c r="R938" s="1128">
        <v>7121</v>
      </c>
      <c r="S938" s="1128"/>
      <c r="T938" s="1128"/>
      <c r="U938" s="1128"/>
      <c r="V938" s="1128"/>
      <c r="W938" s="1128"/>
      <c r="X938" s="1128"/>
      <c r="Y938" s="1128"/>
      <c r="Z938" s="1128">
        <v>23448</v>
      </c>
      <c r="AA938" s="1128"/>
      <c r="AB938" s="1128"/>
      <c r="AC938" s="1128"/>
      <c r="AD938" s="1128"/>
      <c r="AE938" s="1128"/>
      <c r="AF938" s="1128"/>
      <c r="AG938" s="1128"/>
    </row>
    <row r="939" spans="1:33" s="992" customFormat="1" ht="18.75" customHeight="1" x14ac:dyDescent="0.2">
      <c r="A939" s="993"/>
      <c r="D939" s="1141" t="s">
        <v>2006</v>
      </c>
      <c r="E939" s="1141"/>
      <c r="F939" s="1141"/>
      <c r="G939" s="1141"/>
      <c r="H939" s="1141"/>
      <c r="I939" s="1141"/>
      <c r="J939" s="1141"/>
      <c r="K939" s="1141"/>
      <c r="L939" s="1141"/>
      <c r="M939" s="1454">
        <v>4</v>
      </c>
      <c r="N939" s="1454"/>
      <c r="O939" s="1454"/>
      <c r="P939" s="1454"/>
      <c r="Q939" s="1454"/>
      <c r="R939" s="1128">
        <v>918</v>
      </c>
      <c r="S939" s="1128"/>
      <c r="T939" s="1128"/>
      <c r="U939" s="1128"/>
      <c r="V939" s="1128"/>
      <c r="W939" s="1128"/>
      <c r="X939" s="1128"/>
      <c r="Y939" s="1128"/>
      <c r="Z939" s="1128">
        <v>1238</v>
      </c>
      <c r="AA939" s="1128"/>
      <c r="AB939" s="1128"/>
      <c r="AC939" s="1128"/>
      <c r="AD939" s="1128"/>
      <c r="AE939" s="1128"/>
      <c r="AF939" s="1128"/>
      <c r="AG939" s="1128"/>
    </row>
    <row r="940" spans="1:33" s="992" customFormat="1" ht="18.75" customHeight="1" x14ac:dyDescent="0.2">
      <c r="A940" s="993"/>
      <c r="D940" s="1141" t="s">
        <v>2038</v>
      </c>
      <c r="E940" s="1141"/>
      <c r="F940" s="1141"/>
      <c r="G940" s="1141"/>
      <c r="H940" s="1141"/>
      <c r="I940" s="1141"/>
      <c r="J940" s="1141"/>
      <c r="K940" s="1141"/>
      <c r="L940" s="1141"/>
      <c r="M940" s="1454">
        <v>4</v>
      </c>
      <c r="N940" s="1454"/>
      <c r="O940" s="1454"/>
      <c r="P940" s="1454"/>
      <c r="Q940" s="1454"/>
      <c r="R940" s="1128" t="s">
        <v>1440</v>
      </c>
      <c r="S940" s="1128"/>
      <c r="T940" s="1128"/>
      <c r="U940" s="1128"/>
      <c r="V940" s="1128"/>
      <c r="W940" s="1128"/>
      <c r="X940" s="1128"/>
      <c r="Y940" s="1128"/>
      <c r="Z940" s="1128">
        <v>1455</v>
      </c>
      <c r="AA940" s="1128"/>
      <c r="AB940" s="1128"/>
      <c r="AC940" s="1128"/>
      <c r="AD940" s="1128"/>
      <c r="AE940" s="1128"/>
      <c r="AF940" s="1128"/>
      <c r="AG940" s="1128"/>
    </row>
    <row r="941" spans="1:33" s="992" customFormat="1" ht="18.75" customHeight="1" x14ac:dyDescent="0.2">
      <c r="A941" s="993"/>
      <c r="D941" s="1141" t="s">
        <v>2039</v>
      </c>
      <c r="E941" s="1141"/>
      <c r="F941" s="1141"/>
      <c r="G941" s="1141"/>
      <c r="H941" s="1141"/>
      <c r="I941" s="1141"/>
      <c r="J941" s="1141"/>
      <c r="K941" s="1141"/>
      <c r="L941" s="1141"/>
      <c r="M941" s="1454">
        <v>3</v>
      </c>
      <c r="N941" s="1454"/>
      <c r="O941" s="1454"/>
      <c r="P941" s="1454"/>
      <c r="Q941" s="1454"/>
      <c r="R941" s="1476">
        <v>3184408</v>
      </c>
      <c r="S941" s="1476"/>
      <c r="T941" s="1476"/>
      <c r="U941" s="1476"/>
      <c r="V941" s="1476"/>
      <c r="W941" s="1476"/>
      <c r="X941" s="1476"/>
      <c r="Y941" s="1476"/>
      <c r="Z941" s="1128">
        <v>1725251</v>
      </c>
      <c r="AA941" s="1128"/>
      <c r="AB941" s="1128"/>
      <c r="AC941" s="1128"/>
      <c r="AD941" s="1128"/>
      <c r="AE941" s="1128"/>
      <c r="AF941" s="1128"/>
      <c r="AG941" s="1128"/>
    </row>
    <row r="942" spans="1:33" s="992" customFormat="1" ht="18.75" customHeight="1" x14ac:dyDescent="0.2">
      <c r="A942" s="993"/>
      <c r="D942" s="1141" t="s">
        <v>2040</v>
      </c>
      <c r="E942" s="1141"/>
      <c r="F942" s="1141"/>
      <c r="G942" s="1141"/>
      <c r="H942" s="1141"/>
      <c r="I942" s="1141"/>
      <c r="J942" s="1141"/>
      <c r="K942" s="1141"/>
      <c r="L942" s="1141"/>
      <c r="M942" s="1454">
        <v>4</v>
      </c>
      <c r="N942" s="1454"/>
      <c r="O942" s="1454"/>
      <c r="P942" s="1454"/>
      <c r="Q942" s="1454"/>
      <c r="R942" s="1128">
        <v>133</v>
      </c>
      <c r="S942" s="1128"/>
      <c r="T942" s="1128"/>
      <c r="U942" s="1128"/>
      <c r="V942" s="1128"/>
      <c r="W942" s="1128"/>
      <c r="X942" s="1128"/>
      <c r="Y942" s="1128"/>
      <c r="Z942" s="1128">
        <v>9870</v>
      </c>
      <c r="AA942" s="1128"/>
      <c r="AB942" s="1128"/>
      <c r="AC942" s="1128"/>
      <c r="AD942" s="1128"/>
      <c r="AE942" s="1128"/>
      <c r="AF942" s="1128"/>
      <c r="AG942" s="1128"/>
    </row>
    <row r="943" spans="1:33" s="992" customFormat="1" ht="18.75" customHeight="1" thickBot="1" x14ac:dyDescent="0.25">
      <c r="A943" s="993"/>
      <c r="D943" s="1477" t="s">
        <v>2007</v>
      </c>
      <c r="E943" s="1477"/>
      <c r="F943" s="1477"/>
      <c r="G943" s="1477"/>
      <c r="H943" s="1477"/>
      <c r="I943" s="1477"/>
      <c r="J943" s="1477"/>
      <c r="K943" s="1477"/>
      <c r="L943" s="1477"/>
      <c r="M943" s="1478">
        <v>4</v>
      </c>
      <c r="N943" s="1478"/>
      <c r="O943" s="1478"/>
      <c r="P943" s="1478"/>
      <c r="Q943" s="1478"/>
      <c r="R943" s="1479">
        <v>237.59</v>
      </c>
      <c r="S943" s="1479"/>
      <c r="T943" s="1479"/>
      <c r="U943" s="1479"/>
      <c r="V943" s="1479"/>
      <c r="W943" s="1479"/>
      <c r="X943" s="1479"/>
      <c r="Y943" s="1479"/>
      <c r="Z943" s="1171">
        <v>869</v>
      </c>
      <c r="AA943" s="1171"/>
      <c r="AB943" s="1171"/>
      <c r="AC943" s="1171"/>
      <c r="AD943" s="1171"/>
      <c r="AE943" s="1171"/>
      <c r="AF943" s="1171"/>
      <c r="AG943" s="1171"/>
    </row>
    <row r="944" spans="1:33" s="992" customFormat="1" ht="18.75" customHeight="1" x14ac:dyDescent="0.2">
      <c r="A944" s="993"/>
      <c r="D944" s="1011"/>
      <c r="E944" s="1011"/>
      <c r="F944" s="1011"/>
      <c r="G944" s="1011"/>
      <c r="H944" s="1011"/>
      <c r="I944" s="1011"/>
      <c r="J944" s="1011"/>
      <c r="K944" s="1011"/>
      <c r="L944" s="1011"/>
      <c r="M944" s="1011"/>
      <c r="N944" s="1011"/>
      <c r="O944" s="1011"/>
      <c r="P944" s="1011"/>
      <c r="Q944" s="1011"/>
      <c r="R944" s="1012"/>
      <c r="S944" s="1012"/>
      <c r="T944" s="1012"/>
      <c r="U944" s="1012"/>
      <c r="V944" s="1012"/>
      <c r="W944" s="1012"/>
      <c r="X944" s="1012"/>
      <c r="Y944" s="1012"/>
      <c r="Z944" s="1012"/>
      <c r="AA944" s="1012"/>
      <c r="AB944" s="1012"/>
      <c r="AC944" s="1012"/>
      <c r="AD944" s="1012"/>
      <c r="AE944" s="1012"/>
      <c r="AF944" s="1012"/>
      <c r="AG944" s="1012"/>
    </row>
    <row r="945" spans="1:33" s="992" customFormat="1" ht="18.75" customHeight="1" x14ac:dyDescent="0.2">
      <c r="A945" s="993"/>
      <c r="D945" s="1488"/>
      <c r="E945" s="1488"/>
      <c r="F945" s="1488"/>
      <c r="G945" s="1488"/>
      <c r="H945" s="1488"/>
      <c r="I945" s="1488"/>
      <c r="J945" s="1488"/>
      <c r="K945" s="1488"/>
      <c r="L945" s="1488"/>
      <c r="M945" s="1488"/>
      <c r="N945" s="1488"/>
      <c r="O945" s="1488"/>
      <c r="P945" s="1488"/>
      <c r="Q945" s="1488"/>
      <c r="R945" s="1488"/>
      <c r="S945" s="1488"/>
      <c r="T945" s="1488"/>
      <c r="U945" s="1488"/>
      <c r="V945" s="1488"/>
      <c r="W945" s="1488"/>
      <c r="X945" s="1488"/>
      <c r="Y945" s="1488"/>
      <c r="Z945" s="1488"/>
      <c r="AA945" s="1488"/>
      <c r="AB945" s="1488"/>
      <c r="AC945" s="1488"/>
      <c r="AD945" s="1488"/>
      <c r="AE945" s="1488"/>
      <c r="AF945" s="1488"/>
      <c r="AG945" s="1488"/>
    </row>
    <row r="946" spans="1:33" s="992" customFormat="1" ht="14.25" customHeight="1" thickBot="1" x14ac:dyDescent="0.25">
      <c r="A946" s="993"/>
    </row>
    <row r="947" spans="1:33" s="992" customFormat="1" ht="14.25" customHeight="1" thickBot="1" x14ac:dyDescent="0.25">
      <c r="A947" s="993" t="s">
        <v>1544</v>
      </c>
      <c r="D947" s="1188" t="s">
        <v>488</v>
      </c>
      <c r="E947" s="1187"/>
      <c r="F947" s="1187"/>
      <c r="G947" s="1187"/>
      <c r="H947" s="1187"/>
      <c r="I947" s="1187"/>
      <c r="J947" s="1187"/>
      <c r="K947" s="1187"/>
      <c r="L947" s="1187"/>
      <c r="M947" s="1188" t="s">
        <v>388</v>
      </c>
      <c r="N947" s="1188"/>
      <c r="O947" s="1188"/>
      <c r="P947" s="1188"/>
      <c r="Q947" s="1188"/>
      <c r="R947" s="1188" t="s">
        <v>389</v>
      </c>
      <c r="S947" s="1188"/>
      <c r="T947" s="1188"/>
      <c r="U947" s="1188"/>
      <c r="V947" s="1188"/>
      <c r="W947" s="1188"/>
      <c r="X947" s="1188"/>
      <c r="Y947" s="1188"/>
      <c r="Z947" s="1188"/>
      <c r="AA947" s="1188"/>
      <c r="AB947" s="1188"/>
      <c r="AC947" s="1188"/>
      <c r="AD947" s="1188"/>
      <c r="AE947" s="1188"/>
      <c r="AF947" s="1188"/>
      <c r="AG947" s="1188"/>
    </row>
    <row r="948" spans="1:33" s="992" customFormat="1" ht="26.25" customHeight="1" thickBot="1" x14ac:dyDescent="0.25">
      <c r="A948" s="993"/>
      <c r="D948" s="1187"/>
      <c r="E948" s="1187"/>
      <c r="F948" s="1187"/>
      <c r="G948" s="1187"/>
      <c r="H948" s="1187"/>
      <c r="I948" s="1187"/>
      <c r="J948" s="1187"/>
      <c r="K948" s="1187"/>
      <c r="L948" s="1187"/>
      <c r="M948" s="1188"/>
      <c r="N948" s="1188"/>
      <c r="O948" s="1188"/>
      <c r="P948" s="1188"/>
      <c r="Q948" s="1188"/>
      <c r="R948" s="1188" t="s">
        <v>2</v>
      </c>
      <c r="S948" s="1188"/>
      <c r="T948" s="1188"/>
      <c r="U948" s="1188"/>
      <c r="V948" s="1188"/>
      <c r="W948" s="1188"/>
      <c r="X948" s="1188"/>
      <c r="Y948" s="1188"/>
      <c r="Z948" s="1188" t="s">
        <v>390</v>
      </c>
      <c r="AA948" s="1188"/>
      <c r="AB948" s="1188"/>
      <c r="AC948" s="1188"/>
      <c r="AD948" s="1188"/>
      <c r="AE948" s="1188"/>
      <c r="AF948" s="1188"/>
      <c r="AG948" s="1188"/>
    </row>
    <row r="949" spans="1:33" s="992" customFormat="1" ht="26.25" customHeight="1" x14ac:dyDescent="0.2">
      <c r="A949" s="993"/>
      <c r="D949" s="1498" t="s">
        <v>1985</v>
      </c>
      <c r="E949" s="1498"/>
      <c r="F949" s="1498"/>
      <c r="G949" s="1498"/>
      <c r="H949" s="1498"/>
      <c r="I949" s="1498"/>
      <c r="J949" s="1498"/>
      <c r="K949" s="1498"/>
      <c r="L949" s="1498"/>
      <c r="M949" s="1499" t="s">
        <v>2068</v>
      </c>
      <c r="N949" s="1498"/>
      <c r="O949" s="1498"/>
      <c r="P949" s="1498"/>
      <c r="Q949" s="1498"/>
      <c r="R949" s="1043">
        <v>200000</v>
      </c>
      <c r="S949" s="1043"/>
      <c r="T949" s="1043"/>
      <c r="U949" s="1043"/>
      <c r="V949" s="1043"/>
      <c r="W949" s="1043"/>
      <c r="X949" s="1043"/>
      <c r="Y949" s="1043"/>
      <c r="Z949" s="1043"/>
      <c r="AA949" s="1043"/>
      <c r="AB949" s="1043"/>
      <c r="AC949" s="1043"/>
      <c r="AD949" s="1043"/>
      <c r="AE949" s="1043"/>
      <c r="AF949" s="1043"/>
      <c r="AG949" s="1043"/>
    </row>
    <row r="950" spans="1:33" s="992" customFormat="1" ht="18" customHeight="1" thickBot="1" x14ac:dyDescent="0.25">
      <c r="A950" s="993"/>
      <c r="D950" s="1335" t="s">
        <v>1985</v>
      </c>
      <c r="E950" s="1335"/>
      <c r="F950" s="1335"/>
      <c r="G950" s="1335"/>
      <c r="H950" s="1335"/>
      <c r="I950" s="1335"/>
      <c r="J950" s="1335"/>
      <c r="K950" s="1335"/>
      <c r="L950" s="1335"/>
      <c r="M950" s="1475" t="s">
        <v>2069</v>
      </c>
      <c r="N950" s="1335"/>
      <c r="O950" s="1335"/>
      <c r="P950" s="1335"/>
      <c r="Q950" s="1335"/>
      <c r="R950" s="1171">
        <v>100000</v>
      </c>
      <c r="S950" s="1171"/>
      <c r="T950" s="1171"/>
      <c r="U950" s="1171"/>
      <c r="V950" s="1171"/>
      <c r="W950" s="1171"/>
      <c r="X950" s="1171"/>
      <c r="Y950" s="1171"/>
      <c r="Z950" s="1171"/>
      <c r="AA950" s="1171"/>
      <c r="AB950" s="1171"/>
      <c r="AC950" s="1171"/>
      <c r="AD950" s="1171"/>
      <c r="AE950" s="1171"/>
      <c r="AF950" s="1171"/>
      <c r="AG950" s="1171"/>
    </row>
    <row r="952" spans="1:33" ht="14.25" customHeight="1" x14ac:dyDescent="0.2">
      <c r="D952" s="1489" t="s">
        <v>2041</v>
      </c>
      <c r="E952" s="1489"/>
      <c r="F952" s="1489"/>
      <c r="G952" s="1489"/>
      <c r="H952" s="1489"/>
      <c r="I952" s="1489"/>
      <c r="J952" s="1489"/>
      <c r="K952" s="1489"/>
      <c r="L952" s="1489"/>
      <c r="M952" s="1489"/>
      <c r="N952" s="1489"/>
      <c r="O952" s="1489"/>
      <c r="P952" s="1489"/>
      <c r="Q952" s="1489"/>
      <c r="R952" s="1489"/>
      <c r="S952" s="1489"/>
      <c r="T952" s="1489"/>
      <c r="U952" s="1489"/>
      <c r="V952" s="1489"/>
      <c r="W952" s="1489"/>
      <c r="X952" s="1489"/>
      <c r="Y952" s="1489"/>
      <c r="Z952" s="1489"/>
      <c r="AA952" s="1489"/>
      <c r="AB952" s="1489"/>
      <c r="AC952" s="1489"/>
      <c r="AD952" s="1489"/>
      <c r="AE952" s="1489"/>
      <c r="AF952" s="1489"/>
      <c r="AG952" s="1489"/>
    </row>
    <row r="953" spans="1:33" ht="14.25" customHeight="1" thickBot="1" x14ac:dyDescent="0.25">
      <c r="D953" s="1013"/>
      <c r="E953" s="1013"/>
      <c r="F953" s="1013"/>
      <c r="G953" s="1013"/>
      <c r="H953" s="1013"/>
      <c r="I953" s="1013"/>
      <c r="J953" s="1013"/>
      <c r="K953" s="1013"/>
      <c r="L953" s="1013"/>
      <c r="M953" s="1013"/>
      <c r="N953" s="1013"/>
      <c r="O953" s="1013"/>
      <c r="P953" s="1013"/>
      <c r="Q953" s="1013"/>
      <c r="R953" s="1013"/>
      <c r="S953" s="1013"/>
      <c r="T953" s="1013"/>
      <c r="U953" s="1013"/>
      <c r="V953" s="1013"/>
      <c r="W953" s="1013"/>
      <c r="X953" s="1013"/>
      <c r="Y953" s="1013"/>
      <c r="Z953" s="1013"/>
      <c r="AA953" s="1013"/>
      <c r="AB953" s="1013"/>
      <c r="AC953" s="1013"/>
      <c r="AD953" s="1013"/>
      <c r="AE953" s="1013"/>
      <c r="AF953" s="1013"/>
      <c r="AG953" s="1013"/>
    </row>
    <row r="954" spans="1:33" ht="14.25" customHeight="1" x14ac:dyDescent="0.2">
      <c r="D954" s="1490" t="s">
        <v>2042</v>
      </c>
      <c r="E954" s="1491"/>
      <c r="F954" s="1491"/>
      <c r="G954" s="1491"/>
      <c r="H954" s="1491"/>
      <c r="I954" s="1491"/>
      <c r="J954" s="1491"/>
      <c r="K954" s="1491"/>
      <c r="L954" s="1491"/>
      <c r="M954" s="1491"/>
      <c r="N954" s="1491"/>
      <c r="O954" s="1491"/>
      <c r="P954" s="1491"/>
      <c r="Q954" s="1491"/>
      <c r="R954" s="1491"/>
      <c r="S954" s="1491"/>
      <c r="T954" s="1491"/>
      <c r="U954" s="1491"/>
      <c r="V954" s="1491"/>
      <c r="W954" s="1491"/>
      <c r="X954" s="1491"/>
      <c r="Y954" s="1491"/>
      <c r="Z954" s="1494" t="s">
        <v>2043</v>
      </c>
      <c r="AA954" s="1494"/>
      <c r="AB954" s="1494"/>
      <c r="AC954" s="1494"/>
      <c r="AD954" s="1494"/>
      <c r="AE954" s="1494"/>
      <c r="AF954" s="1494"/>
      <c r="AG954" s="1495"/>
    </row>
    <row r="955" spans="1:33" ht="14.25" customHeight="1" x14ac:dyDescent="0.2">
      <c r="D955" s="1396" t="s">
        <v>2035</v>
      </c>
      <c r="E955" s="1397"/>
      <c r="F955" s="1397"/>
      <c r="G955" s="1397"/>
      <c r="H955" s="1397"/>
      <c r="I955" s="1397"/>
      <c r="J955" s="1397"/>
      <c r="K955" s="1397"/>
      <c r="L955" s="1397"/>
      <c r="M955" s="1397"/>
      <c r="N955" s="1397"/>
      <c r="O955" s="1397"/>
      <c r="P955" s="1397"/>
      <c r="Q955" s="1397"/>
      <c r="R955" s="1397"/>
      <c r="S955" s="1397"/>
      <c r="T955" s="1397"/>
      <c r="U955" s="1397"/>
      <c r="V955" s="1397"/>
      <c r="W955" s="1397"/>
      <c r="X955" s="1397"/>
      <c r="Y955" s="1397"/>
      <c r="Z955" s="1484">
        <v>2337940</v>
      </c>
      <c r="AA955" s="1484"/>
      <c r="AB955" s="1484"/>
      <c r="AC955" s="1484"/>
      <c r="AD955" s="1484"/>
      <c r="AE955" s="1484"/>
      <c r="AF955" s="1484"/>
      <c r="AG955" s="1485"/>
    </row>
    <row r="956" spans="1:33" ht="14.25" customHeight="1" x14ac:dyDescent="0.2">
      <c r="D956" s="1396" t="s">
        <v>2044</v>
      </c>
      <c r="E956" s="1397"/>
      <c r="F956" s="1397"/>
      <c r="G956" s="1397"/>
      <c r="H956" s="1397"/>
      <c r="I956" s="1397"/>
      <c r="J956" s="1397"/>
      <c r="K956" s="1397"/>
      <c r="L956" s="1397"/>
      <c r="M956" s="1397"/>
      <c r="N956" s="1397"/>
      <c r="O956" s="1397"/>
      <c r="P956" s="1397"/>
      <c r="Q956" s="1397"/>
      <c r="R956" s="1397"/>
      <c r="S956" s="1397"/>
      <c r="T956" s="1397"/>
      <c r="U956" s="1397"/>
      <c r="V956" s="1397"/>
      <c r="W956" s="1397"/>
      <c r="X956" s="1397"/>
      <c r="Y956" s="1397"/>
      <c r="Z956" s="1484">
        <v>558522</v>
      </c>
      <c r="AA956" s="1484"/>
      <c r="AB956" s="1484"/>
      <c r="AC956" s="1484"/>
      <c r="AD956" s="1484"/>
      <c r="AE956" s="1484"/>
      <c r="AF956" s="1484"/>
      <c r="AG956" s="1485"/>
    </row>
    <row r="957" spans="1:33" ht="14.25" customHeight="1" x14ac:dyDescent="0.2">
      <c r="D957" s="1482" t="s">
        <v>1985</v>
      </c>
      <c r="E957" s="1483"/>
      <c r="F957" s="1483"/>
      <c r="G957" s="1483"/>
      <c r="H957" s="1483"/>
      <c r="I957" s="1483"/>
      <c r="J957" s="1483"/>
      <c r="K957" s="1483"/>
      <c r="L957" s="1483"/>
      <c r="M957" s="1483"/>
      <c r="N957" s="1483"/>
      <c r="O957" s="1483"/>
      <c r="P957" s="1483"/>
      <c r="Q957" s="1483"/>
      <c r="R957" s="1483"/>
      <c r="S957" s="1483"/>
      <c r="T957" s="1483"/>
      <c r="U957" s="1483"/>
      <c r="V957" s="1483"/>
      <c r="W957" s="1483"/>
      <c r="X957" s="1483"/>
      <c r="Y957" s="1483"/>
      <c r="Z957" s="1484">
        <v>100000</v>
      </c>
      <c r="AA957" s="1484"/>
      <c r="AB957" s="1484"/>
      <c r="AC957" s="1484"/>
      <c r="AD957" s="1484"/>
      <c r="AE957" s="1484"/>
      <c r="AF957" s="1484"/>
      <c r="AG957" s="1485"/>
    </row>
    <row r="958" spans="1:33" ht="14.25" customHeight="1" x14ac:dyDescent="0.2">
      <c r="D958" s="1492" t="s">
        <v>2045</v>
      </c>
      <c r="E958" s="1493"/>
      <c r="F958" s="1493"/>
      <c r="G958" s="1493"/>
      <c r="H958" s="1493"/>
      <c r="I958" s="1493"/>
      <c r="J958" s="1493"/>
      <c r="K958" s="1493"/>
      <c r="L958" s="1493"/>
      <c r="M958" s="1493"/>
      <c r="N958" s="1493"/>
      <c r="O958" s="1493"/>
      <c r="P958" s="1493"/>
      <c r="Q958" s="1493"/>
      <c r="R958" s="1493"/>
      <c r="S958" s="1493"/>
      <c r="T958" s="1493"/>
      <c r="U958" s="1493"/>
      <c r="V958" s="1493"/>
      <c r="W958" s="1493"/>
      <c r="X958" s="1493"/>
      <c r="Y958" s="1493"/>
      <c r="Z958" s="1496">
        <f>SUM(Z955:AG957)</f>
        <v>2996462</v>
      </c>
      <c r="AA958" s="1496"/>
      <c r="AB958" s="1496"/>
      <c r="AC958" s="1496"/>
      <c r="AD958" s="1496"/>
      <c r="AE958" s="1496"/>
      <c r="AF958" s="1496"/>
      <c r="AG958" s="1497"/>
    </row>
    <row r="959" spans="1:33" ht="14.25" customHeight="1" x14ac:dyDescent="0.2">
      <c r="D959" s="1396" t="s">
        <v>2032</v>
      </c>
      <c r="E959" s="1397"/>
      <c r="F959" s="1397"/>
      <c r="G959" s="1397"/>
      <c r="H959" s="1397"/>
      <c r="I959" s="1397"/>
      <c r="J959" s="1397"/>
      <c r="K959" s="1397"/>
      <c r="L959" s="1397"/>
      <c r="M959" s="1397"/>
      <c r="N959" s="1397"/>
      <c r="O959" s="1397"/>
      <c r="P959" s="1397"/>
      <c r="Q959" s="1397"/>
      <c r="R959" s="1397"/>
      <c r="S959" s="1397"/>
      <c r="T959" s="1397"/>
      <c r="U959" s="1397"/>
      <c r="V959" s="1397"/>
      <c r="W959" s="1397"/>
      <c r="X959" s="1397"/>
      <c r="Y959" s="1397"/>
      <c r="Z959" s="1484">
        <v>-865</v>
      </c>
      <c r="AA959" s="1484"/>
      <c r="AB959" s="1484"/>
      <c r="AC959" s="1484"/>
      <c r="AD959" s="1484"/>
      <c r="AE959" s="1484"/>
      <c r="AF959" s="1484"/>
      <c r="AG959" s="1485"/>
    </row>
    <row r="960" spans="1:33" ht="14.25" customHeight="1" x14ac:dyDescent="0.2">
      <c r="D960" s="1396" t="s">
        <v>2006</v>
      </c>
      <c r="E960" s="1397"/>
      <c r="F960" s="1397"/>
      <c r="G960" s="1397"/>
      <c r="H960" s="1397"/>
      <c r="I960" s="1397"/>
      <c r="J960" s="1397"/>
      <c r="K960" s="1397"/>
      <c r="L960" s="1397"/>
      <c r="M960" s="1397"/>
      <c r="N960" s="1397"/>
      <c r="O960" s="1397"/>
      <c r="P960" s="1397"/>
      <c r="Q960" s="1397"/>
      <c r="R960" s="1397"/>
      <c r="S960" s="1397"/>
      <c r="T960" s="1397"/>
      <c r="U960" s="1397"/>
      <c r="V960" s="1397"/>
      <c r="W960" s="1397"/>
      <c r="X960" s="1397"/>
      <c r="Y960" s="1397"/>
      <c r="Z960" s="1484">
        <v>-485</v>
      </c>
      <c r="AA960" s="1484"/>
      <c r="AB960" s="1484"/>
      <c r="AC960" s="1484"/>
      <c r="AD960" s="1484"/>
      <c r="AE960" s="1484"/>
      <c r="AF960" s="1484"/>
      <c r="AG960" s="1485"/>
    </row>
    <row r="961" spans="1:41" ht="14.25" customHeight="1" x14ac:dyDescent="0.2">
      <c r="D961" s="1396" t="s">
        <v>2046</v>
      </c>
      <c r="E961" s="1397"/>
      <c r="F961" s="1397"/>
      <c r="G961" s="1397"/>
      <c r="H961" s="1397"/>
      <c r="I961" s="1397"/>
      <c r="J961" s="1397"/>
      <c r="K961" s="1397"/>
      <c r="L961" s="1397"/>
      <c r="M961" s="1397"/>
      <c r="N961" s="1397"/>
      <c r="O961" s="1397"/>
      <c r="P961" s="1397"/>
      <c r="Q961" s="1397"/>
      <c r="R961" s="1397"/>
      <c r="S961" s="1397"/>
      <c r="T961" s="1397"/>
      <c r="U961" s="1397"/>
      <c r="V961" s="1397"/>
      <c r="W961" s="1397"/>
      <c r="X961" s="1397"/>
      <c r="Y961" s="1397"/>
      <c r="Z961" s="1484">
        <v>-238</v>
      </c>
      <c r="AA961" s="1484"/>
      <c r="AB961" s="1484"/>
      <c r="AC961" s="1484"/>
      <c r="AD961" s="1484"/>
      <c r="AE961" s="1484"/>
      <c r="AF961" s="1484"/>
      <c r="AG961" s="1485"/>
    </row>
    <row r="962" spans="1:41" ht="14.25" customHeight="1" thickBot="1" x14ac:dyDescent="0.25">
      <c r="D962" s="1480" t="s">
        <v>2047</v>
      </c>
      <c r="E962" s="1481"/>
      <c r="F962" s="1481"/>
      <c r="G962" s="1481"/>
      <c r="H962" s="1481"/>
      <c r="I962" s="1481"/>
      <c r="J962" s="1481"/>
      <c r="K962" s="1481"/>
      <c r="L962" s="1481"/>
      <c r="M962" s="1481"/>
      <c r="N962" s="1481"/>
      <c r="O962" s="1481"/>
      <c r="P962" s="1481"/>
      <c r="Q962" s="1481"/>
      <c r="R962" s="1481"/>
      <c r="S962" s="1481"/>
      <c r="T962" s="1481"/>
      <c r="U962" s="1481"/>
      <c r="V962" s="1481"/>
      <c r="W962" s="1481"/>
      <c r="X962" s="1481"/>
      <c r="Y962" s="1481"/>
      <c r="Z962" s="1486">
        <v>-1588</v>
      </c>
      <c r="AA962" s="1486"/>
      <c r="AB962" s="1486"/>
      <c r="AC962" s="1486"/>
      <c r="AD962" s="1486"/>
      <c r="AE962" s="1486"/>
      <c r="AF962" s="1486"/>
      <c r="AG962" s="1487"/>
    </row>
    <row r="963" spans="1:41" ht="14.25" customHeight="1" x14ac:dyDescent="0.2">
      <c r="D963" s="931"/>
      <c r="E963" s="931"/>
      <c r="F963" s="931"/>
      <c r="G963" s="931"/>
      <c r="H963" s="931"/>
      <c r="I963" s="931"/>
      <c r="J963" s="931"/>
      <c r="K963" s="931"/>
      <c r="L963" s="931"/>
      <c r="M963" s="931"/>
      <c r="N963" s="931"/>
      <c r="O963" s="931"/>
      <c r="P963" s="931"/>
      <c r="Q963" s="931"/>
      <c r="R963" s="931"/>
      <c r="S963" s="931"/>
      <c r="T963" s="931"/>
      <c r="U963" s="931"/>
      <c r="V963" s="931"/>
      <c r="W963" s="931"/>
      <c r="X963" s="931"/>
      <c r="Y963" s="931"/>
      <c r="Z963" s="931"/>
      <c r="AA963" s="931"/>
      <c r="AB963" s="931"/>
      <c r="AC963" s="931"/>
      <c r="AD963" s="931"/>
      <c r="AE963" s="931"/>
      <c r="AF963" s="931"/>
      <c r="AG963" s="931"/>
    </row>
    <row r="964" spans="1:41" ht="14.25" customHeight="1" x14ac:dyDescent="0.2">
      <c r="D964" s="922" t="s">
        <v>2027</v>
      </c>
      <c r="E964" s="992"/>
      <c r="F964" s="992"/>
      <c r="G964" s="992"/>
      <c r="H964" s="992"/>
      <c r="I964" s="992"/>
      <c r="J964" s="992"/>
      <c r="K964" s="992"/>
      <c r="L964" s="992"/>
      <c r="M964" s="992"/>
      <c r="N964" s="992"/>
      <c r="O964" s="992"/>
      <c r="P964" s="992"/>
      <c r="Q964" s="992"/>
    </row>
    <row r="965" spans="1:41" ht="14.25" customHeight="1" thickBot="1" x14ac:dyDescent="0.25"/>
    <row r="966" spans="1:41" ht="14.25" customHeight="1" thickBot="1" x14ac:dyDescent="0.25">
      <c r="D966" s="1138" t="s">
        <v>465</v>
      </c>
      <c r="E966" s="1138"/>
      <c r="F966" s="1138"/>
      <c r="G966" s="1138"/>
      <c r="H966" s="1138"/>
      <c r="I966" s="1138"/>
      <c r="J966" s="1138"/>
      <c r="K966" s="1138"/>
      <c r="L966" s="1138"/>
      <c r="M966" s="1138"/>
      <c r="N966" s="1138" t="s">
        <v>2</v>
      </c>
      <c r="O966" s="1138"/>
      <c r="P966" s="1138"/>
      <c r="Q966" s="1138"/>
      <c r="R966" s="1138"/>
      <c r="S966" s="1138"/>
      <c r="T966" s="1138"/>
      <c r="U966" s="1138"/>
      <c r="V966" s="1138"/>
      <c r="W966" s="1138"/>
      <c r="X966" s="1138"/>
      <c r="Y966" s="1138"/>
      <c r="Z966" s="1138"/>
      <c r="AA966" s="1138"/>
      <c r="AB966" s="1138"/>
      <c r="AC966" s="1138"/>
      <c r="AD966" s="1138"/>
      <c r="AE966" s="1138"/>
      <c r="AF966" s="1138"/>
      <c r="AG966" s="1138"/>
    </row>
    <row r="967" spans="1:41" ht="48.75" customHeight="1" thickTop="1" thickBot="1" x14ac:dyDescent="0.25">
      <c r="D967" s="1138"/>
      <c r="E967" s="1138"/>
      <c r="F967" s="1138"/>
      <c r="G967" s="1138"/>
      <c r="H967" s="1138"/>
      <c r="I967" s="1138"/>
      <c r="J967" s="1138"/>
      <c r="K967" s="1138"/>
      <c r="L967" s="1138"/>
      <c r="M967" s="1138"/>
      <c r="N967" s="1120" t="s">
        <v>472</v>
      </c>
      <c r="O967" s="1120"/>
      <c r="P967" s="1120"/>
      <c r="Q967" s="1120"/>
      <c r="R967" s="1120" t="s">
        <v>27</v>
      </c>
      <c r="S967" s="1120"/>
      <c r="T967" s="1120"/>
      <c r="U967" s="1120"/>
      <c r="V967" s="1120" t="s">
        <v>28</v>
      </c>
      <c r="W967" s="1120"/>
      <c r="X967" s="1120"/>
      <c r="Y967" s="1120"/>
      <c r="Z967" s="1120" t="s">
        <v>29</v>
      </c>
      <c r="AA967" s="1120"/>
      <c r="AB967" s="1120"/>
      <c r="AC967" s="1120"/>
      <c r="AD967" s="1120" t="s">
        <v>392</v>
      </c>
      <c r="AE967" s="1120"/>
      <c r="AF967" s="1120"/>
      <c r="AG967" s="1120"/>
      <c r="AL967" s="934" t="s">
        <v>472</v>
      </c>
      <c r="AM967" s="934" t="s">
        <v>392</v>
      </c>
      <c r="AO967" s="934" t="s">
        <v>392</v>
      </c>
    </row>
    <row r="968" spans="1:41" ht="14.25" customHeight="1" x14ac:dyDescent="0.2">
      <c r="D968" s="1255" t="s">
        <v>393</v>
      </c>
      <c r="E968" s="1255"/>
      <c r="F968" s="1255"/>
      <c r="G968" s="1255"/>
      <c r="H968" s="1255"/>
      <c r="I968" s="1255"/>
      <c r="J968" s="1255"/>
      <c r="K968" s="1255"/>
      <c r="L968" s="1255"/>
      <c r="M968" s="1255"/>
      <c r="N968" s="1256">
        <v>6639</v>
      </c>
      <c r="O968" s="1256"/>
      <c r="P968" s="1256"/>
      <c r="Q968" s="1256"/>
      <c r="R968" s="1256"/>
      <c r="S968" s="1256"/>
      <c r="T968" s="1256"/>
      <c r="U968" s="1256"/>
      <c r="V968" s="1256"/>
      <c r="W968" s="1256"/>
      <c r="X968" s="1256"/>
      <c r="Y968" s="1256"/>
      <c r="Z968" s="1256"/>
      <c r="AA968" s="1256"/>
      <c r="AB968" s="1256"/>
      <c r="AC968" s="1256"/>
      <c r="AD968" s="1159">
        <f>SUM(N968:AC968)</f>
        <v>6639</v>
      </c>
      <c r="AE968" s="1159"/>
      <c r="AF968" s="1159"/>
      <c r="AG968" s="1159"/>
      <c r="AL968" s="983">
        <f>N968-AD990</f>
        <v>0</v>
      </c>
      <c r="AM968" s="998">
        <f>SUM(N968:AC968)-AD968</f>
        <v>0</v>
      </c>
      <c r="AO968" s="984">
        <f>AD968-BS!$D$84</f>
        <v>0</v>
      </c>
    </row>
    <row r="969" spans="1:41" ht="14.25" customHeight="1" x14ac:dyDescent="0.2">
      <c r="D969" s="1184" t="s">
        <v>394</v>
      </c>
      <c r="E969" s="1184"/>
      <c r="F969" s="1184"/>
      <c r="G969" s="1184"/>
      <c r="H969" s="1184"/>
      <c r="I969" s="1184"/>
      <c r="J969" s="1184"/>
      <c r="K969" s="1184"/>
      <c r="L969" s="1184"/>
      <c r="M969" s="1184"/>
      <c r="N969" s="1045"/>
      <c r="O969" s="1045"/>
      <c r="P969" s="1045"/>
      <c r="Q969" s="1045"/>
      <c r="R969" s="1045"/>
      <c r="S969" s="1045"/>
      <c r="T969" s="1045"/>
      <c r="U969" s="1045"/>
      <c r="V969" s="1045"/>
      <c r="W969" s="1045"/>
      <c r="X969" s="1045"/>
      <c r="Y969" s="1045"/>
      <c r="Z969" s="1045"/>
      <c r="AA969" s="1045"/>
      <c r="AB969" s="1045"/>
      <c r="AC969" s="1045"/>
      <c r="AD969" s="1139">
        <f t="shared" ref="AD969:AD985" si="274">SUM(N969:AC969)</f>
        <v>0</v>
      </c>
      <c r="AE969" s="1139"/>
      <c r="AF969" s="1139"/>
      <c r="AG969" s="1139"/>
      <c r="AL969" s="986">
        <f t="shared" ref="AL969:AL984" si="275">N969-AD991</f>
        <v>0</v>
      </c>
      <c r="AM969" s="999">
        <f t="shared" ref="AM969:AM985" si="276">SUM(N969:AC969)-AD969</f>
        <v>0</v>
      </c>
      <c r="AO969" s="987">
        <f>AD969-BS!$D$85</f>
        <v>0</v>
      </c>
    </row>
    <row r="970" spans="1:41" ht="14.25" customHeight="1" x14ac:dyDescent="0.2">
      <c r="D970" s="1184" t="s">
        <v>466</v>
      </c>
      <c r="E970" s="1184"/>
      <c r="F970" s="1184"/>
      <c r="G970" s="1184"/>
      <c r="H970" s="1184"/>
      <c r="I970" s="1184"/>
      <c r="J970" s="1184"/>
      <c r="K970" s="1184"/>
      <c r="L970" s="1184"/>
      <c r="M970" s="1184"/>
      <c r="N970" s="1045"/>
      <c r="O970" s="1045"/>
      <c r="P970" s="1045"/>
      <c r="Q970" s="1045"/>
      <c r="R970" s="1045"/>
      <c r="S970" s="1045"/>
      <c r="T970" s="1045"/>
      <c r="U970" s="1045"/>
      <c r="V970" s="1045"/>
      <c r="W970" s="1045"/>
      <c r="X970" s="1045"/>
      <c r="Y970" s="1045"/>
      <c r="Z970" s="1045"/>
      <c r="AA970" s="1045"/>
      <c r="AB970" s="1045"/>
      <c r="AC970" s="1045"/>
      <c r="AD970" s="1139">
        <f t="shared" si="274"/>
        <v>0</v>
      </c>
      <c r="AE970" s="1139"/>
      <c r="AF970" s="1139"/>
      <c r="AG970" s="1139"/>
      <c r="AL970" s="986">
        <f t="shared" si="275"/>
        <v>0</v>
      </c>
      <c r="AM970" s="999">
        <f t="shared" si="276"/>
        <v>0</v>
      </c>
      <c r="AO970" s="987">
        <f>AD970-BS!$D$86</f>
        <v>0</v>
      </c>
    </row>
    <row r="971" spans="1:41" ht="14.25" customHeight="1" x14ac:dyDescent="0.2">
      <c r="D971" s="1184" t="s">
        <v>467</v>
      </c>
      <c r="E971" s="1184"/>
      <c r="F971" s="1184"/>
      <c r="G971" s="1184"/>
      <c r="H971" s="1184"/>
      <c r="I971" s="1184"/>
      <c r="J971" s="1184"/>
      <c r="K971" s="1184"/>
      <c r="L971" s="1184"/>
      <c r="M971" s="1184"/>
      <c r="N971" s="1045"/>
      <c r="O971" s="1045"/>
      <c r="P971" s="1045"/>
      <c r="Q971" s="1045"/>
      <c r="R971" s="1045"/>
      <c r="S971" s="1045"/>
      <c r="T971" s="1045"/>
      <c r="U971" s="1045"/>
      <c r="V971" s="1045"/>
      <c r="W971" s="1045"/>
      <c r="X971" s="1045"/>
      <c r="Y971" s="1045"/>
      <c r="Z971" s="1045"/>
      <c r="AA971" s="1045"/>
      <c r="AB971" s="1045"/>
      <c r="AC971" s="1045"/>
      <c r="AD971" s="1139">
        <f t="shared" si="274"/>
        <v>0</v>
      </c>
      <c r="AE971" s="1139"/>
      <c r="AF971" s="1139"/>
      <c r="AG971" s="1139"/>
      <c r="AL971" s="986">
        <f t="shared" si="275"/>
        <v>0</v>
      </c>
      <c r="AM971" s="999">
        <f t="shared" si="276"/>
        <v>0</v>
      </c>
      <c r="AO971" s="986">
        <f>AD971-BS!$D$87</f>
        <v>0</v>
      </c>
    </row>
    <row r="972" spans="1:41" ht="14.25" customHeight="1" x14ac:dyDescent="0.2">
      <c r="D972" s="1184" t="s">
        <v>395</v>
      </c>
      <c r="E972" s="1184"/>
      <c r="F972" s="1184"/>
      <c r="G972" s="1184"/>
      <c r="H972" s="1184"/>
      <c r="I972" s="1184"/>
      <c r="J972" s="1184"/>
      <c r="K972" s="1184"/>
      <c r="L972" s="1184"/>
      <c r="M972" s="1184"/>
      <c r="N972" s="1045"/>
      <c r="O972" s="1045"/>
      <c r="P972" s="1045"/>
      <c r="Q972" s="1045"/>
      <c r="R972" s="1045"/>
      <c r="S972" s="1045"/>
      <c r="T972" s="1045"/>
      <c r="U972" s="1045"/>
      <c r="V972" s="1045"/>
      <c r="W972" s="1045"/>
      <c r="X972" s="1045"/>
      <c r="Y972" s="1045"/>
      <c r="Z972" s="1045"/>
      <c r="AA972" s="1045"/>
      <c r="AB972" s="1045"/>
      <c r="AC972" s="1045"/>
      <c r="AD972" s="1139">
        <f t="shared" si="274"/>
        <v>0</v>
      </c>
      <c r="AE972" s="1139"/>
      <c r="AF972" s="1139"/>
      <c r="AG972" s="1139"/>
      <c r="AL972" s="986">
        <f t="shared" si="275"/>
        <v>0</v>
      </c>
      <c r="AM972" s="999">
        <f t="shared" si="276"/>
        <v>0</v>
      </c>
      <c r="AO972" s="987">
        <f>AD972-BS!$D$89</f>
        <v>0</v>
      </c>
    </row>
    <row r="973" spans="1:41" ht="14.25" customHeight="1" x14ac:dyDescent="0.2">
      <c r="D973" s="1184" t="s">
        <v>396</v>
      </c>
      <c r="E973" s="1184"/>
      <c r="F973" s="1184"/>
      <c r="G973" s="1184"/>
      <c r="H973" s="1184"/>
      <c r="I973" s="1184"/>
      <c r="J973" s="1184"/>
      <c r="K973" s="1184"/>
      <c r="L973" s="1184"/>
      <c r="M973" s="1184"/>
      <c r="N973" s="1045"/>
      <c r="O973" s="1045"/>
      <c r="P973" s="1045"/>
      <c r="Q973" s="1045"/>
      <c r="R973" s="1045"/>
      <c r="S973" s="1045"/>
      <c r="T973" s="1045"/>
      <c r="U973" s="1045"/>
      <c r="V973" s="1045"/>
      <c r="W973" s="1045"/>
      <c r="X973" s="1045"/>
      <c r="Y973" s="1045"/>
      <c r="Z973" s="1045"/>
      <c r="AA973" s="1045"/>
      <c r="AB973" s="1045"/>
      <c r="AC973" s="1045"/>
      <c r="AD973" s="1139">
        <f t="shared" si="274"/>
        <v>0</v>
      </c>
      <c r="AE973" s="1139"/>
      <c r="AF973" s="1139"/>
      <c r="AG973" s="1139"/>
      <c r="AL973" s="986">
        <f t="shared" si="275"/>
        <v>0</v>
      </c>
      <c r="AM973" s="999">
        <f t="shared" si="276"/>
        <v>0</v>
      </c>
      <c r="AO973" s="987">
        <f>AD973-BS!$D$90</f>
        <v>0</v>
      </c>
    </row>
    <row r="974" spans="1:41" ht="21.75" customHeight="1" x14ac:dyDescent="0.2">
      <c r="D974" s="1184" t="s">
        <v>397</v>
      </c>
      <c r="E974" s="1184"/>
      <c r="F974" s="1184"/>
      <c r="G974" s="1184"/>
      <c r="H974" s="1184"/>
      <c r="I974" s="1184"/>
      <c r="J974" s="1184"/>
      <c r="K974" s="1184"/>
      <c r="L974" s="1184"/>
      <c r="M974" s="1184"/>
      <c r="N974" s="1045"/>
      <c r="O974" s="1045"/>
      <c r="P974" s="1045"/>
      <c r="Q974" s="1045"/>
      <c r="R974" s="1045"/>
      <c r="S974" s="1045"/>
      <c r="T974" s="1045"/>
      <c r="U974" s="1045"/>
      <c r="V974" s="1045"/>
      <c r="W974" s="1045"/>
      <c r="X974" s="1045"/>
      <c r="Y974" s="1045"/>
      <c r="Z974" s="1045"/>
      <c r="AA974" s="1045"/>
      <c r="AB974" s="1045"/>
      <c r="AC974" s="1045"/>
      <c r="AD974" s="1139">
        <f t="shared" si="274"/>
        <v>0</v>
      </c>
      <c r="AE974" s="1139"/>
      <c r="AF974" s="1139"/>
      <c r="AG974" s="1139"/>
      <c r="AL974" s="986">
        <f t="shared" si="275"/>
        <v>0</v>
      </c>
      <c r="AM974" s="999">
        <f t="shared" si="276"/>
        <v>0</v>
      </c>
      <c r="AO974" s="987">
        <f>AD974-BS!$D$91</f>
        <v>0</v>
      </c>
    </row>
    <row r="975" spans="1:41" ht="14.25" customHeight="1" x14ac:dyDescent="0.2">
      <c r="A975" s="943"/>
      <c r="D975" s="1184" t="s">
        <v>398</v>
      </c>
      <c r="E975" s="1184"/>
      <c r="F975" s="1184"/>
      <c r="G975" s="1184"/>
      <c r="H975" s="1184"/>
      <c r="I975" s="1184"/>
      <c r="J975" s="1184"/>
      <c r="K975" s="1184"/>
      <c r="L975" s="1184"/>
      <c r="M975" s="1184"/>
      <c r="N975" s="1045"/>
      <c r="O975" s="1045"/>
      <c r="P975" s="1045"/>
      <c r="Q975" s="1045"/>
      <c r="R975" s="1045"/>
      <c r="S975" s="1045"/>
      <c r="T975" s="1045"/>
      <c r="U975" s="1045"/>
      <c r="V975" s="1045"/>
      <c r="W975" s="1045"/>
      <c r="X975" s="1045"/>
      <c r="Y975" s="1045"/>
      <c r="Z975" s="1045"/>
      <c r="AA975" s="1045"/>
      <c r="AB975" s="1045"/>
      <c r="AC975" s="1045"/>
      <c r="AD975" s="1139">
        <f t="shared" si="274"/>
        <v>0</v>
      </c>
      <c r="AE975" s="1139"/>
      <c r="AF975" s="1139"/>
      <c r="AG975" s="1139"/>
      <c r="AL975" s="986">
        <f t="shared" si="275"/>
        <v>0</v>
      </c>
      <c r="AM975" s="999">
        <f t="shared" si="276"/>
        <v>0</v>
      </c>
      <c r="AO975" s="987">
        <f>AD975-BS!$D$92-BS!$D$93</f>
        <v>0</v>
      </c>
    </row>
    <row r="976" spans="1:41" ht="21" customHeight="1" x14ac:dyDescent="0.2">
      <c r="A976" s="943"/>
      <c r="D976" s="1184" t="s">
        <v>468</v>
      </c>
      <c r="E976" s="1184"/>
      <c r="F976" s="1184"/>
      <c r="G976" s="1184"/>
      <c r="H976" s="1184"/>
      <c r="I976" s="1184"/>
      <c r="J976" s="1184"/>
      <c r="K976" s="1184"/>
      <c r="L976" s="1184"/>
      <c r="M976" s="1184"/>
      <c r="N976" s="1045"/>
      <c r="O976" s="1045"/>
      <c r="P976" s="1045"/>
      <c r="Q976" s="1045"/>
      <c r="R976" s="1045"/>
      <c r="S976" s="1045"/>
      <c r="T976" s="1045"/>
      <c r="U976" s="1045"/>
      <c r="V976" s="1045"/>
      <c r="W976" s="1045"/>
      <c r="X976" s="1045"/>
      <c r="Y976" s="1045"/>
      <c r="Z976" s="1045"/>
      <c r="AA976" s="1045"/>
      <c r="AB976" s="1045"/>
      <c r="AC976" s="1045"/>
      <c r="AD976" s="1139">
        <f t="shared" si="274"/>
        <v>0</v>
      </c>
      <c r="AE976" s="1139"/>
      <c r="AF976" s="1139"/>
      <c r="AG976" s="1139"/>
      <c r="AL976" s="986">
        <f t="shared" si="275"/>
        <v>0</v>
      </c>
      <c r="AM976" s="999">
        <f t="shared" si="276"/>
        <v>0</v>
      </c>
      <c r="AO976" s="987">
        <f>AD976-BS!$D$94</f>
        <v>0</v>
      </c>
    </row>
    <row r="977" spans="1:41" ht="14.25" customHeight="1" x14ac:dyDescent="0.2">
      <c r="A977" s="943"/>
      <c r="D977" s="1184" t="s">
        <v>399</v>
      </c>
      <c r="E977" s="1184"/>
      <c r="F977" s="1184"/>
      <c r="G977" s="1184"/>
      <c r="H977" s="1184"/>
      <c r="I977" s="1184"/>
      <c r="J977" s="1184"/>
      <c r="K977" s="1184"/>
      <c r="L977" s="1184"/>
      <c r="M977" s="1184"/>
      <c r="N977" s="1045">
        <v>332</v>
      </c>
      <c r="O977" s="1045"/>
      <c r="P977" s="1045"/>
      <c r="Q977" s="1045"/>
      <c r="R977" s="1045"/>
      <c r="S977" s="1045"/>
      <c r="T977" s="1045"/>
      <c r="U977" s="1045"/>
      <c r="V977" s="1045"/>
      <c r="W977" s="1045"/>
      <c r="X977" s="1045"/>
      <c r="Y977" s="1045"/>
      <c r="Z977" s="1045">
        <v>332</v>
      </c>
      <c r="AA977" s="1045"/>
      <c r="AB977" s="1045"/>
      <c r="AC977" s="1045"/>
      <c r="AD977" s="1139">
        <f t="shared" si="274"/>
        <v>664</v>
      </c>
      <c r="AE977" s="1139"/>
      <c r="AF977" s="1139"/>
      <c r="AG977" s="1139"/>
      <c r="AL977" s="986">
        <f t="shared" si="275"/>
        <v>0</v>
      </c>
      <c r="AM977" s="999">
        <f t="shared" si="276"/>
        <v>0</v>
      </c>
      <c r="AO977" s="987">
        <f>AD977-BS!$D$96</f>
        <v>0</v>
      </c>
    </row>
    <row r="978" spans="1:41" ht="14.25" customHeight="1" x14ac:dyDescent="0.2">
      <c r="A978" s="943"/>
      <c r="D978" s="1184" t="s">
        <v>400</v>
      </c>
      <c r="E978" s="1184"/>
      <c r="F978" s="1184"/>
      <c r="G978" s="1184"/>
      <c r="H978" s="1184"/>
      <c r="I978" s="1184"/>
      <c r="J978" s="1184"/>
      <c r="K978" s="1184"/>
      <c r="L978" s="1184"/>
      <c r="M978" s="1184"/>
      <c r="N978" s="1045"/>
      <c r="O978" s="1045"/>
      <c r="P978" s="1045"/>
      <c r="Q978" s="1045"/>
      <c r="R978" s="1045"/>
      <c r="S978" s="1045"/>
      <c r="T978" s="1045"/>
      <c r="U978" s="1045"/>
      <c r="V978" s="1045"/>
      <c r="W978" s="1045"/>
      <c r="X978" s="1045"/>
      <c r="Y978" s="1045"/>
      <c r="Z978" s="1045"/>
      <c r="AA978" s="1045"/>
      <c r="AB978" s="1045"/>
      <c r="AC978" s="1045"/>
      <c r="AD978" s="1139">
        <f t="shared" si="274"/>
        <v>0</v>
      </c>
      <c r="AE978" s="1139"/>
      <c r="AF978" s="1139"/>
      <c r="AG978" s="1139"/>
      <c r="AL978" s="986">
        <f t="shared" si="275"/>
        <v>0</v>
      </c>
      <c r="AM978" s="999">
        <f t="shared" si="276"/>
        <v>0</v>
      </c>
      <c r="AO978" s="987">
        <f>AD978-BS!$D$97</f>
        <v>0</v>
      </c>
    </row>
    <row r="979" spans="1:41" ht="14.25" customHeight="1" x14ac:dyDescent="0.2">
      <c r="A979" s="943"/>
      <c r="D979" s="1184" t="s">
        <v>401</v>
      </c>
      <c r="E979" s="1184"/>
      <c r="F979" s="1184"/>
      <c r="G979" s="1184"/>
      <c r="H979" s="1184"/>
      <c r="I979" s="1184"/>
      <c r="J979" s="1184"/>
      <c r="K979" s="1184"/>
      <c r="L979" s="1184"/>
      <c r="M979" s="1184"/>
      <c r="N979" s="1045"/>
      <c r="O979" s="1045"/>
      <c r="P979" s="1045"/>
      <c r="Q979" s="1045"/>
      <c r="R979" s="1045"/>
      <c r="S979" s="1045"/>
      <c r="T979" s="1045"/>
      <c r="U979" s="1045"/>
      <c r="V979" s="1045"/>
      <c r="W979" s="1045"/>
      <c r="X979" s="1045"/>
      <c r="Y979" s="1045"/>
      <c r="Z979" s="1045"/>
      <c r="AA979" s="1045"/>
      <c r="AB979" s="1045"/>
      <c r="AC979" s="1045"/>
      <c r="AD979" s="1139">
        <f t="shared" si="274"/>
        <v>0</v>
      </c>
      <c r="AE979" s="1139"/>
      <c r="AF979" s="1139"/>
      <c r="AG979" s="1139"/>
      <c r="AL979" s="986">
        <f t="shared" si="275"/>
        <v>0</v>
      </c>
      <c r="AM979" s="999">
        <f t="shared" si="276"/>
        <v>0</v>
      </c>
      <c r="AO979" s="987">
        <f>AD979-BS!$D$98</f>
        <v>0</v>
      </c>
    </row>
    <row r="980" spans="1:41" ht="14.25" customHeight="1" x14ac:dyDescent="0.2">
      <c r="A980" s="943"/>
      <c r="D980" s="1184" t="s">
        <v>402</v>
      </c>
      <c r="E980" s="1184"/>
      <c r="F980" s="1184"/>
      <c r="G980" s="1184"/>
      <c r="H980" s="1184"/>
      <c r="I980" s="1184"/>
      <c r="J980" s="1184"/>
      <c r="K980" s="1184"/>
      <c r="L980" s="1184"/>
      <c r="M980" s="1184"/>
      <c r="N980" s="1045">
        <v>678700</v>
      </c>
      <c r="O980" s="1045"/>
      <c r="P980" s="1045"/>
      <c r="Q980" s="1045"/>
      <c r="R980" s="1045"/>
      <c r="S980" s="1045"/>
      <c r="T980" s="1045"/>
      <c r="U980" s="1045"/>
      <c r="V980" s="1045"/>
      <c r="W980" s="1045"/>
      <c r="X980" s="1045"/>
      <c r="Y980" s="1045"/>
      <c r="Z980" s="1045">
        <v>-678700</v>
      </c>
      <c r="AA980" s="1045"/>
      <c r="AB980" s="1045"/>
      <c r="AC980" s="1045"/>
      <c r="AD980" s="1139">
        <v>0</v>
      </c>
      <c r="AE980" s="1139"/>
      <c r="AF980" s="1139"/>
      <c r="AG980" s="1139"/>
      <c r="AL980" s="986">
        <f t="shared" si="275"/>
        <v>0</v>
      </c>
      <c r="AM980" s="999">
        <f t="shared" si="276"/>
        <v>0</v>
      </c>
      <c r="AO980" s="987">
        <f>AD980-BS!$D$100</f>
        <v>0</v>
      </c>
    </row>
    <row r="981" spans="1:41" ht="14.25" customHeight="1" x14ac:dyDescent="0.2">
      <c r="A981" s="943"/>
      <c r="D981" s="1184" t="s">
        <v>469</v>
      </c>
      <c r="E981" s="1184"/>
      <c r="F981" s="1184"/>
      <c r="G981" s="1184"/>
      <c r="H981" s="1184"/>
      <c r="I981" s="1184"/>
      <c r="J981" s="1184"/>
      <c r="K981" s="1184"/>
      <c r="L981" s="1184"/>
      <c r="M981" s="1184"/>
      <c r="N981" s="1045"/>
      <c r="O981" s="1045"/>
      <c r="P981" s="1045"/>
      <c r="Q981" s="1045"/>
      <c r="R981" s="1045"/>
      <c r="S981" s="1045"/>
      <c r="T981" s="1045"/>
      <c r="U981" s="1045"/>
      <c r="V981" s="1045"/>
      <c r="W981" s="1045"/>
      <c r="X981" s="1045"/>
      <c r="Y981" s="1045"/>
      <c r="Z981" s="1045"/>
      <c r="AA981" s="1045"/>
      <c r="AB981" s="1045"/>
      <c r="AC981" s="1045"/>
      <c r="AD981" s="1139">
        <f t="shared" si="274"/>
        <v>0</v>
      </c>
      <c r="AE981" s="1139"/>
      <c r="AF981" s="1139"/>
      <c r="AG981" s="1139"/>
      <c r="AL981" s="986">
        <f t="shared" si="275"/>
        <v>0</v>
      </c>
      <c r="AM981" s="999">
        <f t="shared" si="276"/>
        <v>0</v>
      </c>
      <c r="AO981" s="987">
        <f>AD981-BS!$D$101</f>
        <v>0</v>
      </c>
    </row>
    <row r="982" spans="1:41" ht="21" customHeight="1" x14ac:dyDescent="0.2">
      <c r="A982" s="943"/>
      <c r="D982" s="1184" t="s">
        <v>470</v>
      </c>
      <c r="E982" s="1184"/>
      <c r="F982" s="1184"/>
      <c r="G982" s="1184"/>
      <c r="H982" s="1184"/>
      <c r="I982" s="1184"/>
      <c r="J982" s="1184"/>
      <c r="K982" s="1184"/>
      <c r="L982" s="1184"/>
      <c r="M982" s="1184"/>
      <c r="N982" s="1169">
        <v>631593</v>
      </c>
      <c r="O982" s="1169"/>
      <c r="P982" s="1169"/>
      <c r="Q982" s="1169"/>
      <c r="R982" s="1169">
        <v>602504</v>
      </c>
      <c r="S982" s="1169"/>
      <c r="T982" s="1169"/>
      <c r="U982" s="1169"/>
      <c r="V982" s="1169"/>
      <c r="W982" s="1169"/>
      <c r="X982" s="1169"/>
      <c r="Y982" s="1169"/>
      <c r="Z982" s="1169">
        <v>-631593</v>
      </c>
      <c r="AA982" s="1169"/>
      <c r="AB982" s="1169"/>
      <c r="AC982" s="1169"/>
      <c r="AD982" s="1139">
        <v>602504</v>
      </c>
      <c r="AE982" s="1139"/>
      <c r="AF982" s="1139"/>
      <c r="AG982" s="1139"/>
      <c r="AL982" s="986">
        <f t="shared" si="275"/>
        <v>0</v>
      </c>
      <c r="AM982" s="999">
        <f t="shared" si="276"/>
        <v>0</v>
      </c>
      <c r="AO982" s="987">
        <f>AD982-BS!$D$102</f>
        <v>0</v>
      </c>
    </row>
    <row r="983" spans="1:41" ht="14.25" customHeight="1" x14ac:dyDescent="0.2">
      <c r="A983" s="943"/>
      <c r="D983" s="1184" t="s">
        <v>403</v>
      </c>
      <c r="E983" s="1184"/>
      <c r="F983" s="1184"/>
      <c r="G983" s="1184"/>
      <c r="H983" s="1184"/>
      <c r="I983" s="1184"/>
      <c r="J983" s="1184"/>
      <c r="K983" s="1184"/>
      <c r="L983" s="1184"/>
      <c r="M983" s="1184"/>
      <c r="N983" s="1045"/>
      <c r="O983" s="1045"/>
      <c r="P983" s="1045"/>
      <c r="Q983" s="1045"/>
      <c r="R983" s="1045"/>
      <c r="S983" s="1045"/>
      <c r="T983" s="1045"/>
      <c r="U983" s="1045"/>
      <c r="V983" s="1045">
        <v>-1309962</v>
      </c>
      <c r="W983" s="1045"/>
      <c r="X983" s="1045"/>
      <c r="Y983" s="1045"/>
      <c r="Z983" s="1045">
        <v>1309962</v>
      </c>
      <c r="AA983" s="1045"/>
      <c r="AB983" s="1045"/>
      <c r="AC983" s="1045"/>
      <c r="AD983" s="1139">
        <f t="shared" si="274"/>
        <v>0</v>
      </c>
      <c r="AE983" s="1139"/>
      <c r="AF983" s="1139"/>
      <c r="AG983" s="1139"/>
      <c r="AL983" s="986">
        <f t="shared" si="275"/>
        <v>0</v>
      </c>
      <c r="AM983" s="999">
        <f>SUM(N983:AC983)-AD983</f>
        <v>0</v>
      </c>
      <c r="AO983" s="1014"/>
    </row>
    <row r="984" spans="1:41" ht="14.25" customHeight="1" x14ac:dyDescent="0.2">
      <c r="A984" s="943"/>
      <c r="D984" s="1184" t="s">
        <v>404</v>
      </c>
      <c r="E984" s="1184"/>
      <c r="F984" s="1184"/>
      <c r="G984" s="1184"/>
      <c r="H984" s="1184"/>
      <c r="I984" s="1184"/>
      <c r="J984" s="1184"/>
      <c r="K984" s="1184"/>
      <c r="L984" s="1184"/>
      <c r="M984" s="1184"/>
      <c r="N984" s="1045"/>
      <c r="O984" s="1045"/>
      <c r="P984" s="1045"/>
      <c r="Q984" s="1045"/>
      <c r="R984" s="1045"/>
      <c r="S984" s="1045"/>
      <c r="T984" s="1045"/>
      <c r="U984" s="1045"/>
      <c r="V984" s="1045"/>
      <c r="W984" s="1045"/>
      <c r="X984" s="1045"/>
      <c r="Y984" s="1045"/>
      <c r="Z984" s="1045"/>
      <c r="AA984" s="1045"/>
      <c r="AB984" s="1045"/>
      <c r="AC984" s="1045"/>
      <c r="AD984" s="1139">
        <f t="shared" si="274"/>
        <v>0</v>
      </c>
      <c r="AE984" s="1139"/>
      <c r="AF984" s="1139"/>
      <c r="AG984" s="1139"/>
      <c r="AL984" s="986">
        <f t="shared" si="275"/>
        <v>0</v>
      </c>
      <c r="AM984" s="999">
        <f t="shared" si="276"/>
        <v>0</v>
      </c>
      <c r="AO984" s="1014"/>
    </row>
    <row r="985" spans="1:41" ht="21.75" customHeight="1" thickBot="1" x14ac:dyDescent="0.25">
      <c r="A985" s="943"/>
      <c r="D985" s="1253" t="s">
        <v>471</v>
      </c>
      <c r="E985" s="1253"/>
      <c r="F985" s="1253"/>
      <c r="G985" s="1253"/>
      <c r="H985" s="1253"/>
      <c r="I985" s="1253"/>
      <c r="J985" s="1253"/>
      <c r="K985" s="1253"/>
      <c r="L985" s="1253"/>
      <c r="M985" s="1253"/>
      <c r="N985" s="1235"/>
      <c r="O985" s="1235"/>
      <c r="P985" s="1235"/>
      <c r="Q985" s="1235"/>
      <c r="R985" s="1235"/>
      <c r="S985" s="1235"/>
      <c r="T985" s="1235"/>
      <c r="U985" s="1235"/>
      <c r="V985" s="1235"/>
      <c r="W985" s="1235"/>
      <c r="X985" s="1235"/>
      <c r="Y985" s="1235"/>
      <c r="Z985" s="1235"/>
      <c r="AA985" s="1235"/>
      <c r="AB985" s="1235"/>
      <c r="AC985" s="1235"/>
      <c r="AD985" s="1254">
        <f t="shared" si="274"/>
        <v>0</v>
      </c>
      <c r="AE985" s="1254"/>
      <c r="AF985" s="1254"/>
      <c r="AG985" s="1254"/>
      <c r="AL985" s="989">
        <f>N985-AD1007</f>
        <v>0</v>
      </c>
      <c r="AM985" s="1001">
        <f t="shared" si="276"/>
        <v>0</v>
      </c>
      <c r="AO985" s="1015"/>
    </row>
    <row r="987" spans="1:41" ht="14.25" customHeight="1" thickBot="1" x14ac:dyDescent="0.25">
      <c r="A987" s="943"/>
    </row>
    <row r="988" spans="1:41" ht="14.25" customHeight="1" thickBot="1" x14ac:dyDescent="0.25">
      <c r="A988" s="943"/>
      <c r="D988" s="1138" t="s">
        <v>465</v>
      </c>
      <c r="E988" s="1138"/>
      <c r="F988" s="1138"/>
      <c r="G988" s="1138"/>
      <c r="H988" s="1138"/>
      <c r="I988" s="1138"/>
      <c r="J988" s="1138"/>
      <c r="K988" s="1138"/>
      <c r="L988" s="1138"/>
      <c r="M988" s="1138"/>
      <c r="N988" s="1138" t="s">
        <v>3</v>
      </c>
      <c r="O988" s="1138"/>
      <c r="P988" s="1138"/>
      <c r="Q988" s="1138"/>
      <c r="R988" s="1138"/>
      <c r="S988" s="1138"/>
      <c r="T988" s="1138"/>
      <c r="U988" s="1138"/>
      <c r="V988" s="1138"/>
      <c r="W988" s="1138"/>
      <c r="X988" s="1138"/>
      <c r="Y988" s="1138"/>
      <c r="Z988" s="1138"/>
      <c r="AA988" s="1138"/>
      <c r="AB988" s="1138"/>
      <c r="AC988" s="1138"/>
      <c r="AD988" s="1138"/>
      <c r="AE988" s="1138"/>
      <c r="AF988" s="1138"/>
      <c r="AG988" s="1138"/>
    </row>
    <row r="989" spans="1:41" ht="48" customHeight="1" thickTop="1" thickBot="1" x14ac:dyDescent="0.25">
      <c r="A989" s="943"/>
      <c r="D989" s="1138"/>
      <c r="E989" s="1138"/>
      <c r="F989" s="1138"/>
      <c r="G989" s="1138"/>
      <c r="H989" s="1138"/>
      <c r="I989" s="1138"/>
      <c r="J989" s="1138"/>
      <c r="K989" s="1138"/>
      <c r="L989" s="1138"/>
      <c r="M989" s="1138"/>
      <c r="N989" s="1120" t="s">
        <v>472</v>
      </c>
      <c r="O989" s="1120"/>
      <c r="P989" s="1120"/>
      <c r="Q989" s="1120"/>
      <c r="R989" s="1120" t="s">
        <v>27</v>
      </c>
      <c r="S989" s="1120"/>
      <c r="T989" s="1120"/>
      <c r="U989" s="1120"/>
      <c r="V989" s="1120" t="s">
        <v>28</v>
      </c>
      <c r="W989" s="1120"/>
      <c r="X989" s="1120"/>
      <c r="Y989" s="1120"/>
      <c r="Z989" s="1120" t="s">
        <v>29</v>
      </c>
      <c r="AA989" s="1120"/>
      <c r="AB989" s="1120"/>
      <c r="AC989" s="1120"/>
      <c r="AD989" s="1120" t="s">
        <v>392</v>
      </c>
      <c r="AE989" s="1120"/>
      <c r="AF989" s="1120"/>
      <c r="AG989" s="1120"/>
      <c r="AM989" s="934" t="s">
        <v>392</v>
      </c>
      <c r="AO989" s="934" t="s">
        <v>392</v>
      </c>
    </row>
    <row r="990" spans="1:41" ht="14.25" customHeight="1" x14ac:dyDescent="0.2">
      <c r="A990" s="943"/>
      <c r="D990" s="1255" t="s">
        <v>393</v>
      </c>
      <c r="E990" s="1255"/>
      <c r="F990" s="1255"/>
      <c r="G990" s="1255"/>
      <c r="H990" s="1255"/>
      <c r="I990" s="1255"/>
      <c r="J990" s="1255"/>
      <c r="K990" s="1255"/>
      <c r="L990" s="1255"/>
      <c r="M990" s="1255"/>
      <c r="N990" s="1256">
        <v>6639</v>
      </c>
      <c r="O990" s="1256"/>
      <c r="P990" s="1256"/>
      <c r="Q990" s="1256"/>
      <c r="R990" s="1256"/>
      <c r="S990" s="1256"/>
      <c r="T990" s="1256"/>
      <c r="U990" s="1256"/>
      <c r="V990" s="1256"/>
      <c r="W990" s="1256"/>
      <c r="X990" s="1256"/>
      <c r="Y990" s="1256"/>
      <c r="Z990" s="1256"/>
      <c r="AA990" s="1256"/>
      <c r="AB990" s="1256"/>
      <c r="AC990" s="1256"/>
      <c r="AD990" s="1159">
        <f>SUM(N990:AC990)</f>
        <v>6639</v>
      </c>
      <c r="AE990" s="1159"/>
      <c r="AF990" s="1159"/>
      <c r="AG990" s="1159"/>
      <c r="AM990" s="983">
        <f>SUM(N990:AC990)-AD990</f>
        <v>0</v>
      </c>
      <c r="AO990" s="984">
        <f>AD990-BS!$E$84</f>
        <v>0</v>
      </c>
    </row>
    <row r="991" spans="1:41" ht="14.25" customHeight="1" x14ac:dyDescent="0.2">
      <c r="A991" s="943"/>
      <c r="D991" s="1184" t="s">
        <v>394</v>
      </c>
      <c r="E991" s="1184"/>
      <c r="F991" s="1184"/>
      <c r="G991" s="1184"/>
      <c r="H991" s="1184"/>
      <c r="I991" s="1184"/>
      <c r="J991" s="1184"/>
      <c r="K991" s="1184"/>
      <c r="L991" s="1184"/>
      <c r="M991" s="1184"/>
      <c r="N991" s="1045"/>
      <c r="O991" s="1045"/>
      <c r="P991" s="1045"/>
      <c r="Q991" s="1045"/>
      <c r="R991" s="1045"/>
      <c r="S991" s="1045"/>
      <c r="T991" s="1045"/>
      <c r="U991" s="1045"/>
      <c r="V991" s="1045"/>
      <c r="W991" s="1045"/>
      <c r="X991" s="1045"/>
      <c r="Y991" s="1045"/>
      <c r="Z991" s="1045"/>
      <c r="AA991" s="1045"/>
      <c r="AB991" s="1045"/>
      <c r="AC991" s="1045"/>
      <c r="AD991" s="1139">
        <f>SUM(N991:AC991)</f>
        <v>0</v>
      </c>
      <c r="AE991" s="1139"/>
      <c r="AF991" s="1139"/>
      <c r="AG991" s="1139"/>
      <c r="AM991" s="986">
        <f t="shared" ref="AM991:AM1004" si="277">SUM(N991:AC991)-AD991</f>
        <v>0</v>
      </c>
      <c r="AO991" s="987">
        <f>AD991-BS!$E$85</f>
        <v>0</v>
      </c>
    </row>
    <row r="992" spans="1:41" ht="14.25" customHeight="1" x14ac:dyDescent="0.2">
      <c r="A992" s="943"/>
      <c r="D992" s="1184" t="s">
        <v>466</v>
      </c>
      <c r="E992" s="1184"/>
      <c r="F992" s="1184"/>
      <c r="G992" s="1184"/>
      <c r="H992" s="1184"/>
      <c r="I992" s="1184"/>
      <c r="J992" s="1184"/>
      <c r="K992" s="1184"/>
      <c r="L992" s="1184"/>
      <c r="M992" s="1184"/>
      <c r="N992" s="1045"/>
      <c r="O992" s="1045"/>
      <c r="P992" s="1045"/>
      <c r="Q992" s="1045"/>
      <c r="R992" s="1045"/>
      <c r="S992" s="1045"/>
      <c r="T992" s="1045"/>
      <c r="U992" s="1045"/>
      <c r="V992" s="1045"/>
      <c r="W992" s="1045"/>
      <c r="X992" s="1045"/>
      <c r="Y992" s="1045"/>
      <c r="Z992" s="1045"/>
      <c r="AA992" s="1045"/>
      <c r="AB992" s="1045"/>
      <c r="AC992" s="1045"/>
      <c r="AD992" s="1139">
        <f t="shared" ref="AD992:AD1007" si="278">SUM(N992:AC992)</f>
        <v>0</v>
      </c>
      <c r="AE992" s="1139"/>
      <c r="AF992" s="1139"/>
      <c r="AG992" s="1139"/>
      <c r="AM992" s="986">
        <f t="shared" si="277"/>
        <v>0</v>
      </c>
      <c r="AO992" s="987">
        <f>AD992-BS!$E$86</f>
        <v>0</v>
      </c>
    </row>
    <row r="993" spans="1:41" ht="14.25" customHeight="1" x14ac:dyDescent="0.2">
      <c r="A993" s="943"/>
      <c r="D993" s="1184" t="s">
        <v>467</v>
      </c>
      <c r="E993" s="1184"/>
      <c r="F993" s="1184"/>
      <c r="G993" s="1184"/>
      <c r="H993" s="1184"/>
      <c r="I993" s="1184"/>
      <c r="J993" s="1184"/>
      <c r="K993" s="1184"/>
      <c r="L993" s="1184"/>
      <c r="M993" s="1184"/>
      <c r="N993" s="1045"/>
      <c r="O993" s="1045"/>
      <c r="P993" s="1045"/>
      <c r="Q993" s="1045"/>
      <c r="R993" s="1045"/>
      <c r="S993" s="1045"/>
      <c r="T993" s="1045"/>
      <c r="U993" s="1045"/>
      <c r="V993" s="1045"/>
      <c r="W993" s="1045"/>
      <c r="X993" s="1045"/>
      <c r="Y993" s="1045"/>
      <c r="Z993" s="1045"/>
      <c r="AA993" s="1045"/>
      <c r="AB993" s="1045"/>
      <c r="AC993" s="1045"/>
      <c r="AD993" s="1139">
        <f t="shared" si="278"/>
        <v>0</v>
      </c>
      <c r="AE993" s="1139"/>
      <c r="AF993" s="1139"/>
      <c r="AG993" s="1139"/>
      <c r="AM993" s="986">
        <f t="shared" si="277"/>
        <v>0</v>
      </c>
      <c r="AO993" s="987">
        <f>AD993-BS!$E$87</f>
        <v>0</v>
      </c>
    </row>
    <row r="994" spans="1:41" ht="14.25" customHeight="1" x14ac:dyDescent="0.2">
      <c r="A994" s="943"/>
      <c r="D994" s="1184" t="s">
        <v>395</v>
      </c>
      <c r="E994" s="1184"/>
      <c r="F994" s="1184"/>
      <c r="G994" s="1184"/>
      <c r="H994" s="1184"/>
      <c r="I994" s="1184"/>
      <c r="J994" s="1184"/>
      <c r="K994" s="1184"/>
      <c r="L994" s="1184"/>
      <c r="M994" s="1184"/>
      <c r="N994" s="1045"/>
      <c r="O994" s="1045"/>
      <c r="P994" s="1045"/>
      <c r="Q994" s="1045"/>
      <c r="R994" s="1045"/>
      <c r="S994" s="1045"/>
      <c r="T994" s="1045"/>
      <c r="U994" s="1045"/>
      <c r="V994" s="1045"/>
      <c r="W994" s="1045"/>
      <c r="X994" s="1045"/>
      <c r="Y994" s="1045"/>
      <c r="Z994" s="1045"/>
      <c r="AA994" s="1045"/>
      <c r="AB994" s="1045"/>
      <c r="AC994" s="1045"/>
      <c r="AD994" s="1139">
        <f t="shared" si="278"/>
        <v>0</v>
      </c>
      <c r="AE994" s="1139"/>
      <c r="AF994" s="1139"/>
      <c r="AG994" s="1139"/>
      <c r="AM994" s="986">
        <f t="shared" si="277"/>
        <v>0</v>
      </c>
      <c r="AO994" s="987">
        <f>AD994-BS!$E$89</f>
        <v>0</v>
      </c>
    </row>
    <row r="995" spans="1:41" ht="14.25" customHeight="1" x14ac:dyDescent="0.2">
      <c r="A995" s="943"/>
      <c r="D995" s="1184" t="s">
        <v>396</v>
      </c>
      <c r="E995" s="1184"/>
      <c r="F995" s="1184"/>
      <c r="G995" s="1184"/>
      <c r="H995" s="1184"/>
      <c r="I995" s="1184"/>
      <c r="J995" s="1184"/>
      <c r="K995" s="1184"/>
      <c r="L995" s="1184"/>
      <c r="M995" s="1184"/>
      <c r="N995" s="1045"/>
      <c r="O995" s="1045"/>
      <c r="P995" s="1045"/>
      <c r="Q995" s="1045"/>
      <c r="R995" s="1045"/>
      <c r="S995" s="1045"/>
      <c r="T995" s="1045"/>
      <c r="U995" s="1045"/>
      <c r="V995" s="1045"/>
      <c r="W995" s="1045"/>
      <c r="X995" s="1045"/>
      <c r="Y995" s="1045"/>
      <c r="Z995" s="1045"/>
      <c r="AA995" s="1045"/>
      <c r="AB995" s="1045"/>
      <c r="AC995" s="1045"/>
      <c r="AD995" s="1139">
        <f t="shared" si="278"/>
        <v>0</v>
      </c>
      <c r="AE995" s="1139"/>
      <c r="AF995" s="1139"/>
      <c r="AG995" s="1139"/>
      <c r="AM995" s="986">
        <f t="shared" si="277"/>
        <v>0</v>
      </c>
      <c r="AO995" s="987">
        <f>AD995-BS!$E$90</f>
        <v>0</v>
      </c>
    </row>
    <row r="996" spans="1:41" ht="21.75" customHeight="1" x14ac:dyDescent="0.2">
      <c r="A996" s="943"/>
      <c r="D996" s="1184" t="s">
        <v>397</v>
      </c>
      <c r="E996" s="1184"/>
      <c r="F996" s="1184"/>
      <c r="G996" s="1184"/>
      <c r="H996" s="1184"/>
      <c r="I996" s="1184"/>
      <c r="J996" s="1184"/>
      <c r="K996" s="1184"/>
      <c r="L996" s="1184"/>
      <c r="M996" s="1184"/>
      <c r="N996" s="1045"/>
      <c r="O996" s="1045"/>
      <c r="P996" s="1045"/>
      <c r="Q996" s="1045"/>
      <c r="R996" s="1045"/>
      <c r="S996" s="1045"/>
      <c r="T996" s="1045"/>
      <c r="U996" s="1045"/>
      <c r="V996" s="1045"/>
      <c r="W996" s="1045"/>
      <c r="X996" s="1045"/>
      <c r="Y996" s="1045"/>
      <c r="Z996" s="1045"/>
      <c r="AA996" s="1045"/>
      <c r="AB996" s="1045"/>
      <c r="AC996" s="1045"/>
      <c r="AD996" s="1139">
        <f t="shared" si="278"/>
        <v>0</v>
      </c>
      <c r="AE996" s="1139"/>
      <c r="AF996" s="1139"/>
      <c r="AG996" s="1139"/>
      <c r="AM996" s="986">
        <f t="shared" si="277"/>
        <v>0</v>
      </c>
      <c r="AO996" s="987">
        <f>AD996-BS!$E$91</f>
        <v>0</v>
      </c>
    </row>
    <row r="997" spans="1:41" ht="14.25" customHeight="1" x14ac:dyDescent="0.2">
      <c r="A997" s="943"/>
      <c r="D997" s="1184" t="s">
        <v>398</v>
      </c>
      <c r="E997" s="1184"/>
      <c r="F997" s="1184"/>
      <c r="G997" s="1184"/>
      <c r="H997" s="1184"/>
      <c r="I997" s="1184"/>
      <c r="J997" s="1184"/>
      <c r="K997" s="1184"/>
      <c r="L997" s="1184"/>
      <c r="M997" s="1184"/>
      <c r="N997" s="1045"/>
      <c r="O997" s="1045"/>
      <c r="P997" s="1045"/>
      <c r="Q997" s="1045"/>
      <c r="R997" s="1045"/>
      <c r="S997" s="1045"/>
      <c r="T997" s="1045"/>
      <c r="U997" s="1045"/>
      <c r="V997" s="1045"/>
      <c r="W997" s="1045"/>
      <c r="X997" s="1045"/>
      <c r="Y997" s="1045"/>
      <c r="Z997" s="1045"/>
      <c r="AA997" s="1045"/>
      <c r="AB997" s="1045"/>
      <c r="AC997" s="1045"/>
      <c r="AD997" s="1139">
        <f t="shared" si="278"/>
        <v>0</v>
      </c>
      <c r="AE997" s="1139"/>
      <c r="AF997" s="1139"/>
      <c r="AG997" s="1139"/>
      <c r="AM997" s="986">
        <f t="shared" si="277"/>
        <v>0</v>
      </c>
      <c r="AO997" s="987">
        <f>AD997-BS!$E$92-BS!$E$93</f>
        <v>0</v>
      </c>
    </row>
    <row r="998" spans="1:41" ht="23.25" customHeight="1" x14ac:dyDescent="0.2">
      <c r="A998" s="943"/>
      <c r="D998" s="1184" t="s">
        <v>468</v>
      </c>
      <c r="E998" s="1184"/>
      <c r="F998" s="1184"/>
      <c r="G998" s="1184"/>
      <c r="H998" s="1184"/>
      <c r="I998" s="1184"/>
      <c r="J998" s="1184"/>
      <c r="K998" s="1184"/>
      <c r="L998" s="1184"/>
      <c r="M998" s="1184"/>
      <c r="N998" s="1045"/>
      <c r="O998" s="1045"/>
      <c r="P998" s="1045"/>
      <c r="Q998" s="1045"/>
      <c r="R998" s="1045"/>
      <c r="S998" s="1045"/>
      <c r="T998" s="1045"/>
      <c r="U998" s="1045"/>
      <c r="V998" s="1045"/>
      <c r="W998" s="1045"/>
      <c r="X998" s="1045"/>
      <c r="Y998" s="1045"/>
      <c r="Z998" s="1045"/>
      <c r="AA998" s="1045"/>
      <c r="AB998" s="1045"/>
      <c r="AC998" s="1045"/>
      <c r="AD998" s="1139">
        <f t="shared" si="278"/>
        <v>0</v>
      </c>
      <c r="AE998" s="1139"/>
      <c r="AF998" s="1139"/>
      <c r="AG998" s="1139"/>
      <c r="AM998" s="986">
        <f t="shared" si="277"/>
        <v>0</v>
      </c>
      <c r="AO998" s="987">
        <f>AD998-BS!$E$94</f>
        <v>0</v>
      </c>
    </row>
    <row r="999" spans="1:41" ht="14.25" customHeight="1" x14ac:dyDescent="0.2">
      <c r="A999" s="943"/>
      <c r="D999" s="1184" t="s">
        <v>399</v>
      </c>
      <c r="E999" s="1184"/>
      <c r="F999" s="1184"/>
      <c r="G999" s="1184"/>
      <c r="H999" s="1184"/>
      <c r="I999" s="1184"/>
      <c r="J999" s="1184"/>
      <c r="K999" s="1184"/>
      <c r="L999" s="1184"/>
      <c r="M999" s="1184"/>
      <c r="N999" s="1045">
        <v>332</v>
      </c>
      <c r="O999" s="1045"/>
      <c r="P999" s="1045"/>
      <c r="Q999" s="1045"/>
      <c r="R999" s="1045"/>
      <c r="S999" s="1045"/>
      <c r="T999" s="1045"/>
      <c r="U999" s="1045"/>
      <c r="V999" s="1045"/>
      <c r="W999" s="1045"/>
      <c r="X999" s="1045"/>
      <c r="Y999" s="1045"/>
      <c r="Z999" s="1045"/>
      <c r="AA999" s="1045"/>
      <c r="AB999" s="1045"/>
      <c r="AC999" s="1045"/>
      <c r="AD999" s="1139">
        <f t="shared" si="278"/>
        <v>332</v>
      </c>
      <c r="AE999" s="1139"/>
      <c r="AF999" s="1139"/>
      <c r="AG999" s="1139"/>
      <c r="AM999" s="986">
        <f t="shared" si="277"/>
        <v>0</v>
      </c>
      <c r="AO999" s="987">
        <f>AD999-BS!$E$96</f>
        <v>0</v>
      </c>
    </row>
    <row r="1000" spans="1:41" ht="14.25" customHeight="1" x14ac:dyDescent="0.2">
      <c r="A1000" s="943"/>
      <c r="D1000" s="1184" t="s">
        <v>400</v>
      </c>
      <c r="E1000" s="1184"/>
      <c r="F1000" s="1184"/>
      <c r="G1000" s="1184"/>
      <c r="H1000" s="1184"/>
      <c r="I1000" s="1184"/>
      <c r="J1000" s="1184"/>
      <c r="K1000" s="1184"/>
      <c r="L1000" s="1184"/>
      <c r="M1000" s="1184"/>
      <c r="N1000" s="1045"/>
      <c r="O1000" s="1045"/>
      <c r="P1000" s="1045"/>
      <c r="Q1000" s="1045"/>
      <c r="R1000" s="1045"/>
      <c r="S1000" s="1045"/>
      <c r="T1000" s="1045"/>
      <c r="U1000" s="1045"/>
      <c r="V1000" s="1045"/>
      <c r="W1000" s="1045"/>
      <c r="X1000" s="1045"/>
      <c r="Y1000" s="1045"/>
      <c r="Z1000" s="1045"/>
      <c r="AA1000" s="1045"/>
      <c r="AB1000" s="1045"/>
      <c r="AC1000" s="1045"/>
      <c r="AD1000" s="1139">
        <f t="shared" si="278"/>
        <v>0</v>
      </c>
      <c r="AE1000" s="1139"/>
      <c r="AF1000" s="1139"/>
      <c r="AG1000" s="1139"/>
      <c r="AM1000" s="986">
        <f t="shared" si="277"/>
        <v>0</v>
      </c>
      <c r="AO1000" s="987">
        <f>AD1000-BS!$E$97</f>
        <v>0</v>
      </c>
    </row>
    <row r="1001" spans="1:41" ht="14.25" customHeight="1" x14ac:dyDescent="0.2">
      <c r="A1001" s="943"/>
      <c r="D1001" s="1184" t="s">
        <v>401</v>
      </c>
      <c r="E1001" s="1184"/>
      <c r="F1001" s="1184"/>
      <c r="G1001" s="1184"/>
      <c r="H1001" s="1184"/>
      <c r="I1001" s="1184"/>
      <c r="J1001" s="1184"/>
      <c r="K1001" s="1184"/>
      <c r="L1001" s="1184"/>
      <c r="M1001" s="1184"/>
      <c r="N1001" s="1045"/>
      <c r="O1001" s="1045"/>
      <c r="P1001" s="1045"/>
      <c r="Q1001" s="1045"/>
      <c r="R1001" s="1045"/>
      <c r="S1001" s="1045"/>
      <c r="T1001" s="1045"/>
      <c r="U1001" s="1045"/>
      <c r="V1001" s="1045"/>
      <c r="W1001" s="1045"/>
      <c r="X1001" s="1045"/>
      <c r="Y1001" s="1045"/>
      <c r="Z1001" s="1045"/>
      <c r="AA1001" s="1045"/>
      <c r="AB1001" s="1045"/>
      <c r="AC1001" s="1045"/>
      <c r="AD1001" s="1139">
        <f t="shared" si="278"/>
        <v>0</v>
      </c>
      <c r="AE1001" s="1139"/>
      <c r="AF1001" s="1139"/>
      <c r="AG1001" s="1139"/>
      <c r="AM1001" s="986">
        <f t="shared" si="277"/>
        <v>0</v>
      </c>
      <c r="AO1001" s="987">
        <f>AD1001-BS!$E$98</f>
        <v>0</v>
      </c>
    </row>
    <row r="1002" spans="1:41" ht="14.25" customHeight="1" x14ac:dyDescent="0.2">
      <c r="A1002" s="943"/>
      <c r="D1002" s="1184" t="s">
        <v>402</v>
      </c>
      <c r="E1002" s="1184"/>
      <c r="F1002" s="1184"/>
      <c r="G1002" s="1184"/>
      <c r="H1002" s="1184"/>
      <c r="I1002" s="1184"/>
      <c r="J1002" s="1184"/>
      <c r="K1002" s="1184"/>
      <c r="L1002" s="1184"/>
      <c r="M1002" s="1184"/>
      <c r="N1002" s="1045">
        <v>0</v>
      </c>
      <c r="O1002" s="1045"/>
      <c r="P1002" s="1045"/>
      <c r="Q1002" s="1045"/>
      <c r="R1002" s="1045"/>
      <c r="S1002" s="1045"/>
      <c r="T1002" s="1045"/>
      <c r="U1002" s="1045"/>
      <c r="V1002" s="1045"/>
      <c r="W1002" s="1045"/>
      <c r="X1002" s="1045"/>
      <c r="Y1002" s="1045"/>
      <c r="Z1002" s="1045">
        <v>678700</v>
      </c>
      <c r="AA1002" s="1045"/>
      <c r="AB1002" s="1045"/>
      <c r="AC1002" s="1045"/>
      <c r="AD1002" s="1139">
        <f t="shared" si="278"/>
        <v>678700</v>
      </c>
      <c r="AE1002" s="1139"/>
      <c r="AF1002" s="1139"/>
      <c r="AG1002" s="1139"/>
      <c r="AM1002" s="986">
        <f t="shared" si="277"/>
        <v>0</v>
      </c>
      <c r="AO1002" s="987">
        <f>AD1002-BS!$E$100</f>
        <v>0</v>
      </c>
    </row>
    <row r="1003" spans="1:41" ht="14.25" customHeight="1" x14ac:dyDescent="0.2">
      <c r="A1003" s="943"/>
      <c r="D1003" s="1184" t="s">
        <v>469</v>
      </c>
      <c r="E1003" s="1184"/>
      <c r="F1003" s="1184"/>
      <c r="G1003" s="1184"/>
      <c r="H1003" s="1184"/>
      <c r="I1003" s="1184"/>
      <c r="J1003" s="1184"/>
      <c r="K1003" s="1184"/>
      <c r="L1003" s="1184"/>
      <c r="M1003" s="1184"/>
      <c r="N1003" s="1045"/>
      <c r="O1003" s="1045"/>
      <c r="P1003" s="1045"/>
      <c r="Q1003" s="1045"/>
      <c r="R1003" s="1045"/>
      <c r="S1003" s="1045"/>
      <c r="T1003" s="1045"/>
      <c r="U1003" s="1045"/>
      <c r="V1003" s="1045"/>
      <c r="W1003" s="1045"/>
      <c r="X1003" s="1045"/>
      <c r="Y1003" s="1045"/>
      <c r="Z1003" s="1045"/>
      <c r="AA1003" s="1045"/>
      <c r="AB1003" s="1045"/>
      <c r="AC1003" s="1045"/>
      <c r="AD1003" s="1139">
        <f t="shared" si="278"/>
        <v>0</v>
      </c>
      <c r="AE1003" s="1139"/>
      <c r="AF1003" s="1139"/>
      <c r="AG1003" s="1139"/>
      <c r="AM1003" s="986">
        <f t="shared" si="277"/>
        <v>0</v>
      </c>
      <c r="AO1003" s="987">
        <f>AD1003-BS!$E$101</f>
        <v>0</v>
      </c>
    </row>
    <row r="1004" spans="1:41" ht="21" customHeight="1" x14ac:dyDescent="0.2">
      <c r="A1004" s="943"/>
      <c r="D1004" s="1184" t="s">
        <v>470</v>
      </c>
      <c r="E1004" s="1184"/>
      <c r="F1004" s="1184"/>
      <c r="G1004" s="1184"/>
      <c r="H1004" s="1184"/>
      <c r="I1004" s="1184"/>
      <c r="J1004" s="1184"/>
      <c r="K1004" s="1184"/>
      <c r="L1004" s="1184"/>
      <c r="M1004" s="1184"/>
      <c r="N1004" s="1169">
        <v>678700</v>
      </c>
      <c r="O1004" s="1169"/>
      <c r="P1004" s="1169"/>
      <c r="Q1004" s="1169"/>
      <c r="R1004" s="1169">
        <v>631593</v>
      </c>
      <c r="S1004" s="1169"/>
      <c r="T1004" s="1169"/>
      <c r="U1004" s="1169"/>
      <c r="V1004" s="1169"/>
      <c r="W1004" s="1169"/>
      <c r="X1004" s="1169"/>
      <c r="Y1004" s="1169"/>
      <c r="Z1004" s="1169">
        <v>-678700</v>
      </c>
      <c r="AA1004" s="1169"/>
      <c r="AB1004" s="1169"/>
      <c r="AC1004" s="1169"/>
      <c r="AD1004" s="1139">
        <v>631593</v>
      </c>
      <c r="AE1004" s="1139"/>
      <c r="AF1004" s="1139"/>
      <c r="AG1004" s="1139"/>
      <c r="AM1004" s="986">
        <f t="shared" si="277"/>
        <v>0</v>
      </c>
      <c r="AO1004" s="987">
        <f>AD1004-BS!$E$102</f>
        <v>0</v>
      </c>
    </row>
    <row r="1005" spans="1:41" ht="14.25" customHeight="1" x14ac:dyDescent="0.2">
      <c r="A1005" s="943"/>
      <c r="D1005" s="1184" t="s">
        <v>403</v>
      </c>
      <c r="E1005" s="1184"/>
      <c r="F1005" s="1184"/>
      <c r="G1005" s="1184"/>
      <c r="H1005" s="1184"/>
      <c r="I1005" s="1184"/>
      <c r="J1005" s="1184"/>
      <c r="K1005" s="1184"/>
      <c r="L1005" s="1184"/>
      <c r="M1005" s="1184"/>
      <c r="N1005" s="1045"/>
      <c r="O1005" s="1045"/>
      <c r="P1005" s="1045"/>
      <c r="Q1005" s="1045"/>
      <c r="R1005" s="1045"/>
      <c r="S1005" s="1045"/>
      <c r="T1005" s="1045"/>
      <c r="U1005" s="1045"/>
      <c r="V1005" s="1045"/>
      <c r="W1005" s="1045"/>
      <c r="X1005" s="1045"/>
      <c r="Y1005" s="1045"/>
      <c r="Z1005" s="1045"/>
      <c r="AA1005" s="1045"/>
      <c r="AB1005" s="1045"/>
      <c r="AC1005" s="1045"/>
      <c r="AD1005" s="1139">
        <f t="shared" si="278"/>
        <v>0</v>
      </c>
      <c r="AE1005" s="1139"/>
      <c r="AF1005" s="1139"/>
      <c r="AG1005" s="1139"/>
      <c r="AM1005" s="986">
        <f>SUM(N1005:AC1005)-AD1005</f>
        <v>0</v>
      </c>
      <c r="AO1005" s="1014"/>
    </row>
    <row r="1006" spans="1:41" ht="14.25" customHeight="1" x14ac:dyDescent="0.2">
      <c r="A1006" s="943"/>
      <c r="D1006" s="1184" t="s">
        <v>404</v>
      </c>
      <c r="E1006" s="1184"/>
      <c r="F1006" s="1184"/>
      <c r="G1006" s="1184"/>
      <c r="H1006" s="1184"/>
      <c r="I1006" s="1184"/>
      <c r="J1006" s="1184"/>
      <c r="K1006" s="1184"/>
      <c r="L1006" s="1184"/>
      <c r="M1006" s="1184"/>
      <c r="N1006" s="1045"/>
      <c r="O1006" s="1045"/>
      <c r="P1006" s="1045"/>
      <c r="Q1006" s="1045"/>
      <c r="R1006" s="1045"/>
      <c r="S1006" s="1045"/>
      <c r="T1006" s="1045"/>
      <c r="U1006" s="1045"/>
      <c r="V1006" s="1045"/>
      <c r="W1006" s="1045"/>
      <c r="X1006" s="1045"/>
      <c r="Y1006" s="1045"/>
      <c r="Z1006" s="1045"/>
      <c r="AA1006" s="1045"/>
      <c r="AB1006" s="1045"/>
      <c r="AC1006" s="1045"/>
      <c r="AD1006" s="1139">
        <f t="shared" si="278"/>
        <v>0</v>
      </c>
      <c r="AE1006" s="1139"/>
      <c r="AF1006" s="1139"/>
      <c r="AG1006" s="1139"/>
      <c r="AM1006" s="986">
        <f t="shared" ref="AM1006:AM1007" si="279">SUM(N1006:AC1006)-AD1006</f>
        <v>0</v>
      </c>
      <c r="AO1006" s="1014"/>
    </row>
    <row r="1007" spans="1:41" ht="24" customHeight="1" thickBot="1" x14ac:dyDescent="0.25">
      <c r="A1007" s="943"/>
      <c r="D1007" s="1253" t="s">
        <v>471</v>
      </c>
      <c r="E1007" s="1253"/>
      <c r="F1007" s="1253"/>
      <c r="G1007" s="1253"/>
      <c r="H1007" s="1253"/>
      <c r="I1007" s="1253"/>
      <c r="J1007" s="1253"/>
      <c r="K1007" s="1253"/>
      <c r="L1007" s="1253"/>
      <c r="M1007" s="1253"/>
      <c r="N1007" s="1235"/>
      <c r="O1007" s="1235"/>
      <c r="P1007" s="1235"/>
      <c r="Q1007" s="1235"/>
      <c r="R1007" s="1235"/>
      <c r="S1007" s="1235"/>
      <c r="T1007" s="1235"/>
      <c r="U1007" s="1235"/>
      <c r="V1007" s="1235"/>
      <c r="W1007" s="1235"/>
      <c r="X1007" s="1235"/>
      <c r="Y1007" s="1235"/>
      <c r="Z1007" s="1235"/>
      <c r="AA1007" s="1235"/>
      <c r="AB1007" s="1235"/>
      <c r="AC1007" s="1235"/>
      <c r="AD1007" s="1254">
        <f t="shared" si="278"/>
        <v>0</v>
      </c>
      <c r="AE1007" s="1254"/>
      <c r="AF1007" s="1254"/>
      <c r="AG1007" s="1254"/>
      <c r="AM1007" s="989">
        <f t="shared" si="279"/>
        <v>0</v>
      </c>
      <c r="AO1007" s="1015"/>
    </row>
    <row r="1009" spans="1:35" ht="26.25" customHeight="1" x14ac:dyDescent="0.2">
      <c r="A1009" s="943"/>
      <c r="D1009" s="1116" t="s">
        <v>2066</v>
      </c>
      <c r="E1009" s="1116"/>
      <c r="F1009" s="1116"/>
      <c r="G1009" s="1116"/>
      <c r="H1009" s="1116"/>
      <c r="I1009" s="1116"/>
      <c r="J1009" s="1116"/>
      <c r="K1009" s="1116"/>
      <c r="L1009" s="1116"/>
      <c r="M1009" s="1116"/>
      <c r="N1009" s="1116"/>
      <c r="O1009" s="1116"/>
      <c r="P1009" s="1116"/>
      <c r="Q1009" s="1116"/>
      <c r="R1009" s="1116"/>
      <c r="S1009" s="1116"/>
      <c r="T1009" s="1116"/>
      <c r="U1009" s="1116"/>
      <c r="V1009" s="1116"/>
      <c r="W1009" s="1116"/>
      <c r="X1009" s="1116"/>
      <c r="Y1009" s="1116"/>
      <c r="Z1009" s="1116"/>
      <c r="AA1009" s="1116"/>
      <c r="AB1009" s="1116"/>
      <c r="AC1009" s="1116"/>
      <c r="AD1009" s="1116"/>
      <c r="AE1009" s="1116"/>
      <c r="AF1009" s="1116"/>
      <c r="AG1009" s="1116"/>
    </row>
    <row r="1010" spans="1:35" ht="14.25" customHeight="1" x14ac:dyDescent="0.2">
      <c r="AI1010" s="1021"/>
    </row>
    <row r="1011" spans="1:35" ht="14.25" customHeight="1" x14ac:dyDescent="0.2">
      <c r="A1011" s="943"/>
      <c r="D1011" s="1183" t="s">
        <v>1986</v>
      </c>
      <c r="E1011" s="1183"/>
      <c r="F1011" s="1183"/>
      <c r="G1011" s="1183"/>
      <c r="H1011" s="1183"/>
      <c r="I1011" s="1183"/>
      <c r="J1011" s="1183"/>
      <c r="K1011" s="1183"/>
      <c r="L1011" s="1183"/>
      <c r="M1011" s="1183"/>
      <c r="N1011" s="1183"/>
      <c r="O1011" s="1183"/>
      <c r="P1011" s="1183"/>
      <c r="Q1011" s="1183"/>
      <c r="R1011" s="1183"/>
      <c r="S1011" s="1183"/>
      <c r="T1011" s="1183"/>
      <c r="U1011" s="1183"/>
      <c r="V1011" s="1183"/>
      <c r="W1011" s="1183"/>
      <c r="X1011" s="1183"/>
      <c r="Y1011" s="1183"/>
      <c r="Z1011" s="1183"/>
      <c r="AA1011" s="1183"/>
      <c r="AB1011" s="1183"/>
      <c r="AC1011" s="1183"/>
      <c r="AD1011" s="1183"/>
      <c r="AE1011" s="1183"/>
      <c r="AF1011" s="1183"/>
      <c r="AG1011" s="1183"/>
    </row>
    <row r="1013" spans="1:35" ht="14.25" customHeight="1" x14ac:dyDescent="0.2">
      <c r="A1013" s="943"/>
      <c r="D1013" s="1183" t="s">
        <v>2067</v>
      </c>
      <c r="E1013" s="1183"/>
      <c r="F1013" s="1183"/>
      <c r="G1013" s="1183"/>
      <c r="H1013" s="1183"/>
      <c r="I1013" s="1183"/>
      <c r="J1013" s="1183"/>
      <c r="K1013" s="1183"/>
      <c r="L1013" s="1183"/>
      <c r="M1013" s="1183"/>
      <c r="N1013" s="1183"/>
      <c r="O1013" s="1183"/>
      <c r="P1013" s="1183"/>
      <c r="Q1013" s="1183"/>
      <c r="R1013" s="1183"/>
      <c r="S1013" s="1183"/>
      <c r="T1013" s="1183"/>
      <c r="U1013" s="1183"/>
      <c r="V1013" s="1183"/>
      <c r="W1013" s="1183"/>
      <c r="X1013" s="1183"/>
      <c r="Y1013" s="1183"/>
      <c r="Z1013" s="1183"/>
      <c r="AA1013" s="1183"/>
      <c r="AB1013" s="1183"/>
      <c r="AC1013" s="1183"/>
      <c r="AD1013" s="1183"/>
      <c r="AE1013" s="1183"/>
      <c r="AF1013" s="1183"/>
      <c r="AG1013" s="1183"/>
    </row>
    <row r="1015" spans="1:35" ht="14.25" customHeight="1" x14ac:dyDescent="0.2">
      <c r="A1015" s="943"/>
      <c r="D1015" s="632" t="s">
        <v>2028</v>
      </c>
    </row>
    <row r="1017" spans="1:35" ht="14.25" customHeight="1" x14ac:dyDescent="0.2">
      <c r="A1017" s="943"/>
      <c r="D1017" s="1168" t="s">
        <v>2012</v>
      </c>
      <c r="E1017" s="1168"/>
      <c r="F1017" s="1168"/>
      <c r="G1017" s="1168"/>
      <c r="H1017" s="1168"/>
      <c r="I1017" s="1168"/>
      <c r="J1017" s="1168"/>
      <c r="K1017" s="1168"/>
      <c r="L1017" s="1168"/>
      <c r="M1017" s="1168"/>
      <c r="N1017" s="1168"/>
      <c r="O1017" s="1168"/>
      <c r="P1017" s="1168"/>
      <c r="Q1017" s="1168"/>
      <c r="R1017" s="1168"/>
      <c r="S1017" s="1168"/>
      <c r="T1017" s="1168"/>
      <c r="U1017" s="1168"/>
      <c r="V1017" s="1168"/>
      <c r="W1017" s="1168"/>
      <c r="X1017" s="1168"/>
      <c r="Y1017" s="1168"/>
      <c r="Z1017" s="1168"/>
      <c r="AA1017" s="1168"/>
      <c r="AB1017" s="1168"/>
      <c r="AC1017" s="1168"/>
      <c r="AD1017" s="1168"/>
      <c r="AE1017" s="1168"/>
      <c r="AF1017" s="1168"/>
      <c r="AG1017" s="1168"/>
    </row>
    <row r="1019" spans="1:35" ht="14.25" customHeight="1" x14ac:dyDescent="0.2">
      <c r="A1019" s="943"/>
      <c r="D1019" s="632" t="s">
        <v>2029</v>
      </c>
    </row>
    <row r="1021" spans="1:35" ht="14.25" customHeight="1" x14ac:dyDescent="0.2">
      <c r="A1021" s="943"/>
      <c r="D1021" s="1116" t="s">
        <v>1982</v>
      </c>
      <c r="E1021" s="1116"/>
      <c r="F1021" s="1116"/>
      <c r="G1021" s="1116"/>
      <c r="H1021" s="1116"/>
      <c r="I1021" s="1116"/>
      <c r="J1021" s="1116"/>
      <c r="K1021" s="1116"/>
      <c r="L1021" s="1116"/>
      <c r="M1021" s="1116"/>
      <c r="N1021" s="1116"/>
      <c r="O1021" s="1116"/>
      <c r="P1021" s="1116"/>
      <c r="Q1021" s="1116"/>
      <c r="R1021" s="1116"/>
      <c r="S1021" s="1116"/>
      <c r="T1021" s="1116"/>
      <c r="U1021" s="1116"/>
      <c r="V1021" s="1116"/>
      <c r="W1021" s="1116"/>
      <c r="X1021" s="1116"/>
      <c r="Y1021" s="1116"/>
      <c r="Z1021" s="1116"/>
      <c r="AA1021" s="1116"/>
      <c r="AB1021" s="1116"/>
      <c r="AC1021" s="1116"/>
      <c r="AD1021" s="1116"/>
      <c r="AE1021" s="1116"/>
      <c r="AF1021" s="1116"/>
      <c r="AG1021" s="1116"/>
    </row>
    <row r="1022" spans="1:35" ht="14.25" customHeight="1" x14ac:dyDescent="0.2">
      <c r="A1022" s="943"/>
      <c r="D1022" s="1116"/>
      <c r="E1022" s="1116"/>
      <c r="F1022" s="1116"/>
      <c r="G1022" s="1116"/>
      <c r="H1022" s="1116"/>
      <c r="I1022" s="1116"/>
      <c r="J1022" s="1116"/>
      <c r="K1022" s="1116"/>
      <c r="L1022" s="1116"/>
      <c r="M1022" s="1116"/>
      <c r="N1022" s="1116"/>
      <c r="O1022" s="1116"/>
      <c r="P1022" s="1116"/>
      <c r="Q1022" s="1116"/>
      <c r="R1022" s="1116"/>
      <c r="S1022" s="1116"/>
      <c r="T1022" s="1116"/>
      <c r="U1022" s="1116"/>
      <c r="V1022" s="1116"/>
      <c r="W1022" s="1116"/>
      <c r="X1022" s="1116"/>
      <c r="Y1022" s="1116"/>
      <c r="Z1022" s="1116"/>
      <c r="AA1022" s="1116"/>
      <c r="AB1022" s="1116"/>
      <c r="AC1022" s="1116"/>
      <c r="AD1022" s="1116"/>
      <c r="AE1022" s="1116"/>
      <c r="AF1022" s="1116"/>
      <c r="AG1022" s="1116"/>
    </row>
    <row r="1024" spans="1:35" ht="14.25" customHeight="1" x14ac:dyDescent="0.2">
      <c r="A1024" s="943"/>
      <c r="D1024" s="1168"/>
      <c r="E1024" s="1168"/>
      <c r="F1024" s="1168"/>
      <c r="G1024" s="1168"/>
      <c r="H1024" s="1168"/>
      <c r="I1024" s="1168"/>
      <c r="J1024" s="1168"/>
      <c r="K1024" s="1168"/>
      <c r="L1024" s="1168"/>
      <c r="M1024" s="1168"/>
      <c r="N1024" s="1168"/>
      <c r="O1024" s="1168"/>
      <c r="P1024" s="1168"/>
      <c r="Q1024" s="1168"/>
      <c r="R1024" s="1168"/>
      <c r="S1024" s="1168"/>
      <c r="T1024" s="1168"/>
      <c r="U1024" s="1168"/>
      <c r="V1024" s="1168"/>
      <c r="W1024" s="1168"/>
      <c r="X1024" s="1168"/>
      <c r="Y1024" s="1168"/>
      <c r="Z1024" s="1168"/>
      <c r="AA1024" s="1168"/>
      <c r="AB1024" s="1168"/>
      <c r="AC1024" s="1168"/>
      <c r="AD1024" s="1168"/>
      <c r="AE1024" s="1168"/>
      <c r="AF1024" s="1168"/>
      <c r="AG1024" s="1168"/>
    </row>
  </sheetData>
  <mergeCells count="2728">
    <mergeCell ref="D962:Y962"/>
    <mergeCell ref="D957:Y957"/>
    <mergeCell ref="Z957:AG957"/>
    <mergeCell ref="Z962:AG962"/>
    <mergeCell ref="M937:Q937"/>
    <mergeCell ref="D938:L938"/>
    <mergeCell ref="M938:Q938"/>
    <mergeCell ref="R937:Y937"/>
    <mergeCell ref="Z937:AG937"/>
    <mergeCell ref="Z938:AG938"/>
    <mergeCell ref="R938:Y938"/>
    <mergeCell ref="D945:AG945"/>
    <mergeCell ref="D952:AG952"/>
    <mergeCell ref="D954:Y954"/>
    <mergeCell ref="D955:Y955"/>
    <mergeCell ref="D956:Y956"/>
    <mergeCell ref="D958:Y958"/>
    <mergeCell ref="D959:Y959"/>
    <mergeCell ref="D960:Y960"/>
    <mergeCell ref="Z960:AG960"/>
    <mergeCell ref="Z961:AG961"/>
    <mergeCell ref="Z954:AG954"/>
    <mergeCell ref="Z955:AG955"/>
    <mergeCell ref="Z956:AG956"/>
    <mergeCell ref="Z958:AG958"/>
    <mergeCell ref="Z959:AG959"/>
    <mergeCell ref="D961:Y961"/>
    <mergeCell ref="M947:Q948"/>
    <mergeCell ref="R947:AG947"/>
    <mergeCell ref="R948:Y948"/>
    <mergeCell ref="D949:L949"/>
    <mergeCell ref="M949:Q949"/>
    <mergeCell ref="AI1:AM1"/>
    <mergeCell ref="B1:AH1"/>
    <mergeCell ref="Z948:AG948"/>
    <mergeCell ref="D950:L950"/>
    <mergeCell ref="M950:Q950"/>
    <mergeCell ref="R950:Y950"/>
    <mergeCell ref="Z950:AG950"/>
    <mergeCell ref="D934:L934"/>
    <mergeCell ref="M934:Q934"/>
    <mergeCell ref="R934:Y934"/>
    <mergeCell ref="Z934:AG934"/>
    <mergeCell ref="D939:L939"/>
    <mergeCell ref="M939:Q939"/>
    <mergeCell ref="R939:Y939"/>
    <mergeCell ref="Z939:AG939"/>
    <mergeCell ref="D940:L940"/>
    <mergeCell ref="M940:Q940"/>
    <mergeCell ref="R940:Y940"/>
    <mergeCell ref="Z940:AG940"/>
    <mergeCell ref="D941:L941"/>
    <mergeCell ref="M941:Q941"/>
    <mergeCell ref="R941:Y941"/>
    <mergeCell ref="Z941:AG941"/>
    <mergeCell ref="D942:L942"/>
    <mergeCell ref="M942:Q942"/>
    <mergeCell ref="R942:Y942"/>
    <mergeCell ref="Z942:AG942"/>
    <mergeCell ref="D943:L943"/>
    <mergeCell ref="M943:Q943"/>
    <mergeCell ref="R943:Y943"/>
    <mergeCell ref="Z943:AG943"/>
    <mergeCell ref="D947:L948"/>
    <mergeCell ref="D932:L932"/>
    <mergeCell ref="M932:Q932"/>
    <mergeCell ref="R932:Y932"/>
    <mergeCell ref="Z932:AG932"/>
    <mergeCell ref="D933:L933"/>
    <mergeCell ref="M933:Q933"/>
    <mergeCell ref="R933:Y933"/>
    <mergeCell ref="Z933:AG933"/>
    <mergeCell ref="D935:L935"/>
    <mergeCell ref="M935:Q935"/>
    <mergeCell ref="R935:Y935"/>
    <mergeCell ref="Z935:AG935"/>
    <mergeCell ref="D936:L936"/>
    <mergeCell ref="M936:Q936"/>
    <mergeCell ref="R936:Y936"/>
    <mergeCell ref="Z936:AG936"/>
    <mergeCell ref="D937:L937"/>
    <mergeCell ref="D926:AG926"/>
    <mergeCell ref="D927:L928"/>
    <mergeCell ref="M927:Q928"/>
    <mergeCell ref="R927:AG927"/>
    <mergeCell ref="R928:Y928"/>
    <mergeCell ref="Z928:AG928"/>
    <mergeCell ref="D929:L929"/>
    <mergeCell ref="M929:Q929"/>
    <mergeCell ref="R929:Y929"/>
    <mergeCell ref="Z929:AG929"/>
    <mergeCell ref="D931:L931"/>
    <mergeCell ref="M931:Q931"/>
    <mergeCell ref="R931:Y931"/>
    <mergeCell ref="Z931:AG931"/>
    <mergeCell ref="J922:M922"/>
    <mergeCell ref="N922:Q922"/>
    <mergeCell ref="R922:U922"/>
    <mergeCell ref="V922:Y922"/>
    <mergeCell ref="Z922:AC922"/>
    <mergeCell ref="AD922:AG922"/>
    <mergeCell ref="D930:L930"/>
    <mergeCell ref="M930:Q930"/>
    <mergeCell ref="R930:Y930"/>
    <mergeCell ref="Z930:AG930"/>
    <mergeCell ref="Z918:AC918"/>
    <mergeCell ref="AD918:AG918"/>
    <mergeCell ref="J919:M919"/>
    <mergeCell ref="N919:Q919"/>
    <mergeCell ref="R919:U919"/>
    <mergeCell ref="V919:Y919"/>
    <mergeCell ref="Z919:AC919"/>
    <mergeCell ref="AD919:AG919"/>
    <mergeCell ref="J920:M920"/>
    <mergeCell ref="N920:Q920"/>
    <mergeCell ref="R920:U920"/>
    <mergeCell ref="V920:Y920"/>
    <mergeCell ref="Z920:AC920"/>
    <mergeCell ref="AD920:AG920"/>
    <mergeCell ref="J921:M921"/>
    <mergeCell ref="N921:Q921"/>
    <mergeCell ref="R921:U921"/>
    <mergeCell ref="V921:Y921"/>
    <mergeCell ref="Z921:AC921"/>
    <mergeCell ref="AD921:AG921"/>
    <mergeCell ref="D912:I912"/>
    <mergeCell ref="J912:M912"/>
    <mergeCell ref="N912:Q912"/>
    <mergeCell ref="R912:U912"/>
    <mergeCell ref="V912:Y912"/>
    <mergeCell ref="Z912:AC912"/>
    <mergeCell ref="AD912:AG912"/>
    <mergeCell ref="V908:AG909"/>
    <mergeCell ref="J908:U909"/>
    <mergeCell ref="D913:I913"/>
    <mergeCell ref="D914:I914"/>
    <mergeCell ref="D918:I918"/>
    <mergeCell ref="D919:I919"/>
    <mergeCell ref="D920:I920"/>
    <mergeCell ref="D921:I921"/>
    <mergeCell ref="D922:I922"/>
    <mergeCell ref="J913:M913"/>
    <mergeCell ref="N913:Q913"/>
    <mergeCell ref="R913:U913"/>
    <mergeCell ref="V913:Y913"/>
    <mergeCell ref="Z913:AC913"/>
    <mergeCell ref="AD913:AG913"/>
    <mergeCell ref="J914:M914"/>
    <mergeCell ref="N914:Q914"/>
    <mergeCell ref="R914:U914"/>
    <mergeCell ref="V914:Y914"/>
    <mergeCell ref="Z914:AC914"/>
    <mergeCell ref="AD914:AG914"/>
    <mergeCell ref="J918:M918"/>
    <mergeCell ref="N918:Q918"/>
    <mergeCell ref="R918:U918"/>
    <mergeCell ref="V918:Y918"/>
    <mergeCell ref="D906:AG906"/>
    <mergeCell ref="D908:I910"/>
    <mergeCell ref="J910:M910"/>
    <mergeCell ref="N910:Q910"/>
    <mergeCell ref="R910:U910"/>
    <mergeCell ref="V910:Y910"/>
    <mergeCell ref="Z910:AC910"/>
    <mergeCell ref="AD910:AG910"/>
    <mergeCell ref="D911:I911"/>
    <mergeCell ref="J911:M911"/>
    <mergeCell ref="N911:Q911"/>
    <mergeCell ref="R911:U911"/>
    <mergeCell ref="V911:Y911"/>
    <mergeCell ref="Z911:AC911"/>
    <mergeCell ref="AD911:AG911"/>
    <mergeCell ref="D893:AG893"/>
    <mergeCell ref="D895:AG895"/>
    <mergeCell ref="D897:O897"/>
    <mergeCell ref="P897:X897"/>
    <mergeCell ref="Y897:AG897"/>
    <mergeCell ref="D903:O903"/>
    <mergeCell ref="D902:O902"/>
    <mergeCell ref="D901:O901"/>
    <mergeCell ref="D900:O900"/>
    <mergeCell ref="D899:O899"/>
    <mergeCell ref="D898:O898"/>
    <mergeCell ref="P900:X900"/>
    <mergeCell ref="P899:X899"/>
    <mergeCell ref="P898:X898"/>
    <mergeCell ref="P901:X901"/>
    <mergeCell ref="P902:X902"/>
    <mergeCell ref="P903:X903"/>
    <mergeCell ref="Y898:AG898"/>
    <mergeCell ref="Y899:AG899"/>
    <mergeCell ref="Y900:AG900"/>
    <mergeCell ref="Y901:AG901"/>
    <mergeCell ref="Y902:AG902"/>
    <mergeCell ref="Y903:AG903"/>
    <mergeCell ref="D881:M881"/>
    <mergeCell ref="N881:W881"/>
    <mergeCell ref="X881:AG881"/>
    <mergeCell ref="X874:AG874"/>
    <mergeCell ref="D875:M875"/>
    <mergeCell ref="N875:W875"/>
    <mergeCell ref="X875:AG875"/>
    <mergeCell ref="D876:M876"/>
    <mergeCell ref="N876:W876"/>
    <mergeCell ref="X876:AG876"/>
    <mergeCell ref="D877:M877"/>
    <mergeCell ref="N877:W877"/>
    <mergeCell ref="X877:AG877"/>
    <mergeCell ref="D878:M878"/>
    <mergeCell ref="N878:W878"/>
    <mergeCell ref="X878:AG878"/>
    <mergeCell ref="D879:M879"/>
    <mergeCell ref="N879:W879"/>
    <mergeCell ref="X879:AG879"/>
    <mergeCell ref="D880:M880"/>
    <mergeCell ref="N880:W880"/>
    <mergeCell ref="X880:AG880"/>
    <mergeCell ref="D889:M889"/>
    <mergeCell ref="N889:W889"/>
    <mergeCell ref="X889:AG889"/>
    <mergeCell ref="D890:M890"/>
    <mergeCell ref="D871:M871"/>
    <mergeCell ref="N871:W871"/>
    <mergeCell ref="X871:AG871"/>
    <mergeCell ref="D872:M872"/>
    <mergeCell ref="N872:W872"/>
    <mergeCell ref="X872:AG872"/>
    <mergeCell ref="D873:M873"/>
    <mergeCell ref="N873:W873"/>
    <mergeCell ref="X873:AG873"/>
    <mergeCell ref="D874:M874"/>
    <mergeCell ref="N874:W874"/>
    <mergeCell ref="N890:W890"/>
    <mergeCell ref="X890:AG890"/>
    <mergeCell ref="D883:M883"/>
    <mergeCell ref="N883:W883"/>
    <mergeCell ref="X883:AG883"/>
    <mergeCell ref="D884:M884"/>
    <mergeCell ref="N884:W884"/>
    <mergeCell ref="X884:AG884"/>
    <mergeCell ref="D885:M885"/>
    <mergeCell ref="N885:W885"/>
    <mergeCell ref="X885:AG885"/>
    <mergeCell ref="D886:M886"/>
    <mergeCell ref="N886:W886"/>
    <mergeCell ref="X886:AG886"/>
    <mergeCell ref="D887:M887"/>
    <mergeCell ref="N887:W887"/>
    <mergeCell ref="X887:AG887"/>
    <mergeCell ref="D888:M888"/>
    <mergeCell ref="N888:W888"/>
    <mergeCell ref="X888:AG888"/>
    <mergeCell ref="D437:AG438"/>
    <mergeCell ref="D440:AG441"/>
    <mergeCell ref="D443:AG443"/>
    <mergeCell ref="D445:I445"/>
    <mergeCell ref="D450:I450"/>
    <mergeCell ref="D449:I449"/>
    <mergeCell ref="D448:I448"/>
    <mergeCell ref="D447:I447"/>
    <mergeCell ref="D446:I446"/>
    <mergeCell ref="Z448:AC448"/>
    <mergeCell ref="Z447:AC447"/>
    <mergeCell ref="Z446:AC446"/>
    <mergeCell ref="Z445:AC445"/>
    <mergeCell ref="V446:Y446"/>
    <mergeCell ref="V445:Y445"/>
    <mergeCell ref="AD450:AG450"/>
    <mergeCell ref="AD449:AG449"/>
    <mergeCell ref="AD448:AG448"/>
    <mergeCell ref="AD447:AG447"/>
    <mergeCell ref="AD446:AG446"/>
    <mergeCell ref="AD445:AG445"/>
    <mergeCell ref="Z450:AC450"/>
    <mergeCell ref="Z449:AC449"/>
    <mergeCell ref="V450:Y450"/>
    <mergeCell ref="V449:Y449"/>
    <mergeCell ref="V448:Y448"/>
    <mergeCell ref="V447:Y447"/>
    <mergeCell ref="X431:AB431"/>
    <mergeCell ref="AC431:AG431"/>
    <mergeCell ref="D432:AG432"/>
    <mergeCell ref="D433:J433"/>
    <mergeCell ref="K433:N433"/>
    <mergeCell ref="O433:R433"/>
    <mergeCell ref="S433:W433"/>
    <mergeCell ref="X433:AB433"/>
    <mergeCell ref="AC433:AG433"/>
    <mergeCell ref="D431:J431"/>
    <mergeCell ref="K431:N431"/>
    <mergeCell ref="O431:R431"/>
    <mergeCell ref="S431:W431"/>
    <mergeCell ref="D435:J435"/>
    <mergeCell ref="K435:N435"/>
    <mergeCell ref="O435:R435"/>
    <mergeCell ref="S435:W435"/>
    <mergeCell ref="X435:AB435"/>
    <mergeCell ref="AC435:AG435"/>
    <mergeCell ref="D434:J434"/>
    <mergeCell ref="K434:N434"/>
    <mergeCell ref="O434:R434"/>
    <mergeCell ref="S434:W434"/>
    <mergeCell ref="X434:AB434"/>
    <mergeCell ref="AC434:AG434"/>
    <mergeCell ref="D428:AG428"/>
    <mergeCell ref="D429:J429"/>
    <mergeCell ref="K429:N429"/>
    <mergeCell ref="D427:J427"/>
    <mergeCell ref="K427:N427"/>
    <mergeCell ref="O427:R427"/>
    <mergeCell ref="S427:W427"/>
    <mergeCell ref="X427:AB427"/>
    <mergeCell ref="AC427:AG427"/>
    <mergeCell ref="O429:R429"/>
    <mergeCell ref="S429:W429"/>
    <mergeCell ref="X429:AB429"/>
    <mergeCell ref="AC429:AG429"/>
    <mergeCell ref="D430:J430"/>
    <mergeCell ref="K430:N430"/>
    <mergeCell ref="O430:R430"/>
    <mergeCell ref="S430:W430"/>
    <mergeCell ref="X430:AB430"/>
    <mergeCell ref="AC430:AG430"/>
    <mergeCell ref="D420:AG420"/>
    <mergeCell ref="D423:J423"/>
    <mergeCell ref="D422:J422"/>
    <mergeCell ref="D421:J421"/>
    <mergeCell ref="K423:N423"/>
    <mergeCell ref="K422:N422"/>
    <mergeCell ref="K421:N421"/>
    <mergeCell ref="O423:R423"/>
    <mergeCell ref="O422:R422"/>
    <mergeCell ref="O421:R421"/>
    <mergeCell ref="D426:J426"/>
    <mergeCell ref="K426:N426"/>
    <mergeCell ref="O426:R426"/>
    <mergeCell ref="S426:W426"/>
    <mergeCell ref="X426:AB426"/>
    <mergeCell ref="AC426:AG426"/>
    <mergeCell ref="AC423:AG423"/>
    <mergeCell ref="AC422:AG422"/>
    <mergeCell ref="AC421:AG421"/>
    <mergeCell ref="D424:AG424"/>
    <mergeCell ref="D425:J425"/>
    <mergeCell ref="K425:N425"/>
    <mergeCell ref="O425:R425"/>
    <mergeCell ref="S425:W425"/>
    <mergeCell ref="X425:AB425"/>
    <mergeCell ref="AC425:AG425"/>
    <mergeCell ref="S423:W423"/>
    <mergeCell ref="S422:W422"/>
    <mergeCell ref="S421:W421"/>
    <mergeCell ref="X423:AB423"/>
    <mergeCell ref="X422:AB422"/>
    <mergeCell ref="X421:AB421"/>
    <mergeCell ref="D407:R407"/>
    <mergeCell ref="S407:AG407"/>
    <mergeCell ref="D326:R326"/>
    <mergeCell ref="S326:AG326"/>
    <mergeCell ref="D327:R327"/>
    <mergeCell ref="S327:AG327"/>
    <mergeCell ref="D329:AG331"/>
    <mergeCell ref="D333:AG333"/>
    <mergeCell ref="D418:J419"/>
    <mergeCell ref="K418:AG418"/>
    <mergeCell ref="K419:N419"/>
    <mergeCell ref="O419:R419"/>
    <mergeCell ref="S419:W419"/>
    <mergeCell ref="X419:AB419"/>
    <mergeCell ref="AC419:AG419"/>
    <mergeCell ref="D408:R408"/>
    <mergeCell ref="S408:AG408"/>
    <mergeCell ref="D410:AG411"/>
    <mergeCell ref="D413:AG413"/>
    <mergeCell ref="D416:AG416"/>
    <mergeCell ref="D359:AH359"/>
    <mergeCell ref="D360:G360"/>
    <mergeCell ref="H360:J360"/>
    <mergeCell ref="K360:M360"/>
    <mergeCell ref="N360:P360"/>
    <mergeCell ref="Q360:S360"/>
    <mergeCell ref="T360:V360"/>
    <mergeCell ref="W360:Y360"/>
    <mergeCell ref="Z360:AB360"/>
    <mergeCell ref="AC360:AE360"/>
    <mergeCell ref="AF360:AH360"/>
    <mergeCell ref="D361:G361"/>
    <mergeCell ref="E261:AG261"/>
    <mergeCell ref="D325:R325"/>
    <mergeCell ref="S325:AG325"/>
    <mergeCell ref="D251:R251"/>
    <mergeCell ref="S251:AG251"/>
    <mergeCell ref="D253:R253"/>
    <mergeCell ref="S253:AG253"/>
    <mergeCell ref="S252:AG252"/>
    <mergeCell ref="D252:R252"/>
    <mergeCell ref="D335:AG338"/>
    <mergeCell ref="D339:AG339"/>
    <mergeCell ref="D343:AG345"/>
    <mergeCell ref="D406:R406"/>
    <mergeCell ref="S406:AG406"/>
    <mergeCell ref="D210:I210"/>
    <mergeCell ref="D209:I209"/>
    <mergeCell ref="D208:I208"/>
    <mergeCell ref="D215:I215"/>
    <mergeCell ref="D214:I214"/>
    <mergeCell ref="J210:L210"/>
    <mergeCell ref="J209:L209"/>
    <mergeCell ref="J208:L208"/>
    <mergeCell ref="M208:O208"/>
    <mergeCell ref="M209:O209"/>
    <mergeCell ref="M210:O210"/>
    <mergeCell ref="D228:AG228"/>
    <mergeCell ref="D229:I229"/>
    <mergeCell ref="J229:L229"/>
    <mergeCell ref="M229:O229"/>
    <mergeCell ref="P229:R229"/>
    <mergeCell ref="S229:U229"/>
    <mergeCell ref="V229:X229"/>
    <mergeCell ref="E189:AG189"/>
    <mergeCell ref="D191:AG191"/>
    <mergeCell ref="D255:AG255"/>
    <mergeCell ref="D203:I204"/>
    <mergeCell ref="J204:L204"/>
    <mergeCell ref="AE204:AG204"/>
    <mergeCell ref="AB204:AD204"/>
    <mergeCell ref="Y204:AA204"/>
    <mergeCell ref="V204:X204"/>
    <mergeCell ref="S204:U204"/>
    <mergeCell ref="P204:R204"/>
    <mergeCell ref="M204:O204"/>
    <mergeCell ref="J203:AG203"/>
    <mergeCell ref="D213:I213"/>
    <mergeCell ref="D219:I219"/>
    <mergeCell ref="D218:I218"/>
    <mergeCell ref="D223:I223"/>
    <mergeCell ref="D222:I222"/>
    <mergeCell ref="D207:I207"/>
    <mergeCell ref="D206:I206"/>
    <mergeCell ref="J207:L207"/>
    <mergeCell ref="J206:L206"/>
    <mergeCell ref="M206:O206"/>
    <mergeCell ref="M207:O207"/>
    <mergeCell ref="Y215:AA215"/>
    <mergeCell ref="P208:R208"/>
    <mergeCell ref="P209:R209"/>
    <mergeCell ref="P210:R210"/>
    <mergeCell ref="D212:I212"/>
    <mergeCell ref="V210:X210"/>
    <mergeCell ref="J217:L217"/>
    <mergeCell ref="J218:L218"/>
    <mergeCell ref="Y111:AC111"/>
    <mergeCell ref="D120:AG120"/>
    <mergeCell ref="D124:AG126"/>
    <mergeCell ref="D145:AG146"/>
    <mergeCell ref="D150:AG150"/>
    <mergeCell ref="D152:AG155"/>
    <mergeCell ref="D160:AG161"/>
    <mergeCell ref="D162:AG163"/>
    <mergeCell ref="D131:AG132"/>
    <mergeCell ref="D136:AG137"/>
    <mergeCell ref="D140:AG141"/>
    <mergeCell ref="D164:AG164"/>
    <mergeCell ref="D168:AG169"/>
    <mergeCell ref="D177:AG178"/>
    <mergeCell ref="D182:AG184"/>
    <mergeCell ref="E185:AG186"/>
    <mergeCell ref="E187:AG188"/>
    <mergeCell ref="D173:AG175"/>
    <mergeCell ref="D156:AG156"/>
    <mergeCell ref="D90:N90"/>
    <mergeCell ref="O89:S89"/>
    <mergeCell ref="D80:AG81"/>
    <mergeCell ref="D85:AG87"/>
    <mergeCell ref="T90:X90"/>
    <mergeCell ref="O90:S90"/>
    <mergeCell ref="T89:X89"/>
    <mergeCell ref="Y89:AC89"/>
    <mergeCell ref="Y90:AC90"/>
    <mergeCell ref="O109:S109"/>
    <mergeCell ref="T109:X109"/>
    <mergeCell ref="Y109:AC109"/>
    <mergeCell ref="D92:AG93"/>
    <mergeCell ref="D97:AG98"/>
    <mergeCell ref="D100:AG101"/>
    <mergeCell ref="D105:AG107"/>
    <mergeCell ref="D115:AG116"/>
    <mergeCell ref="D112:N112"/>
    <mergeCell ref="O112:S112"/>
    <mergeCell ref="T112:X112"/>
    <mergeCell ref="Y112:AC112"/>
    <mergeCell ref="D113:N113"/>
    <mergeCell ref="O113:S113"/>
    <mergeCell ref="T113:X113"/>
    <mergeCell ref="Y113:AC113"/>
    <mergeCell ref="D110:N110"/>
    <mergeCell ref="O110:S110"/>
    <mergeCell ref="T110:X110"/>
    <mergeCell ref="Y110:AC110"/>
    <mergeCell ref="D111:N111"/>
    <mergeCell ref="O111:S111"/>
    <mergeCell ref="T111:X111"/>
    <mergeCell ref="X33:AB33"/>
    <mergeCell ref="X32:AB32"/>
    <mergeCell ref="X31:AB31"/>
    <mergeCell ref="X30:AB30"/>
    <mergeCell ref="S35:W35"/>
    <mergeCell ref="S34:W34"/>
    <mergeCell ref="S33:W33"/>
    <mergeCell ref="S32:W32"/>
    <mergeCell ref="S31:W31"/>
    <mergeCell ref="S30:W30"/>
    <mergeCell ref="AC35:AG35"/>
    <mergeCell ref="AC34:AG34"/>
    <mergeCell ref="AC33:AG33"/>
    <mergeCell ref="D67:AG68"/>
    <mergeCell ref="D70:AG71"/>
    <mergeCell ref="D75:AG76"/>
    <mergeCell ref="D48:O48"/>
    <mergeCell ref="D55:O55"/>
    <mergeCell ref="D38:AG42"/>
    <mergeCell ref="D43:AG44"/>
    <mergeCell ref="D61:AG62"/>
    <mergeCell ref="AC32:AG32"/>
    <mergeCell ref="AC31:AG31"/>
    <mergeCell ref="D35:M35"/>
    <mergeCell ref="D34:M34"/>
    <mergeCell ref="D33:M33"/>
    <mergeCell ref="D5:AG8"/>
    <mergeCell ref="D10:AG11"/>
    <mergeCell ref="D453:AG453"/>
    <mergeCell ref="D25:AG26"/>
    <mergeCell ref="D32:M32"/>
    <mergeCell ref="D31:M31"/>
    <mergeCell ref="D30:M30"/>
    <mergeCell ref="D28:M29"/>
    <mergeCell ref="Y22:AG22"/>
    <mergeCell ref="Y21:AG21"/>
    <mergeCell ref="Y20:AG20"/>
    <mergeCell ref="Y19:AG19"/>
    <mergeCell ref="P19:X19"/>
    <mergeCell ref="P22:X22"/>
    <mergeCell ref="P21:X21"/>
    <mergeCell ref="P20:X20"/>
    <mergeCell ref="D19:O19"/>
    <mergeCell ref="D22:O22"/>
    <mergeCell ref="D21:O21"/>
    <mergeCell ref="D20:O20"/>
    <mergeCell ref="X28:AB29"/>
    <mergeCell ref="AC28:AG29"/>
    <mergeCell ref="N35:R35"/>
    <mergeCell ref="N34:R34"/>
    <mergeCell ref="AC30:AG30"/>
    <mergeCell ref="X35:AB35"/>
    <mergeCell ref="X34:AB34"/>
    <mergeCell ref="N33:R33"/>
    <mergeCell ref="N32:R32"/>
    <mergeCell ref="N31:R31"/>
    <mergeCell ref="N30:R30"/>
    <mergeCell ref="N28:W28"/>
    <mergeCell ref="N29:R29"/>
    <mergeCell ref="S29:W29"/>
    <mergeCell ref="D455:K455"/>
    <mergeCell ref="L455:P455"/>
    <mergeCell ref="Q455:T455"/>
    <mergeCell ref="U455:X455"/>
    <mergeCell ref="Y455:AB455"/>
    <mergeCell ref="AC455:AG455"/>
    <mergeCell ref="D460:K460"/>
    <mergeCell ref="D459:K459"/>
    <mergeCell ref="D458:K458"/>
    <mergeCell ref="D457:K457"/>
    <mergeCell ref="D456:K456"/>
    <mergeCell ref="L460:P460"/>
    <mergeCell ref="L459:P459"/>
    <mergeCell ref="L458:P458"/>
    <mergeCell ref="L457:P457"/>
    <mergeCell ref="L456:P456"/>
    <mergeCell ref="Q460:T460"/>
    <mergeCell ref="Q459:T459"/>
    <mergeCell ref="Q458:T458"/>
    <mergeCell ref="Q457:T457"/>
    <mergeCell ref="Q456:T456"/>
    <mergeCell ref="U460:X460"/>
    <mergeCell ref="U459:X459"/>
    <mergeCell ref="U458:X458"/>
    <mergeCell ref="P206:R206"/>
    <mergeCell ref="AB214:AD214"/>
    <mergeCell ref="AB215:AD215"/>
    <mergeCell ref="AE212:AG212"/>
    <mergeCell ref="AE213:AG213"/>
    <mergeCell ref="AE214:AG214"/>
    <mergeCell ref="N475:R475"/>
    <mergeCell ref="S482:W482"/>
    <mergeCell ref="S481:W481"/>
    <mergeCell ref="S480:W480"/>
    <mergeCell ref="S479:W479"/>
    <mergeCell ref="S478:W478"/>
    <mergeCell ref="S477:W477"/>
    <mergeCell ref="S476:W476"/>
    <mergeCell ref="S475:W475"/>
    <mergeCell ref="U457:X457"/>
    <mergeCell ref="U456:X456"/>
    <mergeCell ref="Y460:AB460"/>
    <mergeCell ref="Y459:AB459"/>
    <mergeCell ref="Y458:AB458"/>
    <mergeCell ref="Y457:AB457"/>
    <mergeCell ref="Y456:AB456"/>
    <mergeCell ref="AC460:AG460"/>
    <mergeCell ref="AC459:AG459"/>
    <mergeCell ref="AC458:AG458"/>
    <mergeCell ref="AC457:AG457"/>
    <mergeCell ref="AC456:AG456"/>
    <mergeCell ref="D475:H475"/>
    <mergeCell ref="I482:M482"/>
    <mergeCell ref="I481:M481"/>
    <mergeCell ref="I480:M480"/>
    <mergeCell ref="I479:M479"/>
    <mergeCell ref="I478:M478"/>
    <mergeCell ref="I477:M477"/>
    <mergeCell ref="I476:M476"/>
    <mergeCell ref="I475:M475"/>
    <mergeCell ref="D491:AG492"/>
    <mergeCell ref="D462:AG463"/>
    <mergeCell ref="D468:AG469"/>
    <mergeCell ref="D471:AG471"/>
    <mergeCell ref="D473:H474"/>
    <mergeCell ref="I473:AG473"/>
    <mergeCell ref="I474:M474"/>
    <mergeCell ref="N474:R474"/>
    <mergeCell ref="S474:W474"/>
    <mergeCell ref="X474:AB474"/>
    <mergeCell ref="AC474:AG474"/>
    <mergeCell ref="X475:AB475"/>
    <mergeCell ref="AC482:AG482"/>
    <mergeCell ref="AC481:AG481"/>
    <mergeCell ref="AC480:AG480"/>
    <mergeCell ref="AC479:AG479"/>
    <mergeCell ref="AC478:AG478"/>
    <mergeCell ref="AC477:AG477"/>
    <mergeCell ref="AC476:AG476"/>
    <mergeCell ref="AC475:AG475"/>
    <mergeCell ref="N482:R482"/>
    <mergeCell ref="N481:R481"/>
    <mergeCell ref="N480:R480"/>
    <mergeCell ref="D494:S494"/>
    <mergeCell ref="T494:AG494"/>
    <mergeCell ref="X482:AB482"/>
    <mergeCell ref="X481:AB481"/>
    <mergeCell ref="X480:AB480"/>
    <mergeCell ref="X479:AB479"/>
    <mergeCell ref="X478:AB478"/>
    <mergeCell ref="X477:AB477"/>
    <mergeCell ref="X476:AB476"/>
    <mergeCell ref="D482:H482"/>
    <mergeCell ref="D481:H481"/>
    <mergeCell ref="D480:H480"/>
    <mergeCell ref="D479:H479"/>
    <mergeCell ref="D478:H478"/>
    <mergeCell ref="D477:H477"/>
    <mergeCell ref="D476:H476"/>
    <mergeCell ref="N478:R478"/>
    <mergeCell ref="N477:R477"/>
    <mergeCell ref="N476:R476"/>
    <mergeCell ref="D485:AG485"/>
    <mergeCell ref="D487:S487"/>
    <mergeCell ref="T487:AG487"/>
    <mergeCell ref="D489:S489"/>
    <mergeCell ref="T489:AG489"/>
    <mergeCell ref="T488:AG488"/>
    <mergeCell ref="D488:S488"/>
    <mergeCell ref="N479:R479"/>
    <mergeCell ref="D506:K506"/>
    <mergeCell ref="D505:K505"/>
    <mergeCell ref="D504:K504"/>
    <mergeCell ref="L506:R506"/>
    <mergeCell ref="L505:R505"/>
    <mergeCell ref="L504:R504"/>
    <mergeCell ref="S506:Y506"/>
    <mergeCell ref="S505:Y505"/>
    <mergeCell ref="S504:Y504"/>
    <mergeCell ref="Z506:AG506"/>
    <mergeCell ref="Z505:AG505"/>
    <mergeCell ref="Z504:AG504"/>
    <mergeCell ref="D495:S495"/>
    <mergeCell ref="T495:AG495"/>
    <mergeCell ref="D496:S496"/>
    <mergeCell ref="T496:AG496"/>
    <mergeCell ref="D501:AG501"/>
    <mergeCell ref="D503:K503"/>
    <mergeCell ref="L503:R503"/>
    <mergeCell ref="S503:Y503"/>
    <mergeCell ref="Z503:AG503"/>
    <mergeCell ref="D514:K514"/>
    <mergeCell ref="L514:R514"/>
    <mergeCell ref="S514:Y514"/>
    <mergeCell ref="Z514:AG514"/>
    <mergeCell ref="D515:K515"/>
    <mergeCell ref="L515:R515"/>
    <mergeCell ref="S515:Y515"/>
    <mergeCell ref="Z515:AG515"/>
    <mergeCell ref="D516:K516"/>
    <mergeCell ref="L516:R516"/>
    <mergeCell ref="S516:Y516"/>
    <mergeCell ref="Z516:AG516"/>
    <mergeCell ref="D508:M508"/>
    <mergeCell ref="N508:W508"/>
    <mergeCell ref="X508:AG508"/>
    <mergeCell ref="D512:M512"/>
    <mergeCell ref="D511:M511"/>
    <mergeCell ref="D510:M510"/>
    <mergeCell ref="D509:M509"/>
    <mergeCell ref="X512:AG512"/>
    <mergeCell ref="X511:AG511"/>
    <mergeCell ref="X510:AG510"/>
    <mergeCell ref="X509:AG509"/>
    <mergeCell ref="N512:W512"/>
    <mergeCell ref="N511:W511"/>
    <mergeCell ref="N510:W510"/>
    <mergeCell ref="N509:W509"/>
    <mergeCell ref="D517:K517"/>
    <mergeCell ref="L517:R517"/>
    <mergeCell ref="S517:Y517"/>
    <mergeCell ref="Z517:AG517"/>
    <mergeCell ref="D523:M523"/>
    <mergeCell ref="D522:M522"/>
    <mergeCell ref="D521:M521"/>
    <mergeCell ref="D520:M520"/>
    <mergeCell ref="D519:M519"/>
    <mergeCell ref="N519:W519"/>
    <mergeCell ref="X519:AG519"/>
    <mergeCell ref="N520:W520"/>
    <mergeCell ref="X520:AG520"/>
    <mergeCell ref="N521:W521"/>
    <mergeCell ref="X521:AG521"/>
    <mergeCell ref="N522:W522"/>
    <mergeCell ref="X522:AG522"/>
    <mergeCell ref="N523:W523"/>
    <mergeCell ref="X523:AG523"/>
    <mergeCell ref="D533:H533"/>
    <mergeCell ref="I533:M533"/>
    <mergeCell ref="N533:R533"/>
    <mergeCell ref="S533:W533"/>
    <mergeCell ref="X533:AB533"/>
    <mergeCell ref="AC533:AG533"/>
    <mergeCell ref="D534:H534"/>
    <mergeCell ref="I534:M534"/>
    <mergeCell ref="N534:R534"/>
    <mergeCell ref="S534:W534"/>
    <mergeCell ref="X534:AB534"/>
    <mergeCell ref="AC534:AG534"/>
    <mergeCell ref="D528:AG528"/>
    <mergeCell ref="D530:H531"/>
    <mergeCell ref="I530:AG530"/>
    <mergeCell ref="I531:M531"/>
    <mergeCell ref="N531:R531"/>
    <mergeCell ref="S531:W531"/>
    <mergeCell ref="X531:AB531"/>
    <mergeCell ref="AC531:AG531"/>
    <mergeCell ref="D532:H532"/>
    <mergeCell ref="I532:M532"/>
    <mergeCell ref="N532:R532"/>
    <mergeCell ref="S532:W532"/>
    <mergeCell ref="X532:AB532"/>
    <mergeCell ref="AC532:AG532"/>
    <mergeCell ref="D537:H537"/>
    <mergeCell ref="I537:M537"/>
    <mergeCell ref="N537:R537"/>
    <mergeCell ref="S537:W537"/>
    <mergeCell ref="X537:AB537"/>
    <mergeCell ref="AC537:AG537"/>
    <mergeCell ref="D539:AG539"/>
    <mergeCell ref="D541:AG543"/>
    <mergeCell ref="D545:AG545"/>
    <mergeCell ref="D535:H535"/>
    <mergeCell ref="I535:M535"/>
    <mergeCell ref="N535:R535"/>
    <mergeCell ref="S535:W535"/>
    <mergeCell ref="X535:AB535"/>
    <mergeCell ref="AC535:AG535"/>
    <mergeCell ref="D536:H536"/>
    <mergeCell ref="I536:M536"/>
    <mergeCell ref="N536:R536"/>
    <mergeCell ref="S536:W536"/>
    <mergeCell ref="X536:AB536"/>
    <mergeCell ref="AC536:AG536"/>
    <mergeCell ref="D547:AG547"/>
    <mergeCell ref="D562:AG562"/>
    <mergeCell ref="AA564:AG564"/>
    <mergeCell ref="T564:Z564"/>
    <mergeCell ref="M564:S564"/>
    <mergeCell ref="D564:L564"/>
    <mergeCell ref="D565:AG565"/>
    <mergeCell ref="D571:L571"/>
    <mergeCell ref="D570:L570"/>
    <mergeCell ref="D569:L569"/>
    <mergeCell ref="D568:L568"/>
    <mergeCell ref="D567:L567"/>
    <mergeCell ref="D566:L566"/>
    <mergeCell ref="T571:Z571"/>
    <mergeCell ref="T570:Z570"/>
    <mergeCell ref="T569:Z569"/>
    <mergeCell ref="T568:Z568"/>
    <mergeCell ref="T567:Z567"/>
    <mergeCell ref="T566:Z566"/>
    <mergeCell ref="M571:S571"/>
    <mergeCell ref="M570:S570"/>
    <mergeCell ref="M569:S569"/>
    <mergeCell ref="M568:S568"/>
    <mergeCell ref="M567:S567"/>
    <mergeCell ref="D574:L574"/>
    <mergeCell ref="D575:L575"/>
    <mergeCell ref="D576:L576"/>
    <mergeCell ref="D577:L577"/>
    <mergeCell ref="D578:L578"/>
    <mergeCell ref="D579:L579"/>
    <mergeCell ref="D580:L580"/>
    <mergeCell ref="M566:S566"/>
    <mergeCell ref="AA571:AG571"/>
    <mergeCell ref="AA570:AG570"/>
    <mergeCell ref="AA569:AG569"/>
    <mergeCell ref="AA568:AG568"/>
    <mergeCell ref="AA567:AG567"/>
    <mergeCell ref="AA566:AG566"/>
    <mergeCell ref="D572:AG572"/>
    <mergeCell ref="D573:L573"/>
    <mergeCell ref="M573:S573"/>
    <mergeCell ref="T573:Z573"/>
    <mergeCell ref="AA573:AG573"/>
    <mergeCell ref="M577:S577"/>
    <mergeCell ref="T577:Z577"/>
    <mergeCell ref="AA577:AG577"/>
    <mergeCell ref="M578:S578"/>
    <mergeCell ref="T578:Z578"/>
    <mergeCell ref="AA578:AG578"/>
    <mergeCell ref="M579:S579"/>
    <mergeCell ref="T579:Z579"/>
    <mergeCell ref="AA579:AG579"/>
    <mergeCell ref="M574:S574"/>
    <mergeCell ref="T574:Z574"/>
    <mergeCell ref="AA574:AG574"/>
    <mergeCell ref="M575:S575"/>
    <mergeCell ref="T575:Z575"/>
    <mergeCell ref="AA575:AG575"/>
    <mergeCell ref="M576:S576"/>
    <mergeCell ref="T576:Z576"/>
    <mergeCell ref="AA576:AG576"/>
    <mergeCell ref="N586:W586"/>
    <mergeCell ref="X586:AG586"/>
    <mergeCell ref="D587:M587"/>
    <mergeCell ref="N587:W587"/>
    <mergeCell ref="X587:AG587"/>
    <mergeCell ref="D582:AG582"/>
    <mergeCell ref="N585:W585"/>
    <mergeCell ref="X585:AG585"/>
    <mergeCell ref="M580:S580"/>
    <mergeCell ref="T580:Z580"/>
    <mergeCell ref="AA580:AG580"/>
    <mergeCell ref="N596:W596"/>
    <mergeCell ref="X596:AG596"/>
    <mergeCell ref="D605:M606"/>
    <mergeCell ref="N606:R606"/>
    <mergeCell ref="S606:W606"/>
    <mergeCell ref="X606:AB606"/>
    <mergeCell ref="AC606:AG606"/>
    <mergeCell ref="N605:AG605"/>
    <mergeCell ref="D588:M588"/>
    <mergeCell ref="N588:W588"/>
    <mergeCell ref="X588:AG588"/>
    <mergeCell ref="D584:M585"/>
    <mergeCell ref="N584:AG584"/>
    <mergeCell ref="D601:AG603"/>
    <mergeCell ref="D592:AG592"/>
    <mergeCell ref="D594:M594"/>
    <mergeCell ref="N594:W594"/>
    <mergeCell ref="X594:AG594"/>
    <mergeCell ref="D598:M598"/>
    <mergeCell ref="N598:W598"/>
    <mergeCell ref="X598:AG598"/>
    <mergeCell ref="D599:M599"/>
    <mergeCell ref="N599:W599"/>
    <mergeCell ref="X599:AG599"/>
    <mergeCell ref="D595:M595"/>
    <mergeCell ref="N595:W595"/>
    <mergeCell ref="X595:AG595"/>
    <mergeCell ref="D597:M597"/>
    <mergeCell ref="N597:W597"/>
    <mergeCell ref="X597:AG597"/>
    <mergeCell ref="D596:M596"/>
    <mergeCell ref="D586:M586"/>
    <mergeCell ref="S608:W608"/>
    <mergeCell ref="S609:W609"/>
    <mergeCell ref="S610:W610"/>
    <mergeCell ref="S611:W611"/>
    <mergeCell ref="S612:W612"/>
    <mergeCell ref="S613:W613"/>
    <mergeCell ref="X607:AB607"/>
    <mergeCell ref="X608:AB608"/>
    <mergeCell ref="X609:AB609"/>
    <mergeCell ref="X610:AB610"/>
    <mergeCell ref="X611:AB611"/>
    <mergeCell ref="X612:AB612"/>
    <mergeCell ref="X613:AB613"/>
    <mergeCell ref="D613:M613"/>
    <mergeCell ref="D612:M612"/>
    <mergeCell ref="D611:M611"/>
    <mergeCell ref="D610:M610"/>
    <mergeCell ref="D609:M609"/>
    <mergeCell ref="D608:M608"/>
    <mergeCell ref="D607:M607"/>
    <mergeCell ref="N613:R613"/>
    <mergeCell ref="N612:R612"/>
    <mergeCell ref="N611:R611"/>
    <mergeCell ref="N610:R610"/>
    <mergeCell ref="N609:R609"/>
    <mergeCell ref="N608:R608"/>
    <mergeCell ref="N607:R607"/>
    <mergeCell ref="AK605:AK606"/>
    <mergeCell ref="AL605:AL606"/>
    <mergeCell ref="AM605:AM606"/>
    <mergeCell ref="AO605:AO606"/>
    <mergeCell ref="D616:AG616"/>
    <mergeCell ref="D621:M621"/>
    <mergeCell ref="D620:M620"/>
    <mergeCell ref="D619:M619"/>
    <mergeCell ref="D618:M618"/>
    <mergeCell ref="N618:Q618"/>
    <mergeCell ref="R618:U618"/>
    <mergeCell ref="V618:Y618"/>
    <mergeCell ref="Z618:AC618"/>
    <mergeCell ref="AD618:AG618"/>
    <mergeCell ref="N621:Q621"/>
    <mergeCell ref="N620:Q620"/>
    <mergeCell ref="N619:Q619"/>
    <mergeCell ref="R619:U619"/>
    <mergeCell ref="R620:U620"/>
    <mergeCell ref="R621:U621"/>
    <mergeCell ref="V619:Y619"/>
    <mergeCell ref="V620:Y620"/>
    <mergeCell ref="V621:Y621"/>
    <mergeCell ref="Z619:AC619"/>
    <mergeCell ref="AC607:AG607"/>
    <mergeCell ref="AC608:AG608"/>
    <mergeCell ref="AC609:AG609"/>
    <mergeCell ref="AC610:AG610"/>
    <mergeCell ref="AC611:AG611"/>
    <mergeCell ref="AC612:AG612"/>
    <mergeCell ref="AC613:AG613"/>
    <mergeCell ref="AJ605:AJ606"/>
    <mergeCell ref="D631:AG632"/>
    <mergeCell ref="J450:M450"/>
    <mergeCell ref="J449:M449"/>
    <mergeCell ref="J448:M448"/>
    <mergeCell ref="J447:M447"/>
    <mergeCell ref="J446:M446"/>
    <mergeCell ref="J445:M445"/>
    <mergeCell ref="N450:Q450"/>
    <mergeCell ref="N449:Q449"/>
    <mergeCell ref="N448:Q448"/>
    <mergeCell ref="N447:Q447"/>
    <mergeCell ref="N446:Q446"/>
    <mergeCell ref="N445:Q445"/>
    <mergeCell ref="R445:U445"/>
    <mergeCell ref="R446:U446"/>
    <mergeCell ref="R447:U447"/>
    <mergeCell ref="R448:U448"/>
    <mergeCell ref="R449:U449"/>
    <mergeCell ref="R450:U450"/>
    <mergeCell ref="Z620:AC620"/>
    <mergeCell ref="Z621:AC621"/>
    <mergeCell ref="AD619:AG619"/>
    <mergeCell ref="AD620:AG620"/>
    <mergeCell ref="AD621:AG621"/>
    <mergeCell ref="D623:AG624"/>
    <mergeCell ref="D626:R626"/>
    <mergeCell ref="S626:AG626"/>
    <mergeCell ref="D628:R628"/>
    <mergeCell ref="D627:R627"/>
    <mergeCell ref="S628:AG628"/>
    <mergeCell ref="S627:AG627"/>
    <mergeCell ref="S607:W607"/>
    <mergeCell ref="D638:K638"/>
    <mergeCell ref="L638:R638"/>
    <mergeCell ref="S638:Y638"/>
    <mergeCell ref="Z638:AG638"/>
    <mergeCell ref="D637:K637"/>
    <mergeCell ref="L637:R637"/>
    <mergeCell ref="S637:Y637"/>
    <mergeCell ref="Z637:AG637"/>
    <mergeCell ref="D634:K634"/>
    <mergeCell ref="L634:R634"/>
    <mergeCell ref="S634:Y634"/>
    <mergeCell ref="Z634:AG634"/>
    <mergeCell ref="D635:K635"/>
    <mergeCell ref="L635:R635"/>
    <mergeCell ref="S635:Y635"/>
    <mergeCell ref="Z635:AG635"/>
    <mergeCell ref="D639:K639"/>
    <mergeCell ref="L639:R639"/>
    <mergeCell ref="S639:Y639"/>
    <mergeCell ref="Z639:AG639"/>
    <mergeCell ref="D636:K636"/>
    <mergeCell ref="L636:R636"/>
    <mergeCell ref="S636:Y636"/>
    <mergeCell ref="Z636:AG636"/>
    <mergeCell ref="D651:O651"/>
    <mergeCell ref="P651:X651"/>
    <mergeCell ref="Y651:AG651"/>
    <mergeCell ref="D652:O652"/>
    <mergeCell ref="P652:X652"/>
    <mergeCell ref="Y652:AG652"/>
    <mergeCell ref="D649:O649"/>
    <mergeCell ref="P649:X649"/>
    <mergeCell ref="Y649:AG649"/>
    <mergeCell ref="D650:O650"/>
    <mergeCell ref="P650:X650"/>
    <mergeCell ref="Y650:AG650"/>
    <mergeCell ref="D648:O648"/>
    <mergeCell ref="P648:X648"/>
    <mergeCell ref="Y648:AG648"/>
    <mergeCell ref="D645:AG645"/>
    <mergeCell ref="D647:O647"/>
    <mergeCell ref="P647:X647"/>
    <mergeCell ref="Y647:AG647"/>
    <mergeCell ref="D655:O655"/>
    <mergeCell ref="P655:X655"/>
    <mergeCell ref="Y655:AG655"/>
    <mergeCell ref="D660:AG660"/>
    <mergeCell ref="J662:U662"/>
    <mergeCell ref="V662:AG662"/>
    <mergeCell ref="D662:I664"/>
    <mergeCell ref="J663:U663"/>
    <mergeCell ref="V663:AG663"/>
    <mergeCell ref="J664:M664"/>
    <mergeCell ref="N664:Q664"/>
    <mergeCell ref="R664:U664"/>
    <mergeCell ref="V664:Y664"/>
    <mergeCell ref="Z664:AC664"/>
    <mergeCell ref="AD664:AG664"/>
    <mergeCell ref="D653:O653"/>
    <mergeCell ref="P653:X653"/>
    <mergeCell ref="Y653:AG653"/>
    <mergeCell ref="D654:O654"/>
    <mergeCell ref="P654:X654"/>
    <mergeCell ref="Y654:AG654"/>
    <mergeCell ref="AD665:AG665"/>
    <mergeCell ref="AD666:AG666"/>
    <mergeCell ref="AD667:AG667"/>
    <mergeCell ref="AI662:AK662"/>
    <mergeCell ref="AL662:AN662"/>
    <mergeCell ref="AI663:AK663"/>
    <mergeCell ref="AL663:AN663"/>
    <mergeCell ref="D672:AG672"/>
    <mergeCell ref="R665:U665"/>
    <mergeCell ref="R666:U666"/>
    <mergeCell ref="R667:U667"/>
    <mergeCell ref="V665:Y665"/>
    <mergeCell ref="V666:Y666"/>
    <mergeCell ref="V667:Y667"/>
    <mergeCell ref="Z665:AC665"/>
    <mergeCell ref="Z666:AC666"/>
    <mergeCell ref="Z667:AC667"/>
    <mergeCell ref="D667:I667"/>
    <mergeCell ref="D666:I666"/>
    <mergeCell ref="D665:I665"/>
    <mergeCell ref="J667:M667"/>
    <mergeCell ref="J666:M666"/>
    <mergeCell ref="J665:M665"/>
    <mergeCell ref="N665:Q665"/>
    <mergeCell ref="N666:Q666"/>
    <mergeCell ref="N667:Q667"/>
    <mergeCell ref="D675:AG675"/>
    <mergeCell ref="D688:Q688"/>
    <mergeCell ref="D687:Q687"/>
    <mergeCell ref="D686:Q686"/>
    <mergeCell ref="D685:Q685"/>
    <mergeCell ref="D684:Q684"/>
    <mergeCell ref="D683:Q683"/>
    <mergeCell ref="D682:Q682"/>
    <mergeCell ref="D681:Q681"/>
    <mergeCell ref="D680:Q680"/>
    <mergeCell ref="D679:Q679"/>
    <mergeCell ref="D678:Q678"/>
    <mergeCell ref="D677:Q677"/>
    <mergeCell ref="R687:AG687"/>
    <mergeCell ref="R686:AG686"/>
    <mergeCell ref="R684:AG684"/>
    <mergeCell ref="R683:AG683"/>
    <mergeCell ref="R682:AG682"/>
    <mergeCell ref="R681:AG681"/>
    <mergeCell ref="R680:AG680"/>
    <mergeCell ref="R679:AG679"/>
    <mergeCell ref="R678:AG678"/>
    <mergeCell ref="R677:AG677"/>
    <mergeCell ref="R688:AG688"/>
    <mergeCell ref="R685:AG685"/>
    <mergeCell ref="D694:Q694"/>
    <mergeCell ref="D693:Q693"/>
    <mergeCell ref="D692:Q692"/>
    <mergeCell ref="D691:Q691"/>
    <mergeCell ref="D690:Q690"/>
    <mergeCell ref="R699:AG699"/>
    <mergeCell ref="R690:AG690"/>
    <mergeCell ref="R691:AG691"/>
    <mergeCell ref="R692:AG692"/>
    <mergeCell ref="R693:AG693"/>
    <mergeCell ref="R694:AG694"/>
    <mergeCell ref="R695:AG695"/>
    <mergeCell ref="R696:AG696"/>
    <mergeCell ref="R697:AG697"/>
    <mergeCell ref="R698:AG698"/>
    <mergeCell ref="D865:M866"/>
    <mergeCell ref="N865:W866"/>
    <mergeCell ref="X865:AG866"/>
    <mergeCell ref="D702:AG702"/>
    <mergeCell ref="D704:H705"/>
    <mergeCell ref="I704:AG704"/>
    <mergeCell ref="I705:M705"/>
    <mergeCell ref="N705:R705"/>
    <mergeCell ref="S705:W705"/>
    <mergeCell ref="X705:AB705"/>
    <mergeCell ref="AC705:AG705"/>
    <mergeCell ref="D706:H706"/>
    <mergeCell ref="I706:M706"/>
    <mergeCell ref="N706:R706"/>
    <mergeCell ref="S706:W706"/>
    <mergeCell ref="X706:AB706"/>
    <mergeCell ref="AC706:AG706"/>
    <mergeCell ref="N966:AG966"/>
    <mergeCell ref="N967:Q967"/>
    <mergeCell ref="R967:U967"/>
    <mergeCell ref="V967:Y967"/>
    <mergeCell ref="Z967:AC967"/>
    <mergeCell ref="AD967:AG967"/>
    <mergeCell ref="N981:Q981"/>
    <mergeCell ref="N980:Q980"/>
    <mergeCell ref="N979:Q979"/>
    <mergeCell ref="N978:Q978"/>
    <mergeCell ref="N977:Q977"/>
    <mergeCell ref="N976:Q976"/>
    <mergeCell ref="D699:Q699"/>
    <mergeCell ref="D698:Q698"/>
    <mergeCell ref="D697:Q697"/>
    <mergeCell ref="D696:Q696"/>
    <mergeCell ref="D695:Q695"/>
    <mergeCell ref="D867:M867"/>
    <mergeCell ref="N867:W867"/>
    <mergeCell ref="X867:AG867"/>
    <mergeCell ref="D868:M868"/>
    <mergeCell ref="N868:W868"/>
    <mergeCell ref="X868:AG868"/>
    <mergeCell ref="D869:M869"/>
    <mergeCell ref="N869:W869"/>
    <mergeCell ref="X869:AG869"/>
    <mergeCell ref="D882:M882"/>
    <mergeCell ref="N882:W882"/>
    <mergeCell ref="X882:AG882"/>
    <mergeCell ref="D870:M870"/>
    <mergeCell ref="N870:W870"/>
    <mergeCell ref="X870:AG870"/>
    <mergeCell ref="D969:M969"/>
    <mergeCell ref="D968:M968"/>
    <mergeCell ref="D966:M967"/>
    <mergeCell ref="D985:M985"/>
    <mergeCell ref="D984:M984"/>
    <mergeCell ref="D983:M983"/>
    <mergeCell ref="D982:M982"/>
    <mergeCell ref="D981:M981"/>
    <mergeCell ref="D980:M980"/>
    <mergeCell ref="D979:M979"/>
    <mergeCell ref="D978:M978"/>
    <mergeCell ref="D977:M977"/>
    <mergeCell ref="D976:M976"/>
    <mergeCell ref="D975:M975"/>
    <mergeCell ref="D974:M974"/>
    <mergeCell ref="D973:M973"/>
    <mergeCell ref="D972:M972"/>
    <mergeCell ref="D971:M971"/>
    <mergeCell ref="D970:M970"/>
    <mergeCell ref="N975:Q975"/>
    <mergeCell ref="N974:Q974"/>
    <mergeCell ref="N973:Q973"/>
    <mergeCell ref="N972:Q972"/>
    <mergeCell ref="N971:Q971"/>
    <mergeCell ref="N970:Q970"/>
    <mergeCell ref="N969:Q969"/>
    <mergeCell ref="N968:Q968"/>
    <mergeCell ref="V968:Y968"/>
    <mergeCell ref="V969:Y969"/>
    <mergeCell ref="V970:Y970"/>
    <mergeCell ref="R968:U968"/>
    <mergeCell ref="R969:U969"/>
    <mergeCell ref="R970:U970"/>
    <mergeCell ref="R971:U971"/>
    <mergeCell ref="R972:U972"/>
    <mergeCell ref="R973:U973"/>
    <mergeCell ref="R974:U974"/>
    <mergeCell ref="R975:U975"/>
    <mergeCell ref="R985:U985"/>
    <mergeCell ref="V980:Y980"/>
    <mergeCell ref="V981:Y981"/>
    <mergeCell ref="V982:Y982"/>
    <mergeCell ref="V983:Y983"/>
    <mergeCell ref="V984:Y984"/>
    <mergeCell ref="V985:Y985"/>
    <mergeCell ref="Z968:AC968"/>
    <mergeCell ref="Z969:AC969"/>
    <mergeCell ref="Z970:AC970"/>
    <mergeCell ref="Z971:AC971"/>
    <mergeCell ref="Z972:AC972"/>
    <mergeCell ref="Z973:AC973"/>
    <mergeCell ref="Z974:AC974"/>
    <mergeCell ref="Z975:AC975"/>
    <mergeCell ref="Z976:AC976"/>
    <mergeCell ref="Z977:AC977"/>
    <mergeCell ref="Z978:AC978"/>
    <mergeCell ref="Z979:AC979"/>
    <mergeCell ref="Z980:AC980"/>
    <mergeCell ref="Z981:AC981"/>
    <mergeCell ref="Z982:AC982"/>
    <mergeCell ref="V971:Y971"/>
    <mergeCell ref="V972:Y972"/>
    <mergeCell ref="V973:Y973"/>
    <mergeCell ref="V974:Y974"/>
    <mergeCell ref="V975:Y975"/>
    <mergeCell ref="V976:Y976"/>
    <mergeCell ref="R976:U976"/>
    <mergeCell ref="R977:U977"/>
    <mergeCell ref="R978:U978"/>
    <mergeCell ref="R979:U979"/>
    <mergeCell ref="R980:U980"/>
    <mergeCell ref="R981:U981"/>
    <mergeCell ref="R982:U982"/>
    <mergeCell ref="R983:U983"/>
    <mergeCell ref="AD968:AG968"/>
    <mergeCell ref="AD969:AG969"/>
    <mergeCell ref="AD970:AG970"/>
    <mergeCell ref="AD971:AG971"/>
    <mergeCell ref="AD972:AG972"/>
    <mergeCell ref="AD973:AG973"/>
    <mergeCell ref="AD974:AG974"/>
    <mergeCell ref="AD975:AG975"/>
    <mergeCell ref="AD976:AG976"/>
    <mergeCell ref="R984:U984"/>
    <mergeCell ref="D988:M989"/>
    <mergeCell ref="N988:AG988"/>
    <mergeCell ref="N989:Q989"/>
    <mergeCell ref="R989:U989"/>
    <mergeCell ref="V989:Y989"/>
    <mergeCell ref="Z989:AC989"/>
    <mergeCell ref="AD989:AG989"/>
    <mergeCell ref="D990:M990"/>
    <mergeCell ref="N990:Q990"/>
    <mergeCell ref="R990:U990"/>
    <mergeCell ref="V990:Y990"/>
    <mergeCell ref="Z990:AC990"/>
    <mergeCell ref="AD990:AG990"/>
    <mergeCell ref="V977:Y977"/>
    <mergeCell ref="V978:Y978"/>
    <mergeCell ref="AD977:AG977"/>
    <mergeCell ref="AD978:AG978"/>
    <mergeCell ref="AD979:AG979"/>
    <mergeCell ref="AD980:AG980"/>
    <mergeCell ref="AD981:AG981"/>
    <mergeCell ref="AD982:AG982"/>
    <mergeCell ref="AD983:AG983"/>
    <mergeCell ref="AD984:AG984"/>
    <mergeCell ref="AD985:AG985"/>
    <mergeCell ref="Z983:AC983"/>
    <mergeCell ref="Z984:AC984"/>
    <mergeCell ref="Z985:AC985"/>
    <mergeCell ref="V979:Y979"/>
    <mergeCell ref="N985:Q985"/>
    <mergeCell ref="N984:Q984"/>
    <mergeCell ref="N983:Q983"/>
    <mergeCell ref="N982:Q982"/>
    <mergeCell ref="D993:M993"/>
    <mergeCell ref="N993:Q993"/>
    <mergeCell ref="R993:U993"/>
    <mergeCell ref="V993:Y993"/>
    <mergeCell ref="Z993:AC993"/>
    <mergeCell ref="AD993:AG993"/>
    <mergeCell ref="D994:M994"/>
    <mergeCell ref="N994:Q994"/>
    <mergeCell ref="R994:U994"/>
    <mergeCell ref="V994:Y994"/>
    <mergeCell ref="Z994:AC994"/>
    <mergeCell ref="AD994:AG994"/>
    <mergeCell ref="D991:M991"/>
    <mergeCell ref="N991:Q991"/>
    <mergeCell ref="R991:U991"/>
    <mergeCell ref="V991:Y991"/>
    <mergeCell ref="Z991:AC991"/>
    <mergeCell ref="AD991:AG991"/>
    <mergeCell ref="D992:M992"/>
    <mergeCell ref="N992:Q992"/>
    <mergeCell ref="R992:U992"/>
    <mergeCell ref="V992:Y992"/>
    <mergeCell ref="Z992:AC992"/>
    <mergeCell ref="AD992:AG992"/>
    <mergeCell ref="AD1000:AG1000"/>
    <mergeCell ref="D997:M997"/>
    <mergeCell ref="N997:Q997"/>
    <mergeCell ref="R997:U997"/>
    <mergeCell ref="V997:Y997"/>
    <mergeCell ref="Z997:AC997"/>
    <mergeCell ref="AD997:AG997"/>
    <mergeCell ref="D998:M998"/>
    <mergeCell ref="N998:Q998"/>
    <mergeCell ref="R998:U998"/>
    <mergeCell ref="V998:Y998"/>
    <mergeCell ref="Z998:AC998"/>
    <mergeCell ref="AD998:AG998"/>
    <mergeCell ref="N999:Q999"/>
    <mergeCell ref="R999:U999"/>
    <mergeCell ref="D995:M995"/>
    <mergeCell ref="N995:Q995"/>
    <mergeCell ref="R995:U995"/>
    <mergeCell ref="V995:Y995"/>
    <mergeCell ref="Z995:AC995"/>
    <mergeCell ref="AD995:AG995"/>
    <mergeCell ref="D996:M996"/>
    <mergeCell ref="N996:Q996"/>
    <mergeCell ref="R996:U996"/>
    <mergeCell ref="V996:Y996"/>
    <mergeCell ref="Z996:AC996"/>
    <mergeCell ref="AD996:AG996"/>
    <mergeCell ref="D1007:M1007"/>
    <mergeCell ref="N1007:Q1007"/>
    <mergeCell ref="R1007:U1007"/>
    <mergeCell ref="V1007:Y1007"/>
    <mergeCell ref="Z1007:AC1007"/>
    <mergeCell ref="AD1007:AG1007"/>
    <mergeCell ref="D1005:M1005"/>
    <mergeCell ref="N1005:Q1005"/>
    <mergeCell ref="R1005:U1005"/>
    <mergeCell ref="V1005:Y1005"/>
    <mergeCell ref="Z1005:AC1005"/>
    <mergeCell ref="AD1005:AG1005"/>
    <mergeCell ref="D1006:M1006"/>
    <mergeCell ref="N1006:Q1006"/>
    <mergeCell ref="AD1001:AG1001"/>
    <mergeCell ref="D1002:M1002"/>
    <mergeCell ref="N1002:Q1002"/>
    <mergeCell ref="D1001:M1001"/>
    <mergeCell ref="N1001:Q1001"/>
    <mergeCell ref="R1001:U1001"/>
    <mergeCell ref="V1001:Y1001"/>
    <mergeCell ref="Z1001:AC1001"/>
    <mergeCell ref="Z1006:AC1006"/>
    <mergeCell ref="AD1006:AG1006"/>
    <mergeCell ref="D1003:M1003"/>
    <mergeCell ref="N1003:Q1003"/>
    <mergeCell ref="R1003:U1003"/>
    <mergeCell ref="V1003:Y1003"/>
    <mergeCell ref="Z1003:AC1003"/>
    <mergeCell ref="AD1003:AG1003"/>
    <mergeCell ref="D1004:M1004"/>
    <mergeCell ref="N1004:Q1004"/>
    <mergeCell ref="R1004:U1004"/>
    <mergeCell ref="V1004:Y1004"/>
    <mergeCell ref="Z1004:AC1004"/>
    <mergeCell ref="AD1004:AG1004"/>
    <mergeCell ref="D915:I915"/>
    <mergeCell ref="J915:M915"/>
    <mergeCell ref="N915:Q915"/>
    <mergeCell ref="R915:U915"/>
    <mergeCell ref="V915:Y915"/>
    <mergeCell ref="D917:I917"/>
    <mergeCell ref="J917:M917"/>
    <mergeCell ref="N917:Q917"/>
    <mergeCell ref="R917:U917"/>
    <mergeCell ref="V917:Y917"/>
    <mergeCell ref="V999:Y999"/>
    <mergeCell ref="Z999:AC999"/>
    <mergeCell ref="AD999:AG999"/>
    <mergeCell ref="D1000:M1000"/>
    <mergeCell ref="N1000:Q1000"/>
    <mergeCell ref="R1000:U1000"/>
    <mergeCell ref="V1000:Y1000"/>
    <mergeCell ref="Z1000:AC1000"/>
    <mergeCell ref="N716:R716"/>
    <mergeCell ref="S716:W716"/>
    <mergeCell ref="X716:AB716"/>
    <mergeCell ref="AC716:AG716"/>
    <mergeCell ref="D708:H708"/>
    <mergeCell ref="D711:H711"/>
    <mergeCell ref="I711:M711"/>
    <mergeCell ref="AC711:AG711"/>
    <mergeCell ref="I708:M708"/>
    <mergeCell ref="AC708:AG708"/>
    <mergeCell ref="D709:H709"/>
    <mergeCell ref="I709:M709"/>
    <mergeCell ref="AC709:AG709"/>
    <mergeCell ref="N708:R708"/>
    <mergeCell ref="S708:W708"/>
    <mergeCell ref="X708:AB708"/>
    <mergeCell ref="N711:R711"/>
    <mergeCell ref="S711:W711"/>
    <mergeCell ref="X711:AB711"/>
    <mergeCell ref="N709:R709"/>
    <mergeCell ref="S709:W709"/>
    <mergeCell ref="X709:AB709"/>
    <mergeCell ref="D715:H715"/>
    <mergeCell ref="I713:M713"/>
    <mergeCell ref="I714:M714"/>
    <mergeCell ref="I715:M715"/>
    <mergeCell ref="D714:H714"/>
    <mergeCell ref="I726:M726"/>
    <mergeCell ref="N721:R721"/>
    <mergeCell ref="S721:W721"/>
    <mergeCell ref="X721:AB721"/>
    <mergeCell ref="AC721:AG721"/>
    <mergeCell ref="D707:H707"/>
    <mergeCell ref="I707:M707"/>
    <mergeCell ref="N707:R707"/>
    <mergeCell ref="S707:W707"/>
    <mergeCell ref="X707:AB707"/>
    <mergeCell ref="AC707:AG707"/>
    <mergeCell ref="D719:H720"/>
    <mergeCell ref="I719:AG719"/>
    <mergeCell ref="I720:M720"/>
    <mergeCell ref="N720:R720"/>
    <mergeCell ref="S720:W720"/>
    <mergeCell ref="X720:AB720"/>
    <mergeCell ref="AC720:AG720"/>
    <mergeCell ref="D710:H710"/>
    <mergeCell ref="I710:M710"/>
    <mergeCell ref="N710:R710"/>
    <mergeCell ref="S710:W710"/>
    <mergeCell ref="X710:AB710"/>
    <mergeCell ref="AC710:AG710"/>
    <mergeCell ref="D712:H712"/>
    <mergeCell ref="I712:M712"/>
    <mergeCell ref="N712:R712"/>
    <mergeCell ref="S712:W712"/>
    <mergeCell ref="X712:AB712"/>
    <mergeCell ref="AC712:AG712"/>
    <mergeCell ref="D716:H716"/>
    <mergeCell ref="I716:M716"/>
    <mergeCell ref="D747:AG747"/>
    <mergeCell ref="D730:H730"/>
    <mergeCell ref="I730:M730"/>
    <mergeCell ref="N730:R730"/>
    <mergeCell ref="S730:W730"/>
    <mergeCell ref="X730:AB730"/>
    <mergeCell ref="AC730:AG730"/>
    <mergeCell ref="D731:H731"/>
    <mergeCell ref="I731:M731"/>
    <mergeCell ref="N731:R731"/>
    <mergeCell ref="S731:W731"/>
    <mergeCell ref="X731:AB731"/>
    <mergeCell ref="AC731:AG731"/>
    <mergeCell ref="D724:H724"/>
    <mergeCell ref="I724:M724"/>
    <mergeCell ref="N724:R724"/>
    <mergeCell ref="S724:W724"/>
    <mergeCell ref="X724:AB724"/>
    <mergeCell ref="AC724:AG724"/>
    <mergeCell ref="D729:H729"/>
    <mergeCell ref="I729:M729"/>
    <mergeCell ref="N729:R729"/>
    <mergeCell ref="S729:W729"/>
    <mergeCell ref="X729:AB729"/>
    <mergeCell ref="AC729:AG729"/>
    <mergeCell ref="D725:H725"/>
    <mergeCell ref="I725:M725"/>
    <mergeCell ref="N725:R725"/>
    <mergeCell ref="S725:W725"/>
    <mergeCell ref="X725:AB725"/>
    <mergeCell ref="AC725:AG725"/>
    <mergeCell ref="I727:M727"/>
    <mergeCell ref="D740:M740"/>
    <mergeCell ref="N740:W740"/>
    <mergeCell ref="X740:AG740"/>
    <mergeCell ref="D742:M742"/>
    <mergeCell ref="N742:W742"/>
    <mergeCell ref="X742:AG742"/>
    <mergeCell ref="D733:AG733"/>
    <mergeCell ref="D737:AG737"/>
    <mergeCell ref="D739:M739"/>
    <mergeCell ref="N739:W739"/>
    <mergeCell ref="X739:AG739"/>
    <mergeCell ref="D745:M745"/>
    <mergeCell ref="N745:W745"/>
    <mergeCell ref="X745:AG745"/>
    <mergeCell ref="D744:M744"/>
    <mergeCell ref="N744:W744"/>
    <mergeCell ref="X744:AG744"/>
    <mergeCell ref="D741:M741"/>
    <mergeCell ref="N741:W741"/>
    <mergeCell ref="X741:AG741"/>
    <mergeCell ref="D743:M743"/>
    <mergeCell ref="N743:W743"/>
    <mergeCell ref="X743:AG743"/>
    <mergeCell ref="N753:W753"/>
    <mergeCell ref="X753:AG753"/>
    <mergeCell ref="X767:AG767"/>
    <mergeCell ref="X768:AG768"/>
    <mergeCell ref="X769:AG769"/>
    <mergeCell ref="N754:W754"/>
    <mergeCell ref="N755:W755"/>
    <mergeCell ref="N756:W756"/>
    <mergeCell ref="N757:W757"/>
    <mergeCell ref="N758:W758"/>
    <mergeCell ref="N759:W759"/>
    <mergeCell ref="N760:W760"/>
    <mergeCell ref="N761:W761"/>
    <mergeCell ref="N762:W762"/>
    <mergeCell ref="D761:M761"/>
    <mergeCell ref="D760:M760"/>
    <mergeCell ref="D759:M759"/>
    <mergeCell ref="D758:M758"/>
    <mergeCell ref="D757:M757"/>
    <mergeCell ref="D756:M756"/>
    <mergeCell ref="D769:M769"/>
    <mergeCell ref="D768:M768"/>
    <mergeCell ref="D767:M767"/>
    <mergeCell ref="D766:M766"/>
    <mergeCell ref="X764:AG764"/>
    <mergeCell ref="X765:AG765"/>
    <mergeCell ref="X766:AG766"/>
    <mergeCell ref="X757:AG757"/>
    <mergeCell ref="X758:AG758"/>
    <mergeCell ref="X759:AG759"/>
    <mergeCell ref="X760:AG760"/>
    <mergeCell ref="X761:AG761"/>
    <mergeCell ref="D751:AG751"/>
    <mergeCell ref="D753:M753"/>
    <mergeCell ref="N766:W766"/>
    <mergeCell ref="N767:W767"/>
    <mergeCell ref="N768:W768"/>
    <mergeCell ref="N769:W769"/>
    <mergeCell ref="N770:W770"/>
    <mergeCell ref="D783:M783"/>
    <mergeCell ref="N783:W783"/>
    <mergeCell ref="X783:AG783"/>
    <mergeCell ref="D784:M784"/>
    <mergeCell ref="N784:W784"/>
    <mergeCell ref="X784:AG784"/>
    <mergeCell ref="D755:M755"/>
    <mergeCell ref="D754:M754"/>
    <mergeCell ref="D775:AG775"/>
    <mergeCell ref="D777:M777"/>
    <mergeCell ref="N777:W777"/>
    <mergeCell ref="X777:AG777"/>
    <mergeCell ref="D778:M778"/>
    <mergeCell ref="N778:W778"/>
    <mergeCell ref="X778:AG778"/>
    <mergeCell ref="X770:AG770"/>
    <mergeCell ref="D772:AG773"/>
    <mergeCell ref="D770:M770"/>
    <mergeCell ref="D765:M765"/>
    <mergeCell ref="D764:M764"/>
    <mergeCell ref="D763:M763"/>
    <mergeCell ref="D762:M762"/>
    <mergeCell ref="X754:AG754"/>
    <mergeCell ref="X755:AG755"/>
    <mergeCell ref="X756:AG756"/>
    <mergeCell ref="X762:AG762"/>
    <mergeCell ref="X763:AG763"/>
    <mergeCell ref="N763:W763"/>
    <mergeCell ref="N764:W764"/>
    <mergeCell ref="N765:W765"/>
    <mergeCell ref="AI794:AK794"/>
    <mergeCell ref="AL794:AN794"/>
    <mergeCell ref="J795:U795"/>
    <mergeCell ref="V795:AG795"/>
    <mergeCell ref="AI795:AK795"/>
    <mergeCell ref="AL795:AN795"/>
    <mergeCell ref="J796:M796"/>
    <mergeCell ref="N796:Q796"/>
    <mergeCell ref="R796:U796"/>
    <mergeCell ref="V796:Y796"/>
    <mergeCell ref="Z796:AC796"/>
    <mergeCell ref="AD796:AG796"/>
    <mergeCell ref="D792:AG792"/>
    <mergeCell ref="D779:M779"/>
    <mergeCell ref="N779:W779"/>
    <mergeCell ref="X779:AG779"/>
    <mergeCell ref="D782:M782"/>
    <mergeCell ref="N782:W782"/>
    <mergeCell ref="X782:AG782"/>
    <mergeCell ref="D781:M781"/>
    <mergeCell ref="N781:W781"/>
    <mergeCell ref="X781:AG781"/>
    <mergeCell ref="D780:M780"/>
    <mergeCell ref="N780:W780"/>
    <mergeCell ref="X780:AG780"/>
    <mergeCell ref="D788:AG788"/>
    <mergeCell ref="D797:I797"/>
    <mergeCell ref="J797:M797"/>
    <mergeCell ref="N797:Q797"/>
    <mergeCell ref="R797:U797"/>
    <mergeCell ref="V797:Y797"/>
    <mergeCell ref="Z797:AC797"/>
    <mergeCell ref="AD797:AG797"/>
    <mergeCell ref="D798:I798"/>
    <mergeCell ref="J798:M798"/>
    <mergeCell ref="N798:Q798"/>
    <mergeCell ref="R798:U798"/>
    <mergeCell ref="V798:Y798"/>
    <mergeCell ref="Z798:AC798"/>
    <mergeCell ref="AD798:AG798"/>
    <mergeCell ref="D794:I796"/>
    <mergeCell ref="J794:U794"/>
    <mergeCell ref="V794:AG794"/>
    <mergeCell ref="D805:AG805"/>
    <mergeCell ref="D807:I808"/>
    <mergeCell ref="N808:Q808"/>
    <mergeCell ref="J808:M808"/>
    <mergeCell ref="R808:U808"/>
    <mergeCell ref="V808:Y808"/>
    <mergeCell ref="Z808:AC808"/>
    <mergeCell ref="AD808:AG808"/>
    <mergeCell ref="J807:Q807"/>
    <mergeCell ref="R807:Y807"/>
    <mergeCell ref="Z807:AG807"/>
    <mergeCell ref="J812:M812"/>
    <mergeCell ref="J811:M811"/>
    <mergeCell ref="J810:M810"/>
    <mergeCell ref="J809:M809"/>
    <mergeCell ref="N809:Q809"/>
    <mergeCell ref="N810:Q810"/>
    <mergeCell ref="N811:Q811"/>
    <mergeCell ref="N812:Q812"/>
    <mergeCell ref="AD811:AG811"/>
    <mergeCell ref="AD812:AG812"/>
    <mergeCell ref="D809:I809"/>
    <mergeCell ref="R809:U809"/>
    <mergeCell ref="R810:U810"/>
    <mergeCell ref="R811:U811"/>
    <mergeCell ref="R812:U812"/>
    <mergeCell ref="D811:I811"/>
    <mergeCell ref="D810:I810"/>
    <mergeCell ref="D799:I799"/>
    <mergeCell ref="J799:M799"/>
    <mergeCell ref="N799:Q799"/>
    <mergeCell ref="R799:U799"/>
    <mergeCell ref="D835:M835"/>
    <mergeCell ref="N835:W835"/>
    <mergeCell ref="X835:AG835"/>
    <mergeCell ref="D842:M842"/>
    <mergeCell ref="D841:M841"/>
    <mergeCell ref="D840:M840"/>
    <mergeCell ref="N840:W840"/>
    <mergeCell ref="X840:AG840"/>
    <mergeCell ref="N841:W841"/>
    <mergeCell ref="X841:AG841"/>
    <mergeCell ref="N842:W842"/>
    <mergeCell ref="X842:AG842"/>
    <mergeCell ref="V813:Y813"/>
    <mergeCell ref="Z809:AC809"/>
    <mergeCell ref="Z810:AC810"/>
    <mergeCell ref="Z811:AC811"/>
    <mergeCell ref="Z812:AC812"/>
    <mergeCell ref="Z813:AC813"/>
    <mergeCell ref="AD809:AG809"/>
    <mergeCell ref="AD810:AG810"/>
    <mergeCell ref="V799:Y799"/>
    <mergeCell ref="Z799:AC799"/>
    <mergeCell ref="AD799:AG799"/>
    <mergeCell ref="V809:Y809"/>
    <mergeCell ref="V810:Y810"/>
    <mergeCell ref="V811:Y811"/>
    <mergeCell ref="V812:Y812"/>
    <mergeCell ref="D803:AG803"/>
    <mergeCell ref="D1021:AG1022"/>
    <mergeCell ref="D1024:AG1024"/>
    <mergeCell ref="D863:AG863"/>
    <mergeCell ref="N846:W846"/>
    <mergeCell ref="X846:AG846"/>
    <mergeCell ref="D848:AG848"/>
    <mergeCell ref="D850:M851"/>
    <mergeCell ref="N850:W851"/>
    <mergeCell ref="X850:AG851"/>
    <mergeCell ref="D852:M852"/>
    <mergeCell ref="N852:W852"/>
    <mergeCell ref="X852:AG852"/>
    <mergeCell ref="D853:M853"/>
    <mergeCell ref="N853:W853"/>
    <mergeCell ref="X853:AG853"/>
    <mergeCell ref="D854:M854"/>
    <mergeCell ref="N854:W854"/>
    <mergeCell ref="X854:AG854"/>
    <mergeCell ref="D855:M855"/>
    <mergeCell ref="N855:W855"/>
    <mergeCell ref="X855:AG855"/>
    <mergeCell ref="D858:M858"/>
    <mergeCell ref="D1011:AG1011"/>
    <mergeCell ref="D1013:AG1013"/>
    <mergeCell ref="R1002:U1002"/>
    <mergeCell ref="V1002:Y1002"/>
    <mergeCell ref="Z1002:AC1002"/>
    <mergeCell ref="AD1002:AG1002"/>
    <mergeCell ref="D999:M999"/>
    <mergeCell ref="D1009:AG1009"/>
    <mergeCell ref="R1006:U1006"/>
    <mergeCell ref="V1006:Y1006"/>
    <mergeCell ref="M217:O217"/>
    <mergeCell ref="M218:O218"/>
    <mergeCell ref="M219:O219"/>
    <mergeCell ref="M220:O220"/>
    <mergeCell ref="P217:R217"/>
    <mergeCell ref="P218:R218"/>
    <mergeCell ref="P219:R219"/>
    <mergeCell ref="P220:R220"/>
    <mergeCell ref="S217:U217"/>
    <mergeCell ref="S218:U218"/>
    <mergeCell ref="D211:AG211"/>
    <mergeCell ref="AE215:AG215"/>
    <mergeCell ref="V213:X213"/>
    <mergeCell ref="V214:X214"/>
    <mergeCell ref="V215:X215"/>
    <mergeCell ref="Y212:AA212"/>
    <mergeCell ref="Y213:AA213"/>
    <mergeCell ref="Y214:AA214"/>
    <mergeCell ref="AB212:AD212"/>
    <mergeCell ref="AB213:AD213"/>
    <mergeCell ref="D1017:AG1017"/>
    <mergeCell ref="N856:W856"/>
    <mergeCell ref="X856:AG856"/>
    <mergeCell ref="D857:M857"/>
    <mergeCell ref="N857:W857"/>
    <mergeCell ref="X857:AG857"/>
    <mergeCell ref="N858:W858"/>
    <mergeCell ref="X858:AG858"/>
    <mergeCell ref="D861:AG861"/>
    <mergeCell ref="D836:M836"/>
    <mergeCell ref="N836:W836"/>
    <mergeCell ref="X836:AG836"/>
    <mergeCell ref="D837:M837"/>
    <mergeCell ref="N837:W837"/>
    <mergeCell ref="X837:AG837"/>
    <mergeCell ref="D838:M838"/>
    <mergeCell ref="Y206:AA206"/>
    <mergeCell ref="Y207:AA207"/>
    <mergeCell ref="Y208:AA208"/>
    <mergeCell ref="Y209:AA209"/>
    <mergeCell ref="Y210:AA210"/>
    <mergeCell ref="AB206:AD206"/>
    <mergeCell ref="AB207:AD207"/>
    <mergeCell ref="AB208:AD208"/>
    <mergeCell ref="AB209:AD209"/>
    <mergeCell ref="AB210:AD210"/>
    <mergeCell ref="AE206:AG206"/>
    <mergeCell ref="AE207:AG207"/>
    <mergeCell ref="AE208:AG208"/>
    <mergeCell ref="AE209:AG209"/>
    <mergeCell ref="AE210:AG210"/>
    <mergeCell ref="D216:AG216"/>
    <mergeCell ref="S206:U206"/>
    <mergeCell ref="S207:U207"/>
    <mergeCell ref="S208:U208"/>
    <mergeCell ref="S209:U209"/>
    <mergeCell ref="S210:U210"/>
    <mergeCell ref="V206:X206"/>
    <mergeCell ref="V207:X207"/>
    <mergeCell ref="V208:X208"/>
    <mergeCell ref="D205:AG205"/>
    <mergeCell ref="D221:AG221"/>
    <mergeCell ref="J212:L212"/>
    <mergeCell ref="J213:L213"/>
    <mergeCell ref="J214:L214"/>
    <mergeCell ref="J215:L215"/>
    <mergeCell ref="M212:O212"/>
    <mergeCell ref="M213:O213"/>
    <mergeCell ref="M214:O214"/>
    <mergeCell ref="M215:O215"/>
    <mergeCell ref="P212:R212"/>
    <mergeCell ref="P213:R213"/>
    <mergeCell ref="P214:R214"/>
    <mergeCell ref="P215:R215"/>
    <mergeCell ref="S212:U212"/>
    <mergeCell ref="S213:U213"/>
    <mergeCell ref="S214:U214"/>
    <mergeCell ref="S215:U215"/>
    <mergeCell ref="V212:X212"/>
    <mergeCell ref="V209:X209"/>
    <mergeCell ref="D217:I217"/>
    <mergeCell ref="D220:I220"/>
    <mergeCell ref="J219:L219"/>
    <mergeCell ref="J220:L220"/>
    <mergeCell ref="AI202:AP202"/>
    <mergeCell ref="AR202:AY202"/>
    <mergeCell ref="BA202:BH202"/>
    <mergeCell ref="D226:I227"/>
    <mergeCell ref="J226:AG226"/>
    <mergeCell ref="J227:L227"/>
    <mergeCell ref="M227:O227"/>
    <mergeCell ref="P227:R227"/>
    <mergeCell ref="S227:U227"/>
    <mergeCell ref="V227:X227"/>
    <mergeCell ref="Y227:AA227"/>
    <mergeCell ref="AB227:AD227"/>
    <mergeCell ref="AE227:AG227"/>
    <mergeCell ref="S219:U219"/>
    <mergeCell ref="S220:U220"/>
    <mergeCell ref="V217:X217"/>
    <mergeCell ref="V218:X218"/>
    <mergeCell ref="V219:X219"/>
    <mergeCell ref="V220:X220"/>
    <mergeCell ref="Y217:AA217"/>
    <mergeCell ref="Y218:AA218"/>
    <mergeCell ref="Y219:AA219"/>
    <mergeCell ref="J222:L222"/>
    <mergeCell ref="J223:L223"/>
    <mergeCell ref="M222:O222"/>
    <mergeCell ref="M223:O223"/>
    <mergeCell ref="P222:R222"/>
    <mergeCell ref="P223:R223"/>
    <mergeCell ref="S222:U222"/>
    <mergeCell ref="S223:U223"/>
    <mergeCell ref="V222:X222"/>
    <mergeCell ref="P207:R207"/>
    <mergeCell ref="Y229:AA229"/>
    <mergeCell ref="AB229:AD229"/>
    <mergeCell ref="AE229:AG229"/>
    <mergeCell ref="Y220:AA220"/>
    <mergeCell ref="AB217:AD217"/>
    <mergeCell ref="AB218:AD218"/>
    <mergeCell ref="AB219:AD219"/>
    <mergeCell ref="AB220:AD220"/>
    <mergeCell ref="AE217:AG217"/>
    <mergeCell ref="AE218:AG218"/>
    <mergeCell ref="AE219:AG219"/>
    <mergeCell ref="AE220:AG220"/>
    <mergeCell ref="AB222:AD222"/>
    <mergeCell ref="AB223:AD223"/>
    <mergeCell ref="AE222:AG222"/>
    <mergeCell ref="AE223:AG223"/>
    <mergeCell ref="V223:X223"/>
    <mergeCell ref="Y222:AA222"/>
    <mergeCell ref="Y223:AA223"/>
    <mergeCell ref="D230:I230"/>
    <mergeCell ref="J230:L230"/>
    <mergeCell ref="M230:O230"/>
    <mergeCell ref="P230:R230"/>
    <mergeCell ref="S230:U230"/>
    <mergeCell ref="V230:X230"/>
    <mergeCell ref="Y230:AA230"/>
    <mergeCell ref="AB230:AD230"/>
    <mergeCell ref="AE230:AG230"/>
    <mergeCell ref="D231:I231"/>
    <mergeCell ref="J231:L231"/>
    <mergeCell ref="M231:O231"/>
    <mergeCell ref="P231:R231"/>
    <mergeCell ref="S231:U231"/>
    <mergeCell ref="V231:X231"/>
    <mergeCell ref="Y231:AA231"/>
    <mergeCell ref="AB231:AD231"/>
    <mergeCell ref="AE231:AG231"/>
    <mergeCell ref="D232:I232"/>
    <mergeCell ref="J232:L232"/>
    <mergeCell ref="M232:O232"/>
    <mergeCell ref="P232:R232"/>
    <mergeCell ref="S232:U232"/>
    <mergeCell ref="V232:X232"/>
    <mergeCell ref="Y232:AA232"/>
    <mergeCell ref="AB232:AD232"/>
    <mergeCell ref="AE232:AG232"/>
    <mergeCell ref="D233:I233"/>
    <mergeCell ref="J233:L233"/>
    <mergeCell ref="M233:O233"/>
    <mergeCell ref="P233:R233"/>
    <mergeCell ref="S233:U233"/>
    <mergeCell ref="V233:X233"/>
    <mergeCell ref="Y233:AA233"/>
    <mergeCell ref="AB233:AD233"/>
    <mergeCell ref="AE233:AG233"/>
    <mergeCell ref="D234:AG234"/>
    <mergeCell ref="D235:I235"/>
    <mergeCell ref="J235:L235"/>
    <mergeCell ref="M235:O235"/>
    <mergeCell ref="P235:R235"/>
    <mergeCell ref="S235:U235"/>
    <mergeCell ref="V235:X235"/>
    <mergeCell ref="Y235:AA235"/>
    <mergeCell ref="AB235:AD235"/>
    <mergeCell ref="AE235:AG235"/>
    <mergeCell ref="D236:I236"/>
    <mergeCell ref="J236:L236"/>
    <mergeCell ref="M236:O236"/>
    <mergeCell ref="P236:R236"/>
    <mergeCell ref="S236:U236"/>
    <mergeCell ref="V236:X236"/>
    <mergeCell ref="Y236:AA236"/>
    <mergeCell ref="AB236:AD236"/>
    <mergeCell ref="AE236:AG236"/>
    <mergeCell ref="D237:I237"/>
    <mergeCell ref="J237:L237"/>
    <mergeCell ref="M237:O237"/>
    <mergeCell ref="P237:R237"/>
    <mergeCell ref="S237:U237"/>
    <mergeCell ref="V237:X237"/>
    <mergeCell ref="Y237:AA237"/>
    <mergeCell ref="AB237:AD237"/>
    <mergeCell ref="AE237:AG237"/>
    <mergeCell ref="D238:I238"/>
    <mergeCell ref="J238:L238"/>
    <mergeCell ref="M238:O238"/>
    <mergeCell ref="P238:R238"/>
    <mergeCell ref="S238:U238"/>
    <mergeCell ref="V238:X238"/>
    <mergeCell ref="Y238:AA238"/>
    <mergeCell ref="AB238:AD238"/>
    <mergeCell ref="AE238:AG238"/>
    <mergeCell ref="D239:AG239"/>
    <mergeCell ref="D240:I240"/>
    <mergeCell ref="J240:L240"/>
    <mergeCell ref="M240:O240"/>
    <mergeCell ref="P240:R240"/>
    <mergeCell ref="S240:U240"/>
    <mergeCell ref="V240:X240"/>
    <mergeCell ref="Y240:AA240"/>
    <mergeCell ref="AB240:AD240"/>
    <mergeCell ref="AE240:AG240"/>
    <mergeCell ref="D241:I241"/>
    <mergeCell ref="J241:L241"/>
    <mergeCell ref="M241:O241"/>
    <mergeCell ref="P241:R241"/>
    <mergeCell ref="S241:U241"/>
    <mergeCell ref="V241:X241"/>
    <mergeCell ref="Y241:AA241"/>
    <mergeCell ref="AB241:AD241"/>
    <mergeCell ref="AE241:AG241"/>
    <mergeCell ref="D242:I242"/>
    <mergeCell ref="J242:L242"/>
    <mergeCell ref="M242:O242"/>
    <mergeCell ref="P242:R242"/>
    <mergeCell ref="S242:U242"/>
    <mergeCell ref="V242:X242"/>
    <mergeCell ref="Y242:AA242"/>
    <mergeCell ref="AB242:AD242"/>
    <mergeCell ref="AE242:AG242"/>
    <mergeCell ref="D243:I243"/>
    <mergeCell ref="J243:L243"/>
    <mergeCell ref="M243:O243"/>
    <mergeCell ref="P243:R243"/>
    <mergeCell ref="S243:U243"/>
    <mergeCell ref="V243:X243"/>
    <mergeCell ref="Y243:AA243"/>
    <mergeCell ref="AB243:AD243"/>
    <mergeCell ref="AE243:AG243"/>
    <mergeCell ref="D263:AG266"/>
    <mergeCell ref="D267:AG268"/>
    <mergeCell ref="D269:AG269"/>
    <mergeCell ref="D271:AG271"/>
    <mergeCell ref="D281:G281"/>
    <mergeCell ref="H279:J279"/>
    <mergeCell ref="K279:M279"/>
    <mergeCell ref="N279:P279"/>
    <mergeCell ref="Q279:S279"/>
    <mergeCell ref="AF279:AH279"/>
    <mergeCell ref="AC279:AE279"/>
    <mergeCell ref="D244:AG244"/>
    <mergeCell ref="D245:I245"/>
    <mergeCell ref="J245:L245"/>
    <mergeCell ref="M245:O245"/>
    <mergeCell ref="P245:R245"/>
    <mergeCell ref="S245:U245"/>
    <mergeCell ref="V245:X245"/>
    <mergeCell ref="Y245:AA245"/>
    <mergeCell ref="AB245:AD245"/>
    <mergeCell ref="AE245:AG245"/>
    <mergeCell ref="D246:I246"/>
    <mergeCell ref="J246:L246"/>
    <mergeCell ref="M246:O246"/>
    <mergeCell ref="P246:R246"/>
    <mergeCell ref="S246:U246"/>
    <mergeCell ref="V246:X246"/>
    <mergeCell ref="Y246:AA246"/>
    <mergeCell ref="AB246:AD246"/>
    <mergeCell ref="AE246:AG246"/>
    <mergeCell ref="E257:AG257"/>
    <mergeCell ref="E259:AG259"/>
    <mergeCell ref="D285:G285"/>
    <mergeCell ref="D284:G284"/>
    <mergeCell ref="H284:J284"/>
    <mergeCell ref="K284:M284"/>
    <mergeCell ref="N284:P284"/>
    <mergeCell ref="Q284:S284"/>
    <mergeCell ref="T284:V284"/>
    <mergeCell ref="W284:Y284"/>
    <mergeCell ref="Z284:AB284"/>
    <mergeCell ref="AC284:AE284"/>
    <mergeCell ref="AF284:AH284"/>
    <mergeCell ref="H285:J285"/>
    <mergeCell ref="D283:G283"/>
    <mergeCell ref="D282:G282"/>
    <mergeCell ref="H283:J283"/>
    <mergeCell ref="K283:M283"/>
    <mergeCell ref="N283:P283"/>
    <mergeCell ref="Q283:S283"/>
    <mergeCell ref="T283:V283"/>
    <mergeCell ref="W283:Y283"/>
    <mergeCell ref="Z283:AB283"/>
    <mergeCell ref="AC283:AE283"/>
    <mergeCell ref="AF283:AH283"/>
    <mergeCell ref="K285:M285"/>
    <mergeCell ref="N285:P285"/>
    <mergeCell ref="Q285:S285"/>
    <mergeCell ref="T285:V285"/>
    <mergeCell ref="W285:Y285"/>
    <mergeCell ref="Z285:AB285"/>
    <mergeCell ref="AC285:AE285"/>
    <mergeCell ref="AF285:AH285"/>
    <mergeCell ref="D290:G290"/>
    <mergeCell ref="D289:G289"/>
    <mergeCell ref="H289:J289"/>
    <mergeCell ref="K289:M289"/>
    <mergeCell ref="N289:P289"/>
    <mergeCell ref="Q289:S289"/>
    <mergeCell ref="T289:V289"/>
    <mergeCell ref="W289:Y289"/>
    <mergeCell ref="Z289:AB289"/>
    <mergeCell ref="AC289:AE289"/>
    <mergeCell ref="AF289:AH289"/>
    <mergeCell ref="H290:J290"/>
    <mergeCell ref="K290:M290"/>
    <mergeCell ref="N290:P290"/>
    <mergeCell ref="D288:G288"/>
    <mergeCell ref="D287:G287"/>
    <mergeCell ref="H288:J288"/>
    <mergeCell ref="K288:M288"/>
    <mergeCell ref="N288:P288"/>
    <mergeCell ref="Q288:S288"/>
    <mergeCell ref="T288:V288"/>
    <mergeCell ref="W288:Y288"/>
    <mergeCell ref="Z288:AB288"/>
    <mergeCell ref="AC288:AE288"/>
    <mergeCell ref="AF288:AH288"/>
    <mergeCell ref="H287:J287"/>
    <mergeCell ref="K287:M287"/>
    <mergeCell ref="N287:P287"/>
    <mergeCell ref="Q287:S287"/>
    <mergeCell ref="T287:V287"/>
    <mergeCell ref="W287:Y287"/>
    <mergeCell ref="Z287:AB287"/>
    <mergeCell ref="D298:G298"/>
    <mergeCell ref="D297:G297"/>
    <mergeCell ref="H298:J298"/>
    <mergeCell ref="K298:M298"/>
    <mergeCell ref="N298:P298"/>
    <mergeCell ref="Q298:S298"/>
    <mergeCell ref="T298:V298"/>
    <mergeCell ref="W298:Y298"/>
    <mergeCell ref="Z298:AB298"/>
    <mergeCell ref="AC298:AE298"/>
    <mergeCell ref="AF298:AH298"/>
    <mergeCell ref="D294:G294"/>
    <mergeCell ref="D293:G293"/>
    <mergeCell ref="D292:G292"/>
    <mergeCell ref="D295:G295"/>
    <mergeCell ref="H294:J294"/>
    <mergeCell ref="K294:M294"/>
    <mergeCell ref="N294:P294"/>
    <mergeCell ref="Q294:S294"/>
    <mergeCell ref="T294:V294"/>
    <mergeCell ref="W294:Y294"/>
    <mergeCell ref="Z294:AB294"/>
    <mergeCell ref="AC294:AE294"/>
    <mergeCell ref="AF294:AH294"/>
    <mergeCell ref="Z279:AB279"/>
    <mergeCell ref="W279:Y279"/>
    <mergeCell ref="T279:V279"/>
    <mergeCell ref="H278:AH278"/>
    <mergeCell ref="AF281:AH281"/>
    <mergeCell ref="AC281:AE281"/>
    <mergeCell ref="Z281:AB281"/>
    <mergeCell ref="W281:Y281"/>
    <mergeCell ref="T281:V281"/>
    <mergeCell ref="Q281:S281"/>
    <mergeCell ref="N281:P281"/>
    <mergeCell ref="K281:M281"/>
    <mergeCell ref="H281:J281"/>
    <mergeCell ref="H282:J282"/>
    <mergeCell ref="K282:M282"/>
    <mergeCell ref="N282:P282"/>
    <mergeCell ref="Q282:S282"/>
    <mergeCell ref="T282:V282"/>
    <mergeCell ref="W282:Y282"/>
    <mergeCell ref="Z282:AB282"/>
    <mergeCell ref="AC282:AE282"/>
    <mergeCell ref="AF282:AH282"/>
    <mergeCell ref="AC287:AE287"/>
    <mergeCell ref="AF287:AH287"/>
    <mergeCell ref="Z297:AB297"/>
    <mergeCell ref="AC297:AE297"/>
    <mergeCell ref="AF297:AH297"/>
    <mergeCell ref="Q290:S290"/>
    <mergeCell ref="T290:V290"/>
    <mergeCell ref="W290:Y290"/>
    <mergeCell ref="Z290:AB290"/>
    <mergeCell ref="AC290:AE290"/>
    <mergeCell ref="AF290:AH290"/>
    <mergeCell ref="H292:J292"/>
    <mergeCell ref="K292:M292"/>
    <mergeCell ref="N292:P292"/>
    <mergeCell ref="Q292:S292"/>
    <mergeCell ref="T292:V292"/>
    <mergeCell ref="W292:Y292"/>
    <mergeCell ref="Z292:AB292"/>
    <mergeCell ref="AC292:AE292"/>
    <mergeCell ref="AF292:AH292"/>
    <mergeCell ref="H293:J293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D278:G279"/>
    <mergeCell ref="D296:AH296"/>
    <mergeCell ref="D291:AH291"/>
    <mergeCell ref="D286:AH286"/>
    <mergeCell ref="D280:AH280"/>
    <mergeCell ref="D302:G303"/>
    <mergeCell ref="H302:AH302"/>
    <mergeCell ref="H303:J303"/>
    <mergeCell ref="K303:M303"/>
    <mergeCell ref="N303:P303"/>
    <mergeCell ref="Q303:S303"/>
    <mergeCell ref="T303:V303"/>
    <mergeCell ref="W303:Y303"/>
    <mergeCell ref="Z303:AB303"/>
    <mergeCell ref="AC303:AE303"/>
    <mergeCell ref="AF303:AH303"/>
    <mergeCell ref="D304:AH304"/>
    <mergeCell ref="H295:J295"/>
    <mergeCell ref="K295:M295"/>
    <mergeCell ref="N295:P295"/>
    <mergeCell ref="Q295:S295"/>
    <mergeCell ref="T295:V295"/>
    <mergeCell ref="W295:Y295"/>
    <mergeCell ref="Z295:AB295"/>
    <mergeCell ref="AC295:AE295"/>
    <mergeCell ref="AF295:AH295"/>
    <mergeCell ref="H297:J297"/>
    <mergeCell ref="K297:M297"/>
    <mergeCell ref="N297:P297"/>
    <mergeCell ref="Q297:S297"/>
    <mergeCell ref="T297:V297"/>
    <mergeCell ref="W297:Y297"/>
    <mergeCell ref="D305:G305"/>
    <mergeCell ref="H305:J305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D306:G306"/>
    <mergeCell ref="H306:J306"/>
    <mergeCell ref="K306:M306"/>
    <mergeCell ref="N306:P306"/>
    <mergeCell ref="Q306:S306"/>
    <mergeCell ref="T306:V306"/>
    <mergeCell ref="W306:Y306"/>
    <mergeCell ref="Z306:AB306"/>
    <mergeCell ref="AC306:AE306"/>
    <mergeCell ref="AF306:AH306"/>
    <mergeCell ref="D307:G307"/>
    <mergeCell ref="H307:J307"/>
    <mergeCell ref="K307:M307"/>
    <mergeCell ref="N307:P307"/>
    <mergeCell ref="Q307:S307"/>
    <mergeCell ref="T307:V307"/>
    <mergeCell ref="W307:Y307"/>
    <mergeCell ref="Z307:AB307"/>
    <mergeCell ref="AC307:AE307"/>
    <mergeCell ref="AF307:AH307"/>
    <mergeCell ref="D308:G308"/>
    <mergeCell ref="H308:J308"/>
    <mergeCell ref="K308:M308"/>
    <mergeCell ref="N308:P308"/>
    <mergeCell ref="Q308:S308"/>
    <mergeCell ref="T308:V308"/>
    <mergeCell ref="W308:Y308"/>
    <mergeCell ref="Z308:AB308"/>
    <mergeCell ref="AC308:AE308"/>
    <mergeCell ref="AF308:AH308"/>
    <mergeCell ref="D309:G309"/>
    <mergeCell ref="H309:J309"/>
    <mergeCell ref="K309:M309"/>
    <mergeCell ref="N309:P309"/>
    <mergeCell ref="Q309:S309"/>
    <mergeCell ref="T309:V309"/>
    <mergeCell ref="W309:Y309"/>
    <mergeCell ref="Z309:AB309"/>
    <mergeCell ref="AC309:AE309"/>
    <mergeCell ref="AF309:AH309"/>
    <mergeCell ref="D310:AH310"/>
    <mergeCell ref="D311:G311"/>
    <mergeCell ref="H311:J311"/>
    <mergeCell ref="K311:M311"/>
    <mergeCell ref="N311:P311"/>
    <mergeCell ref="Q311:S311"/>
    <mergeCell ref="T311:V311"/>
    <mergeCell ref="W311:Y311"/>
    <mergeCell ref="Z311:AB311"/>
    <mergeCell ref="AC311:AE311"/>
    <mergeCell ref="AF311:AH311"/>
    <mergeCell ref="D312:G312"/>
    <mergeCell ref="H312:J312"/>
    <mergeCell ref="K312:M312"/>
    <mergeCell ref="N312:P312"/>
    <mergeCell ref="Q312:S312"/>
    <mergeCell ref="T312:V312"/>
    <mergeCell ref="W312:Y312"/>
    <mergeCell ref="Z312:AB312"/>
    <mergeCell ref="AC312:AE312"/>
    <mergeCell ref="AF312:AH312"/>
    <mergeCell ref="D313:G313"/>
    <mergeCell ref="H313:J313"/>
    <mergeCell ref="K313:M313"/>
    <mergeCell ref="N313:P313"/>
    <mergeCell ref="Q313:S313"/>
    <mergeCell ref="T313:V313"/>
    <mergeCell ref="W313:Y313"/>
    <mergeCell ref="Z313:AB313"/>
    <mergeCell ref="AC313:AE313"/>
    <mergeCell ref="AF313:AH313"/>
    <mergeCell ref="D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D315:AH315"/>
    <mergeCell ref="D316:G316"/>
    <mergeCell ref="H316:J316"/>
    <mergeCell ref="K316:M316"/>
    <mergeCell ref="N316:P316"/>
    <mergeCell ref="Q316:S316"/>
    <mergeCell ref="T316:V316"/>
    <mergeCell ref="W316:Y316"/>
    <mergeCell ref="Z316:AB316"/>
    <mergeCell ref="AC316:AE316"/>
    <mergeCell ref="AF316:AH316"/>
    <mergeCell ref="D317:G317"/>
    <mergeCell ref="H317:J317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D318:G318"/>
    <mergeCell ref="H318:J318"/>
    <mergeCell ref="K318:M318"/>
    <mergeCell ref="N318:P318"/>
    <mergeCell ref="Q318:S318"/>
    <mergeCell ref="T318:V318"/>
    <mergeCell ref="W318:Y318"/>
    <mergeCell ref="Z318:AB318"/>
    <mergeCell ref="AC318:AE318"/>
    <mergeCell ref="AF318:AH318"/>
    <mergeCell ref="H361:J361"/>
    <mergeCell ref="K361:M361"/>
    <mergeCell ref="N361:P361"/>
    <mergeCell ref="Q361:S361"/>
    <mergeCell ref="T361:V361"/>
    <mergeCell ref="W361:Y361"/>
    <mergeCell ref="Z361:AB361"/>
    <mergeCell ref="AC361:AE361"/>
    <mergeCell ref="AF361:AH361"/>
    <mergeCell ref="D362:G362"/>
    <mergeCell ref="H362:J362"/>
    <mergeCell ref="K362:M362"/>
    <mergeCell ref="N362:P362"/>
    <mergeCell ref="Q362:S362"/>
    <mergeCell ref="T362:V362"/>
    <mergeCell ref="W362:Y362"/>
    <mergeCell ref="Z362:AB362"/>
    <mergeCell ref="AC362:AE362"/>
    <mergeCell ref="AF362:AH362"/>
    <mergeCell ref="D363:G363"/>
    <mergeCell ref="H363:J363"/>
    <mergeCell ref="K363:M363"/>
    <mergeCell ref="N363:P363"/>
    <mergeCell ref="Q363:S363"/>
    <mergeCell ref="T363:V363"/>
    <mergeCell ref="W363:Y363"/>
    <mergeCell ref="Z363:AB363"/>
    <mergeCell ref="AC363:AE363"/>
    <mergeCell ref="AF363:AH363"/>
    <mergeCell ref="D364:G364"/>
    <mergeCell ref="H364:J364"/>
    <mergeCell ref="K364:M364"/>
    <mergeCell ref="N364:P364"/>
    <mergeCell ref="Q364:S364"/>
    <mergeCell ref="T364:V364"/>
    <mergeCell ref="W364:Y364"/>
    <mergeCell ref="Z364:AB364"/>
    <mergeCell ref="AC364:AE364"/>
    <mergeCell ref="AF364:AH364"/>
    <mergeCell ref="D365:AH365"/>
    <mergeCell ref="D366:G366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AF366:AH366"/>
    <mergeCell ref="D367:G367"/>
    <mergeCell ref="H367:J367"/>
    <mergeCell ref="K367:M367"/>
    <mergeCell ref="N367:P367"/>
    <mergeCell ref="Q367:S367"/>
    <mergeCell ref="T367:V367"/>
    <mergeCell ref="W367:Y367"/>
    <mergeCell ref="Z367:AB367"/>
    <mergeCell ref="AC367:AE367"/>
    <mergeCell ref="AF367:AH367"/>
    <mergeCell ref="D368:G368"/>
    <mergeCell ref="H368:J368"/>
    <mergeCell ref="K368:M368"/>
    <mergeCell ref="N368:P368"/>
    <mergeCell ref="Q368:S368"/>
    <mergeCell ref="T368:V368"/>
    <mergeCell ref="W368:Y368"/>
    <mergeCell ref="Z368:AB368"/>
    <mergeCell ref="AC368:AE368"/>
    <mergeCell ref="AF368:AH368"/>
    <mergeCell ref="D369:G369"/>
    <mergeCell ref="H369:J369"/>
    <mergeCell ref="K369:M369"/>
    <mergeCell ref="N369:P369"/>
    <mergeCell ref="Q369:S369"/>
    <mergeCell ref="T369:V369"/>
    <mergeCell ref="W369:Y369"/>
    <mergeCell ref="Z369:AB369"/>
    <mergeCell ref="AC369:AE369"/>
    <mergeCell ref="AF369:AH369"/>
    <mergeCell ref="D370:AH370"/>
    <mergeCell ref="D371:G371"/>
    <mergeCell ref="H371:J371"/>
    <mergeCell ref="K371:M371"/>
    <mergeCell ref="N371:P371"/>
    <mergeCell ref="Q371:S371"/>
    <mergeCell ref="T371:V371"/>
    <mergeCell ref="W371:Y371"/>
    <mergeCell ref="Z371:AB371"/>
    <mergeCell ref="AC371:AE371"/>
    <mergeCell ref="AF371:AH371"/>
    <mergeCell ref="D372:G372"/>
    <mergeCell ref="H372:J372"/>
    <mergeCell ref="K372:M372"/>
    <mergeCell ref="N372:P372"/>
    <mergeCell ref="Q372:S372"/>
    <mergeCell ref="T372:V372"/>
    <mergeCell ref="W372:Y372"/>
    <mergeCell ref="Z372:AB372"/>
    <mergeCell ref="AC372:AE372"/>
    <mergeCell ref="AF372:AH372"/>
    <mergeCell ref="D374:G374"/>
    <mergeCell ref="H374:J374"/>
    <mergeCell ref="K374:M374"/>
    <mergeCell ref="N374:P374"/>
    <mergeCell ref="Q374:S374"/>
    <mergeCell ref="T374:V374"/>
    <mergeCell ref="W374:Y374"/>
    <mergeCell ref="Z374:AB374"/>
    <mergeCell ref="AC374:AE374"/>
    <mergeCell ref="AF374:AH374"/>
    <mergeCell ref="D375:G375"/>
    <mergeCell ref="H375:J375"/>
    <mergeCell ref="K375:M375"/>
    <mergeCell ref="N375:P375"/>
    <mergeCell ref="Q375:S375"/>
    <mergeCell ref="T375:V375"/>
    <mergeCell ref="W375:Y375"/>
    <mergeCell ref="Z375:AB375"/>
    <mergeCell ref="AC375:AE375"/>
    <mergeCell ref="AF375:AH375"/>
    <mergeCell ref="D376:AH376"/>
    <mergeCell ref="D377:G377"/>
    <mergeCell ref="H377:J377"/>
    <mergeCell ref="K377:M377"/>
    <mergeCell ref="N377:P377"/>
    <mergeCell ref="Q377:S377"/>
    <mergeCell ref="T377:V377"/>
    <mergeCell ref="W377:Y377"/>
    <mergeCell ref="Z377:AB377"/>
    <mergeCell ref="AC377:AE377"/>
    <mergeCell ref="AF377:AH377"/>
    <mergeCell ref="D378:G378"/>
    <mergeCell ref="H378:J378"/>
    <mergeCell ref="K378:M378"/>
    <mergeCell ref="N378:P378"/>
    <mergeCell ref="Q378:S378"/>
    <mergeCell ref="T378:V378"/>
    <mergeCell ref="W378:Y378"/>
    <mergeCell ref="Z378:AB378"/>
    <mergeCell ref="AC378:AE378"/>
    <mergeCell ref="AF378:AH378"/>
    <mergeCell ref="D381:G382"/>
    <mergeCell ref="H381:AH381"/>
    <mergeCell ref="H382:J382"/>
    <mergeCell ref="K382:M382"/>
    <mergeCell ref="N382:P382"/>
    <mergeCell ref="Q382:S382"/>
    <mergeCell ref="T382:V382"/>
    <mergeCell ref="W382:Y382"/>
    <mergeCell ref="Z382:AB382"/>
    <mergeCell ref="AC382:AE382"/>
    <mergeCell ref="AF382:AH382"/>
    <mergeCell ref="D383:AH383"/>
    <mergeCell ref="D384:G384"/>
    <mergeCell ref="H384:J384"/>
    <mergeCell ref="K384:M384"/>
    <mergeCell ref="N384:P384"/>
    <mergeCell ref="Q384:S384"/>
    <mergeCell ref="T384:V384"/>
    <mergeCell ref="W384:Y384"/>
    <mergeCell ref="Z384:AB384"/>
    <mergeCell ref="AC384:AE384"/>
    <mergeCell ref="AF384:AH384"/>
    <mergeCell ref="D385:G385"/>
    <mergeCell ref="H385:J385"/>
    <mergeCell ref="K385:M385"/>
    <mergeCell ref="N385:P385"/>
    <mergeCell ref="Q385:S385"/>
    <mergeCell ref="T385:V385"/>
    <mergeCell ref="W385:Y385"/>
    <mergeCell ref="Z385:AB385"/>
    <mergeCell ref="AC385:AE385"/>
    <mergeCell ref="AF385:AH385"/>
    <mergeCell ref="D386:G386"/>
    <mergeCell ref="H386:J386"/>
    <mergeCell ref="K386:M386"/>
    <mergeCell ref="N386:P386"/>
    <mergeCell ref="Q386:S386"/>
    <mergeCell ref="T386:V386"/>
    <mergeCell ref="W386:Y386"/>
    <mergeCell ref="Z386:AB386"/>
    <mergeCell ref="AC386:AE386"/>
    <mergeCell ref="AF386:AH386"/>
    <mergeCell ref="D387:G387"/>
    <mergeCell ref="H387:J387"/>
    <mergeCell ref="K387:M387"/>
    <mergeCell ref="N387:P387"/>
    <mergeCell ref="Q387:S387"/>
    <mergeCell ref="T387:V387"/>
    <mergeCell ref="W387:Y387"/>
    <mergeCell ref="Z387:AB387"/>
    <mergeCell ref="AC387:AE387"/>
    <mergeCell ref="AF387:AH387"/>
    <mergeCell ref="D388:G388"/>
    <mergeCell ref="H388:J388"/>
    <mergeCell ref="K388:M388"/>
    <mergeCell ref="N388:P388"/>
    <mergeCell ref="Q388:S388"/>
    <mergeCell ref="T388:V388"/>
    <mergeCell ref="W388:Y388"/>
    <mergeCell ref="Z388:AB388"/>
    <mergeCell ref="AC388:AE388"/>
    <mergeCell ref="AF388:AH388"/>
    <mergeCell ref="D373:G373"/>
    <mergeCell ref="H373:J373"/>
    <mergeCell ref="D393:G393"/>
    <mergeCell ref="AC398:AE398"/>
    <mergeCell ref="AF398:AH398"/>
    <mergeCell ref="Q396:S396"/>
    <mergeCell ref="AF373:AH373"/>
    <mergeCell ref="Z395:AB395"/>
    <mergeCell ref="AC395:AE395"/>
    <mergeCell ref="AF395:AH395"/>
    <mergeCell ref="D389:AH389"/>
    <mergeCell ref="D390:G390"/>
    <mergeCell ref="H390:J390"/>
    <mergeCell ref="K390:M390"/>
    <mergeCell ref="N390:P390"/>
    <mergeCell ref="Q390:S390"/>
    <mergeCell ref="T390:V390"/>
    <mergeCell ref="W390:Y390"/>
    <mergeCell ref="Z390:AB390"/>
    <mergeCell ref="AC390:AE390"/>
    <mergeCell ref="AF390:AH390"/>
    <mergeCell ref="D391:G391"/>
    <mergeCell ref="H391:J391"/>
    <mergeCell ref="T391:V391"/>
    <mergeCell ref="W391:Y391"/>
    <mergeCell ref="Z391:AB391"/>
    <mergeCell ref="AC391:AE391"/>
    <mergeCell ref="AF391:AH391"/>
    <mergeCell ref="N392:P392"/>
    <mergeCell ref="Q392:S392"/>
    <mergeCell ref="K391:M391"/>
    <mergeCell ref="T392:V392"/>
    <mergeCell ref="BC277:BK277"/>
    <mergeCell ref="D319:G319"/>
    <mergeCell ref="H319:J319"/>
    <mergeCell ref="K319:M319"/>
    <mergeCell ref="N319:P319"/>
    <mergeCell ref="Z393:AB393"/>
    <mergeCell ref="AC393:AE393"/>
    <mergeCell ref="AF393:AH393"/>
    <mergeCell ref="D396:G396"/>
    <mergeCell ref="W322:Y322"/>
    <mergeCell ref="Z322:AB322"/>
    <mergeCell ref="AC322:AE322"/>
    <mergeCell ref="AF322:AH322"/>
    <mergeCell ref="D398:G398"/>
    <mergeCell ref="H398:J398"/>
    <mergeCell ref="K398:M398"/>
    <mergeCell ref="N398:P398"/>
    <mergeCell ref="D357:G358"/>
    <mergeCell ref="H357:AH357"/>
    <mergeCell ref="AC396:AE396"/>
    <mergeCell ref="AF396:AH396"/>
    <mergeCell ref="D392:G392"/>
    <mergeCell ref="H392:J392"/>
    <mergeCell ref="K392:M392"/>
    <mergeCell ref="Z397:AB397"/>
    <mergeCell ref="AC397:AE397"/>
    <mergeCell ref="AF397:AH397"/>
    <mergeCell ref="D394:AH394"/>
    <mergeCell ref="D395:G395"/>
    <mergeCell ref="H395:J395"/>
    <mergeCell ref="K395:M395"/>
    <mergeCell ref="N395:P395"/>
    <mergeCell ref="AC358:AE358"/>
    <mergeCell ref="H399:J399"/>
    <mergeCell ref="K399:M399"/>
    <mergeCell ref="N399:P399"/>
    <mergeCell ref="Q399:S399"/>
    <mergeCell ref="T399:V399"/>
    <mergeCell ref="W399:Y399"/>
    <mergeCell ref="Z399:AB399"/>
    <mergeCell ref="AC399:AE399"/>
    <mergeCell ref="AF399:AH399"/>
    <mergeCell ref="T396:V396"/>
    <mergeCell ref="W396:Y396"/>
    <mergeCell ref="Z396:AB396"/>
    <mergeCell ref="Q395:S395"/>
    <mergeCell ref="T395:V395"/>
    <mergeCell ref="W395:Y395"/>
    <mergeCell ref="H396:J396"/>
    <mergeCell ref="K396:M396"/>
    <mergeCell ref="N396:P396"/>
    <mergeCell ref="H393:J393"/>
    <mergeCell ref="K393:M393"/>
    <mergeCell ref="N393:P393"/>
    <mergeCell ref="Q393:S393"/>
    <mergeCell ref="T393:V393"/>
    <mergeCell ref="W393:Y393"/>
    <mergeCell ref="W392:Y392"/>
    <mergeCell ref="Z392:AB392"/>
    <mergeCell ref="AC392:AE392"/>
    <mergeCell ref="AF358:AH358"/>
    <mergeCell ref="AF392:AH392"/>
    <mergeCell ref="N391:P391"/>
    <mergeCell ref="Q391:S391"/>
    <mergeCell ref="D399:G399"/>
    <mergeCell ref="AI277:AQ277"/>
    <mergeCell ref="AS277:BA277"/>
    <mergeCell ref="H358:J358"/>
    <mergeCell ref="K358:M358"/>
    <mergeCell ref="N358:P358"/>
    <mergeCell ref="Q358:S358"/>
    <mergeCell ref="T358:V358"/>
    <mergeCell ref="W358:Y358"/>
    <mergeCell ref="D322:G322"/>
    <mergeCell ref="H322:J322"/>
    <mergeCell ref="K322:M322"/>
    <mergeCell ref="N322:P322"/>
    <mergeCell ref="Q322:S322"/>
    <mergeCell ref="T322:V322"/>
    <mergeCell ref="Q319:S319"/>
    <mergeCell ref="T319:V319"/>
    <mergeCell ref="W319:Y319"/>
    <mergeCell ref="Z319:AB319"/>
    <mergeCell ref="AC319:AE319"/>
    <mergeCell ref="AF319:AH319"/>
    <mergeCell ref="D320:AH320"/>
    <mergeCell ref="D321:G321"/>
    <mergeCell ref="H321:J321"/>
    <mergeCell ref="K321:M321"/>
    <mergeCell ref="N321:P321"/>
    <mergeCell ref="Q321:S321"/>
    <mergeCell ref="T321:V321"/>
    <mergeCell ref="W321:Y321"/>
    <mergeCell ref="Z321:AB321"/>
    <mergeCell ref="AC321:AE321"/>
    <mergeCell ref="Z358:AB358"/>
    <mergeCell ref="AF321:AH321"/>
    <mergeCell ref="H401:J401"/>
    <mergeCell ref="K401:M401"/>
    <mergeCell ref="N401:P401"/>
    <mergeCell ref="Q401:S401"/>
    <mergeCell ref="T401:V401"/>
    <mergeCell ref="W401:Y401"/>
    <mergeCell ref="Z401:AB401"/>
    <mergeCell ref="AC401:AE401"/>
    <mergeCell ref="AF401:AH401"/>
    <mergeCell ref="AD917:AG917"/>
    <mergeCell ref="N838:W838"/>
    <mergeCell ref="X838:AG838"/>
    <mergeCell ref="AC713:AG713"/>
    <mergeCell ref="AC714:AG714"/>
    <mergeCell ref="AC715:AG715"/>
    <mergeCell ref="N714:R714"/>
    <mergeCell ref="S714:W714"/>
    <mergeCell ref="X714:AB714"/>
    <mergeCell ref="D727:H727"/>
    <mergeCell ref="D728:H728"/>
    <mergeCell ref="D722:H722"/>
    <mergeCell ref="I722:M722"/>
    <mergeCell ref="AF402:AH402"/>
    <mergeCell ref="D839:M839"/>
    <mergeCell ref="N839:W839"/>
    <mergeCell ref="D916:I916"/>
    <mergeCell ref="D815:AG816"/>
    <mergeCell ref="D813:I813"/>
    <mergeCell ref="D812:I812"/>
    <mergeCell ref="J916:M916"/>
    <mergeCell ref="T398:V398"/>
    <mergeCell ref="K373:M373"/>
    <mergeCell ref="N373:P373"/>
    <mergeCell ref="Q373:S373"/>
    <mergeCell ref="T373:V373"/>
    <mergeCell ref="W373:Y373"/>
    <mergeCell ref="Z373:AB373"/>
    <mergeCell ref="AC373:AE373"/>
    <mergeCell ref="D397:G397"/>
    <mergeCell ref="H397:J397"/>
    <mergeCell ref="K397:M397"/>
    <mergeCell ref="N397:P397"/>
    <mergeCell ref="Q397:S397"/>
    <mergeCell ref="T397:V397"/>
    <mergeCell ref="W397:Y397"/>
    <mergeCell ref="D713:H713"/>
    <mergeCell ref="N713:R713"/>
    <mergeCell ref="S713:W713"/>
    <mergeCell ref="X713:AB713"/>
    <mergeCell ref="D402:G402"/>
    <mergeCell ref="H402:J402"/>
    <mergeCell ref="K402:M402"/>
    <mergeCell ref="N402:P402"/>
    <mergeCell ref="Q402:S402"/>
    <mergeCell ref="T402:V402"/>
    <mergeCell ref="W402:Y402"/>
    <mergeCell ref="Z402:AB402"/>
    <mergeCell ref="AC402:AE402"/>
    <mergeCell ref="D673:AG673"/>
    <mergeCell ref="D400:AH400"/>
    <mergeCell ref="Q398:S398"/>
    <mergeCell ref="W398:Y398"/>
    <mergeCell ref="Z398:AB398"/>
    <mergeCell ref="D844:M844"/>
    <mergeCell ref="D834:M834"/>
    <mergeCell ref="Z917:AC917"/>
    <mergeCell ref="N715:R715"/>
    <mergeCell ref="S715:W715"/>
    <mergeCell ref="X715:AB715"/>
    <mergeCell ref="N726:R726"/>
    <mergeCell ref="N727:R727"/>
    <mergeCell ref="N728:R728"/>
    <mergeCell ref="S726:W726"/>
    <mergeCell ref="S727:W727"/>
    <mergeCell ref="S728:W728"/>
    <mergeCell ref="X726:AB726"/>
    <mergeCell ref="X727:AB727"/>
    <mergeCell ref="X728:AB728"/>
    <mergeCell ref="AC726:AG726"/>
    <mergeCell ref="AC727:AG727"/>
    <mergeCell ref="AC728:AG728"/>
    <mergeCell ref="N722:R722"/>
    <mergeCell ref="S722:W722"/>
    <mergeCell ref="X839:AG839"/>
    <mergeCell ref="Z915:AC915"/>
    <mergeCell ref="AD915:AG915"/>
    <mergeCell ref="N916:Q916"/>
    <mergeCell ref="R916:U916"/>
    <mergeCell ref="X832:AG833"/>
    <mergeCell ref="N834:W834"/>
    <mergeCell ref="X834:AG834"/>
    <mergeCell ref="AD813:AG813"/>
    <mergeCell ref="J813:M813"/>
    <mergeCell ref="N813:Q813"/>
    <mergeCell ref="R813:U813"/>
    <mergeCell ref="R949:Y949"/>
    <mergeCell ref="Z949:AG949"/>
    <mergeCell ref="D401:G401"/>
    <mergeCell ref="V916:Y916"/>
    <mergeCell ref="Z916:AC916"/>
    <mergeCell ref="AD916:AG916"/>
    <mergeCell ref="N844:W844"/>
    <mergeCell ref="X844:AG844"/>
    <mergeCell ref="N845:W845"/>
    <mergeCell ref="X845:AG845"/>
    <mergeCell ref="D827:AG827"/>
    <mergeCell ref="D829:AG830"/>
    <mergeCell ref="D832:M833"/>
    <mergeCell ref="N832:W833"/>
    <mergeCell ref="I728:M728"/>
    <mergeCell ref="X722:AB722"/>
    <mergeCell ref="AC722:AG722"/>
    <mergeCell ref="D723:H723"/>
    <mergeCell ref="D843:M843"/>
    <mergeCell ref="D856:M856"/>
    <mergeCell ref="N843:W843"/>
    <mergeCell ref="X843:AG843"/>
    <mergeCell ref="I723:M723"/>
    <mergeCell ref="N723:R723"/>
    <mergeCell ref="S723:W723"/>
    <mergeCell ref="X723:AB723"/>
    <mergeCell ref="AC723:AG723"/>
    <mergeCell ref="D721:H721"/>
    <mergeCell ref="I721:M721"/>
    <mergeCell ref="D726:H726"/>
    <mergeCell ref="D846:M846"/>
    <mergeCell ref="D845:M845"/>
  </mergeCells>
  <conditionalFormatting sqref="AI446:AM450 AI456:AM460 AI475:AM478 AM476:AM481 AM532:AM537 AI537:AM537 AI482:AM482">
    <cfRule type="cellIs" dxfId="275" priority="349" operator="lessThan">
      <formula>0</formula>
    </cfRule>
    <cfRule type="cellIs" dxfId="274" priority="350" operator="greaterThan">
      <formula>0</formula>
    </cfRule>
    <cfRule type="cellIs" dxfId="273" priority="351" operator="lessThan">
      <formula>0</formula>
    </cfRule>
    <cfRule type="cellIs" dxfId="272" priority="352" operator="greaterThan">
      <formula>0</formula>
    </cfRule>
  </conditionalFormatting>
  <conditionalFormatting sqref="AO475:AO482 AI504:AK506 AI515:AK517 AO565:AO571 AO573:AO581 AJ607:AM613 AO607:AO613 AI619:AK621 AJ621:AM621 AM619:AM621 AO619:AO621 AL867:AM890 AI360:AQ378 AI384:AQ402 AS360:BA377 BC364:BK378 BC402:BK402 AI206:AP223 BA210:BH223 AI229:AP246 BA233:BH246 AR206:AY222 AI281:AQ299 AI305:AQ322 AS281:BA297 BC285:BK299 BC322:BK322">
    <cfRule type="cellIs" dxfId="271" priority="335" operator="lessThan">
      <formula>0</formula>
    </cfRule>
    <cfRule type="cellIs" dxfId="270" priority="336" operator="greaterThan">
      <formula>0</formula>
    </cfRule>
  </conditionalFormatting>
  <conditionalFormatting sqref="AO968:AO982 AL968:AM985 AM990:AM1007 AO990:AO1004 AO911:AP922 AK566:AM571 AM573:AM574 AK575:AM581 AL597:AM599 AO599:AP599 AI665:AN667 AM688:AM699 AL782:AM784 AO784:AP784 AI797:AN800 AL858:AM858 AO852:AP858 AO867:AP874 AL873:AM873 AM867:AM890 AL740:AM745 AO740:AP745 AM721:AM731 AO721:AO723 AL706:AL721 AM706:AM716 AO706:AO708 AL648:AM654 AO648:AP654 AO839:AP845">
    <cfRule type="cellIs" dxfId="269" priority="272" operator="lessThan">
      <formula>0</formula>
    </cfRule>
    <cfRule type="cellIs" dxfId="268" priority="273" operator="greaterThan">
      <formula>0</formula>
    </cfRule>
  </conditionalFormatting>
  <conditionalFormatting sqref="AL867:AM890">
    <cfRule type="cellIs" priority="354" stopIfTrue="1" operator="greaterThan">
      <formula>0</formula>
    </cfRule>
  </conditionalFormatting>
  <conditionalFormatting sqref="AO595:AP599 AM721:AM731 AM706:AM717">
    <cfRule type="cellIs" dxfId="267" priority="263" operator="lessThan">
      <formula>0</formula>
    </cfRule>
    <cfRule type="cellIs" dxfId="266" priority="264" operator="greaterThan">
      <formula>0</formula>
    </cfRule>
    <cfRule type="cellIs" priority="265" stopIfTrue="1" operator="greaterThan">
      <formula>0</formula>
    </cfRule>
    <cfRule type="cellIs" priority="266" stopIfTrue="1" operator="greaterThan">
      <formula>0</formula>
    </cfRule>
    <cfRule type="cellIs" priority="267" stopIfTrue="1" operator="greaterThan">
      <formula>0</formula>
    </cfRule>
  </conditionalFormatting>
  <conditionalFormatting sqref="AI667:AN667 AI799:AN800">
    <cfRule type="cellIs" dxfId="265" priority="241" operator="lessThan">
      <formula>0</formula>
    </cfRule>
    <cfRule type="cellIs" dxfId="264" priority="242" operator="greaterThan">
      <formula>0</formula>
    </cfRule>
  </conditionalFormatting>
  <conditionalFormatting sqref="AO867:AP889">
    <cfRule type="cellIs" dxfId="263" priority="154" operator="lessThan">
      <formula>0</formula>
    </cfRule>
    <cfRule type="cellIs" dxfId="262" priority="155" operator="greaterThan">
      <formula>0</formula>
    </cfRule>
    <cfRule type="cellIs" priority="156" stopIfTrue="1" operator="greaterThan">
      <formula>0</formula>
    </cfRule>
  </conditionalFormatting>
  <pageMargins left="0.70866141732283472" right="0.23622047244094491" top="0.70866141732283472" bottom="0.70866141732283472" header="0.31496062992125984" footer="0.35433070866141736"/>
  <pageSetup paperSize="9" scale="80" orientation="portrait" blackAndWhite="1" r:id="rId1"/>
  <headerFooter>
    <oddHeader>&amp;L&amp;"Arial,Tučné"&amp;10Aegis Media Slovakia Central Services, s.r.o. Poznámky individuálnej účtovnej závierky zostavenej k 31. decembru 2013</oddHeader>
    <oddFooter>Strana &amp;P</oddFooter>
  </headerFooter>
  <rowBreaks count="2" manualBreakCount="2">
    <brk id="561" min="1" max="33" man="1"/>
    <brk id="601" min="1" max="33" man="1"/>
  </row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384" customWidth="1"/>
    <col min="6" max="6" width="27.85546875" style="389" customWidth="1"/>
    <col min="7" max="7" width="10.42578125" customWidth="1"/>
    <col min="8" max="8" width="23.140625" style="384" customWidth="1"/>
    <col min="9" max="9" width="23.140625" style="389" customWidth="1"/>
  </cols>
  <sheetData>
    <row r="1" spans="1:9" ht="17.25" thickBot="1" x14ac:dyDescent="0.35">
      <c r="A1" s="1" t="s">
        <v>478</v>
      </c>
      <c r="E1" s="1515" t="s">
        <v>1138</v>
      </c>
      <c r="F1" s="1517"/>
      <c r="H1" s="1515" t="s">
        <v>1140</v>
      </c>
      <c r="I1" s="1517"/>
    </row>
    <row r="2" spans="1:9" ht="21.7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1.75" customHeight="1" thickTop="1" thickBot="1" x14ac:dyDescent="0.3">
      <c r="A3" s="103" t="s">
        <v>234</v>
      </c>
      <c r="B3" s="79"/>
      <c r="C3" s="80"/>
    </row>
    <row r="4" spans="1:9" ht="21.75" customHeight="1" thickBot="1" x14ac:dyDescent="0.3">
      <c r="A4" s="71" t="s">
        <v>235</v>
      </c>
      <c r="B4" s="79"/>
      <c r="C4" s="80"/>
    </row>
    <row r="5" spans="1:9" ht="21.75" customHeight="1" thickBot="1" x14ac:dyDescent="0.3">
      <c r="A5" s="71" t="s">
        <v>236</v>
      </c>
      <c r="B5" s="79"/>
      <c r="C5" s="80"/>
    </row>
    <row r="6" spans="1:9" ht="21.75" customHeight="1" thickBot="1" x14ac:dyDescent="0.3">
      <c r="A6" s="71" t="s">
        <v>237</v>
      </c>
      <c r="B6" s="79"/>
      <c r="C6" s="80"/>
    </row>
    <row r="7" spans="1:9" ht="21.75" customHeight="1" thickBot="1" x14ac:dyDescent="0.3">
      <c r="A7" s="103" t="s">
        <v>238</v>
      </c>
      <c r="B7" s="79">
        <f>SUM(B4:B6)</f>
        <v>0</v>
      </c>
      <c r="C7" s="80">
        <f>SUM(C4:C6)</f>
        <v>0</v>
      </c>
      <c r="E7" s="387">
        <f>SUM(B4:B6)-B7</f>
        <v>0</v>
      </c>
      <c r="F7" s="390">
        <f>SUM(C4:C6)-C7</f>
        <v>0</v>
      </c>
    </row>
    <row r="8" spans="1:9" ht="21.75" customHeight="1" thickBot="1" x14ac:dyDescent="0.3">
      <c r="A8" s="103" t="s">
        <v>239</v>
      </c>
      <c r="B8" s="79"/>
      <c r="C8" s="80"/>
    </row>
    <row r="9" spans="1:9" ht="21.75" customHeight="1" thickBot="1" x14ac:dyDescent="0.3">
      <c r="A9" s="72" t="s">
        <v>240</v>
      </c>
      <c r="B9" s="85">
        <f>B3+B7+B8</f>
        <v>0</v>
      </c>
      <c r="C9" s="78">
        <f>C3+C7+C8</f>
        <v>0</v>
      </c>
      <c r="E9" s="387">
        <f>B3+B7+B8-B9</f>
        <v>0</v>
      </c>
      <c r="F9" s="390">
        <f>C3+C7+C8-C9</f>
        <v>0</v>
      </c>
      <c r="H9" s="387">
        <f>B9-BS!$D$118</f>
        <v>-77</v>
      </c>
      <c r="I9" s="390">
        <f>C9-BS!$E$118</f>
        <v>-28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479</v>
      </c>
    </row>
    <row r="2" spans="1:6" s="4" customFormat="1" ht="21.75" customHeight="1" thickTop="1" thickBot="1" x14ac:dyDescent="0.3">
      <c r="A2" s="59" t="s">
        <v>241</v>
      </c>
      <c r="B2" s="38" t="s">
        <v>242</v>
      </c>
      <c r="C2" s="38" t="s">
        <v>243</v>
      </c>
      <c r="D2" s="38" t="s">
        <v>244</v>
      </c>
      <c r="E2" s="38" t="s">
        <v>245</v>
      </c>
      <c r="F2" s="38" t="s">
        <v>184</v>
      </c>
    </row>
    <row r="3" spans="1:6" ht="21.75" customHeight="1" thickTop="1" thickBot="1" x14ac:dyDescent="0.3">
      <c r="A3" s="108"/>
      <c r="B3" s="106"/>
      <c r="C3" s="79"/>
      <c r="D3" s="79"/>
      <c r="E3" s="79"/>
      <c r="F3" s="80"/>
    </row>
    <row r="4" spans="1:6" ht="21.75" customHeight="1" thickBot="1" x14ac:dyDescent="0.3">
      <c r="A4" s="108"/>
      <c r="B4" s="106"/>
      <c r="C4" s="79"/>
      <c r="D4" s="79"/>
      <c r="E4" s="79"/>
      <c r="F4" s="80"/>
    </row>
    <row r="5" spans="1:6" ht="21.75" customHeight="1" thickBot="1" x14ac:dyDescent="0.3">
      <c r="A5" s="108"/>
      <c r="B5" s="106"/>
      <c r="C5" s="79"/>
      <c r="D5" s="79"/>
      <c r="E5" s="79"/>
      <c r="F5" s="80"/>
    </row>
    <row r="6" spans="1:6" ht="21.75" customHeight="1" thickBot="1" x14ac:dyDescent="0.3">
      <c r="A6" s="109"/>
      <c r="B6" s="107"/>
      <c r="C6" s="85"/>
      <c r="D6" s="85"/>
      <c r="E6" s="85"/>
      <c r="F6" s="78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workbookViewId="0">
      <selection activeCell="H19" sqref="H19:I19"/>
    </sheetView>
  </sheetViews>
  <sheetFormatPr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406" customWidth="1"/>
    <col min="9" max="9" width="18.28515625" style="405" customWidth="1"/>
    <col min="10" max="16384" width="9.140625" style="20"/>
  </cols>
  <sheetData>
    <row r="1" spans="1:9" ht="15" x14ac:dyDescent="0.25">
      <c r="A1" s="99" t="s">
        <v>480</v>
      </c>
      <c r="H1" s="1509" t="s">
        <v>1140</v>
      </c>
      <c r="I1" s="1511"/>
    </row>
    <row r="2" spans="1:9" ht="12" thickBot="1" x14ac:dyDescent="0.3">
      <c r="A2" s="20" t="s">
        <v>8</v>
      </c>
    </row>
    <row r="3" spans="1:9" ht="66.75" customHeight="1" thickTop="1" thickBot="1" x14ac:dyDescent="0.3">
      <c r="A3" s="19" t="s">
        <v>131</v>
      </c>
      <c r="B3" s="19" t="s">
        <v>246</v>
      </c>
      <c r="C3" s="50" t="s">
        <v>477</v>
      </c>
      <c r="D3" s="19" t="s">
        <v>247</v>
      </c>
      <c r="E3" s="19" t="s">
        <v>248</v>
      </c>
      <c r="F3" s="19" t="s">
        <v>249</v>
      </c>
      <c r="H3" s="59" t="s">
        <v>248</v>
      </c>
      <c r="I3" s="59" t="s">
        <v>249</v>
      </c>
    </row>
    <row r="4" spans="1:9" ht="21.75" customHeight="1" thickTop="1" thickBot="1" x14ac:dyDescent="0.3">
      <c r="A4" s="52" t="s">
        <v>250</v>
      </c>
      <c r="B4" s="87"/>
      <c r="C4" s="87"/>
      <c r="D4" s="87"/>
      <c r="E4" s="87"/>
      <c r="F4" s="83"/>
      <c r="H4" s="416">
        <f>SUM(E5:E7)-BS!$D$134</f>
        <v>0</v>
      </c>
      <c r="I4" s="414">
        <f>SUM(F5:F7)-BS!$E$134</f>
        <v>0</v>
      </c>
    </row>
    <row r="5" spans="1:9" ht="21.75" customHeight="1" thickTop="1" thickBot="1" x14ac:dyDescent="0.3">
      <c r="A5" s="71"/>
      <c r="B5" s="110"/>
      <c r="C5" s="113"/>
      <c r="D5" s="117"/>
      <c r="E5" s="79"/>
      <c r="F5" s="80"/>
    </row>
    <row r="6" spans="1:9" ht="21.75" customHeight="1" thickBot="1" x14ac:dyDescent="0.3">
      <c r="A6" s="71"/>
      <c r="B6" s="110"/>
      <c r="C6" s="113"/>
      <c r="D6" s="93"/>
      <c r="E6" s="79"/>
      <c r="F6" s="80"/>
    </row>
    <row r="7" spans="1:9" ht="21.75" customHeight="1" thickBot="1" x14ac:dyDescent="0.3">
      <c r="A7" s="71"/>
      <c r="B7" s="110"/>
      <c r="C7" s="113"/>
      <c r="D7" s="93"/>
      <c r="E7" s="79"/>
      <c r="F7" s="80"/>
    </row>
    <row r="8" spans="1:9" ht="21.75" customHeight="1" thickBot="1" x14ac:dyDescent="0.3">
      <c r="A8" s="100" t="s">
        <v>251</v>
      </c>
      <c r="B8" s="111"/>
      <c r="C8" s="114"/>
      <c r="D8" s="114"/>
      <c r="E8" s="114"/>
      <c r="F8" s="115"/>
      <c r="H8" s="416">
        <f>SUM(E9:E11)-BS!$D$135</f>
        <v>0</v>
      </c>
      <c r="I8" s="414">
        <f>SUM(F9:F11)-BS!$E$135</f>
        <v>0</v>
      </c>
    </row>
    <row r="9" spans="1:9" ht="21.75" customHeight="1" thickTop="1" thickBot="1" x14ac:dyDescent="0.3">
      <c r="A9" s="71"/>
      <c r="B9" s="110"/>
      <c r="C9" s="113"/>
      <c r="D9" s="93"/>
      <c r="E9" s="79"/>
      <c r="F9" s="80"/>
    </row>
    <row r="10" spans="1:9" ht="21.75" customHeight="1" thickBot="1" x14ac:dyDescent="0.3">
      <c r="A10" s="71"/>
      <c r="B10" s="110"/>
      <c r="C10" s="113"/>
      <c r="D10" s="93"/>
      <c r="E10" s="79"/>
      <c r="F10" s="80"/>
    </row>
    <row r="11" spans="1:9" ht="21.75" customHeight="1" thickBot="1" x14ac:dyDescent="0.3">
      <c r="A11" s="72"/>
      <c r="B11" s="112"/>
      <c r="C11" s="116"/>
      <c r="D11" s="95"/>
      <c r="E11" s="85"/>
      <c r="F11" s="78"/>
    </row>
    <row r="12" spans="1:9" ht="12" thickTop="1" x14ac:dyDescent="0.25">
      <c r="A12" s="99"/>
    </row>
    <row r="13" spans="1:9" ht="12" thickBot="1" x14ac:dyDescent="0.3">
      <c r="A13" s="20" t="s">
        <v>15</v>
      </c>
    </row>
    <row r="14" spans="1:9" ht="66.75" customHeight="1" thickTop="1" thickBot="1" x14ac:dyDescent="0.3">
      <c r="A14" s="19" t="s">
        <v>131</v>
      </c>
      <c r="B14" s="19" t="s">
        <v>246</v>
      </c>
      <c r="C14" s="50" t="s">
        <v>477</v>
      </c>
      <c r="D14" s="19" t="s">
        <v>247</v>
      </c>
      <c r="E14" s="19" t="s">
        <v>248</v>
      </c>
      <c r="F14" s="19" t="s">
        <v>249</v>
      </c>
    </row>
    <row r="15" spans="1:9" ht="21.75" customHeight="1" thickTop="1" thickBot="1" x14ac:dyDescent="0.3">
      <c r="A15" s="52" t="s">
        <v>474</v>
      </c>
      <c r="B15" s="87"/>
      <c r="C15" s="87"/>
      <c r="D15" s="87"/>
      <c r="E15" s="87"/>
      <c r="F15" s="83"/>
      <c r="H15" s="417"/>
      <c r="I15" s="415"/>
    </row>
    <row r="16" spans="1:9" ht="21.75" customHeight="1" thickTop="1" thickBot="1" x14ac:dyDescent="0.3">
      <c r="A16" s="71"/>
      <c r="B16" s="110"/>
      <c r="C16" s="113"/>
      <c r="D16" s="93"/>
      <c r="E16" s="79"/>
      <c r="F16" s="80"/>
    </row>
    <row r="17" spans="1:9" ht="21.75" customHeight="1" thickBot="1" x14ac:dyDescent="0.3">
      <c r="A17" s="71"/>
      <c r="B17" s="110"/>
      <c r="C17" s="113"/>
      <c r="D17" s="93"/>
      <c r="E17" s="79"/>
      <c r="F17" s="80"/>
    </row>
    <row r="18" spans="1:9" ht="21.75" customHeight="1" thickBot="1" x14ac:dyDescent="0.3">
      <c r="A18" s="71"/>
      <c r="B18" s="110"/>
      <c r="C18" s="113"/>
      <c r="D18" s="93"/>
      <c r="E18" s="79"/>
      <c r="F18" s="80"/>
    </row>
    <row r="19" spans="1:9" ht="21.75" customHeight="1" thickBot="1" x14ac:dyDescent="0.3">
      <c r="A19" s="100" t="s">
        <v>475</v>
      </c>
      <c r="B19" s="111"/>
      <c r="C19" s="114"/>
      <c r="D19" s="114"/>
      <c r="E19" s="114"/>
      <c r="F19" s="115"/>
      <c r="H19" s="416">
        <f>SUM(E20:E22,E24:E25)-BS!$D$132</f>
        <v>0</v>
      </c>
      <c r="I19" s="414">
        <f>SUM(F20:F22,F24:F25)-BS!$E$132</f>
        <v>0</v>
      </c>
    </row>
    <row r="20" spans="1:9" ht="21.75" customHeight="1" thickTop="1" thickBot="1" x14ac:dyDescent="0.3">
      <c r="A20" s="71"/>
      <c r="B20" s="110"/>
      <c r="C20" s="113"/>
      <c r="D20" s="93"/>
      <c r="E20" s="79"/>
      <c r="F20" s="80"/>
    </row>
    <row r="21" spans="1:9" ht="21.75" customHeight="1" thickBot="1" x14ac:dyDescent="0.3">
      <c r="A21" s="71"/>
      <c r="B21" s="110"/>
      <c r="C21" s="113"/>
      <c r="D21" s="93"/>
      <c r="E21" s="79"/>
      <c r="F21" s="80"/>
    </row>
    <row r="22" spans="1:9" ht="21.75" customHeight="1" thickBot="1" x14ac:dyDescent="0.3">
      <c r="A22" s="71"/>
      <c r="B22" s="110"/>
      <c r="C22" s="113"/>
      <c r="D22" s="93"/>
      <c r="E22" s="79"/>
      <c r="F22" s="80"/>
    </row>
    <row r="23" spans="1:9" ht="21.75" customHeight="1" thickBot="1" x14ac:dyDescent="0.3">
      <c r="A23" s="100" t="s">
        <v>476</v>
      </c>
      <c r="B23" s="111"/>
      <c r="C23" s="114"/>
      <c r="D23" s="114"/>
      <c r="E23" s="114"/>
      <c r="F23" s="115"/>
    </row>
    <row r="24" spans="1:9" ht="21.75" customHeight="1" thickTop="1" thickBot="1" x14ac:dyDescent="0.3">
      <c r="A24" s="71"/>
      <c r="B24" s="110"/>
      <c r="C24" s="113"/>
      <c r="D24" s="93"/>
      <c r="E24" s="79"/>
      <c r="F24" s="80"/>
    </row>
    <row r="25" spans="1:9" ht="21.75" customHeight="1" thickBot="1" x14ac:dyDescent="0.3">
      <c r="A25" s="72"/>
      <c r="B25" s="112"/>
      <c r="C25" s="116"/>
      <c r="D25" s="95"/>
      <c r="E25" s="85"/>
      <c r="F25" s="78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481</v>
      </c>
    </row>
    <row r="2" spans="1:3" ht="24" thickTop="1" thickBot="1" x14ac:dyDescent="0.3">
      <c r="A2" s="84" t="s">
        <v>131</v>
      </c>
      <c r="B2" s="38" t="s">
        <v>2</v>
      </c>
      <c r="C2" s="38" t="s">
        <v>3</v>
      </c>
    </row>
    <row r="3" spans="1:3" ht="23.25" customHeight="1" thickTop="1" thickBot="1" x14ac:dyDescent="0.3">
      <c r="A3" s="44" t="s">
        <v>220</v>
      </c>
      <c r="B3" s="79"/>
      <c r="C3" s="80"/>
    </row>
    <row r="4" spans="1:3" ht="23.25" customHeight="1" thickBot="1" x14ac:dyDescent="0.3">
      <c r="A4" s="14" t="s">
        <v>221</v>
      </c>
      <c r="B4" s="79"/>
      <c r="C4" s="80"/>
    </row>
    <row r="5" spans="1:3" ht="23.25" customHeight="1" thickBot="1" x14ac:dyDescent="0.3">
      <c r="A5" s="14" t="s">
        <v>222</v>
      </c>
      <c r="B5" s="79"/>
      <c r="C5" s="80"/>
    </row>
    <row r="6" spans="1:3" ht="23.25" customHeight="1" thickBot="1" x14ac:dyDescent="0.3">
      <c r="A6" s="44" t="s">
        <v>223</v>
      </c>
      <c r="B6" s="79"/>
      <c r="C6" s="80"/>
    </row>
    <row r="7" spans="1:3" ht="23.25" customHeight="1" thickBot="1" x14ac:dyDescent="0.3">
      <c r="A7" s="14" t="s">
        <v>221</v>
      </c>
      <c r="B7" s="79"/>
      <c r="C7" s="80"/>
    </row>
    <row r="8" spans="1:3" ht="23.25" customHeight="1" thickBot="1" x14ac:dyDescent="0.3">
      <c r="A8" s="14" t="s">
        <v>222</v>
      </c>
      <c r="B8" s="79"/>
      <c r="C8" s="80"/>
    </row>
    <row r="9" spans="1:3" ht="23.25" customHeight="1" thickBot="1" x14ac:dyDescent="0.3">
      <c r="A9" s="44" t="s">
        <v>224</v>
      </c>
      <c r="B9" s="79"/>
      <c r="C9" s="80"/>
    </row>
    <row r="10" spans="1:3" ht="23.25" customHeight="1" thickBot="1" x14ac:dyDescent="0.3">
      <c r="A10" s="44" t="s">
        <v>225</v>
      </c>
      <c r="B10" s="79"/>
      <c r="C10" s="80"/>
    </row>
    <row r="11" spans="1:3" ht="23.25" customHeight="1" thickBot="1" x14ac:dyDescent="0.3">
      <c r="A11" s="44" t="s">
        <v>226</v>
      </c>
      <c r="B11" s="113">
        <v>0.19</v>
      </c>
      <c r="C11" s="118">
        <v>0.19</v>
      </c>
    </row>
    <row r="12" spans="1:3" ht="23.25" customHeight="1" thickBot="1" x14ac:dyDescent="0.3">
      <c r="A12" s="44" t="s">
        <v>227</v>
      </c>
      <c r="B12" s="79"/>
      <c r="C12" s="80"/>
    </row>
    <row r="13" spans="1:3" ht="23.25" customHeight="1" thickBot="1" x14ac:dyDescent="0.3">
      <c r="A13" s="44" t="s">
        <v>228</v>
      </c>
      <c r="B13" s="79"/>
      <c r="C13" s="80"/>
    </row>
    <row r="14" spans="1:3" ht="23.25" customHeight="1" thickBot="1" x14ac:dyDescent="0.3">
      <c r="A14" s="14" t="s">
        <v>229</v>
      </c>
      <c r="B14" s="79"/>
      <c r="C14" s="80"/>
    </row>
    <row r="15" spans="1:3" ht="23.25" customHeight="1" thickBot="1" x14ac:dyDescent="0.3">
      <c r="A15" s="14" t="s">
        <v>230</v>
      </c>
      <c r="B15" s="79"/>
      <c r="C15" s="80"/>
    </row>
    <row r="16" spans="1:3" ht="23.25" customHeight="1" thickBot="1" x14ac:dyDescent="0.3">
      <c r="A16" s="104" t="s">
        <v>231</v>
      </c>
      <c r="B16" s="79"/>
      <c r="C16" s="80"/>
    </row>
    <row r="17" spans="1:3" ht="23.25" customHeight="1" thickBot="1" x14ac:dyDescent="0.3">
      <c r="A17" s="105" t="s">
        <v>232</v>
      </c>
      <c r="B17" s="79"/>
      <c r="C17" s="80"/>
    </row>
    <row r="18" spans="1:3" ht="23.25" customHeight="1" thickBot="1" x14ac:dyDescent="0.3">
      <c r="A18" s="14" t="s">
        <v>233</v>
      </c>
      <c r="B18" s="79"/>
      <c r="C18" s="80"/>
    </row>
    <row r="19" spans="1:3" ht="23.25" customHeight="1" thickBot="1" x14ac:dyDescent="0.3">
      <c r="A19" s="16" t="s">
        <v>230</v>
      </c>
      <c r="B19" s="85"/>
      <c r="C19" s="78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384" customWidth="1"/>
    <col min="6" max="6" width="26" style="389" customWidth="1"/>
    <col min="7" max="7" width="5.140625" customWidth="1"/>
    <col min="8" max="8" width="22.5703125" style="420" customWidth="1"/>
    <col min="9" max="9" width="22.5703125" style="419" customWidth="1"/>
  </cols>
  <sheetData>
    <row r="1" spans="1:9" ht="17.25" thickBot="1" x14ac:dyDescent="0.3">
      <c r="A1" s="418" t="s">
        <v>252</v>
      </c>
      <c r="E1" s="1515" t="s">
        <v>1138</v>
      </c>
      <c r="F1" s="1517"/>
      <c r="G1" s="394"/>
      <c r="H1" s="1528" t="s">
        <v>1140</v>
      </c>
      <c r="I1" s="1529"/>
    </row>
    <row r="2" spans="1:9" ht="23.25" customHeight="1" thickTop="1" thickBot="1" x14ac:dyDescent="0.3">
      <c r="A2" s="84" t="s">
        <v>1</v>
      </c>
      <c r="B2" s="38" t="s">
        <v>2</v>
      </c>
      <c r="C2" s="38" t="s">
        <v>3</v>
      </c>
      <c r="E2" s="59" t="s">
        <v>2</v>
      </c>
      <c r="F2" s="59" t="s">
        <v>3</v>
      </c>
      <c r="H2" s="421" t="s">
        <v>2</v>
      </c>
      <c r="I2" s="421" t="s">
        <v>3</v>
      </c>
    </row>
    <row r="3" spans="1:9" ht="23.25" customHeight="1" thickTop="1" thickBot="1" x14ac:dyDescent="0.3">
      <c r="A3" s="73" t="s">
        <v>253</v>
      </c>
      <c r="B3" s="85">
        <f>SUM(B4:B5)</f>
        <v>0</v>
      </c>
      <c r="C3" s="78">
        <f>SUM(C4:C5)</f>
        <v>0</v>
      </c>
      <c r="E3" s="387">
        <f>SUM(B4:B5)-B3</f>
        <v>0</v>
      </c>
      <c r="F3" s="390">
        <f>SUM(C4:C5)-C3</f>
        <v>0</v>
      </c>
      <c r="H3" s="659">
        <f>B3-BS!$D$137</f>
        <v>0</v>
      </c>
      <c r="I3" s="660">
        <f>C3-BS!$E$137</f>
        <v>0</v>
      </c>
    </row>
    <row r="4" spans="1:9" ht="23.25" customHeight="1" thickTop="1" thickBot="1" x14ac:dyDescent="0.3">
      <c r="A4" s="14"/>
      <c r="B4" s="79"/>
      <c r="C4" s="80"/>
      <c r="H4" s="422"/>
      <c r="I4" s="423"/>
    </row>
    <row r="5" spans="1:9" ht="23.25" customHeight="1" thickBot="1" x14ac:dyDescent="0.3">
      <c r="A5" s="16"/>
      <c r="B5" s="85"/>
      <c r="C5" s="78"/>
      <c r="H5" s="422"/>
      <c r="I5" s="423"/>
    </row>
    <row r="6" spans="1:9" ht="23.25" customHeight="1" thickTop="1" thickBot="1" x14ac:dyDescent="0.3">
      <c r="A6" s="25" t="s">
        <v>254</v>
      </c>
      <c r="B6" s="85">
        <f>SUM(B7:B8)</f>
        <v>0</v>
      </c>
      <c r="C6" s="78">
        <f>SUM(C7:C8)</f>
        <v>0</v>
      </c>
      <c r="E6" s="387">
        <f>SUM(B7:B8)-B6</f>
        <v>0</v>
      </c>
      <c r="F6" s="390">
        <f>SUM(C7:C8)-C6</f>
        <v>0</v>
      </c>
      <c r="H6" s="659">
        <f>B6-BS!$D$138</f>
        <v>0</v>
      </c>
      <c r="I6" s="660">
        <f>C6-BS!$E$138</f>
        <v>0</v>
      </c>
    </row>
    <row r="7" spans="1:9" ht="23.25" customHeight="1" thickTop="1" thickBot="1" x14ac:dyDescent="0.3">
      <c r="A7" s="14"/>
      <c r="B7" s="79"/>
      <c r="C7" s="80"/>
      <c r="H7" s="422"/>
      <c r="I7" s="423"/>
    </row>
    <row r="8" spans="1:9" ht="23.25" customHeight="1" thickBot="1" x14ac:dyDescent="0.3">
      <c r="A8" s="16"/>
      <c r="B8" s="85"/>
      <c r="C8" s="78"/>
      <c r="H8" s="422"/>
      <c r="I8" s="423"/>
    </row>
    <row r="9" spans="1:9" ht="23.25" customHeight="1" thickTop="1" thickBot="1" x14ac:dyDescent="0.3">
      <c r="A9" s="25" t="s">
        <v>482</v>
      </c>
      <c r="B9" s="85">
        <f>SUM(B10:B12)</f>
        <v>0</v>
      </c>
      <c r="C9" s="78">
        <f>SUM(C10:C12)</f>
        <v>0</v>
      </c>
      <c r="E9" s="387">
        <f>SUM(B10:B12)-B9</f>
        <v>0</v>
      </c>
      <c r="F9" s="390">
        <f>SUM(C10:C12)-C9</f>
        <v>0</v>
      </c>
      <c r="H9" s="659">
        <f>B9-BS!$D$139</f>
        <v>0</v>
      </c>
      <c r="I9" s="660">
        <f>C9-BS!$E$139</f>
        <v>0</v>
      </c>
    </row>
    <row r="10" spans="1:9" ht="23.25" customHeight="1" thickTop="1" thickBot="1" x14ac:dyDescent="0.3">
      <c r="A10" s="14"/>
      <c r="B10" s="79"/>
      <c r="C10" s="80"/>
      <c r="H10" s="422"/>
      <c r="I10" s="423"/>
    </row>
    <row r="11" spans="1:9" ht="23.25" customHeight="1" thickBot="1" x14ac:dyDescent="0.3">
      <c r="A11" s="14"/>
      <c r="B11" s="79"/>
      <c r="C11" s="80"/>
      <c r="H11" s="422"/>
      <c r="I11" s="423"/>
    </row>
    <row r="12" spans="1:9" ht="23.25" customHeight="1" thickBot="1" x14ac:dyDescent="0.3">
      <c r="A12" s="16"/>
      <c r="B12" s="85"/>
      <c r="C12" s="78"/>
      <c r="H12" s="422"/>
      <c r="I12" s="423"/>
    </row>
    <row r="13" spans="1:9" ht="23.25" customHeight="1" thickTop="1" thickBot="1" x14ac:dyDescent="0.3">
      <c r="A13" s="25" t="s">
        <v>483</v>
      </c>
      <c r="B13" s="85">
        <f>SUM(B14:B16)</f>
        <v>0</v>
      </c>
      <c r="C13" s="78">
        <f>SUM(C14:C16)</f>
        <v>0</v>
      </c>
      <c r="E13" s="387">
        <f>SUM(B14:B16)-B13</f>
        <v>0</v>
      </c>
      <c r="F13" s="390">
        <f>SUM(C14:C16)-C13</f>
        <v>0</v>
      </c>
      <c r="H13" s="659">
        <f>B13-BS!$D$140</f>
        <v>0</v>
      </c>
      <c r="I13" s="660">
        <f>C13-BS!$E$140</f>
        <v>0</v>
      </c>
    </row>
    <row r="14" spans="1:9" ht="23.25" customHeight="1" thickTop="1" thickBot="1" x14ac:dyDescent="0.3">
      <c r="A14" s="14"/>
      <c r="B14" s="79"/>
      <c r="C14" s="80"/>
    </row>
    <row r="15" spans="1:9" ht="23.25" customHeight="1" thickBot="1" x14ac:dyDescent="0.3">
      <c r="A15" s="119"/>
      <c r="B15" s="120"/>
      <c r="C15" s="121"/>
    </row>
    <row r="16" spans="1:9" ht="23.25" customHeight="1" thickBot="1" x14ac:dyDescent="0.3">
      <c r="A16" s="16"/>
      <c r="B16" s="85"/>
      <c r="C16" s="78"/>
    </row>
    <row r="17" ht="15.75" thickTop="1" x14ac:dyDescent="0.25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20" t="s">
        <v>8</v>
      </c>
      <c r="B2" s="20"/>
      <c r="C2" s="20"/>
      <c r="D2" s="20"/>
      <c r="E2" s="20"/>
    </row>
    <row r="3" spans="1:5" ht="16.5" thickTop="1" thickBot="1" x14ac:dyDescent="0.3">
      <c r="A3" s="1520" t="s">
        <v>131</v>
      </c>
      <c r="B3" s="1197" t="s">
        <v>256</v>
      </c>
      <c r="C3" s="1198"/>
      <c r="D3" s="1328" t="s">
        <v>257</v>
      </c>
      <c r="E3" s="20"/>
    </row>
    <row r="4" spans="1:5" ht="16.5" thickTop="1" thickBot="1" x14ac:dyDescent="0.3">
      <c r="A4" s="1522"/>
      <c r="B4" s="21" t="s">
        <v>258</v>
      </c>
      <c r="C4" s="69" t="s">
        <v>259</v>
      </c>
      <c r="D4" s="1330"/>
      <c r="E4" s="20"/>
    </row>
    <row r="5" spans="1:5" ht="18.75" customHeight="1" thickTop="1" thickBot="1" x14ac:dyDescent="0.3">
      <c r="A5" s="25" t="s">
        <v>260</v>
      </c>
      <c r="B5" s="58"/>
      <c r="C5" s="58"/>
      <c r="D5" s="60"/>
      <c r="E5" s="20"/>
    </row>
    <row r="6" spans="1:5" ht="18.75" customHeight="1" thickTop="1" thickBot="1" x14ac:dyDescent="0.3">
      <c r="A6" s="14"/>
      <c r="B6" s="79"/>
      <c r="C6" s="79"/>
      <c r="D6" s="80"/>
      <c r="E6" s="20"/>
    </row>
    <row r="7" spans="1:5" ht="18.75" customHeight="1" thickBot="1" x14ac:dyDescent="0.3">
      <c r="A7" s="14"/>
      <c r="B7" s="79"/>
      <c r="C7" s="79"/>
      <c r="D7" s="80"/>
      <c r="E7" s="20"/>
    </row>
    <row r="8" spans="1:5" ht="18.75" customHeight="1" thickBot="1" x14ac:dyDescent="0.3">
      <c r="A8" s="14"/>
      <c r="B8" s="79"/>
      <c r="C8" s="79"/>
      <c r="D8" s="80"/>
      <c r="E8" s="20"/>
    </row>
    <row r="9" spans="1:5" ht="18.75" customHeight="1" thickBot="1" x14ac:dyDescent="0.3">
      <c r="A9" s="16"/>
      <c r="B9" s="85"/>
      <c r="C9" s="153"/>
      <c r="D9" s="78"/>
      <c r="E9" s="20"/>
    </row>
    <row r="10" spans="1:5" ht="18.75" customHeight="1" thickTop="1" thickBot="1" x14ac:dyDescent="0.3">
      <c r="A10" s="25" t="s">
        <v>261</v>
      </c>
      <c r="B10" s="85"/>
      <c r="C10" s="154"/>
      <c r="D10" s="78"/>
      <c r="E10" s="20"/>
    </row>
    <row r="11" spans="1:5" ht="18.75" customHeight="1" thickTop="1" thickBot="1" x14ac:dyDescent="0.3">
      <c r="A11" s="14"/>
      <c r="B11" s="79"/>
      <c r="C11" s="79"/>
      <c r="D11" s="80"/>
      <c r="E11" s="20"/>
    </row>
    <row r="12" spans="1:5" ht="18.75" customHeight="1" thickBot="1" x14ac:dyDescent="0.3">
      <c r="A12" s="14"/>
      <c r="B12" s="79"/>
      <c r="C12" s="79"/>
      <c r="D12" s="80"/>
      <c r="E12" s="20"/>
    </row>
    <row r="13" spans="1:5" ht="18.75" customHeight="1" thickBot="1" x14ac:dyDescent="0.3">
      <c r="A13" s="14"/>
      <c r="B13" s="79"/>
      <c r="C13" s="79"/>
      <c r="D13" s="80"/>
      <c r="E13" s="20"/>
    </row>
    <row r="14" spans="1:5" ht="18.75" customHeight="1" thickBot="1" x14ac:dyDescent="0.3">
      <c r="A14" s="25"/>
      <c r="B14" s="85"/>
      <c r="C14" s="85"/>
      <c r="D14" s="78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15</v>
      </c>
      <c r="B3" s="20"/>
      <c r="C3" s="20"/>
      <c r="D3" s="20"/>
      <c r="E3" s="20"/>
    </row>
    <row r="4" spans="1:5" ht="28.5" customHeight="1" thickTop="1" thickBot="1" x14ac:dyDescent="0.3">
      <c r="A4" s="1520" t="s">
        <v>131</v>
      </c>
      <c r="B4" s="1197" t="s">
        <v>2</v>
      </c>
      <c r="C4" s="1199"/>
      <c r="D4" s="1197" t="s">
        <v>3</v>
      </c>
      <c r="E4" s="1199"/>
    </row>
    <row r="5" spans="1:5" ht="17.25" customHeight="1" thickTop="1" thickBot="1" x14ac:dyDescent="0.3">
      <c r="A5" s="1521"/>
      <c r="B5" s="1197" t="s">
        <v>262</v>
      </c>
      <c r="C5" s="1199"/>
      <c r="D5" s="1197" t="s">
        <v>262</v>
      </c>
      <c r="E5" s="1199"/>
    </row>
    <row r="6" spans="1:5" ht="24" thickTop="1" thickBot="1" x14ac:dyDescent="0.3">
      <c r="A6" s="1522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 x14ac:dyDescent="0.3">
      <c r="A7" s="25" t="s">
        <v>260</v>
      </c>
      <c r="B7" s="58"/>
      <c r="C7" s="58"/>
      <c r="D7" s="60"/>
      <c r="E7" s="60"/>
    </row>
    <row r="8" spans="1:5" ht="18.75" customHeight="1" thickTop="1" thickBot="1" x14ac:dyDescent="0.3">
      <c r="A8" s="14"/>
      <c r="B8" s="79"/>
      <c r="C8" s="79"/>
      <c r="D8" s="80"/>
      <c r="E8" s="80"/>
    </row>
    <row r="9" spans="1:5" ht="18.75" customHeight="1" thickBot="1" x14ac:dyDescent="0.3">
      <c r="A9" s="14"/>
      <c r="B9" s="79"/>
      <c r="C9" s="79"/>
      <c r="D9" s="80"/>
      <c r="E9" s="80"/>
    </row>
    <row r="10" spans="1:5" ht="18.75" customHeight="1" thickBot="1" x14ac:dyDescent="0.3">
      <c r="A10" s="14"/>
      <c r="B10" s="79"/>
      <c r="C10" s="79"/>
      <c r="D10" s="80"/>
      <c r="E10" s="80"/>
    </row>
    <row r="11" spans="1:5" ht="18.75" customHeight="1" thickBot="1" x14ac:dyDescent="0.3">
      <c r="A11" s="16"/>
      <c r="B11" s="85"/>
      <c r="C11" s="153"/>
      <c r="D11" s="78"/>
      <c r="E11" s="78"/>
    </row>
    <row r="12" spans="1:5" ht="24" thickTop="1" thickBot="1" x14ac:dyDescent="0.3">
      <c r="A12" s="25" t="s">
        <v>261</v>
      </c>
      <c r="B12" s="85"/>
      <c r="C12" s="154"/>
      <c r="D12" s="78"/>
      <c r="E12" s="78"/>
    </row>
    <row r="13" spans="1:5" ht="18.75" customHeight="1" thickTop="1" thickBot="1" x14ac:dyDescent="0.3">
      <c r="A13" s="14"/>
      <c r="B13" s="79"/>
      <c r="C13" s="79"/>
      <c r="D13" s="80"/>
      <c r="E13" s="80"/>
    </row>
    <row r="14" spans="1:5" ht="18.75" customHeight="1" thickBot="1" x14ac:dyDescent="0.3">
      <c r="A14" s="14"/>
      <c r="B14" s="79"/>
      <c r="C14" s="79"/>
      <c r="D14" s="80"/>
      <c r="E14" s="80"/>
    </row>
    <row r="15" spans="1:5" ht="18.75" customHeight="1" thickBot="1" x14ac:dyDescent="0.3">
      <c r="A15" s="14"/>
      <c r="B15" s="79"/>
      <c r="C15" s="79"/>
      <c r="D15" s="80"/>
      <c r="E15" s="80"/>
    </row>
    <row r="16" spans="1:5" ht="18.75" customHeight="1" thickBot="1" x14ac:dyDescent="0.3">
      <c r="A16" s="25"/>
      <c r="B16" s="85"/>
      <c r="C16" s="85"/>
      <c r="D16" s="78"/>
      <c r="E16" s="78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1520" t="s">
        <v>266</v>
      </c>
      <c r="B2" s="1197" t="s">
        <v>267</v>
      </c>
      <c r="C2" s="1199"/>
    </row>
    <row r="3" spans="1:3" ht="24" thickTop="1" thickBot="1" x14ac:dyDescent="0.3">
      <c r="A3" s="1522"/>
      <c r="B3" s="70" t="s">
        <v>2</v>
      </c>
      <c r="C3" s="70" t="s">
        <v>3</v>
      </c>
    </row>
    <row r="4" spans="1:3" ht="20.25" customHeight="1" thickTop="1" thickBot="1" x14ac:dyDescent="0.3">
      <c r="A4" s="14" t="s">
        <v>268</v>
      </c>
      <c r="B4" s="79"/>
      <c r="C4" s="80"/>
    </row>
    <row r="5" spans="1:3" ht="20.25" customHeight="1" thickBot="1" x14ac:dyDescent="0.3">
      <c r="A5" s="14" t="s">
        <v>269</v>
      </c>
      <c r="B5" s="79"/>
      <c r="C5" s="80"/>
    </row>
    <row r="6" spans="1:3" ht="20.25" customHeight="1" thickBot="1" x14ac:dyDescent="0.3">
      <c r="A6" s="14" t="s">
        <v>270</v>
      </c>
      <c r="B6" s="79"/>
      <c r="C6" s="80"/>
    </row>
    <row r="7" spans="1:3" ht="20.25" customHeight="1" thickBot="1" x14ac:dyDescent="0.3">
      <c r="A7" s="14" t="s">
        <v>271</v>
      </c>
      <c r="B7" s="79"/>
      <c r="C7" s="80"/>
    </row>
    <row r="8" spans="1:3" ht="20.25" customHeight="1" thickBot="1" x14ac:dyDescent="0.3">
      <c r="A8" s="25" t="s">
        <v>14</v>
      </c>
      <c r="B8" s="85">
        <f>SUM(B4:B7)</f>
        <v>0</v>
      </c>
      <c r="C8" s="78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384"/>
    <col min="11" max="14" width="9.140625" style="385"/>
    <col min="15" max="15" width="9.140625" style="389"/>
  </cols>
  <sheetData>
    <row r="1" spans="1:15" ht="17.25" thickBot="1" x14ac:dyDescent="0.35">
      <c r="A1" s="1" t="s">
        <v>272</v>
      </c>
      <c r="J1" s="1515" t="s">
        <v>1138</v>
      </c>
      <c r="K1" s="1516"/>
      <c r="L1" s="1516"/>
      <c r="M1" s="1516"/>
      <c r="N1" s="1516"/>
      <c r="O1" s="1517"/>
    </row>
    <row r="2" spans="1:15" ht="24.75" customHeight="1" thickTop="1" thickBot="1" x14ac:dyDescent="0.3">
      <c r="A2" s="1520" t="s">
        <v>1</v>
      </c>
      <c r="B2" s="1194" t="s">
        <v>2</v>
      </c>
      <c r="C2" s="1195"/>
      <c r="D2" s="1196"/>
      <c r="E2" s="1197" t="s">
        <v>3</v>
      </c>
      <c r="F2" s="1198"/>
      <c r="G2" s="1199"/>
      <c r="J2" s="1194" t="s">
        <v>2</v>
      </c>
      <c r="K2" s="1195"/>
      <c r="L2" s="1196"/>
      <c r="M2" s="1197" t="s">
        <v>492</v>
      </c>
      <c r="N2" s="1198"/>
      <c r="O2" s="1199"/>
    </row>
    <row r="3" spans="1:15" ht="16.5" customHeight="1" thickTop="1" thickBot="1" x14ac:dyDescent="0.3">
      <c r="A3" s="1521"/>
      <c r="B3" s="1194" t="s">
        <v>184</v>
      </c>
      <c r="C3" s="1195"/>
      <c r="D3" s="1196"/>
      <c r="E3" s="1194" t="s">
        <v>184</v>
      </c>
      <c r="F3" s="1195"/>
      <c r="G3" s="1196"/>
      <c r="J3" s="1194" t="s">
        <v>184</v>
      </c>
      <c r="K3" s="1195"/>
      <c r="L3" s="1196"/>
      <c r="M3" s="1194" t="s">
        <v>184</v>
      </c>
      <c r="N3" s="1195"/>
      <c r="O3" s="1196"/>
    </row>
    <row r="4" spans="1:15" s="4" customFormat="1" ht="45" customHeight="1" thickTop="1" thickBot="1" x14ac:dyDescent="0.3">
      <c r="A4" s="1522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8.75" customHeight="1" thickTop="1" thickBot="1" x14ac:dyDescent="0.3">
      <c r="A5" s="74" t="s">
        <v>188</v>
      </c>
      <c r="B5" s="144"/>
      <c r="C5" s="144"/>
      <c r="D5" s="144"/>
      <c r="E5" s="144"/>
      <c r="F5" s="144"/>
      <c r="G5" s="77"/>
    </row>
    <row r="6" spans="1:15" ht="18.75" customHeight="1" thickBot="1" x14ac:dyDescent="0.3">
      <c r="A6" s="71" t="s">
        <v>273</v>
      </c>
      <c r="B6" s="79"/>
      <c r="C6" s="79"/>
      <c r="D6" s="79"/>
      <c r="E6" s="79"/>
      <c r="F6" s="79"/>
      <c r="G6" s="80"/>
    </row>
    <row r="7" spans="1:15" ht="18.75" customHeight="1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387">
        <f>SUM(B5:B6)-B7</f>
        <v>0</v>
      </c>
      <c r="K7" s="386">
        <f t="shared" ref="K7:O7" si="1">SUM(C5:C6)-C7</f>
        <v>0</v>
      </c>
      <c r="L7" s="386">
        <f t="shared" si="1"/>
        <v>0</v>
      </c>
      <c r="M7" s="386">
        <f t="shared" si="1"/>
        <v>0</v>
      </c>
      <c r="N7" s="386">
        <f t="shared" si="1"/>
        <v>0</v>
      </c>
      <c r="O7" s="390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1:O1"/>
    <mergeCell ref="J2:L2"/>
    <mergeCell ref="M2:O2"/>
    <mergeCell ref="J3:L3"/>
    <mergeCell ref="M3:O3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84" t="s">
        <v>131</v>
      </c>
      <c r="B2" s="70" t="s">
        <v>2</v>
      </c>
      <c r="C2" s="70" t="s">
        <v>3</v>
      </c>
    </row>
    <row r="3" spans="1:3" ht="18.75" customHeight="1" thickTop="1" thickBot="1" x14ac:dyDescent="0.3">
      <c r="A3" s="155" t="s">
        <v>339</v>
      </c>
      <c r="B3" s="80"/>
      <c r="C3" s="80"/>
    </row>
    <row r="4" spans="1:3" ht="18.75" customHeight="1" thickBot="1" x14ac:dyDescent="0.3">
      <c r="A4" s="156" t="s">
        <v>340</v>
      </c>
      <c r="B4" s="80"/>
      <c r="C4" s="80"/>
    </row>
    <row r="5" spans="1:3" ht="18.75" customHeight="1" thickBot="1" x14ac:dyDescent="0.3">
      <c r="A5" s="71" t="s">
        <v>341</v>
      </c>
      <c r="B5" s="80"/>
      <c r="C5" s="80"/>
    </row>
    <row r="6" spans="1:3" ht="18.75" customHeight="1" thickBot="1" x14ac:dyDescent="0.3">
      <c r="A6" s="155" t="s">
        <v>342</v>
      </c>
      <c r="B6" s="80"/>
      <c r="C6" s="80"/>
    </row>
    <row r="7" spans="1:3" ht="18.75" customHeight="1" thickBot="1" x14ac:dyDescent="0.3">
      <c r="A7" s="157" t="s">
        <v>343</v>
      </c>
      <c r="B7" s="80"/>
      <c r="C7" s="80"/>
    </row>
    <row r="8" spans="1:3" ht="18.75" customHeight="1" thickBot="1" x14ac:dyDescent="0.3">
      <c r="A8" s="129" t="s">
        <v>344</v>
      </c>
      <c r="B8" s="80"/>
      <c r="C8" s="80"/>
    </row>
    <row r="9" spans="1:3" ht="18.75" customHeight="1" thickBot="1" x14ac:dyDescent="0.3">
      <c r="A9" s="156" t="s">
        <v>345</v>
      </c>
      <c r="B9" s="80"/>
      <c r="C9" s="80"/>
    </row>
    <row r="10" spans="1:3" ht="18.75" customHeight="1" thickBot="1" x14ac:dyDescent="0.3">
      <c r="A10" s="155" t="s">
        <v>346</v>
      </c>
      <c r="B10" s="126"/>
      <c r="C10" s="126"/>
    </row>
    <row r="11" spans="1:3" ht="18.75" customHeight="1" thickBot="1" x14ac:dyDescent="0.3">
      <c r="A11" s="158" t="s">
        <v>347</v>
      </c>
      <c r="B11" s="127"/>
      <c r="C11" s="127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  <pageSetUpPr fitToPage="1"/>
  </sheetPr>
  <dimension ref="A1:Q143"/>
  <sheetViews>
    <sheetView showGridLines="0" showZeros="0" topLeftCell="A73" workbookViewId="0">
      <selection activeCell="D123" sqref="D123"/>
    </sheetView>
  </sheetViews>
  <sheetFormatPr defaultRowHeight="11.25" x14ac:dyDescent="0.2"/>
  <cols>
    <col min="1" max="1" width="6.85546875" style="178" customWidth="1"/>
    <col min="2" max="2" width="53.5703125" style="178" customWidth="1"/>
    <col min="3" max="3" width="5.85546875" style="178" customWidth="1"/>
    <col min="4" max="4" width="13.42578125" style="178" bestFit="1" customWidth="1"/>
    <col min="5" max="5" width="14.28515625" style="178" bestFit="1" customWidth="1"/>
    <col min="6" max="6" width="13.42578125" style="178" customWidth="1"/>
    <col min="7" max="7" width="15.140625" style="178" customWidth="1"/>
    <col min="8" max="8" width="10" style="178" bestFit="1" customWidth="1"/>
    <col min="9" max="11" width="9.140625" style="178"/>
    <col min="12" max="12" width="9.140625" style="178" customWidth="1"/>
    <col min="13" max="17" width="9.140625" style="178" hidden="1" customWidth="1"/>
    <col min="18" max="16384" width="9.140625" style="178"/>
  </cols>
  <sheetData>
    <row r="1" spans="1:17" ht="12.75" hidden="1" x14ac:dyDescent="0.2">
      <c r="M1" s="179" t="s">
        <v>496</v>
      </c>
    </row>
    <row r="2" spans="1:17" s="186" customFormat="1" ht="12" customHeight="1" x14ac:dyDescent="0.2">
      <c r="A2" s="180" t="s">
        <v>497</v>
      </c>
      <c r="B2" s="181">
        <v>0</v>
      </c>
      <c r="C2" s="182"/>
      <c r="D2" s="183"/>
      <c r="E2" s="184"/>
      <c r="F2" s="184"/>
      <c r="G2" s="185"/>
      <c r="K2" s="179"/>
      <c r="L2" s="179"/>
      <c r="M2" s="179" t="s">
        <v>499</v>
      </c>
      <c r="N2" s="179"/>
      <c r="O2" s="179"/>
      <c r="P2" s="179"/>
      <c r="Q2" s="179"/>
    </row>
    <row r="3" spans="1:17" ht="12" customHeight="1" x14ac:dyDescent="0.2">
      <c r="A3" s="180" t="s">
        <v>500</v>
      </c>
      <c r="B3" s="181" t="s">
        <v>501</v>
      </c>
      <c r="D3" s="183"/>
      <c r="E3" s="184"/>
      <c r="F3" s="184"/>
      <c r="K3" s="179"/>
      <c r="L3" s="187" t="s">
        <v>502</v>
      </c>
      <c r="M3" s="188" t="s">
        <v>498</v>
      </c>
      <c r="N3" s="188" t="s">
        <v>503</v>
      </c>
      <c r="O3" s="188" t="s">
        <v>504</v>
      </c>
      <c r="P3" s="188" t="s">
        <v>505</v>
      </c>
      <c r="Q3" s="188" t="s">
        <v>506</v>
      </c>
    </row>
    <row r="4" spans="1:17" ht="12" customHeight="1" x14ac:dyDescent="0.2">
      <c r="C4" s="424" t="s">
        <v>501</v>
      </c>
      <c r="D4" s="183"/>
      <c r="E4" s="184"/>
      <c r="F4" s="184"/>
      <c r="K4" s="179"/>
      <c r="L4" s="187"/>
      <c r="M4" s="179"/>
      <c r="N4" s="179"/>
      <c r="O4" s="179"/>
      <c r="P4" s="179"/>
      <c r="Q4" s="187" t="s">
        <v>502</v>
      </c>
    </row>
    <row r="5" spans="1:17" ht="13.5" customHeight="1" x14ac:dyDescent="0.2">
      <c r="A5" s="189"/>
      <c r="B5" s="190"/>
      <c r="C5" s="190"/>
      <c r="D5" s="190"/>
      <c r="E5" s="190"/>
      <c r="F5" s="190"/>
      <c r="G5" s="190"/>
      <c r="K5" s="179"/>
      <c r="L5" s="179"/>
      <c r="M5" s="191">
        <v>0.1</v>
      </c>
      <c r="N5" s="192">
        <v>0.01</v>
      </c>
      <c r="O5" s="191">
        <v>0.05</v>
      </c>
      <c r="P5" s="193">
        <v>5.0000000000000001E-3</v>
      </c>
      <c r="Q5" s="194" t="e">
        <f>IF(#REF!=$M$3,M5,IF(#REF!=$N$3,N5,IF(#REF!=$O$3,O5,IF(#REF!=$P$3,P5,""))))</f>
        <v>#REF!</v>
      </c>
    </row>
    <row r="6" spans="1:17" ht="12" customHeight="1" x14ac:dyDescent="0.2">
      <c r="C6" s="195" t="s">
        <v>507</v>
      </c>
      <c r="D6" s="196"/>
      <c r="E6" s="182"/>
      <c r="K6" s="179"/>
      <c r="L6" s="179"/>
      <c r="M6" s="191">
        <v>0.09</v>
      </c>
      <c r="N6" s="192">
        <v>8.9999999999999993E-3</v>
      </c>
      <c r="O6" s="191">
        <v>0.04</v>
      </c>
      <c r="P6" s="193">
        <v>4.0000000000000001E-3</v>
      </c>
      <c r="Q6" s="194" t="e">
        <f>IF(#REF!=$M$3,M6,IF(#REF!=$N$3,N6,IF(#REF!=$O$3,O6,IF(#REF!=$P$3,P6,""))))</f>
        <v>#REF!</v>
      </c>
    </row>
    <row r="7" spans="1:17" s="201" customFormat="1" ht="12" customHeight="1" x14ac:dyDescent="0.2">
      <c r="A7" s="197" t="s">
        <v>508</v>
      </c>
      <c r="B7" s="198" t="s">
        <v>509</v>
      </c>
      <c r="C7" s="197" t="s">
        <v>510</v>
      </c>
      <c r="D7" s="199" t="s">
        <v>511</v>
      </c>
      <c r="E7" s="199"/>
      <c r="F7" s="199"/>
      <c r="G7" s="200" t="s">
        <v>512</v>
      </c>
      <c r="K7" s="179"/>
      <c r="L7" s="179"/>
      <c r="M7" s="191">
        <v>0.08</v>
      </c>
      <c r="N7" s="192">
        <v>8.0000000000000002E-3</v>
      </c>
      <c r="O7" s="191">
        <v>0.03</v>
      </c>
      <c r="P7" s="193">
        <v>3.0000000000000001E-3</v>
      </c>
      <c r="Q7" s="194" t="e">
        <f>IF(#REF!=$M$3,M7,IF(#REF!=$N$3,N7,IF(#REF!=$O$3,O7,IF(#REF!=$P$3,P7,""))))</f>
        <v>#REF!</v>
      </c>
    </row>
    <row r="8" spans="1:17" s="204" customFormat="1" ht="12" customHeight="1" x14ac:dyDescent="0.2">
      <c r="A8" s="202" t="s">
        <v>513</v>
      </c>
      <c r="B8" s="203"/>
      <c r="C8" s="202" t="s">
        <v>514</v>
      </c>
      <c r="D8" s="197" t="s">
        <v>515</v>
      </c>
      <c r="E8" s="197" t="s">
        <v>516</v>
      </c>
      <c r="F8" s="197" t="s">
        <v>517</v>
      </c>
      <c r="G8" s="197" t="s">
        <v>517</v>
      </c>
      <c r="K8" s="179"/>
      <c r="L8" s="179"/>
      <c r="M8" s="191">
        <v>7.0000000000000007E-2</v>
      </c>
      <c r="N8" s="192">
        <v>7.0000000000000001E-3</v>
      </c>
      <c r="O8" s="191">
        <v>0.02</v>
      </c>
      <c r="P8" s="193">
        <v>2.5000000000000001E-3</v>
      </c>
      <c r="Q8" s="194" t="e">
        <f>IF(#REF!=$M$3,M8,IF(#REF!=$N$3,N8,IF(#REF!=$O$3,O8,IF(#REF!=$P$3,P8,""))))</f>
        <v>#REF!</v>
      </c>
    </row>
    <row r="9" spans="1:17" s="201" customFormat="1" ht="12" customHeight="1" x14ac:dyDescent="0.2">
      <c r="A9" s="205" t="s">
        <v>518</v>
      </c>
      <c r="B9" s="206" t="s">
        <v>519</v>
      </c>
      <c r="C9" s="205" t="s">
        <v>520</v>
      </c>
      <c r="D9" s="205">
        <v>1</v>
      </c>
      <c r="E9" s="205">
        <v>2</v>
      </c>
      <c r="F9" s="205">
        <v>3</v>
      </c>
      <c r="G9" s="205">
        <v>4</v>
      </c>
      <c r="K9" s="179"/>
      <c r="L9" s="179"/>
      <c r="M9" s="191">
        <v>0.06</v>
      </c>
      <c r="N9" s="192">
        <v>6.0000000000000001E-3</v>
      </c>
      <c r="O9" s="191">
        <v>0.01</v>
      </c>
      <c r="P9" s="179"/>
      <c r="Q9" s="194" t="e">
        <f>IF(#REF!=$M$3,M9,IF(#REF!=$N$3,N9,IF(#REF!=$O$3,O9,IF(#REF!=$P$3,P9,""))))</f>
        <v>#REF!</v>
      </c>
    </row>
    <row r="10" spans="1:17" s="211" customFormat="1" ht="12" customHeight="1" x14ac:dyDescent="0.2">
      <c r="A10" s="207"/>
      <c r="B10" s="208" t="s">
        <v>521</v>
      </c>
      <c r="C10" s="209" t="s">
        <v>522</v>
      </c>
      <c r="D10" s="891">
        <v>4718463</v>
      </c>
      <c r="E10" s="891">
        <v>134702</v>
      </c>
      <c r="F10" s="891">
        <v>4583761</v>
      </c>
      <c r="G10" s="891">
        <v>4160554</v>
      </c>
      <c r="K10" s="179"/>
      <c r="L10" s="179"/>
      <c r="M10" s="191">
        <v>0.05</v>
      </c>
      <c r="N10" s="192">
        <v>5.0000000000000001E-3</v>
      </c>
      <c r="O10" s="179"/>
      <c r="P10" s="179"/>
      <c r="Q10" s="194" t="e">
        <f>IF(#REF!=$M$3,M10,IF(#REF!=$N$3,N10,IF(#REF!=$O$3,O10,IF(#REF!=$P$3,P10,""))))</f>
        <v>#REF!</v>
      </c>
    </row>
    <row r="11" spans="1:17" s="211" customFormat="1" ht="12" customHeight="1" x14ac:dyDescent="0.25">
      <c r="A11" s="212" t="s">
        <v>523</v>
      </c>
      <c r="B11" s="213" t="s">
        <v>524</v>
      </c>
      <c r="C11" s="209" t="s">
        <v>525</v>
      </c>
      <c r="D11" s="891">
        <v>212189</v>
      </c>
      <c r="E11" s="891">
        <v>116634</v>
      </c>
      <c r="F11" s="891">
        <v>95555</v>
      </c>
      <c r="G11" s="891">
        <v>114084</v>
      </c>
    </row>
    <row r="12" spans="1:17" s="211" customFormat="1" ht="12" customHeight="1" x14ac:dyDescent="0.25">
      <c r="A12" s="214" t="s">
        <v>526</v>
      </c>
      <c r="B12" s="214" t="s">
        <v>527</v>
      </c>
      <c r="C12" s="209" t="s">
        <v>528</v>
      </c>
      <c r="D12" s="891">
        <v>2068</v>
      </c>
      <c r="E12" s="891">
        <v>2068</v>
      </c>
      <c r="F12" s="891"/>
      <c r="G12" s="891"/>
    </row>
    <row r="13" spans="1:17" s="186" customFormat="1" ht="12" customHeight="1" x14ac:dyDescent="0.25">
      <c r="A13" s="215" t="s">
        <v>529</v>
      </c>
      <c r="B13" s="216" t="s">
        <v>530</v>
      </c>
      <c r="C13" s="217" t="s">
        <v>531</v>
      </c>
      <c r="D13" s="892"/>
      <c r="E13" s="892"/>
      <c r="F13" s="892"/>
      <c r="G13" s="892"/>
      <c r="H13" s="218"/>
    </row>
    <row r="14" spans="1:17" s="186" customFormat="1" ht="12" customHeight="1" x14ac:dyDescent="0.25">
      <c r="A14" s="215" t="s">
        <v>532</v>
      </c>
      <c r="B14" s="216" t="s">
        <v>533</v>
      </c>
      <c r="C14" s="217" t="s">
        <v>534</v>
      </c>
      <c r="D14" s="892">
        <v>2068</v>
      </c>
      <c r="E14" s="892">
        <v>2068</v>
      </c>
      <c r="F14" s="892">
        <v>0</v>
      </c>
      <c r="G14" s="893">
        <v>0</v>
      </c>
    </row>
    <row r="15" spans="1:17" s="186" customFormat="1" ht="12" customHeight="1" x14ac:dyDescent="0.25">
      <c r="A15" s="215" t="s">
        <v>535</v>
      </c>
      <c r="B15" s="216" t="s">
        <v>536</v>
      </c>
      <c r="C15" s="217" t="s">
        <v>537</v>
      </c>
      <c r="D15" s="892"/>
      <c r="E15" s="892"/>
      <c r="F15" s="892"/>
      <c r="G15" s="892"/>
    </row>
    <row r="16" spans="1:17" s="186" customFormat="1" ht="12" customHeight="1" x14ac:dyDescent="0.25">
      <c r="A16" s="215" t="s">
        <v>538</v>
      </c>
      <c r="B16" s="216" t="s">
        <v>539</v>
      </c>
      <c r="C16" s="217" t="s">
        <v>540</v>
      </c>
      <c r="D16" s="892"/>
      <c r="E16" s="892"/>
      <c r="F16" s="892"/>
      <c r="G16" s="892"/>
    </row>
    <row r="17" spans="1:7" s="186" customFormat="1" ht="12" customHeight="1" x14ac:dyDescent="0.25">
      <c r="A17" s="215" t="s">
        <v>541</v>
      </c>
      <c r="B17" s="219" t="s">
        <v>542</v>
      </c>
      <c r="C17" s="217" t="s">
        <v>543</v>
      </c>
      <c r="D17" s="892"/>
      <c r="E17" s="892"/>
      <c r="F17" s="892"/>
      <c r="G17" s="892"/>
    </row>
    <row r="18" spans="1:7" s="186" customFormat="1" ht="12" customHeight="1" x14ac:dyDescent="0.25">
      <c r="A18" s="215" t="s">
        <v>544</v>
      </c>
      <c r="B18" s="216" t="s">
        <v>545</v>
      </c>
      <c r="C18" s="217" t="s">
        <v>546</v>
      </c>
      <c r="D18" s="892"/>
      <c r="E18" s="892"/>
      <c r="F18" s="892"/>
      <c r="G18" s="892"/>
    </row>
    <row r="19" spans="1:7" s="186" customFormat="1" ht="12" customHeight="1" x14ac:dyDescent="0.25">
      <c r="A19" s="215" t="s">
        <v>547</v>
      </c>
      <c r="B19" s="216" t="s">
        <v>548</v>
      </c>
      <c r="C19" s="217" t="s">
        <v>549</v>
      </c>
      <c r="D19" s="892"/>
      <c r="E19" s="892"/>
      <c r="F19" s="892"/>
      <c r="G19" s="892"/>
    </row>
    <row r="20" spans="1:7" s="211" customFormat="1" ht="12" customHeight="1" x14ac:dyDescent="0.25">
      <c r="A20" s="220" t="s">
        <v>550</v>
      </c>
      <c r="B20" s="214" t="s">
        <v>551</v>
      </c>
      <c r="C20" s="209" t="s">
        <v>552</v>
      </c>
      <c r="D20" s="891">
        <v>210121</v>
      </c>
      <c r="E20" s="891">
        <v>114566</v>
      </c>
      <c r="F20" s="891">
        <v>95555</v>
      </c>
      <c r="G20" s="891">
        <v>114084</v>
      </c>
    </row>
    <row r="21" spans="1:7" s="186" customFormat="1" ht="12" customHeight="1" x14ac:dyDescent="0.25">
      <c r="A21" s="221" t="s">
        <v>553</v>
      </c>
      <c r="B21" s="216" t="s">
        <v>554</v>
      </c>
      <c r="C21" s="217" t="s">
        <v>555</v>
      </c>
      <c r="D21" s="892"/>
      <c r="E21" s="892"/>
      <c r="F21" s="892"/>
      <c r="G21" s="892"/>
    </row>
    <row r="22" spans="1:7" s="186" customFormat="1" ht="12" customHeight="1" x14ac:dyDescent="0.25">
      <c r="A22" s="215" t="s">
        <v>532</v>
      </c>
      <c r="B22" s="216" t="s">
        <v>556</v>
      </c>
      <c r="C22" s="217" t="s">
        <v>557</v>
      </c>
      <c r="D22" s="892">
        <v>18949</v>
      </c>
      <c r="E22" s="892">
        <v>3336</v>
      </c>
      <c r="F22" s="892">
        <f>D22-E22</f>
        <v>15613</v>
      </c>
      <c r="G22" s="892">
        <v>16993</v>
      </c>
    </row>
    <row r="23" spans="1:7" s="186" customFormat="1" ht="12" customHeight="1" x14ac:dyDescent="0.25">
      <c r="A23" s="215" t="s">
        <v>535</v>
      </c>
      <c r="B23" s="216" t="s">
        <v>558</v>
      </c>
      <c r="C23" s="217" t="s">
        <v>559</v>
      </c>
      <c r="D23" s="892">
        <v>191172</v>
      </c>
      <c r="E23" s="894">
        <v>111230</v>
      </c>
      <c r="F23" s="892">
        <f>D23-E23</f>
        <v>79942</v>
      </c>
      <c r="G23" s="892">
        <v>49017</v>
      </c>
    </row>
    <row r="24" spans="1:7" s="186" customFormat="1" ht="12" customHeight="1" x14ac:dyDescent="0.25">
      <c r="A24" s="215" t="s">
        <v>538</v>
      </c>
      <c r="B24" s="216" t="s">
        <v>560</v>
      </c>
      <c r="C24" s="217" t="s">
        <v>561</v>
      </c>
      <c r="D24" s="892"/>
      <c r="E24" s="892"/>
      <c r="F24" s="892"/>
      <c r="G24" s="894"/>
    </row>
    <row r="25" spans="1:7" s="186" customFormat="1" ht="12" customHeight="1" x14ac:dyDescent="0.25">
      <c r="A25" s="215" t="s">
        <v>541</v>
      </c>
      <c r="B25" s="216" t="s">
        <v>562</v>
      </c>
      <c r="C25" s="217" t="s">
        <v>563</v>
      </c>
      <c r="D25" s="892"/>
      <c r="E25" s="892"/>
      <c r="F25" s="892"/>
      <c r="G25" s="894"/>
    </row>
    <row r="26" spans="1:7" s="186" customFormat="1" ht="12" customHeight="1" x14ac:dyDescent="0.25">
      <c r="A26" s="215" t="s">
        <v>544</v>
      </c>
      <c r="B26" s="219" t="s">
        <v>564</v>
      </c>
      <c r="C26" s="217" t="s">
        <v>565</v>
      </c>
      <c r="D26" s="894"/>
      <c r="E26" s="894"/>
      <c r="F26" s="892"/>
      <c r="G26" s="894"/>
    </row>
    <row r="27" spans="1:7" s="186" customFormat="1" ht="12" customHeight="1" x14ac:dyDescent="0.25">
      <c r="A27" s="215" t="s">
        <v>547</v>
      </c>
      <c r="B27" s="216" t="s">
        <v>566</v>
      </c>
      <c r="C27" s="217" t="s">
        <v>567</v>
      </c>
      <c r="D27" s="892"/>
      <c r="E27" s="892"/>
      <c r="F27" s="892"/>
      <c r="G27" s="892">
        <v>48074</v>
      </c>
    </row>
    <row r="28" spans="1:7" s="186" customFormat="1" ht="12" customHeight="1" x14ac:dyDescent="0.25">
      <c r="A28" s="215" t="s">
        <v>568</v>
      </c>
      <c r="B28" s="216" t="s">
        <v>569</v>
      </c>
      <c r="C28" s="217" t="s">
        <v>570</v>
      </c>
      <c r="D28" s="892"/>
      <c r="E28" s="892"/>
      <c r="F28" s="892"/>
      <c r="G28" s="892"/>
    </row>
    <row r="29" spans="1:7" s="186" customFormat="1" ht="12" customHeight="1" x14ac:dyDescent="0.25">
      <c r="A29" s="215" t="s">
        <v>571</v>
      </c>
      <c r="B29" s="216" t="s">
        <v>572</v>
      </c>
      <c r="C29" s="217" t="s">
        <v>573</v>
      </c>
      <c r="D29" s="892"/>
      <c r="E29" s="892"/>
      <c r="F29" s="892"/>
      <c r="G29" s="892"/>
    </row>
    <row r="30" spans="1:7" s="211" customFormat="1" ht="12" customHeight="1" x14ac:dyDescent="0.25">
      <c r="A30" s="220" t="s">
        <v>574</v>
      </c>
      <c r="B30" s="214" t="s">
        <v>575</v>
      </c>
      <c r="C30" s="209" t="s">
        <v>576</v>
      </c>
      <c r="D30" s="891"/>
      <c r="E30" s="891"/>
      <c r="F30" s="891"/>
      <c r="G30" s="891"/>
    </row>
    <row r="31" spans="1:7" s="186" customFormat="1" ht="12" customHeight="1" x14ac:dyDescent="0.25">
      <c r="A31" s="221" t="s">
        <v>577</v>
      </c>
      <c r="B31" s="216" t="s">
        <v>578</v>
      </c>
      <c r="C31" s="217" t="s">
        <v>579</v>
      </c>
      <c r="D31" s="892"/>
      <c r="E31" s="892"/>
      <c r="F31" s="892"/>
      <c r="G31" s="892"/>
    </row>
    <row r="32" spans="1:7" s="186" customFormat="1" ht="12" customHeight="1" x14ac:dyDescent="0.25">
      <c r="A32" s="215" t="s">
        <v>532</v>
      </c>
      <c r="B32" s="216" t="s">
        <v>580</v>
      </c>
      <c r="C32" s="217" t="s">
        <v>581</v>
      </c>
      <c r="D32" s="892"/>
      <c r="E32" s="892"/>
      <c r="F32" s="892"/>
      <c r="G32" s="892"/>
    </row>
    <row r="33" spans="1:7" s="186" customFormat="1" ht="12" customHeight="1" x14ac:dyDescent="0.25">
      <c r="A33" s="215" t="s">
        <v>535</v>
      </c>
      <c r="B33" s="216" t="s">
        <v>582</v>
      </c>
      <c r="C33" s="217" t="s">
        <v>583</v>
      </c>
      <c r="D33" s="892"/>
      <c r="E33" s="892"/>
      <c r="F33" s="892"/>
      <c r="G33" s="892"/>
    </row>
    <row r="34" spans="1:7" s="186" customFormat="1" ht="12" customHeight="1" x14ac:dyDescent="0.25">
      <c r="A34" s="215" t="s">
        <v>538</v>
      </c>
      <c r="B34" s="216" t="s">
        <v>584</v>
      </c>
      <c r="C34" s="217" t="s">
        <v>585</v>
      </c>
      <c r="D34" s="892"/>
      <c r="E34" s="892"/>
      <c r="F34" s="892"/>
      <c r="G34" s="892"/>
    </row>
    <row r="35" spans="1:7" s="186" customFormat="1" ht="12" customHeight="1" x14ac:dyDescent="0.25">
      <c r="A35" s="215" t="s">
        <v>541</v>
      </c>
      <c r="B35" s="219" t="s">
        <v>586</v>
      </c>
      <c r="C35" s="217" t="s">
        <v>587</v>
      </c>
      <c r="D35" s="892"/>
      <c r="E35" s="892"/>
      <c r="F35" s="892"/>
      <c r="G35" s="892"/>
    </row>
    <row r="36" spans="1:7" s="186" customFormat="1" ht="12" customHeight="1" x14ac:dyDescent="0.25">
      <c r="A36" s="215" t="s">
        <v>544</v>
      </c>
      <c r="B36" s="219" t="s">
        <v>588</v>
      </c>
      <c r="C36" s="217" t="s">
        <v>589</v>
      </c>
      <c r="D36" s="892"/>
      <c r="E36" s="892"/>
      <c r="F36" s="892"/>
      <c r="G36" s="892"/>
    </row>
    <row r="37" spans="1:7" s="186" customFormat="1" ht="12" customHeight="1" x14ac:dyDescent="0.25">
      <c r="A37" s="215" t="s">
        <v>547</v>
      </c>
      <c r="B37" s="216" t="s">
        <v>590</v>
      </c>
      <c r="C37" s="217" t="s">
        <v>591</v>
      </c>
      <c r="D37" s="892"/>
      <c r="E37" s="892"/>
      <c r="F37" s="892"/>
      <c r="G37" s="892"/>
    </row>
    <row r="38" spans="1:7" s="186" customFormat="1" ht="12" customHeight="1" x14ac:dyDescent="0.25">
      <c r="A38" s="215" t="s">
        <v>568</v>
      </c>
      <c r="B38" s="216" t="s">
        <v>592</v>
      </c>
      <c r="C38" s="217" t="s">
        <v>593</v>
      </c>
      <c r="D38" s="892"/>
      <c r="E38" s="892"/>
      <c r="F38" s="892"/>
      <c r="G38" s="892"/>
    </row>
    <row r="39" spans="1:7" s="211" customFormat="1" ht="12" customHeight="1" x14ac:dyDescent="0.25">
      <c r="A39" s="220" t="s">
        <v>594</v>
      </c>
      <c r="B39" s="213" t="s">
        <v>595</v>
      </c>
      <c r="C39" s="209" t="s">
        <v>596</v>
      </c>
      <c r="D39" s="891">
        <v>4504723</v>
      </c>
      <c r="E39" s="891">
        <v>18068</v>
      </c>
      <c r="F39" s="891">
        <v>4486655</v>
      </c>
      <c r="G39" s="891">
        <v>4040245</v>
      </c>
    </row>
    <row r="40" spans="1:7" s="211" customFormat="1" ht="12" customHeight="1" x14ac:dyDescent="0.25">
      <c r="A40" s="214" t="s">
        <v>597</v>
      </c>
      <c r="B40" s="214" t="s">
        <v>598</v>
      </c>
      <c r="C40" s="209" t="s">
        <v>599</v>
      </c>
      <c r="D40" s="891"/>
      <c r="E40" s="891"/>
      <c r="F40" s="891"/>
      <c r="G40" s="891"/>
    </row>
    <row r="41" spans="1:7" s="186" customFormat="1" ht="12" customHeight="1" x14ac:dyDescent="0.25">
      <c r="A41" s="221" t="s">
        <v>600</v>
      </c>
      <c r="B41" s="216" t="s">
        <v>601</v>
      </c>
      <c r="C41" s="217" t="s">
        <v>602</v>
      </c>
      <c r="D41" s="892"/>
      <c r="E41" s="892"/>
      <c r="F41" s="892"/>
      <c r="G41" s="892"/>
    </row>
    <row r="42" spans="1:7" s="186" customFormat="1" ht="12" customHeight="1" x14ac:dyDescent="0.25">
      <c r="A42" s="215" t="s">
        <v>532</v>
      </c>
      <c r="B42" s="219" t="s">
        <v>603</v>
      </c>
      <c r="C42" s="217" t="s">
        <v>604</v>
      </c>
      <c r="D42" s="892"/>
      <c r="E42" s="892"/>
      <c r="F42" s="892"/>
      <c r="G42" s="892"/>
    </row>
    <row r="43" spans="1:7" s="186" customFormat="1" ht="12" customHeight="1" x14ac:dyDescent="0.25">
      <c r="A43" s="215" t="s">
        <v>535</v>
      </c>
      <c r="B43" s="216" t="s">
        <v>605</v>
      </c>
      <c r="C43" s="217" t="s">
        <v>606</v>
      </c>
      <c r="D43" s="892"/>
      <c r="E43" s="892"/>
      <c r="F43" s="892"/>
      <c r="G43" s="892"/>
    </row>
    <row r="44" spans="1:7" s="186" customFormat="1" ht="12" customHeight="1" x14ac:dyDescent="0.25">
      <c r="A44" s="215" t="s">
        <v>538</v>
      </c>
      <c r="B44" s="216" t="s">
        <v>607</v>
      </c>
      <c r="C44" s="217" t="s">
        <v>608</v>
      </c>
      <c r="D44" s="892"/>
      <c r="E44" s="892"/>
      <c r="F44" s="892"/>
      <c r="G44" s="892"/>
    </row>
    <row r="45" spans="1:7" s="186" customFormat="1" ht="12" customHeight="1" x14ac:dyDescent="0.25">
      <c r="A45" s="215" t="s">
        <v>541</v>
      </c>
      <c r="B45" s="219" t="s">
        <v>609</v>
      </c>
      <c r="C45" s="217" t="s">
        <v>610</v>
      </c>
      <c r="D45" s="892"/>
      <c r="E45" s="892"/>
      <c r="F45" s="892"/>
      <c r="G45" s="892"/>
    </row>
    <row r="46" spans="1:7" s="186" customFormat="1" ht="12" customHeight="1" x14ac:dyDescent="0.25">
      <c r="A46" s="215" t="s">
        <v>544</v>
      </c>
      <c r="B46" s="216" t="s">
        <v>611</v>
      </c>
      <c r="C46" s="217" t="s">
        <v>612</v>
      </c>
      <c r="D46" s="895"/>
      <c r="E46" s="895"/>
      <c r="F46" s="895"/>
      <c r="G46" s="892"/>
    </row>
    <row r="47" spans="1:7" s="211" customFormat="1" ht="12" customHeight="1" x14ac:dyDescent="0.25">
      <c r="A47" s="220" t="s">
        <v>613</v>
      </c>
      <c r="B47" s="214" t="s">
        <v>614</v>
      </c>
      <c r="C47" s="209" t="s">
        <v>615</v>
      </c>
      <c r="D47" s="891">
        <v>114485</v>
      </c>
      <c r="E47" s="891"/>
      <c r="F47" s="891">
        <v>11485</v>
      </c>
      <c r="G47" s="891">
        <v>20223</v>
      </c>
    </row>
    <row r="48" spans="1:7" s="186" customFormat="1" ht="12" customHeight="1" x14ac:dyDescent="0.25">
      <c r="A48" s="221" t="s">
        <v>616</v>
      </c>
      <c r="B48" s="219" t="s">
        <v>617</v>
      </c>
      <c r="C48" s="217" t="s">
        <v>618</v>
      </c>
      <c r="D48" s="896"/>
      <c r="E48" s="896"/>
      <c r="F48" s="896"/>
      <c r="G48" s="896"/>
    </row>
    <row r="49" spans="1:7" s="186" customFormat="1" ht="12" customHeight="1" x14ac:dyDescent="0.25">
      <c r="A49" s="224" t="s">
        <v>532</v>
      </c>
      <c r="B49" s="225" t="s">
        <v>619</v>
      </c>
      <c r="C49" s="226" t="s">
        <v>620</v>
      </c>
      <c r="D49" s="896"/>
      <c r="E49" s="894"/>
      <c r="F49" s="894"/>
      <c r="G49" s="896"/>
    </row>
    <row r="50" spans="1:7" s="186" customFormat="1" ht="12" customHeight="1" x14ac:dyDescent="0.25">
      <c r="A50" s="215" t="s">
        <v>535</v>
      </c>
      <c r="B50" s="216" t="s">
        <v>621</v>
      </c>
      <c r="C50" s="217" t="s">
        <v>622</v>
      </c>
      <c r="D50" s="896"/>
      <c r="E50" s="896"/>
      <c r="F50" s="896"/>
      <c r="G50" s="896"/>
    </row>
    <row r="51" spans="1:7" s="186" customFormat="1" ht="12" customHeight="1" x14ac:dyDescent="0.25">
      <c r="A51" s="215" t="s">
        <v>538</v>
      </c>
      <c r="B51" s="216" t="s">
        <v>623</v>
      </c>
      <c r="C51" s="217" t="s">
        <v>624</v>
      </c>
      <c r="D51" s="896"/>
      <c r="E51" s="896"/>
      <c r="F51" s="896"/>
      <c r="G51" s="896"/>
    </row>
    <row r="52" spans="1:7" s="186" customFormat="1" ht="12" customHeight="1" x14ac:dyDescent="0.25">
      <c r="A52" s="215" t="s">
        <v>541</v>
      </c>
      <c r="B52" s="219" t="s">
        <v>625</v>
      </c>
      <c r="C52" s="217" t="s">
        <v>626</v>
      </c>
      <c r="D52" s="896"/>
      <c r="E52" s="896"/>
      <c r="F52" s="896"/>
      <c r="G52" s="896"/>
    </row>
    <row r="53" spans="1:7" s="186" customFormat="1" ht="12" customHeight="1" x14ac:dyDescent="0.25">
      <c r="A53" s="215" t="s">
        <v>544</v>
      </c>
      <c r="B53" s="219" t="s">
        <v>627</v>
      </c>
      <c r="C53" s="217" t="s">
        <v>628</v>
      </c>
      <c r="D53" s="896"/>
      <c r="E53" s="897"/>
      <c r="F53" s="897"/>
      <c r="G53" s="896"/>
    </row>
    <row r="54" spans="1:7" s="186" customFormat="1" ht="12" customHeight="1" x14ac:dyDescent="0.25">
      <c r="A54" s="215" t="s">
        <v>547</v>
      </c>
      <c r="B54" s="216" t="s">
        <v>629</v>
      </c>
      <c r="C54" s="217" t="s">
        <v>630</v>
      </c>
      <c r="D54" s="896">
        <v>11485</v>
      </c>
      <c r="E54" s="897"/>
      <c r="F54" s="897">
        <v>11485</v>
      </c>
      <c r="G54" s="896">
        <v>20223</v>
      </c>
    </row>
    <row r="55" spans="1:7" s="211" customFormat="1" ht="12" customHeight="1" x14ac:dyDescent="0.25">
      <c r="A55" s="220" t="s">
        <v>631</v>
      </c>
      <c r="B55" s="214" t="s">
        <v>632</v>
      </c>
      <c r="C55" s="209" t="s">
        <v>633</v>
      </c>
      <c r="D55" s="891">
        <v>4027190</v>
      </c>
      <c r="E55" s="891">
        <v>18068</v>
      </c>
      <c r="F55" s="891">
        <v>4009122</v>
      </c>
      <c r="G55" s="891">
        <v>3332620</v>
      </c>
    </row>
    <row r="56" spans="1:7" s="186" customFormat="1" ht="12" customHeight="1" x14ac:dyDescent="0.25">
      <c r="A56" s="221" t="s">
        <v>634</v>
      </c>
      <c r="B56" s="219" t="s">
        <v>635</v>
      </c>
      <c r="C56" s="217" t="s">
        <v>636</v>
      </c>
      <c r="D56" s="896">
        <v>3787096</v>
      </c>
      <c r="E56" s="896">
        <v>18068</v>
      </c>
      <c r="F56" s="896">
        <v>3769028</v>
      </c>
      <c r="G56" s="896">
        <v>3140060</v>
      </c>
    </row>
    <row r="57" spans="1:7" s="186" customFormat="1" ht="12" customHeight="1" x14ac:dyDescent="0.25">
      <c r="A57" s="224" t="s">
        <v>532</v>
      </c>
      <c r="B57" s="225" t="s">
        <v>619</v>
      </c>
      <c r="C57" s="226" t="s">
        <v>637</v>
      </c>
      <c r="D57" s="896"/>
      <c r="E57" s="894"/>
      <c r="F57" s="894"/>
      <c r="G57" s="896"/>
    </row>
    <row r="58" spans="1:7" s="186" customFormat="1" ht="12" customHeight="1" x14ac:dyDescent="0.25">
      <c r="A58" s="215" t="s">
        <v>535</v>
      </c>
      <c r="B58" s="216" t="s">
        <v>638</v>
      </c>
      <c r="C58" s="217" t="s">
        <v>639</v>
      </c>
      <c r="D58" s="896">
        <v>100000</v>
      </c>
      <c r="E58" s="896"/>
      <c r="F58" s="896">
        <v>100000</v>
      </c>
      <c r="G58" s="896"/>
    </row>
    <row r="59" spans="1:7" s="186" customFormat="1" ht="12" customHeight="1" x14ac:dyDescent="0.25">
      <c r="A59" s="215" t="s">
        <v>538</v>
      </c>
      <c r="B59" s="216" t="s">
        <v>623</v>
      </c>
      <c r="C59" s="217" t="s">
        <v>640</v>
      </c>
      <c r="D59" s="896"/>
      <c r="E59" s="896"/>
      <c r="F59" s="896"/>
      <c r="G59" s="896"/>
    </row>
    <row r="60" spans="1:7" s="186" customFormat="1" ht="12" customHeight="1" x14ac:dyDescent="0.25">
      <c r="A60" s="215" t="s">
        <v>541</v>
      </c>
      <c r="B60" s="219" t="s">
        <v>641</v>
      </c>
      <c r="C60" s="217" t="s">
        <v>642</v>
      </c>
      <c r="D60" s="896"/>
      <c r="E60" s="896"/>
      <c r="F60" s="896"/>
      <c r="G60" s="896"/>
    </row>
    <row r="61" spans="1:7" s="186" customFormat="1" ht="12" customHeight="1" x14ac:dyDescent="0.25">
      <c r="A61" s="215" t="s">
        <v>544</v>
      </c>
      <c r="B61" s="216" t="s">
        <v>643</v>
      </c>
      <c r="C61" s="217" t="s">
        <v>644</v>
      </c>
      <c r="D61" s="896"/>
      <c r="E61" s="896"/>
      <c r="F61" s="896"/>
      <c r="G61" s="896"/>
    </row>
    <row r="62" spans="1:7" s="186" customFormat="1" ht="12" customHeight="1" x14ac:dyDescent="0.25">
      <c r="A62" s="215" t="s">
        <v>547</v>
      </c>
      <c r="B62" s="216" t="s">
        <v>645</v>
      </c>
      <c r="C62" s="217" t="s">
        <v>646</v>
      </c>
      <c r="D62" s="896">
        <v>139836</v>
      </c>
      <c r="E62" s="896"/>
      <c r="F62" s="896">
        <v>139836</v>
      </c>
      <c r="G62" s="896">
        <v>192532</v>
      </c>
    </row>
    <row r="63" spans="1:7" s="186" customFormat="1" ht="12" customHeight="1" x14ac:dyDescent="0.25">
      <c r="A63" s="215" t="s">
        <v>568</v>
      </c>
      <c r="B63" s="215" t="s">
        <v>647</v>
      </c>
      <c r="C63" s="217" t="s">
        <v>648</v>
      </c>
      <c r="D63" s="896">
        <v>258</v>
      </c>
      <c r="E63" s="896"/>
      <c r="F63" s="896">
        <v>258</v>
      </c>
      <c r="G63" s="896">
        <v>28</v>
      </c>
    </row>
    <row r="64" spans="1:7" s="211" customFormat="1" ht="12" customHeight="1" x14ac:dyDescent="0.25">
      <c r="A64" s="220" t="s">
        <v>649</v>
      </c>
      <c r="B64" s="214" t="s">
        <v>650</v>
      </c>
      <c r="C64" s="209" t="s">
        <v>651</v>
      </c>
      <c r="D64" s="891">
        <v>466048</v>
      </c>
      <c r="E64" s="891"/>
      <c r="F64" s="891">
        <v>466048</v>
      </c>
      <c r="G64" s="891">
        <v>687402</v>
      </c>
    </row>
    <row r="65" spans="1:7" s="211" customFormat="1" ht="12" customHeight="1" x14ac:dyDescent="0.25">
      <c r="A65" s="221" t="s">
        <v>652</v>
      </c>
      <c r="B65" s="216" t="s">
        <v>653</v>
      </c>
      <c r="C65" s="217" t="s">
        <v>654</v>
      </c>
      <c r="D65" s="892">
        <v>2698</v>
      </c>
      <c r="E65" s="892"/>
      <c r="F65" s="894">
        <v>2698</v>
      </c>
      <c r="G65" s="892">
        <v>820</v>
      </c>
    </row>
    <row r="66" spans="1:7" s="186" customFormat="1" ht="12" customHeight="1" x14ac:dyDescent="0.25">
      <c r="A66" s="215" t="s">
        <v>532</v>
      </c>
      <c r="B66" s="216" t="s">
        <v>655</v>
      </c>
      <c r="C66" s="217" t="s">
        <v>656</v>
      </c>
      <c r="D66" s="892">
        <v>463350</v>
      </c>
      <c r="E66" s="892"/>
      <c r="F66" s="892">
        <v>463350</v>
      </c>
      <c r="G66" s="892">
        <v>686582</v>
      </c>
    </row>
    <row r="67" spans="1:7" s="186" customFormat="1" ht="12" customHeight="1" x14ac:dyDescent="0.25">
      <c r="A67" s="215" t="s">
        <v>535</v>
      </c>
      <c r="B67" s="216" t="s">
        <v>657</v>
      </c>
      <c r="C67" s="217" t="s">
        <v>658</v>
      </c>
      <c r="D67" s="892"/>
      <c r="E67" s="892"/>
      <c r="F67" s="892"/>
      <c r="G67" s="892"/>
    </row>
    <row r="68" spans="1:7" s="186" customFormat="1" ht="12" customHeight="1" x14ac:dyDescent="0.25">
      <c r="A68" s="215" t="s">
        <v>538</v>
      </c>
      <c r="B68" s="216" t="s">
        <v>659</v>
      </c>
      <c r="C68" s="217" t="s">
        <v>660</v>
      </c>
      <c r="D68" s="892"/>
      <c r="E68" s="892"/>
      <c r="F68" s="892"/>
      <c r="G68" s="892"/>
    </row>
    <row r="69" spans="1:7" s="186" customFormat="1" ht="12" customHeight="1" x14ac:dyDescent="0.25">
      <c r="A69" s="215" t="s">
        <v>541</v>
      </c>
      <c r="B69" s="216" t="s">
        <v>661</v>
      </c>
      <c r="C69" s="217" t="s">
        <v>662</v>
      </c>
      <c r="D69" s="892"/>
      <c r="E69" s="892"/>
      <c r="F69" s="892"/>
      <c r="G69" s="892"/>
    </row>
    <row r="70" spans="1:7" s="211" customFormat="1" ht="12" customHeight="1" x14ac:dyDescent="0.25">
      <c r="A70" s="220" t="s">
        <v>663</v>
      </c>
      <c r="B70" s="214" t="s">
        <v>664</v>
      </c>
      <c r="C70" s="209" t="s">
        <v>665</v>
      </c>
      <c r="D70" s="891">
        <v>1551</v>
      </c>
      <c r="E70" s="891"/>
      <c r="F70" s="891">
        <v>1551</v>
      </c>
      <c r="G70" s="891">
        <v>6225</v>
      </c>
    </row>
    <row r="71" spans="1:7" s="186" customFormat="1" ht="12" customHeight="1" x14ac:dyDescent="0.25">
      <c r="A71" s="221" t="s">
        <v>666</v>
      </c>
      <c r="B71" s="216" t="s">
        <v>667</v>
      </c>
      <c r="C71" s="217" t="s">
        <v>668</v>
      </c>
      <c r="D71" s="898"/>
      <c r="E71" s="899"/>
      <c r="F71" s="894"/>
      <c r="G71" s="899"/>
    </row>
    <row r="72" spans="1:7" s="186" customFormat="1" ht="12" customHeight="1" x14ac:dyDescent="0.25">
      <c r="A72" s="215" t="s">
        <v>532</v>
      </c>
      <c r="B72" s="219" t="s">
        <v>669</v>
      </c>
      <c r="C72" s="217" t="s">
        <v>670</v>
      </c>
      <c r="D72" s="894">
        <v>1526</v>
      </c>
      <c r="E72" s="894"/>
      <c r="F72" s="894">
        <v>1526</v>
      </c>
      <c r="G72" s="894">
        <v>1889</v>
      </c>
    </row>
    <row r="73" spans="1:7" s="186" customFormat="1" ht="12" customHeight="1" x14ac:dyDescent="0.25">
      <c r="A73" s="215" t="s">
        <v>535</v>
      </c>
      <c r="B73" s="216" t="s">
        <v>671</v>
      </c>
      <c r="C73" s="217" t="s">
        <v>672</v>
      </c>
      <c r="D73" s="894"/>
      <c r="E73" s="894"/>
      <c r="F73" s="894"/>
      <c r="G73" s="894"/>
    </row>
    <row r="74" spans="1:7" s="186" customFormat="1" ht="12" customHeight="1" x14ac:dyDescent="0.25">
      <c r="A74" s="215" t="s">
        <v>538</v>
      </c>
      <c r="B74" s="216" t="s">
        <v>673</v>
      </c>
      <c r="C74" s="217" t="s">
        <v>674</v>
      </c>
      <c r="D74" s="892">
        <v>25</v>
      </c>
      <c r="E74" s="892"/>
      <c r="F74" s="892">
        <v>25</v>
      </c>
      <c r="G74" s="892">
        <v>4336</v>
      </c>
    </row>
    <row r="75" spans="1:7" s="186" customFormat="1" ht="12" customHeight="1" x14ac:dyDescent="0.25">
      <c r="A75" s="227"/>
      <c r="B75" s="227" t="s">
        <v>675</v>
      </c>
      <c r="C75" s="228">
        <v>888</v>
      </c>
      <c r="D75" s="900"/>
      <c r="E75" s="900"/>
      <c r="F75" s="900"/>
      <c r="G75" s="900"/>
    </row>
    <row r="76" spans="1:7" s="186" customFormat="1" ht="12" customHeight="1" x14ac:dyDescent="0.25">
      <c r="A76" s="229"/>
      <c r="D76" s="230"/>
      <c r="E76" s="230"/>
      <c r="F76" s="230"/>
      <c r="G76" s="230"/>
    </row>
    <row r="77" spans="1:7" s="186" customFormat="1" ht="12" customHeight="1" x14ac:dyDescent="0.25">
      <c r="A77" s="229"/>
      <c r="D77" s="230"/>
      <c r="E77" s="230"/>
      <c r="F77" s="230"/>
      <c r="G77" s="230"/>
    </row>
    <row r="78" spans="1:7" s="186" customFormat="1" ht="12" customHeight="1" x14ac:dyDescent="0.25">
      <c r="A78" s="231" t="s">
        <v>508</v>
      </c>
      <c r="B78" s="231" t="s">
        <v>676</v>
      </c>
      <c r="C78" s="231" t="s">
        <v>510</v>
      </c>
      <c r="D78" s="232" t="s">
        <v>677</v>
      </c>
      <c r="E78" s="232" t="s">
        <v>678</v>
      </c>
      <c r="F78" s="233"/>
      <c r="G78" s="233"/>
    </row>
    <row r="79" spans="1:7" s="186" customFormat="1" ht="12" customHeight="1" x14ac:dyDescent="0.25">
      <c r="A79" s="234" t="s">
        <v>513</v>
      </c>
      <c r="B79" s="234"/>
      <c r="C79" s="234" t="s">
        <v>514</v>
      </c>
      <c r="D79" s="235" t="s">
        <v>679</v>
      </c>
      <c r="E79" s="235" t="s">
        <v>679</v>
      </c>
      <c r="F79" s="233"/>
      <c r="G79" s="233"/>
    </row>
    <row r="80" spans="1:7" s="238" customFormat="1" ht="12" customHeight="1" x14ac:dyDescent="0.25">
      <c r="A80" s="236" t="s">
        <v>518</v>
      </c>
      <c r="B80" s="236" t="s">
        <v>519</v>
      </c>
      <c r="C80" s="236" t="s">
        <v>520</v>
      </c>
      <c r="D80" s="237">
        <v>5</v>
      </c>
      <c r="E80" s="237">
        <v>6</v>
      </c>
      <c r="F80" s="233"/>
      <c r="G80" s="233"/>
    </row>
    <row r="81" spans="1:7" s="211" customFormat="1" ht="12" customHeight="1" x14ac:dyDescent="0.25">
      <c r="A81" s="239"/>
      <c r="B81" s="239" t="s">
        <v>680</v>
      </c>
      <c r="C81" s="240" t="s">
        <v>681</v>
      </c>
      <c r="D81" s="891">
        <v>4583761</v>
      </c>
      <c r="E81" s="891">
        <v>4160554</v>
      </c>
      <c r="F81" s="241"/>
      <c r="G81" s="241"/>
    </row>
    <row r="82" spans="1:7" s="211" customFormat="1" ht="12" customHeight="1" x14ac:dyDescent="0.25">
      <c r="A82" s="239" t="s">
        <v>523</v>
      </c>
      <c r="B82" s="239" t="s">
        <v>682</v>
      </c>
      <c r="C82" s="240" t="s">
        <v>683</v>
      </c>
      <c r="D82" s="891">
        <v>609783</v>
      </c>
      <c r="E82" s="891">
        <v>1317264</v>
      </c>
      <c r="F82" s="1501"/>
      <c r="G82" s="1501"/>
    </row>
    <row r="83" spans="1:7" s="211" customFormat="1" ht="12" customHeight="1" x14ac:dyDescent="0.25">
      <c r="A83" s="239" t="s">
        <v>526</v>
      </c>
      <c r="B83" s="239" t="s">
        <v>684</v>
      </c>
      <c r="C83" s="240" t="s">
        <v>685</v>
      </c>
      <c r="D83" s="891">
        <v>6639</v>
      </c>
      <c r="E83" s="891">
        <v>6639</v>
      </c>
      <c r="F83" s="222"/>
      <c r="G83" s="222"/>
    </row>
    <row r="84" spans="1:7" s="186" customFormat="1" ht="12" customHeight="1" x14ac:dyDescent="0.25">
      <c r="A84" s="242" t="s">
        <v>529</v>
      </c>
      <c r="B84" s="243" t="s">
        <v>686</v>
      </c>
      <c r="C84" s="244" t="s">
        <v>687</v>
      </c>
      <c r="D84" s="892">
        <v>6639</v>
      </c>
      <c r="E84" s="892">
        <v>6639</v>
      </c>
      <c r="F84" s="222"/>
      <c r="G84" s="222"/>
    </row>
    <row r="85" spans="1:7" s="186" customFormat="1" ht="12" customHeight="1" x14ac:dyDescent="0.25">
      <c r="A85" s="242" t="s">
        <v>532</v>
      </c>
      <c r="B85" s="243" t="s">
        <v>688</v>
      </c>
      <c r="C85" s="244" t="s">
        <v>689</v>
      </c>
      <c r="D85" s="892"/>
      <c r="E85" s="892"/>
      <c r="F85" s="233"/>
      <c r="G85" s="210"/>
    </row>
    <row r="86" spans="1:7" s="186" customFormat="1" ht="12" customHeight="1" x14ac:dyDescent="0.25">
      <c r="A86" s="242" t="s">
        <v>535</v>
      </c>
      <c r="B86" s="243" t="s">
        <v>690</v>
      </c>
      <c r="C86" s="244" t="s">
        <v>691</v>
      </c>
      <c r="D86" s="892"/>
      <c r="E86" s="892"/>
      <c r="F86" s="233"/>
      <c r="G86" s="210"/>
    </row>
    <row r="87" spans="1:7" s="186" customFormat="1" ht="12" customHeight="1" x14ac:dyDescent="0.25">
      <c r="A87" s="215" t="s">
        <v>538</v>
      </c>
      <c r="B87" s="216" t="s">
        <v>692</v>
      </c>
      <c r="C87" s="217" t="s">
        <v>693</v>
      </c>
      <c r="D87" s="901"/>
      <c r="E87" s="892"/>
      <c r="F87" s="233"/>
      <c r="G87" s="223"/>
    </row>
    <row r="88" spans="1:7" s="211" customFormat="1" ht="12" customHeight="1" x14ac:dyDescent="0.25">
      <c r="A88" s="239" t="s">
        <v>550</v>
      </c>
      <c r="B88" s="239" t="s">
        <v>694</v>
      </c>
      <c r="C88" s="240" t="s">
        <v>695</v>
      </c>
      <c r="D88" s="891"/>
      <c r="E88" s="891"/>
      <c r="F88" s="241"/>
      <c r="G88" s="210"/>
    </row>
    <row r="89" spans="1:7" s="186" customFormat="1" ht="12" customHeight="1" x14ac:dyDescent="0.25">
      <c r="A89" s="242" t="s">
        <v>553</v>
      </c>
      <c r="B89" s="243" t="s">
        <v>696</v>
      </c>
      <c r="C89" s="244" t="s">
        <v>697</v>
      </c>
      <c r="D89" s="892"/>
      <c r="E89" s="892"/>
      <c r="F89" s="233"/>
      <c r="G89" s="210"/>
    </row>
    <row r="90" spans="1:7" s="186" customFormat="1" ht="12" customHeight="1" x14ac:dyDescent="0.25">
      <c r="A90" s="242" t="s">
        <v>532</v>
      </c>
      <c r="B90" s="243" t="s">
        <v>698</v>
      </c>
      <c r="C90" s="244" t="s">
        <v>699</v>
      </c>
      <c r="D90" s="892"/>
      <c r="E90" s="892"/>
      <c r="F90" s="233"/>
      <c r="G90" s="210"/>
    </row>
    <row r="91" spans="1:7" s="186" customFormat="1" ht="12" customHeight="1" x14ac:dyDescent="0.25">
      <c r="A91" s="242" t="s">
        <v>535</v>
      </c>
      <c r="B91" s="243" t="s">
        <v>700</v>
      </c>
      <c r="C91" s="244" t="s">
        <v>701</v>
      </c>
      <c r="D91" s="892"/>
      <c r="E91" s="892"/>
      <c r="F91" s="233"/>
      <c r="G91" s="210"/>
    </row>
    <row r="92" spans="1:7" s="186" customFormat="1" ht="12" customHeight="1" x14ac:dyDescent="0.25">
      <c r="A92" s="242" t="s">
        <v>538</v>
      </c>
      <c r="B92" s="243" t="s">
        <v>702</v>
      </c>
      <c r="C92" s="244" t="s">
        <v>703</v>
      </c>
      <c r="D92" s="892"/>
      <c r="E92" s="892"/>
      <c r="F92" s="233"/>
      <c r="G92" s="210"/>
    </row>
    <row r="93" spans="1:7" s="186" customFormat="1" ht="12" customHeight="1" x14ac:dyDescent="0.25">
      <c r="A93" s="242" t="s">
        <v>541</v>
      </c>
      <c r="B93" s="243" t="s">
        <v>704</v>
      </c>
      <c r="C93" s="244" t="s">
        <v>705</v>
      </c>
      <c r="D93" s="892"/>
      <c r="E93" s="892"/>
      <c r="F93" s="233"/>
      <c r="G93" s="210"/>
    </row>
    <row r="94" spans="1:7" s="186" customFormat="1" ht="12" customHeight="1" x14ac:dyDescent="0.25">
      <c r="A94" s="242" t="s">
        <v>544</v>
      </c>
      <c r="B94" s="243" t="s">
        <v>706</v>
      </c>
      <c r="C94" s="244" t="s">
        <v>707</v>
      </c>
      <c r="D94" s="892"/>
      <c r="E94" s="892"/>
      <c r="F94" s="233"/>
      <c r="G94" s="210"/>
    </row>
    <row r="95" spans="1:7" s="211" customFormat="1" ht="12" customHeight="1" x14ac:dyDescent="0.25">
      <c r="A95" s="239" t="s">
        <v>574</v>
      </c>
      <c r="B95" s="239" t="s">
        <v>708</v>
      </c>
      <c r="C95" s="240" t="s">
        <v>709</v>
      </c>
      <c r="D95" s="891">
        <v>664</v>
      </c>
      <c r="E95" s="891">
        <v>332</v>
      </c>
      <c r="F95" s="241"/>
      <c r="G95" s="210"/>
    </row>
    <row r="96" spans="1:7" s="186" customFormat="1" ht="12" customHeight="1" x14ac:dyDescent="0.25">
      <c r="A96" s="242" t="s">
        <v>577</v>
      </c>
      <c r="B96" s="243" t="s">
        <v>710</v>
      </c>
      <c r="C96" s="244" t="s">
        <v>711</v>
      </c>
      <c r="D96" s="892">
        <v>664</v>
      </c>
      <c r="E96" s="892">
        <v>332</v>
      </c>
      <c r="F96" s="233"/>
      <c r="G96" s="210"/>
    </row>
    <row r="97" spans="1:7" s="186" customFormat="1" ht="12" customHeight="1" x14ac:dyDescent="0.25">
      <c r="A97" s="242" t="s">
        <v>532</v>
      </c>
      <c r="B97" s="243" t="s">
        <v>712</v>
      </c>
      <c r="C97" s="244" t="s">
        <v>713</v>
      </c>
      <c r="D97" s="892"/>
      <c r="E97" s="892"/>
      <c r="F97" s="233"/>
      <c r="G97" s="210"/>
    </row>
    <row r="98" spans="1:7" s="186" customFormat="1" ht="12" customHeight="1" x14ac:dyDescent="0.25">
      <c r="A98" s="242" t="s">
        <v>535</v>
      </c>
      <c r="B98" s="243" t="s">
        <v>714</v>
      </c>
      <c r="C98" s="244" t="s">
        <v>715</v>
      </c>
      <c r="D98" s="892"/>
      <c r="E98" s="892"/>
      <c r="F98" s="233"/>
      <c r="G98" s="210"/>
    </row>
    <row r="99" spans="1:7" s="211" customFormat="1" ht="12" customHeight="1" x14ac:dyDescent="0.25">
      <c r="A99" s="239" t="s">
        <v>716</v>
      </c>
      <c r="B99" s="239" t="s">
        <v>717</v>
      </c>
      <c r="C99" s="240" t="s">
        <v>718</v>
      </c>
      <c r="D99" s="891"/>
      <c r="E99" s="891"/>
      <c r="F99" s="241"/>
      <c r="G99" s="210"/>
    </row>
    <row r="100" spans="1:7" s="186" customFormat="1" ht="12" customHeight="1" x14ac:dyDescent="0.25">
      <c r="A100" s="242" t="s">
        <v>719</v>
      </c>
      <c r="B100" s="243" t="s">
        <v>720</v>
      </c>
      <c r="C100" s="244" t="s">
        <v>721</v>
      </c>
      <c r="D100" s="892"/>
      <c r="E100" s="892">
        <v>678700</v>
      </c>
      <c r="F100" s="233"/>
      <c r="G100" s="210"/>
    </row>
    <row r="101" spans="1:7" s="186" customFormat="1" ht="12" customHeight="1" x14ac:dyDescent="0.25">
      <c r="A101" s="242" t="s">
        <v>532</v>
      </c>
      <c r="B101" s="243" t="s">
        <v>722</v>
      </c>
      <c r="C101" s="244" t="s">
        <v>723</v>
      </c>
      <c r="D101" s="892"/>
      <c r="E101" s="892"/>
      <c r="F101" s="233"/>
      <c r="G101" s="210"/>
    </row>
    <row r="102" spans="1:7" s="247" customFormat="1" x14ac:dyDescent="0.25">
      <c r="A102" s="245" t="s">
        <v>724</v>
      </c>
      <c r="B102" s="245" t="s">
        <v>725</v>
      </c>
      <c r="C102" s="246" t="s">
        <v>726</v>
      </c>
      <c r="D102" s="902">
        <v>602504</v>
      </c>
      <c r="E102" s="902">
        <v>631593</v>
      </c>
      <c r="F102" s="241"/>
    </row>
    <row r="103" spans="1:7" s="211" customFormat="1" ht="12" customHeight="1" x14ac:dyDescent="0.25">
      <c r="A103" s="239" t="s">
        <v>594</v>
      </c>
      <c r="B103" s="239" t="s">
        <v>727</v>
      </c>
      <c r="C103" s="240" t="s">
        <v>728</v>
      </c>
      <c r="D103" s="891">
        <v>3973954</v>
      </c>
      <c r="E103" s="891">
        <v>2843290</v>
      </c>
      <c r="F103" s="248"/>
      <c r="G103" s="210"/>
    </row>
    <row r="104" spans="1:7" s="211" customFormat="1" ht="12" customHeight="1" x14ac:dyDescent="0.25">
      <c r="A104" s="239" t="s">
        <v>597</v>
      </c>
      <c r="B104" s="239" t="s">
        <v>729</v>
      </c>
      <c r="C104" s="240" t="s">
        <v>730</v>
      </c>
      <c r="D104" s="891">
        <v>100876</v>
      </c>
      <c r="E104" s="891">
        <v>131269</v>
      </c>
      <c r="F104" s="1500"/>
      <c r="G104" s="1500"/>
    </row>
    <row r="105" spans="1:7" s="186" customFormat="1" ht="12" customHeight="1" x14ac:dyDescent="0.25">
      <c r="A105" s="242" t="s">
        <v>600</v>
      </c>
      <c r="B105" s="243" t="s">
        <v>731</v>
      </c>
      <c r="C105" s="244" t="s">
        <v>732</v>
      </c>
      <c r="D105" s="892"/>
      <c r="E105" s="892"/>
      <c r="F105" s="222"/>
      <c r="G105" s="222"/>
    </row>
    <row r="106" spans="1:7" s="186" customFormat="1" ht="12" customHeight="1" x14ac:dyDescent="0.25">
      <c r="A106" s="242" t="s">
        <v>532</v>
      </c>
      <c r="B106" s="243" t="s">
        <v>733</v>
      </c>
      <c r="C106" s="244" t="s">
        <v>734</v>
      </c>
      <c r="D106" s="892">
        <v>62550</v>
      </c>
      <c r="E106" s="892">
        <v>34586</v>
      </c>
      <c r="F106" s="222"/>
      <c r="G106" s="222"/>
    </row>
    <row r="107" spans="1:7" s="186" customFormat="1" ht="12" customHeight="1" x14ac:dyDescent="0.25">
      <c r="A107" s="242" t="s">
        <v>535</v>
      </c>
      <c r="B107" s="243" t="s">
        <v>735</v>
      </c>
      <c r="C107" s="244" t="s">
        <v>736</v>
      </c>
      <c r="D107" s="892"/>
      <c r="E107" s="892"/>
      <c r="F107" s="222"/>
      <c r="G107" s="222"/>
    </row>
    <row r="108" spans="1:7" s="186" customFormat="1" ht="12" customHeight="1" x14ac:dyDescent="0.25">
      <c r="A108" s="242" t="s">
        <v>538</v>
      </c>
      <c r="B108" s="243" t="s">
        <v>737</v>
      </c>
      <c r="C108" s="244" t="s">
        <v>738</v>
      </c>
      <c r="D108" s="892">
        <v>38326</v>
      </c>
      <c r="E108" s="892">
        <v>96683</v>
      </c>
      <c r="F108" s="233"/>
      <c r="G108" s="210"/>
    </row>
    <row r="109" spans="1:7" s="211" customFormat="1" ht="12" customHeight="1" x14ac:dyDescent="0.25">
      <c r="A109" s="239" t="s">
        <v>613</v>
      </c>
      <c r="B109" s="239" t="s">
        <v>739</v>
      </c>
      <c r="C109" s="240" t="s">
        <v>740</v>
      </c>
      <c r="D109" s="891">
        <v>2814</v>
      </c>
      <c r="E109" s="891">
        <v>10823</v>
      </c>
      <c r="F109" s="1500"/>
      <c r="G109" s="1500"/>
    </row>
    <row r="110" spans="1:7" s="186" customFormat="1" ht="12" customHeight="1" x14ac:dyDescent="0.25">
      <c r="A110" s="249" t="s">
        <v>616</v>
      </c>
      <c r="B110" s="249" t="s">
        <v>741</v>
      </c>
      <c r="C110" s="250" t="s">
        <v>742</v>
      </c>
      <c r="D110" s="894"/>
      <c r="E110" s="896"/>
      <c r="F110" s="222"/>
      <c r="G110" s="222"/>
    </row>
    <row r="111" spans="1:7" s="186" customFormat="1" ht="12" customHeight="1" x14ac:dyDescent="0.25">
      <c r="A111" s="249" t="s">
        <v>532</v>
      </c>
      <c r="B111" s="249" t="s">
        <v>619</v>
      </c>
      <c r="C111" s="250" t="s">
        <v>743</v>
      </c>
      <c r="D111" s="894"/>
      <c r="E111" s="896"/>
      <c r="F111" s="222"/>
      <c r="G111" s="222"/>
    </row>
    <row r="112" spans="1:7" s="186" customFormat="1" ht="12" customHeight="1" x14ac:dyDescent="0.25">
      <c r="A112" s="249" t="s">
        <v>535</v>
      </c>
      <c r="B112" s="249" t="s">
        <v>744</v>
      </c>
      <c r="C112" s="250" t="s">
        <v>745</v>
      </c>
      <c r="D112" s="894"/>
      <c r="E112" s="896"/>
      <c r="F112" s="222"/>
      <c r="G112" s="222"/>
    </row>
    <row r="113" spans="1:7" s="186" customFormat="1" ht="12" customHeight="1" x14ac:dyDescent="0.25">
      <c r="A113" s="249" t="s">
        <v>538</v>
      </c>
      <c r="B113" s="249" t="s">
        <v>746</v>
      </c>
      <c r="C113" s="250" t="s">
        <v>747</v>
      </c>
      <c r="D113" s="894"/>
      <c r="E113" s="896"/>
      <c r="F113" s="233"/>
      <c r="G113" s="210"/>
    </row>
    <row r="114" spans="1:7" s="186" customFormat="1" ht="12" customHeight="1" x14ac:dyDescent="0.25">
      <c r="A114" s="249" t="s">
        <v>541</v>
      </c>
      <c r="B114" s="249" t="s">
        <v>748</v>
      </c>
      <c r="C114" s="250" t="s">
        <v>749</v>
      </c>
      <c r="D114" s="894"/>
      <c r="E114" s="896"/>
      <c r="F114" s="233"/>
      <c r="G114" s="210"/>
    </row>
    <row r="115" spans="1:7" s="186" customFormat="1" ht="12" customHeight="1" x14ac:dyDescent="0.25">
      <c r="A115" s="249" t="s">
        <v>544</v>
      </c>
      <c r="B115" s="249" t="s">
        <v>750</v>
      </c>
      <c r="C115" s="250" t="s">
        <v>751</v>
      </c>
      <c r="D115" s="894"/>
      <c r="E115" s="896"/>
      <c r="F115" s="233"/>
      <c r="G115" s="210"/>
    </row>
    <row r="116" spans="1:7" s="186" customFormat="1" ht="12" customHeight="1" x14ac:dyDescent="0.25">
      <c r="A116" s="249" t="s">
        <v>547</v>
      </c>
      <c r="B116" s="249" t="s">
        <v>752</v>
      </c>
      <c r="C116" s="250" t="s">
        <v>753</v>
      </c>
      <c r="D116" s="896"/>
      <c r="E116" s="896"/>
      <c r="F116" s="233"/>
      <c r="G116" s="210"/>
    </row>
    <row r="117" spans="1:7" s="186" customFormat="1" ht="12" customHeight="1" x14ac:dyDescent="0.25">
      <c r="A117" s="249" t="s">
        <v>568</v>
      </c>
      <c r="B117" s="249" t="s">
        <v>754</v>
      </c>
      <c r="C117" s="250" t="s">
        <v>755</v>
      </c>
      <c r="D117" s="896"/>
      <c r="E117" s="896"/>
      <c r="F117" s="233"/>
      <c r="G117" s="210"/>
    </row>
    <row r="118" spans="1:7" s="186" customFormat="1" ht="12" customHeight="1" x14ac:dyDescent="0.25">
      <c r="A118" s="249" t="s">
        <v>571</v>
      </c>
      <c r="B118" s="249" t="s">
        <v>756</v>
      </c>
      <c r="C118" s="250" t="s">
        <v>757</v>
      </c>
      <c r="D118" s="896">
        <v>77</v>
      </c>
      <c r="E118" s="896">
        <v>28</v>
      </c>
      <c r="F118" s="233"/>
      <c r="G118" s="210"/>
    </row>
    <row r="119" spans="1:7" s="186" customFormat="1" ht="12" customHeight="1" x14ac:dyDescent="0.25">
      <c r="A119" s="249" t="s">
        <v>758</v>
      </c>
      <c r="B119" s="249" t="s">
        <v>759</v>
      </c>
      <c r="C119" s="250" t="s">
        <v>760</v>
      </c>
      <c r="D119" s="896">
        <v>2737</v>
      </c>
      <c r="E119" s="896">
        <v>10795</v>
      </c>
      <c r="F119" s="233"/>
      <c r="G119" s="210"/>
    </row>
    <row r="120" spans="1:7" s="186" customFormat="1" ht="12" customHeight="1" x14ac:dyDescent="0.25">
      <c r="A120" s="249" t="s">
        <v>761</v>
      </c>
      <c r="B120" s="251" t="s">
        <v>762</v>
      </c>
      <c r="C120" s="250" t="s">
        <v>763</v>
      </c>
      <c r="D120" s="896"/>
      <c r="E120" s="896"/>
      <c r="F120" s="233"/>
      <c r="G120" s="210"/>
    </row>
    <row r="121" spans="1:7" s="211" customFormat="1" ht="12" customHeight="1" x14ac:dyDescent="0.25">
      <c r="A121" s="239" t="s">
        <v>631</v>
      </c>
      <c r="B121" s="239" t="s">
        <v>764</v>
      </c>
      <c r="C121" s="240" t="s">
        <v>765</v>
      </c>
      <c r="D121" s="891">
        <v>3870264</v>
      </c>
      <c r="E121" s="891">
        <v>2701198</v>
      </c>
      <c r="F121" s="1500"/>
      <c r="G121" s="1500"/>
    </row>
    <row r="122" spans="1:7" s="186" customFormat="1" ht="12" customHeight="1" x14ac:dyDescent="0.25">
      <c r="A122" s="242" t="s">
        <v>634</v>
      </c>
      <c r="B122" s="243" t="s">
        <v>766</v>
      </c>
      <c r="C122" s="244" t="s">
        <v>767</v>
      </c>
      <c r="D122" s="894">
        <v>2440560</v>
      </c>
      <c r="E122" s="896">
        <v>2158603</v>
      </c>
      <c r="F122" s="222"/>
      <c r="G122" s="222"/>
    </row>
    <row r="123" spans="1:7" s="186" customFormat="1" ht="12" customHeight="1" x14ac:dyDescent="0.25">
      <c r="A123" s="249" t="s">
        <v>532</v>
      </c>
      <c r="B123" s="249" t="s">
        <v>619</v>
      </c>
      <c r="C123" s="250" t="s">
        <v>768</v>
      </c>
      <c r="D123" s="894"/>
      <c r="E123" s="896"/>
      <c r="F123" s="222"/>
      <c r="G123" s="222"/>
    </row>
    <row r="124" spans="1:7" s="186" customFormat="1" ht="12" customHeight="1" x14ac:dyDescent="0.25">
      <c r="A124" s="242" t="s">
        <v>535</v>
      </c>
      <c r="B124" s="243" t="s">
        <v>769</v>
      </c>
      <c r="C124" s="244" t="s">
        <v>770</v>
      </c>
      <c r="D124" s="894">
        <v>-27836</v>
      </c>
      <c r="E124" s="896">
        <v>-61063</v>
      </c>
      <c r="F124" s="222"/>
      <c r="G124" s="222"/>
    </row>
    <row r="125" spans="1:7" s="186" customFormat="1" ht="12" customHeight="1" x14ac:dyDescent="0.25">
      <c r="A125" s="242" t="s">
        <v>538</v>
      </c>
      <c r="B125" s="243" t="s">
        <v>771</v>
      </c>
      <c r="C125" s="244" t="s">
        <v>772</v>
      </c>
      <c r="D125" s="894"/>
      <c r="E125" s="896"/>
      <c r="F125" s="222"/>
      <c r="G125" s="222"/>
    </row>
    <row r="126" spans="1:7" s="186" customFormat="1" ht="12" customHeight="1" x14ac:dyDescent="0.25">
      <c r="A126" s="242" t="s">
        <v>541</v>
      </c>
      <c r="B126" s="243" t="s">
        <v>773</v>
      </c>
      <c r="C126" s="244" t="s">
        <v>774</v>
      </c>
      <c r="D126" s="894"/>
      <c r="E126" s="896"/>
      <c r="F126" s="1501"/>
      <c r="G126" s="1501"/>
    </row>
    <row r="127" spans="1:7" s="186" customFormat="1" ht="12" customHeight="1" x14ac:dyDescent="0.25">
      <c r="A127" s="242" t="s">
        <v>544</v>
      </c>
      <c r="B127" s="243" t="s">
        <v>775</v>
      </c>
      <c r="C127" s="244" t="s">
        <v>776</v>
      </c>
      <c r="D127" s="894">
        <v>1410651</v>
      </c>
      <c r="E127" s="896">
        <v>550689</v>
      </c>
      <c r="F127" s="1501"/>
      <c r="G127" s="1501"/>
    </row>
    <row r="128" spans="1:7" s="186" customFormat="1" ht="12" customHeight="1" x14ac:dyDescent="0.25">
      <c r="A128" s="242" t="s">
        <v>547</v>
      </c>
      <c r="B128" s="243" t="s">
        <v>777</v>
      </c>
      <c r="C128" s="244" t="s">
        <v>778</v>
      </c>
      <c r="D128" s="896">
        <v>21827</v>
      </c>
      <c r="E128" s="896">
        <v>23985</v>
      </c>
      <c r="F128" s="1501"/>
      <c r="G128" s="1501"/>
    </row>
    <row r="129" spans="1:7" s="186" customFormat="1" ht="12" customHeight="1" x14ac:dyDescent="0.25">
      <c r="A129" s="242" t="s">
        <v>568</v>
      </c>
      <c r="B129" s="243" t="s">
        <v>779</v>
      </c>
      <c r="C129" s="244" t="s">
        <v>780</v>
      </c>
      <c r="D129" s="896">
        <v>11108</v>
      </c>
      <c r="E129" s="896">
        <v>13969</v>
      </c>
      <c r="F129" s="233"/>
      <c r="G129" s="210"/>
    </row>
    <row r="130" spans="1:7" s="186" customFormat="1" ht="12" customHeight="1" x14ac:dyDescent="0.25">
      <c r="A130" s="242" t="s">
        <v>571</v>
      </c>
      <c r="B130" s="243" t="s">
        <v>781</v>
      </c>
      <c r="C130" s="244" t="s">
        <v>782</v>
      </c>
      <c r="D130" s="896">
        <v>5571</v>
      </c>
      <c r="E130" s="896">
        <v>5166</v>
      </c>
      <c r="F130" s="233"/>
      <c r="G130" s="210"/>
    </row>
    <row r="131" spans="1:7" s="186" customFormat="1" ht="12" customHeight="1" x14ac:dyDescent="0.25">
      <c r="A131" s="242" t="s">
        <v>758</v>
      </c>
      <c r="B131" s="242" t="s">
        <v>783</v>
      </c>
      <c r="C131" s="244" t="s">
        <v>784</v>
      </c>
      <c r="D131" s="896">
        <v>8383</v>
      </c>
      <c r="E131" s="896">
        <v>9849</v>
      </c>
      <c r="F131" s="233"/>
      <c r="G131" s="210"/>
    </row>
    <row r="132" spans="1:7" s="186" customFormat="1" ht="12" customHeight="1" x14ac:dyDescent="0.25">
      <c r="A132" s="252" t="s">
        <v>649</v>
      </c>
      <c r="B132" s="252" t="s">
        <v>785</v>
      </c>
      <c r="C132" s="253" t="s">
        <v>786</v>
      </c>
      <c r="D132" s="903"/>
      <c r="E132" s="903"/>
      <c r="F132" s="1500"/>
      <c r="G132" s="1500"/>
    </row>
    <row r="133" spans="1:7" s="211" customFormat="1" ht="12" customHeight="1" x14ac:dyDescent="0.25">
      <c r="A133" s="239" t="s">
        <v>787</v>
      </c>
      <c r="B133" s="239" t="s">
        <v>788</v>
      </c>
      <c r="C133" s="240" t="s">
        <v>789</v>
      </c>
      <c r="D133" s="891"/>
      <c r="E133" s="891"/>
      <c r="F133" s="1500"/>
      <c r="G133" s="1500"/>
    </row>
    <row r="134" spans="1:7" s="186" customFormat="1" ht="12" customHeight="1" x14ac:dyDescent="0.25">
      <c r="A134" s="242" t="s">
        <v>790</v>
      </c>
      <c r="B134" s="243" t="s">
        <v>791</v>
      </c>
      <c r="C134" s="244" t="s">
        <v>792</v>
      </c>
      <c r="D134" s="896"/>
      <c r="E134" s="896"/>
      <c r="F134" s="222"/>
      <c r="G134" s="222"/>
    </row>
    <row r="135" spans="1:7" s="186" customFormat="1" ht="12" customHeight="1" x14ac:dyDescent="0.25">
      <c r="A135" s="242" t="s">
        <v>532</v>
      </c>
      <c r="B135" s="243" t="s">
        <v>793</v>
      </c>
      <c r="C135" s="244" t="s">
        <v>794</v>
      </c>
      <c r="D135" s="896"/>
      <c r="E135" s="896"/>
      <c r="F135" s="222"/>
      <c r="G135" s="222"/>
    </row>
    <row r="136" spans="1:7" s="211" customFormat="1" ht="12" customHeight="1" x14ac:dyDescent="0.25">
      <c r="A136" s="239" t="s">
        <v>663</v>
      </c>
      <c r="B136" s="239" t="s">
        <v>795</v>
      </c>
      <c r="C136" s="240" t="s">
        <v>796</v>
      </c>
      <c r="D136" s="891"/>
      <c r="E136" s="891"/>
      <c r="F136" s="1500"/>
      <c r="G136" s="1500"/>
    </row>
    <row r="137" spans="1:7" s="186" customFormat="1" ht="12" customHeight="1" x14ac:dyDescent="0.25">
      <c r="A137" s="242" t="s">
        <v>666</v>
      </c>
      <c r="B137" s="243" t="s">
        <v>797</v>
      </c>
      <c r="C137" s="244" t="s">
        <v>798</v>
      </c>
      <c r="D137" s="892"/>
      <c r="E137" s="892"/>
      <c r="F137" s="222"/>
      <c r="G137" s="222"/>
    </row>
    <row r="138" spans="1:7" s="186" customFormat="1" ht="12" customHeight="1" x14ac:dyDescent="0.25">
      <c r="A138" s="242" t="s">
        <v>532</v>
      </c>
      <c r="B138" s="243" t="s">
        <v>799</v>
      </c>
      <c r="C138" s="244" t="s">
        <v>800</v>
      </c>
      <c r="D138" s="894"/>
      <c r="E138" s="894"/>
      <c r="F138" s="222"/>
      <c r="G138" s="222"/>
    </row>
    <row r="139" spans="1:7" s="186" customFormat="1" ht="12" customHeight="1" x14ac:dyDescent="0.25">
      <c r="A139" s="242" t="s">
        <v>535</v>
      </c>
      <c r="B139" s="243" t="s">
        <v>801</v>
      </c>
      <c r="C139" s="244" t="s">
        <v>802</v>
      </c>
      <c r="D139" s="894"/>
      <c r="E139" s="894"/>
      <c r="F139" s="1501"/>
      <c r="G139" s="1501"/>
    </row>
    <row r="140" spans="1:7" s="186" customFormat="1" ht="12" customHeight="1" x14ac:dyDescent="0.25">
      <c r="A140" s="242" t="s">
        <v>538</v>
      </c>
      <c r="B140" s="243" t="s">
        <v>803</v>
      </c>
      <c r="C140" s="244" t="s">
        <v>804</v>
      </c>
      <c r="D140" s="892"/>
      <c r="E140" s="892"/>
      <c r="F140" s="233"/>
      <c r="G140" s="210"/>
    </row>
    <row r="141" spans="1:7" ht="12" customHeight="1" x14ac:dyDescent="0.2">
      <c r="A141" s="254"/>
      <c r="B141" s="254" t="s">
        <v>805</v>
      </c>
      <c r="C141" s="255" t="s">
        <v>806</v>
      </c>
      <c r="D141" s="900"/>
      <c r="E141" s="900"/>
      <c r="F141" s="233"/>
      <c r="G141" s="210"/>
    </row>
    <row r="142" spans="1:7" ht="15" customHeight="1" x14ac:dyDescent="0.2">
      <c r="A142" s="256"/>
      <c r="B142" s="256"/>
      <c r="C142" s="257"/>
      <c r="D142" s="258"/>
      <c r="E142" s="258"/>
    </row>
    <row r="143" spans="1:7" ht="15" customHeight="1" x14ac:dyDescent="0.2">
      <c r="A143" s="256"/>
      <c r="B143" s="256"/>
      <c r="C143" s="257"/>
      <c r="D143" s="258"/>
      <c r="E143" s="258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1" fitToHeight="0" orientation="portrait" horizontalDpi="360" verticalDpi="300" r:id="rId1"/>
  <headerFooter alignWithMargins="0">
    <oddFooter>&amp;C&amp;"EYlogo,Regular"&amp;8e&amp;R&amp;"Times New Roman CE,Tučné"&amp;5Lead schedules v2.0&amp;"Times New Roman CE,Normálne"</oddFooter>
  </headerFooter>
  <rowBreaks count="1" manualBreakCount="1">
    <brk id="76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9" t="s">
        <v>8</v>
      </c>
      <c r="B2" s="20"/>
      <c r="C2" s="20"/>
      <c r="D2" s="20"/>
    </row>
    <row r="3" spans="1:4" ht="16.5" thickTop="1" thickBot="1" x14ac:dyDescent="0.3">
      <c r="A3" s="1520" t="s">
        <v>349</v>
      </c>
      <c r="B3" s="1197" t="s">
        <v>350</v>
      </c>
      <c r="C3" s="1199"/>
      <c r="D3" s="20"/>
    </row>
    <row r="4" spans="1:4" ht="16.5" thickTop="1" thickBot="1" x14ac:dyDescent="0.3">
      <c r="A4" s="1522"/>
      <c r="B4" s="21" t="s">
        <v>351</v>
      </c>
      <c r="C4" s="159" t="s">
        <v>352</v>
      </c>
      <c r="D4" s="20"/>
    </row>
    <row r="5" spans="1:4" ht="20.25" customHeight="1" thickTop="1" thickBot="1" x14ac:dyDescent="0.3">
      <c r="A5" s="14" t="s">
        <v>353</v>
      </c>
      <c r="B5" s="80"/>
      <c r="C5" s="80"/>
      <c r="D5" s="20"/>
    </row>
    <row r="6" spans="1:4" ht="20.25" customHeight="1" thickBot="1" x14ac:dyDescent="0.3">
      <c r="A6" s="14" t="s">
        <v>354</v>
      </c>
      <c r="B6" s="80"/>
      <c r="C6" s="80"/>
      <c r="D6" s="20"/>
    </row>
    <row r="7" spans="1:4" ht="20.25" customHeight="1" thickBot="1" x14ac:dyDescent="0.3">
      <c r="A7" s="14" t="s">
        <v>355</v>
      </c>
      <c r="B7" s="80"/>
      <c r="C7" s="80"/>
      <c r="D7" s="20"/>
    </row>
    <row r="8" spans="1:4" ht="20.25" customHeight="1" thickBot="1" x14ac:dyDescent="0.3">
      <c r="A8" s="14" t="s">
        <v>356</v>
      </c>
      <c r="B8" s="80"/>
      <c r="C8" s="80"/>
      <c r="D8" s="20"/>
    </row>
    <row r="9" spans="1:4" ht="20.25" customHeight="1" thickBot="1" x14ac:dyDescent="0.3">
      <c r="A9" s="14" t="s">
        <v>357</v>
      </c>
      <c r="B9" s="80"/>
      <c r="C9" s="80"/>
      <c r="D9" s="20"/>
    </row>
    <row r="10" spans="1:4" ht="20.25" customHeight="1" thickBot="1" x14ac:dyDescent="0.3">
      <c r="A10" s="16" t="s">
        <v>358</v>
      </c>
      <c r="B10" s="78"/>
      <c r="C10" s="78"/>
      <c r="D10" s="20"/>
    </row>
    <row r="11" spans="1:4" ht="16.5" thickTop="1" thickBot="1" x14ac:dyDescent="0.3">
      <c r="A11" s="160" t="s">
        <v>15</v>
      </c>
      <c r="B11" s="20"/>
      <c r="C11" s="20"/>
      <c r="D11" s="20"/>
    </row>
    <row r="12" spans="1:4" ht="16.5" thickTop="1" thickBot="1" x14ac:dyDescent="0.3">
      <c r="A12" s="1328" t="s">
        <v>349</v>
      </c>
      <c r="B12" s="1197" t="s">
        <v>359</v>
      </c>
      <c r="C12" s="1199"/>
      <c r="D12" s="20"/>
    </row>
    <row r="13" spans="1:4" ht="16.5" thickTop="1" thickBot="1" x14ac:dyDescent="0.3">
      <c r="A13" s="1330"/>
      <c r="B13" s="21" t="s">
        <v>351</v>
      </c>
      <c r="C13" s="159" t="s">
        <v>352</v>
      </c>
      <c r="D13" s="20"/>
    </row>
    <row r="14" spans="1:4" ht="20.25" customHeight="1" thickTop="1" thickBot="1" x14ac:dyDescent="0.3">
      <c r="A14" s="14" t="s">
        <v>353</v>
      </c>
      <c r="B14" s="80"/>
      <c r="C14" s="80"/>
      <c r="D14" s="20"/>
    </row>
    <row r="15" spans="1:4" ht="20.25" customHeight="1" thickBot="1" x14ac:dyDescent="0.3">
      <c r="A15" s="14" t="s">
        <v>354</v>
      </c>
      <c r="B15" s="80"/>
      <c r="C15" s="80"/>
      <c r="D15" s="20"/>
    </row>
    <row r="16" spans="1:4" ht="20.25" customHeight="1" thickBot="1" x14ac:dyDescent="0.3">
      <c r="A16" s="14" t="s">
        <v>355</v>
      </c>
      <c r="B16" s="80"/>
      <c r="C16" s="80"/>
      <c r="D16" s="20"/>
    </row>
    <row r="17" spans="1:4" ht="20.25" customHeight="1" thickBot="1" x14ac:dyDescent="0.3">
      <c r="A17" s="14" t="s">
        <v>356</v>
      </c>
      <c r="B17" s="80"/>
      <c r="C17" s="80"/>
      <c r="D17" s="20"/>
    </row>
    <row r="18" spans="1:4" ht="20.25" customHeight="1" thickBot="1" x14ac:dyDescent="0.3">
      <c r="A18" s="14" t="s">
        <v>357</v>
      </c>
      <c r="B18" s="80"/>
      <c r="C18" s="80"/>
      <c r="D18" s="20"/>
    </row>
    <row r="19" spans="1:4" ht="20.25" customHeight="1" thickBot="1" x14ac:dyDescent="0.3">
      <c r="A19" s="142" t="s">
        <v>358</v>
      </c>
      <c r="B19" s="78"/>
      <c r="C19" s="78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84" t="s">
        <v>361</v>
      </c>
      <c r="B2" s="70" t="s">
        <v>362</v>
      </c>
      <c r="C2" s="70" t="s">
        <v>363</v>
      </c>
    </row>
    <row r="3" spans="1:3" ht="20.25" customHeight="1" thickTop="1" thickBot="1" x14ac:dyDescent="0.3">
      <c r="A3" s="122" t="s">
        <v>364</v>
      </c>
      <c r="B3" s="80"/>
      <c r="C3" s="80"/>
    </row>
    <row r="4" spans="1:3" ht="20.25" customHeight="1" thickBot="1" x14ac:dyDescent="0.3">
      <c r="A4" s="129" t="s">
        <v>365</v>
      </c>
      <c r="B4" s="80"/>
      <c r="C4" s="80"/>
    </row>
    <row r="5" spans="1:3" ht="20.25" customHeight="1" thickBot="1" x14ac:dyDescent="0.3">
      <c r="A5" s="129" t="s">
        <v>366</v>
      </c>
      <c r="B5" s="80"/>
      <c r="C5" s="80"/>
    </row>
    <row r="6" spans="1:3" ht="20.25" customHeight="1" thickBot="1" x14ac:dyDescent="0.3">
      <c r="A6" s="129" t="s">
        <v>367</v>
      </c>
      <c r="B6" s="80"/>
      <c r="C6" s="80"/>
    </row>
    <row r="7" spans="1:3" ht="21" customHeight="1" thickBot="1" x14ac:dyDescent="0.3">
      <c r="A7" s="129" t="s">
        <v>493</v>
      </c>
      <c r="B7" s="80"/>
      <c r="C7" s="80"/>
    </row>
    <row r="8" spans="1:3" ht="20.25" customHeight="1" thickBot="1" x14ac:dyDescent="0.3">
      <c r="A8" s="119" t="s">
        <v>368</v>
      </c>
      <c r="B8" s="80"/>
      <c r="C8" s="80"/>
    </row>
    <row r="9" spans="1:3" ht="20.25" customHeight="1" thickBot="1" x14ac:dyDescent="0.3">
      <c r="A9" s="122" t="s">
        <v>369</v>
      </c>
      <c r="B9" s="80"/>
      <c r="C9" s="126"/>
    </row>
    <row r="10" spans="1:3" ht="20.25" customHeight="1" thickBot="1" x14ac:dyDescent="0.3">
      <c r="A10" s="130" t="s">
        <v>370</v>
      </c>
      <c r="B10" s="78"/>
      <c r="C10" s="127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1520" t="s">
        <v>275</v>
      </c>
      <c r="B2" s="1197" t="s">
        <v>276</v>
      </c>
      <c r="C2" s="1199"/>
      <c r="D2" s="1197" t="s">
        <v>277</v>
      </c>
      <c r="E2" s="1199"/>
      <c r="F2" s="1197" t="s">
        <v>278</v>
      </c>
      <c r="G2" s="1199"/>
    </row>
    <row r="3" spans="1:7" s="385" customFormat="1" ht="57.75" thickTop="1" thickBot="1" x14ac:dyDescent="0.3">
      <c r="A3" s="1522"/>
      <c r="B3" s="59" t="s">
        <v>2</v>
      </c>
      <c r="C3" s="177" t="s">
        <v>484</v>
      </c>
      <c r="D3" s="177" t="s">
        <v>2</v>
      </c>
      <c r="E3" s="177" t="s">
        <v>484</v>
      </c>
      <c r="F3" s="177" t="s">
        <v>2</v>
      </c>
      <c r="G3" s="177" t="s">
        <v>484</v>
      </c>
    </row>
    <row r="4" spans="1:7" ht="18.75" customHeight="1" thickTop="1" thickBot="1" x14ac:dyDescent="0.3">
      <c r="A4" s="108"/>
      <c r="B4" s="80"/>
      <c r="C4" s="80"/>
      <c r="D4" s="80"/>
      <c r="E4" s="80"/>
      <c r="F4" s="80"/>
      <c r="G4" s="80"/>
    </row>
    <row r="5" spans="1:7" ht="18.75" customHeight="1" thickBot="1" x14ac:dyDescent="0.3">
      <c r="A5" s="108"/>
      <c r="B5" s="80"/>
      <c r="C5" s="80"/>
      <c r="D5" s="80"/>
      <c r="E5" s="80"/>
      <c r="F5" s="80"/>
      <c r="G5" s="80"/>
    </row>
    <row r="6" spans="1:7" ht="18.75" customHeight="1" thickBot="1" x14ac:dyDescent="0.3">
      <c r="A6" s="108"/>
      <c r="B6" s="80"/>
      <c r="C6" s="80"/>
      <c r="D6" s="80"/>
      <c r="E6" s="80"/>
      <c r="F6" s="80"/>
      <c r="G6" s="80"/>
    </row>
    <row r="7" spans="1:7" ht="18.75" customHeight="1" thickBot="1" x14ac:dyDescent="0.3">
      <c r="A7" s="108"/>
      <c r="B7" s="80"/>
      <c r="C7" s="80"/>
      <c r="D7" s="80"/>
      <c r="E7" s="80"/>
      <c r="F7" s="80"/>
      <c r="G7" s="80"/>
    </row>
    <row r="8" spans="1:7" ht="18.75" customHeight="1" thickBot="1" x14ac:dyDescent="0.3">
      <c r="A8" s="72" t="s">
        <v>14</v>
      </c>
      <c r="B8" s="78">
        <f t="shared" ref="B8:G8" si="0">SUM(B4:B7)</f>
        <v>0</v>
      </c>
      <c r="C8" s="78">
        <f t="shared" si="0"/>
        <v>0</v>
      </c>
      <c r="D8" s="78">
        <f t="shared" si="0"/>
        <v>0</v>
      </c>
      <c r="E8" s="78">
        <f t="shared" si="0"/>
        <v>0</v>
      </c>
      <c r="F8" s="78">
        <f t="shared" si="0"/>
        <v>0</v>
      </c>
      <c r="G8" s="78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384" customWidth="1"/>
    <col min="9" max="10" width="15.7109375" style="385" customWidth="1"/>
    <col min="11" max="11" width="14.85546875" style="385" customWidth="1"/>
    <col min="12" max="12" width="14.85546875" style="389" customWidth="1"/>
    <col min="13" max="13" width="6.5703125" customWidth="1"/>
    <col min="14" max="14" width="15.5703125" style="384" customWidth="1"/>
    <col min="15" max="17" width="15.5703125" style="385" customWidth="1"/>
    <col min="18" max="18" width="15.5703125" style="389" customWidth="1"/>
    <col min="19" max="19" width="19.85546875" customWidth="1"/>
  </cols>
  <sheetData>
    <row r="1" spans="1:18" ht="17.25" thickBot="1" x14ac:dyDescent="0.35">
      <c r="A1" s="1" t="s">
        <v>279</v>
      </c>
      <c r="H1" s="1515" t="s">
        <v>1138</v>
      </c>
      <c r="I1" s="1516"/>
      <c r="J1" s="1516"/>
      <c r="K1" s="1516"/>
      <c r="L1" s="1517"/>
      <c r="N1" s="1515" t="s">
        <v>1140</v>
      </c>
      <c r="O1" s="1516"/>
      <c r="P1" s="1516"/>
      <c r="Q1" s="1516"/>
      <c r="R1" s="1517"/>
    </row>
    <row r="2" spans="1:18" ht="33" customHeight="1" thickTop="1" thickBot="1" x14ac:dyDescent="0.3">
      <c r="A2" s="1520" t="s">
        <v>131</v>
      </c>
      <c r="B2" s="38" t="s">
        <v>2</v>
      </c>
      <c r="C2" s="1197" t="s">
        <v>3</v>
      </c>
      <c r="D2" s="1199"/>
      <c r="E2" s="1197" t="s">
        <v>280</v>
      </c>
      <c r="F2" s="1199"/>
      <c r="H2" s="59" t="s">
        <v>2</v>
      </c>
      <c r="I2" s="1197" t="s">
        <v>3</v>
      </c>
      <c r="J2" s="1199"/>
      <c r="K2" s="1197" t="s">
        <v>280</v>
      </c>
      <c r="L2" s="1199"/>
      <c r="N2" s="59" t="s">
        <v>2</v>
      </c>
      <c r="O2" s="1197" t="s">
        <v>3</v>
      </c>
      <c r="P2" s="1199"/>
      <c r="Q2" s="1197" t="s">
        <v>280</v>
      </c>
      <c r="R2" s="1199"/>
    </row>
    <row r="3" spans="1:18" ht="45" customHeight="1" thickTop="1" thickBot="1" x14ac:dyDescent="0.3">
      <c r="A3" s="1522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  <c r="H3" s="175" t="s">
        <v>281</v>
      </c>
      <c r="I3" s="21" t="s">
        <v>281</v>
      </c>
      <c r="J3" s="21" t="s">
        <v>282</v>
      </c>
      <c r="K3" s="21" t="s">
        <v>2</v>
      </c>
      <c r="L3" s="21" t="s">
        <v>486</v>
      </c>
      <c r="N3" s="175" t="s">
        <v>281</v>
      </c>
      <c r="O3" s="21" t="s">
        <v>281</v>
      </c>
      <c r="P3" s="21" t="s">
        <v>282</v>
      </c>
      <c r="Q3" s="21" t="s">
        <v>2</v>
      </c>
      <c r="R3" s="21" t="s">
        <v>486</v>
      </c>
    </row>
    <row r="4" spans="1:18" ht="19.5" customHeight="1" thickTop="1" thickBot="1" x14ac:dyDescent="0.3">
      <c r="A4" s="122" t="s">
        <v>485</v>
      </c>
      <c r="B4" s="161"/>
      <c r="C4" s="162"/>
      <c r="D4" s="163"/>
      <c r="E4" s="164"/>
      <c r="F4" s="164"/>
      <c r="K4" s="386">
        <f>B4-C4-E4</f>
        <v>0</v>
      </c>
      <c r="L4" s="390">
        <f>C4-D4-F4</f>
        <v>0</v>
      </c>
      <c r="N4" s="387">
        <f>B4-BS!$D$42</f>
        <v>0</v>
      </c>
      <c r="O4" s="386">
        <f>C4-BS!$G$42</f>
        <v>0</v>
      </c>
    </row>
    <row r="5" spans="1:18" ht="19.5" customHeight="1" thickBot="1" x14ac:dyDescent="0.3">
      <c r="A5" s="119" t="s">
        <v>91</v>
      </c>
      <c r="B5" s="165"/>
      <c r="C5" s="165"/>
      <c r="D5" s="166"/>
      <c r="E5" s="121"/>
      <c r="F5" s="121"/>
      <c r="K5" s="386">
        <f>B5-C5-E5</f>
        <v>0</v>
      </c>
      <c r="L5" s="390">
        <f t="shared" ref="L5:L7" si="0">C5-D5-F5</f>
        <v>0</v>
      </c>
      <c r="N5" s="387">
        <f>B5-BS!$D$43</f>
        <v>0</v>
      </c>
      <c r="O5" s="386">
        <f>C5-BS!$G$43</f>
        <v>0</v>
      </c>
    </row>
    <row r="6" spans="1:18" ht="19.5" customHeight="1" thickBot="1" x14ac:dyDescent="0.3">
      <c r="A6" s="14" t="s">
        <v>283</v>
      </c>
      <c r="B6" s="93"/>
      <c r="C6" s="93"/>
      <c r="D6" s="94"/>
      <c r="E6" s="80"/>
      <c r="F6" s="80"/>
      <c r="K6" s="386">
        <f>B6-C6-E6</f>
        <v>0</v>
      </c>
      <c r="L6" s="390">
        <f t="shared" si="0"/>
        <v>0</v>
      </c>
      <c r="N6" s="387">
        <f>B6-BS!$D$44</f>
        <v>0</v>
      </c>
      <c r="O6" s="386">
        <f>C6-BS!$G$44</f>
        <v>0</v>
      </c>
    </row>
    <row r="7" spans="1:18" ht="19.5" customHeight="1" thickBot="1" x14ac:dyDescent="0.3">
      <c r="A7" s="14" t="s">
        <v>14</v>
      </c>
      <c r="B7" s="79">
        <f>SUM(B4:B6)</f>
        <v>0</v>
      </c>
      <c r="C7" s="93">
        <f t="shared" ref="C7:F7" si="1">SUM(C4:C6)</f>
        <v>0</v>
      </c>
      <c r="D7" s="94">
        <f t="shared" si="1"/>
        <v>0</v>
      </c>
      <c r="E7" s="80">
        <f t="shared" si="1"/>
        <v>0</v>
      </c>
      <c r="F7" s="80">
        <f t="shared" si="1"/>
        <v>0</v>
      </c>
      <c r="H7" s="387">
        <f>SUM(B4:B6)-B7</f>
        <v>0</v>
      </c>
      <c r="I7" s="386">
        <f t="shared" ref="I7:J7" si="2">SUM(C4:C6)-C7</f>
        <v>0</v>
      </c>
      <c r="J7" s="386">
        <f t="shared" si="2"/>
        <v>0</v>
      </c>
      <c r="K7" s="386">
        <f>B7-C7-E7</f>
        <v>0</v>
      </c>
      <c r="L7" s="390">
        <f t="shared" si="0"/>
        <v>0</v>
      </c>
    </row>
    <row r="8" spans="1:18" ht="19.5" customHeight="1" thickBot="1" x14ac:dyDescent="0.3">
      <c r="A8" s="14" t="s">
        <v>284</v>
      </c>
      <c r="B8" s="110" t="s">
        <v>18</v>
      </c>
      <c r="C8" s="110" t="s">
        <v>18</v>
      </c>
      <c r="D8" s="123" t="s">
        <v>18</v>
      </c>
      <c r="E8" s="80"/>
      <c r="F8" s="80"/>
    </row>
    <row r="9" spans="1:18" ht="19.5" customHeight="1" thickBot="1" x14ac:dyDescent="0.3">
      <c r="A9" s="14" t="s">
        <v>285</v>
      </c>
      <c r="B9" s="110" t="s">
        <v>18</v>
      </c>
      <c r="C9" s="110" t="s">
        <v>18</v>
      </c>
      <c r="D9" s="123" t="s">
        <v>18</v>
      </c>
      <c r="E9" s="80"/>
      <c r="F9" s="80"/>
    </row>
    <row r="10" spans="1:18" ht="19.5" customHeight="1" thickBot="1" x14ac:dyDescent="0.3">
      <c r="A10" s="14" t="s">
        <v>286</v>
      </c>
      <c r="B10" s="110" t="s">
        <v>18</v>
      </c>
      <c r="C10" s="110" t="s">
        <v>18</v>
      </c>
      <c r="D10" s="123" t="s">
        <v>18</v>
      </c>
      <c r="E10" s="80"/>
      <c r="F10" s="80"/>
    </row>
    <row r="11" spans="1:18" ht="19.5" customHeight="1" thickBot="1" x14ac:dyDescent="0.3">
      <c r="A11" s="16" t="s">
        <v>287</v>
      </c>
      <c r="B11" s="112" t="s">
        <v>18</v>
      </c>
      <c r="C11" s="112" t="s">
        <v>18</v>
      </c>
      <c r="D11" s="124" t="s">
        <v>18</v>
      </c>
      <c r="E11" s="78"/>
      <c r="F11" s="78"/>
    </row>
    <row r="12" spans="1:18" ht="19.5" customHeight="1" thickTop="1" thickBot="1" x14ac:dyDescent="0.3">
      <c r="A12" s="25" t="s">
        <v>288</v>
      </c>
      <c r="B12" s="112" t="s">
        <v>18</v>
      </c>
      <c r="C12" s="112" t="s">
        <v>18</v>
      </c>
      <c r="D12" s="124" t="s">
        <v>18</v>
      </c>
      <c r="E12" s="78"/>
      <c r="F12" s="78"/>
      <c r="K12" s="386">
        <f>SUM(E7:E11)-E12</f>
        <v>0</v>
      </c>
      <c r="L12" s="390">
        <f>SUM(F7:F11)-F12</f>
        <v>0</v>
      </c>
      <c r="Q12" s="386">
        <f>E12-'P&amp;L'!$D$14</f>
        <v>0</v>
      </c>
      <c r="R12" s="390">
        <f>F12-'P&amp;L'!$E$14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384" customWidth="1"/>
    <col min="6" max="6" width="30.28515625" style="389" customWidth="1"/>
  </cols>
  <sheetData>
    <row r="1" spans="1:6" ht="116.25" thickBot="1" x14ac:dyDescent="0.35">
      <c r="A1" s="426" t="s">
        <v>289</v>
      </c>
      <c r="E1" s="1515" t="s">
        <v>1140</v>
      </c>
      <c r="F1" s="1517"/>
    </row>
    <row r="2" spans="1:6" ht="21" customHeight="1" thickTop="1" thickBot="1" x14ac:dyDescent="0.3">
      <c r="A2" s="59" t="s">
        <v>131</v>
      </c>
      <c r="B2" s="661" t="s">
        <v>2</v>
      </c>
      <c r="C2" s="661" t="s">
        <v>3</v>
      </c>
      <c r="E2" s="395" t="s">
        <v>2</v>
      </c>
      <c r="F2" s="396" t="s">
        <v>3</v>
      </c>
    </row>
    <row r="3" spans="1:6" ht="18.75" customHeight="1" thickTop="1" thickBot="1" x14ac:dyDescent="0.3">
      <c r="A3" s="44" t="s">
        <v>487</v>
      </c>
      <c r="B3" s="80"/>
      <c r="C3" s="80"/>
      <c r="E3" s="427"/>
      <c r="F3" s="428"/>
    </row>
    <row r="4" spans="1:6" ht="18.75" customHeight="1" thickBot="1" x14ac:dyDescent="0.3">
      <c r="A4" s="14"/>
      <c r="B4" s="80"/>
      <c r="C4" s="80"/>
      <c r="E4" s="427"/>
      <c r="F4" s="428"/>
    </row>
    <row r="5" spans="1:6" ht="18.75" customHeight="1" thickBot="1" x14ac:dyDescent="0.3">
      <c r="A5" s="14"/>
      <c r="B5" s="80"/>
      <c r="C5" s="80"/>
      <c r="E5" s="427"/>
      <c r="F5" s="428"/>
    </row>
    <row r="6" spans="1:6" ht="18.75" customHeight="1" thickBot="1" x14ac:dyDescent="0.3">
      <c r="A6" s="44" t="s">
        <v>290</v>
      </c>
      <c r="B6" s="80"/>
      <c r="C6" s="80"/>
      <c r="E6" s="427"/>
      <c r="F6" s="428"/>
    </row>
    <row r="7" spans="1:6" ht="18.75" customHeight="1" thickBot="1" x14ac:dyDescent="0.3">
      <c r="A7" s="14"/>
      <c r="B7" s="80"/>
      <c r="C7" s="80"/>
      <c r="E7" s="427"/>
      <c r="F7" s="428"/>
    </row>
    <row r="8" spans="1:6" ht="18.75" customHeight="1" thickBot="1" x14ac:dyDescent="0.3">
      <c r="A8" s="14"/>
      <c r="B8" s="80"/>
      <c r="C8" s="80"/>
      <c r="E8" s="427"/>
      <c r="F8" s="428"/>
    </row>
    <row r="9" spans="1:6" ht="18.75" customHeight="1" thickBot="1" x14ac:dyDescent="0.3">
      <c r="A9" s="14"/>
      <c r="B9" s="80"/>
      <c r="C9" s="80"/>
      <c r="E9" s="427"/>
      <c r="F9" s="428"/>
    </row>
    <row r="10" spans="1:6" ht="18.75" customHeight="1" thickBot="1" x14ac:dyDescent="0.3">
      <c r="A10" s="44" t="s">
        <v>291</v>
      </c>
      <c r="B10" s="80"/>
      <c r="C10" s="80"/>
      <c r="E10" s="387">
        <f>B10-SUM('P&amp;L'!$D$35,'P&amp;L'!$D$37,'P&amp;L'!$D$41,'P&amp;L'!$D$43,'P&amp;L'!$D$46,'P&amp;L'!$D$48,'P&amp;L'!$D$50,'P&amp;L'!$D$52)</f>
        <v>-439</v>
      </c>
      <c r="F10" s="390">
        <f>C10-SUM('P&amp;L'!$E$35,'P&amp;L'!$E$37,'P&amp;L'!$E$41,'P&amp;L'!$E$43,'P&amp;L'!$E$46,'P&amp;L'!$E$48,'P&amp;L'!$E$50,'P&amp;L'!$E$52)</f>
        <v>-3848</v>
      </c>
    </row>
    <row r="11" spans="1:6" ht="18.75" customHeight="1" thickBot="1" x14ac:dyDescent="0.3">
      <c r="A11" s="128" t="s">
        <v>292</v>
      </c>
      <c r="B11" s="125"/>
      <c r="C11" s="125"/>
      <c r="E11" s="387">
        <f>B11-'P&amp;L'!$D$48</f>
        <v>-369</v>
      </c>
      <c r="F11" s="390">
        <f>C11-'P&amp;L'!$E$48</f>
        <v>-99</v>
      </c>
    </row>
    <row r="12" spans="1:6" ht="18.75" customHeight="1" thickBot="1" x14ac:dyDescent="0.3">
      <c r="A12" s="14" t="s">
        <v>293</v>
      </c>
      <c r="B12" s="80"/>
      <c r="C12" s="80"/>
    </row>
    <row r="13" spans="1:6" ht="18.75" customHeight="1" thickBot="1" x14ac:dyDescent="0.3">
      <c r="A13" s="128" t="s">
        <v>294</v>
      </c>
      <c r="B13" s="125"/>
      <c r="C13" s="125"/>
    </row>
    <row r="14" spans="1:6" ht="18.75" customHeight="1" thickBot="1" x14ac:dyDescent="0.3">
      <c r="A14" s="14"/>
      <c r="B14" s="80"/>
      <c r="C14" s="80"/>
    </row>
    <row r="15" spans="1:6" ht="18.75" customHeight="1" thickBot="1" x14ac:dyDescent="0.3">
      <c r="A15" s="14"/>
      <c r="B15" s="80"/>
      <c r="C15" s="80"/>
    </row>
    <row r="16" spans="1:6" ht="18.75" customHeight="1" thickBot="1" x14ac:dyDescent="0.3">
      <c r="A16" s="14"/>
      <c r="B16" s="80"/>
      <c r="C16" s="80"/>
    </row>
    <row r="17" spans="1:6" ht="18.75" customHeight="1" thickBot="1" x14ac:dyDescent="0.3">
      <c r="A17" s="44" t="s">
        <v>295</v>
      </c>
      <c r="B17" s="80"/>
      <c r="C17" s="80"/>
      <c r="E17" s="387">
        <f>B17-'P&amp;L'!$D$60</f>
        <v>0</v>
      </c>
      <c r="F17" s="390">
        <f>C17-'P&amp;L'!$E$60</f>
        <v>0</v>
      </c>
    </row>
    <row r="18" spans="1:6" ht="18.75" customHeight="1" thickBot="1" x14ac:dyDescent="0.3">
      <c r="A18" s="122"/>
      <c r="B18" s="126"/>
      <c r="C18" s="126"/>
    </row>
    <row r="19" spans="1:6" ht="18.75" customHeight="1" thickBot="1" x14ac:dyDescent="0.3">
      <c r="A19" s="101"/>
      <c r="B19" s="127"/>
      <c r="C19" s="127"/>
    </row>
    <row r="20" spans="1:6" ht="15.75" thickTop="1" x14ac:dyDescent="0.25">
      <c r="A20" s="99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84" customWidth="1"/>
    <col min="6" max="6" width="29.7109375" style="389" customWidth="1"/>
    <col min="7" max="7" width="4.7109375" customWidth="1"/>
    <col min="8" max="8" width="26.5703125" style="384" customWidth="1"/>
    <col min="9" max="9" width="30.28515625" style="389" customWidth="1"/>
    <col min="10" max="10" width="13" customWidth="1"/>
  </cols>
  <sheetData>
    <row r="1" spans="1:9" ht="17.25" thickBot="1" x14ac:dyDescent="0.35">
      <c r="A1" s="1" t="s">
        <v>296</v>
      </c>
      <c r="E1" s="1530" t="s">
        <v>1138</v>
      </c>
      <c r="F1" s="1531"/>
      <c r="G1" s="388"/>
      <c r="H1" s="1515" t="s">
        <v>1140</v>
      </c>
      <c r="I1" s="1517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18.75" customHeight="1" thickTop="1" thickBot="1" x14ac:dyDescent="0.3">
      <c r="A3" s="71" t="s">
        <v>297</v>
      </c>
      <c r="B3" s="80"/>
      <c r="C3" s="80"/>
      <c r="H3" s="387">
        <f>B3+B4-'P&amp;L'!$D$13</f>
        <v>-11330433</v>
      </c>
      <c r="I3" s="404">
        <f>C3+C4-'P&amp;L'!$E$13</f>
        <v>-10716651</v>
      </c>
    </row>
    <row r="4" spans="1:9" ht="18.75" customHeight="1" thickBot="1" x14ac:dyDescent="0.3">
      <c r="A4" s="71" t="s">
        <v>298</v>
      </c>
      <c r="B4" s="80"/>
      <c r="C4" s="80"/>
      <c r="H4" s="387">
        <f>H3</f>
        <v>-11330433</v>
      </c>
      <c r="I4" s="390">
        <f>I3</f>
        <v>-10716651</v>
      </c>
    </row>
    <row r="5" spans="1:9" ht="18.75" customHeight="1" thickBot="1" x14ac:dyDescent="0.3">
      <c r="A5" s="71" t="s">
        <v>299</v>
      </c>
      <c r="B5" s="80"/>
      <c r="C5" s="80"/>
      <c r="H5" s="387">
        <f>B5-'P&amp;L'!$D$9</f>
        <v>0</v>
      </c>
      <c r="I5" s="390">
        <f>C5-'P&amp;L'!$E$9</f>
        <v>0</v>
      </c>
    </row>
    <row r="6" spans="1:9" ht="18.75" customHeight="1" thickBot="1" x14ac:dyDescent="0.3">
      <c r="A6" s="71" t="s">
        <v>300</v>
      </c>
      <c r="B6" s="80"/>
      <c r="C6" s="80"/>
      <c r="H6" s="427"/>
      <c r="I6" s="428"/>
    </row>
    <row r="7" spans="1:9" ht="18.75" customHeight="1" thickBot="1" x14ac:dyDescent="0.3">
      <c r="A7" s="71" t="s">
        <v>301</v>
      </c>
      <c r="B7" s="80"/>
      <c r="C7" s="80"/>
      <c r="H7" s="387">
        <f>B7-'P&amp;L'!$D$27</f>
        <v>0</v>
      </c>
      <c r="I7" s="390">
        <f>C7-'P&amp;L'!$E$27</f>
        <v>0</v>
      </c>
    </row>
    <row r="8" spans="1:9" ht="18.75" customHeight="1" thickBot="1" x14ac:dyDescent="0.3">
      <c r="A8" s="14" t="s">
        <v>302</v>
      </c>
      <c r="B8" s="80"/>
      <c r="C8" s="80"/>
      <c r="H8" s="427"/>
      <c r="I8" s="428"/>
    </row>
    <row r="9" spans="1:9" ht="18.75" customHeight="1" thickBot="1" x14ac:dyDescent="0.3">
      <c r="A9" s="72" t="s">
        <v>303</v>
      </c>
      <c r="B9" s="78">
        <f>SUM(B3:B8)</f>
        <v>0</v>
      </c>
      <c r="C9" s="78">
        <f>SUM(C3:C8)</f>
        <v>0</v>
      </c>
      <c r="E9" s="387">
        <f>SUM(B3:B8)-B9</f>
        <v>0</v>
      </c>
      <c r="F9" s="389">
        <f>SUM(C3:C8)-C9</f>
        <v>0</v>
      </c>
      <c r="H9" s="427"/>
      <c r="I9" s="428"/>
    </row>
    <row r="10" spans="1:9" ht="15.75" thickTop="1" x14ac:dyDescent="0.25">
      <c r="H10" s="387"/>
      <c r="I10" s="390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84" customWidth="1"/>
    <col min="6" max="6" width="29.7109375" style="389" customWidth="1"/>
    <col min="7" max="7" width="4.7109375" customWidth="1"/>
    <col min="8" max="8" width="26.5703125" style="384" customWidth="1"/>
    <col min="9" max="9" width="30.28515625" style="389" customWidth="1"/>
  </cols>
  <sheetData>
    <row r="1" spans="1:9" ht="17.25" thickBot="1" x14ac:dyDescent="0.35">
      <c r="A1" s="1" t="s">
        <v>304</v>
      </c>
      <c r="E1" s="1530" t="s">
        <v>1138</v>
      </c>
      <c r="F1" s="1531"/>
      <c r="G1" s="388"/>
      <c r="H1" s="1515" t="s">
        <v>1140</v>
      </c>
      <c r="I1" s="1517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44" t="s">
        <v>305</v>
      </c>
      <c r="B3" s="80"/>
      <c r="C3" s="80"/>
      <c r="E3" s="387">
        <f>SUM(B4,B10)-B3</f>
        <v>0</v>
      </c>
      <c r="F3" s="390">
        <f>SUM(C4,C10)-C3</f>
        <v>0</v>
      </c>
      <c r="H3" s="387">
        <f>B3-'P&amp;L'!$D$18</f>
        <v>-10038611</v>
      </c>
      <c r="I3" s="390">
        <f>C3-'P&amp;L'!$E$18</f>
        <v>-9578452</v>
      </c>
    </row>
    <row r="4" spans="1:9" ht="20.25" customHeight="1" thickBot="1" x14ac:dyDescent="0.3">
      <c r="A4" s="128" t="s">
        <v>306</v>
      </c>
      <c r="B4" s="125"/>
      <c r="C4" s="125"/>
      <c r="E4" s="387">
        <f>SUM(B5:B9)-B4</f>
        <v>0</v>
      </c>
      <c r="F4" s="390">
        <f>SUM(C5:C9)-C4</f>
        <v>0</v>
      </c>
      <c r="H4" s="387"/>
      <c r="I4" s="390"/>
    </row>
    <row r="5" spans="1:9" ht="20.25" customHeight="1" thickBot="1" x14ac:dyDescent="0.3">
      <c r="A5" s="14" t="s">
        <v>307</v>
      </c>
      <c r="B5" s="80"/>
      <c r="C5" s="80"/>
      <c r="F5" s="390"/>
      <c r="H5" s="429"/>
      <c r="I5" s="430"/>
    </row>
    <row r="6" spans="1:9" ht="20.25" customHeight="1" thickBot="1" x14ac:dyDescent="0.3">
      <c r="A6" s="14" t="s">
        <v>308</v>
      </c>
      <c r="B6" s="80"/>
      <c r="C6" s="80"/>
      <c r="F6" s="390"/>
      <c r="H6" s="431"/>
      <c r="I6" s="432"/>
    </row>
    <row r="7" spans="1:9" ht="20.25" customHeight="1" thickBot="1" x14ac:dyDescent="0.3">
      <c r="A7" s="14" t="s">
        <v>309</v>
      </c>
      <c r="B7" s="80"/>
      <c r="C7" s="80"/>
      <c r="F7" s="390"/>
      <c r="H7" s="429"/>
      <c r="I7" s="430"/>
    </row>
    <row r="8" spans="1:9" ht="20.25" customHeight="1" thickBot="1" x14ac:dyDescent="0.3">
      <c r="A8" s="14" t="s">
        <v>310</v>
      </c>
      <c r="B8" s="80"/>
      <c r="C8" s="80"/>
      <c r="F8" s="390"/>
      <c r="H8" s="431"/>
      <c r="I8" s="432"/>
    </row>
    <row r="9" spans="1:9" ht="20.25" customHeight="1" thickBot="1" x14ac:dyDescent="0.3">
      <c r="A9" s="14" t="s">
        <v>311</v>
      </c>
      <c r="B9" s="80"/>
      <c r="C9" s="80"/>
      <c r="E9" s="387"/>
      <c r="F9" s="390"/>
      <c r="H9" s="431"/>
      <c r="I9" s="432"/>
    </row>
    <row r="10" spans="1:9" ht="20.25" customHeight="1" thickBot="1" x14ac:dyDescent="0.3">
      <c r="A10" s="128" t="s">
        <v>312</v>
      </c>
      <c r="B10" s="125"/>
      <c r="C10" s="125"/>
      <c r="E10" s="387">
        <f>SUM(B11:B13)-B10</f>
        <v>0</v>
      </c>
      <c r="F10" s="390">
        <f>SUM(C11:C13)-C10</f>
        <v>0</v>
      </c>
      <c r="H10" s="429"/>
      <c r="I10" s="430"/>
    </row>
    <row r="11" spans="1:9" ht="20.25" customHeight="1" thickBot="1" x14ac:dyDescent="0.3">
      <c r="A11" s="14"/>
      <c r="B11" s="80"/>
      <c r="C11" s="80"/>
      <c r="F11" s="390"/>
    </row>
    <row r="12" spans="1:9" ht="20.25" customHeight="1" thickBot="1" x14ac:dyDescent="0.3">
      <c r="A12" s="14"/>
      <c r="B12" s="80"/>
      <c r="C12" s="80"/>
      <c r="F12" s="390"/>
    </row>
    <row r="13" spans="1:9" ht="20.25" customHeight="1" thickBot="1" x14ac:dyDescent="0.3">
      <c r="A13" s="14"/>
      <c r="B13" s="80"/>
      <c r="C13" s="80"/>
      <c r="F13" s="390"/>
    </row>
    <row r="14" spans="1:9" ht="20.25" customHeight="1" thickBot="1" x14ac:dyDescent="0.3">
      <c r="A14" s="44" t="s">
        <v>313</v>
      </c>
      <c r="B14" s="80"/>
      <c r="C14" s="80"/>
      <c r="E14" s="387">
        <f>SUM(B15:B18)-B14</f>
        <v>0</v>
      </c>
      <c r="F14" s="390">
        <f>SUM(C15:C18)-C14</f>
        <v>0</v>
      </c>
    </row>
    <row r="15" spans="1:9" ht="20.25" customHeight="1" thickBot="1" x14ac:dyDescent="0.3">
      <c r="A15" s="14"/>
      <c r="B15" s="80"/>
      <c r="C15" s="80"/>
      <c r="F15" s="390"/>
    </row>
    <row r="16" spans="1:9" ht="20.25" customHeight="1" thickBot="1" x14ac:dyDescent="0.3">
      <c r="A16" s="14"/>
      <c r="B16" s="80"/>
      <c r="C16" s="80"/>
      <c r="F16" s="390"/>
    </row>
    <row r="17" spans="1:9" ht="20.25" customHeight="1" thickBot="1" x14ac:dyDescent="0.3">
      <c r="A17" s="14"/>
      <c r="B17" s="80"/>
      <c r="C17" s="80"/>
      <c r="F17" s="390"/>
    </row>
    <row r="18" spans="1:9" ht="20.25" customHeight="1" thickBot="1" x14ac:dyDescent="0.3">
      <c r="A18" s="14"/>
      <c r="B18" s="80"/>
      <c r="C18" s="80"/>
      <c r="F18" s="390"/>
    </row>
    <row r="19" spans="1:9" ht="20.25" customHeight="1" thickBot="1" x14ac:dyDescent="0.3">
      <c r="A19" s="44" t="s">
        <v>314</v>
      </c>
      <c r="B19" s="80"/>
      <c r="C19" s="80"/>
      <c r="E19" s="387">
        <f>SUM(B20,B22)-B19</f>
        <v>0</v>
      </c>
      <c r="F19" s="390">
        <f>SUM(C20,C22)-C19</f>
        <v>0</v>
      </c>
      <c r="H19" s="387">
        <f>B19-SUM('P&amp;L'!$D$36,'P&amp;L'!$D$42,'P&amp;L'!$D$44,'P&amp;L'!$D$45,'P&amp;L'!$D$47,'P&amp;L'!$D$49,'P&amp;L'!$D$51,'P&amp;L'!$D$53)</f>
        <v>-9709</v>
      </c>
      <c r="I19" s="390">
        <f>C19-SUM('P&amp;L'!$E$36,'P&amp;L'!$E$42,'P&amp;L'!$E$44,'P&amp;L'!$E$45,'P&amp;L'!$E$47,'P&amp;L'!$E$49,'P&amp;L'!$E$51,'P&amp;L'!$E$53)</f>
        <v>-12724</v>
      </c>
    </row>
    <row r="20" spans="1:9" ht="20.25" customHeight="1" thickBot="1" x14ac:dyDescent="0.3">
      <c r="A20" s="128" t="s">
        <v>315</v>
      </c>
      <c r="B20" s="125"/>
      <c r="C20" s="125"/>
      <c r="E20" s="387"/>
      <c r="F20" s="390"/>
      <c r="H20" s="387">
        <f>B20-'P&amp;L'!$D$49</f>
        <v>-1704</v>
      </c>
      <c r="I20" s="390">
        <f>C20-'P&amp;L'!$E$49</f>
        <v>-2014</v>
      </c>
    </row>
    <row r="21" spans="1:9" ht="20.25" customHeight="1" thickBot="1" x14ac:dyDescent="0.3">
      <c r="A21" s="14" t="s">
        <v>316</v>
      </c>
      <c r="B21" s="80"/>
      <c r="C21" s="80"/>
      <c r="F21" s="390"/>
    </row>
    <row r="22" spans="1:9" ht="20.25" customHeight="1" thickBot="1" x14ac:dyDescent="0.3">
      <c r="A22" s="128" t="s">
        <v>317</v>
      </c>
      <c r="B22" s="125"/>
      <c r="C22" s="125"/>
      <c r="E22" s="387">
        <f>SUM(B23:B24)-B22</f>
        <v>0</v>
      </c>
      <c r="F22" s="390">
        <f>SUM(C23:C24)-C22</f>
        <v>0</v>
      </c>
    </row>
    <row r="23" spans="1:9" ht="20.25" customHeight="1" thickBot="1" x14ac:dyDescent="0.3">
      <c r="A23" s="14"/>
      <c r="B23" s="80"/>
      <c r="C23" s="80"/>
      <c r="F23" s="390"/>
    </row>
    <row r="24" spans="1:9" ht="20.25" customHeight="1" thickBot="1" x14ac:dyDescent="0.3">
      <c r="A24" s="14"/>
      <c r="B24" s="80"/>
      <c r="C24" s="80"/>
      <c r="F24" s="390"/>
    </row>
    <row r="25" spans="1:9" ht="20.25" customHeight="1" thickBot="1" x14ac:dyDescent="0.3">
      <c r="A25" s="104" t="s">
        <v>318</v>
      </c>
      <c r="B25" s="126"/>
      <c r="C25" s="126"/>
      <c r="E25" s="387">
        <f>SUM(B26:B27)-B25</f>
        <v>0</v>
      </c>
      <c r="F25" s="390">
        <f>SUM(C26:C27)-C25</f>
        <v>0</v>
      </c>
      <c r="H25" s="387">
        <f>B25-'P&amp;L'!$D$61</f>
        <v>0</v>
      </c>
      <c r="I25" s="390">
        <f>C25-'P&amp;L'!$E$61</f>
        <v>0</v>
      </c>
    </row>
    <row r="26" spans="1:9" ht="20.25" customHeight="1" thickBot="1" x14ac:dyDescent="0.3">
      <c r="A26" s="105"/>
      <c r="B26" s="121"/>
      <c r="C26" s="121"/>
      <c r="F26" s="390"/>
    </row>
    <row r="27" spans="1:9" ht="20.25" customHeight="1" thickBot="1" x14ac:dyDescent="0.3">
      <c r="A27" s="25"/>
      <c r="B27" s="78"/>
      <c r="C27" s="78"/>
      <c r="F27" s="390"/>
    </row>
    <row r="28" spans="1:9" ht="17.25" thickTop="1" x14ac:dyDescent="0.3">
      <c r="A28" s="1"/>
      <c r="F28" s="390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9" t="s">
        <v>131</v>
      </c>
      <c r="B2" s="38" t="s">
        <v>2</v>
      </c>
      <c r="C2" s="38" t="s">
        <v>3</v>
      </c>
    </row>
    <row r="3" spans="1:3" ht="29.25" customHeight="1" thickTop="1" thickBot="1" x14ac:dyDescent="0.3">
      <c r="A3" s="122" t="s">
        <v>320</v>
      </c>
      <c r="B3" s="15"/>
      <c r="C3" s="15"/>
    </row>
    <row r="4" spans="1:3" ht="29.25" customHeight="1" thickBot="1" x14ac:dyDescent="0.3">
      <c r="A4" s="129" t="s">
        <v>321</v>
      </c>
      <c r="B4" s="15"/>
      <c r="C4" s="15"/>
    </row>
    <row r="5" spans="1:3" ht="52.5" customHeight="1" thickBot="1" x14ac:dyDescent="0.3">
      <c r="A5" s="119" t="s">
        <v>322</v>
      </c>
      <c r="B5" s="15"/>
      <c r="C5" s="15"/>
    </row>
    <row r="6" spans="1:3" ht="52.5" customHeight="1" thickBot="1" x14ac:dyDescent="0.3">
      <c r="A6" s="14" t="s">
        <v>323</v>
      </c>
      <c r="B6" s="15"/>
      <c r="C6" s="15"/>
    </row>
    <row r="7" spans="1:3" ht="51" customHeight="1" thickBot="1" x14ac:dyDescent="0.3">
      <c r="A7" s="122" t="s">
        <v>324</v>
      </c>
      <c r="B7" s="15"/>
      <c r="C7" s="15"/>
    </row>
    <row r="8" spans="1:3" ht="30.75" customHeight="1" thickBot="1" x14ac:dyDescent="0.3">
      <c r="A8" s="130" t="s">
        <v>325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384" customWidth="1"/>
    <col min="11" max="11" width="31.140625" style="389" customWidth="1"/>
  </cols>
  <sheetData>
    <row r="1" spans="1:11" ht="17.25" thickBot="1" x14ac:dyDescent="0.35">
      <c r="A1" s="1" t="s">
        <v>326</v>
      </c>
      <c r="J1" s="1515" t="s">
        <v>1140</v>
      </c>
      <c r="K1" s="1517"/>
    </row>
    <row r="2" spans="1:11" ht="35.25" customHeight="1" thickTop="1" thickBot="1" x14ac:dyDescent="0.3">
      <c r="A2" s="1328" t="s">
        <v>131</v>
      </c>
      <c r="B2" s="1197" t="s">
        <v>2</v>
      </c>
      <c r="C2" s="1198"/>
      <c r="D2" s="1199"/>
      <c r="E2" s="1197" t="s">
        <v>3</v>
      </c>
      <c r="F2" s="1198"/>
      <c r="G2" s="1199"/>
      <c r="J2" s="176" t="s">
        <v>2</v>
      </c>
      <c r="K2" s="59" t="s">
        <v>3</v>
      </c>
    </row>
    <row r="3" spans="1:11" s="131" customFormat="1" ht="16.5" thickTop="1" thickBot="1" x14ac:dyDescent="0.3">
      <c r="A3" s="1330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  <c r="J3" s="433"/>
      <c r="K3" s="413"/>
    </row>
    <row r="4" spans="1:11" ht="20.25" customHeight="1" thickTop="1" thickBot="1" x14ac:dyDescent="0.3">
      <c r="A4" s="14" t="s">
        <v>330</v>
      </c>
      <c r="B4" s="79"/>
      <c r="C4" s="106" t="s">
        <v>18</v>
      </c>
      <c r="D4" s="168" t="s">
        <v>18</v>
      </c>
      <c r="E4" s="79"/>
      <c r="F4" s="106" t="s">
        <v>18</v>
      </c>
      <c r="G4" s="168" t="s">
        <v>18</v>
      </c>
      <c r="J4" s="387">
        <f>B4-'P&amp;L'!$D$55</f>
        <v>-790539</v>
      </c>
      <c r="K4" s="390">
        <f>E4-'P&amp;L'!$E$55</f>
        <v>-783307</v>
      </c>
    </row>
    <row r="5" spans="1:11" ht="20.25" customHeight="1" thickBot="1" x14ac:dyDescent="0.3">
      <c r="A5" s="14" t="s">
        <v>331</v>
      </c>
      <c r="B5" s="106" t="s">
        <v>18</v>
      </c>
      <c r="C5" s="79"/>
      <c r="D5" s="118"/>
      <c r="E5" s="106" t="s">
        <v>18</v>
      </c>
      <c r="F5" s="79"/>
      <c r="G5" s="118"/>
    </row>
    <row r="6" spans="1:11" ht="20.25" customHeight="1" thickBot="1" x14ac:dyDescent="0.3">
      <c r="A6" s="14" t="s">
        <v>332</v>
      </c>
      <c r="B6" s="79"/>
      <c r="C6" s="79"/>
      <c r="D6" s="118"/>
      <c r="E6" s="79"/>
      <c r="F6" s="79"/>
      <c r="G6" s="118"/>
    </row>
    <row r="7" spans="1:11" ht="20.25" customHeight="1" thickBot="1" x14ac:dyDescent="0.3">
      <c r="A7" s="14" t="s">
        <v>333</v>
      </c>
      <c r="B7" s="79"/>
      <c r="C7" s="79"/>
      <c r="D7" s="118"/>
      <c r="E7" s="79"/>
      <c r="F7" s="79"/>
      <c r="G7" s="118"/>
    </row>
    <row r="8" spans="1:11" ht="20.25" customHeight="1" thickBot="1" x14ac:dyDescent="0.3">
      <c r="A8" s="14" t="s">
        <v>334</v>
      </c>
      <c r="B8" s="79"/>
      <c r="C8" s="79"/>
      <c r="D8" s="118"/>
      <c r="E8" s="79"/>
      <c r="F8" s="79"/>
      <c r="G8" s="118"/>
    </row>
    <row r="9" spans="1:11" ht="20.25" customHeight="1" thickBot="1" x14ac:dyDescent="0.3">
      <c r="A9" s="14" t="s">
        <v>14</v>
      </c>
      <c r="B9" s="79"/>
      <c r="C9" s="79"/>
      <c r="D9" s="118"/>
      <c r="E9" s="79"/>
      <c r="F9" s="79"/>
      <c r="G9" s="118"/>
    </row>
    <row r="10" spans="1:11" ht="20.25" customHeight="1" thickBot="1" x14ac:dyDescent="0.3">
      <c r="A10" s="14" t="s">
        <v>335</v>
      </c>
      <c r="B10" s="106" t="s">
        <v>18</v>
      </c>
      <c r="C10" s="79"/>
      <c r="D10" s="118"/>
      <c r="E10" s="106" t="s">
        <v>18</v>
      </c>
      <c r="F10" s="79"/>
      <c r="G10" s="118"/>
      <c r="J10" s="387">
        <f>C10-'P&amp;L'!$D$57-'P&amp;L'!$D$64</f>
        <v>-179297</v>
      </c>
      <c r="K10" s="390">
        <f>F10-'P&amp;L'!$E$57-'P&amp;L'!$E$64</f>
        <v>-146331</v>
      </c>
    </row>
    <row r="11" spans="1:11" ht="20.25" customHeight="1" thickBot="1" x14ac:dyDescent="0.3">
      <c r="A11" s="14" t="s">
        <v>336</v>
      </c>
      <c r="B11" s="106" t="s">
        <v>18</v>
      </c>
      <c r="C11" s="79"/>
      <c r="D11" s="118"/>
      <c r="E11" s="106" t="s">
        <v>18</v>
      </c>
      <c r="F11" s="79"/>
      <c r="G11" s="118"/>
      <c r="J11" s="387">
        <f>C11-'P&amp;L'!$D$58-'P&amp;L'!$D$65</f>
        <v>-8738</v>
      </c>
      <c r="K11" s="390">
        <f>F11-'P&amp;L'!$E$58-'P&amp;L'!$E$65</f>
        <v>-5383</v>
      </c>
    </row>
    <row r="12" spans="1:11" ht="20.25" customHeight="1" thickBot="1" x14ac:dyDescent="0.3">
      <c r="A12" s="16" t="s">
        <v>337</v>
      </c>
      <c r="B12" s="107" t="s">
        <v>18</v>
      </c>
      <c r="C12" s="85">
        <f>C10+C11</f>
        <v>0</v>
      </c>
      <c r="D12" s="167"/>
      <c r="E12" s="107" t="s">
        <v>18</v>
      </c>
      <c r="F12" s="85">
        <f>F10+F11</f>
        <v>0</v>
      </c>
      <c r="G12" s="167"/>
      <c r="J12" s="387">
        <f>C12-'P&amp;L'!$D$56-'P&amp;L'!$D$63</f>
        <v>-188035</v>
      </c>
      <c r="K12" s="390">
        <f>F12-'P&amp;L'!$E$56-'P&amp;L'!$E$63</f>
        <v>-151714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1520" t="s">
        <v>372</v>
      </c>
      <c r="B2" s="1518" t="s">
        <v>373</v>
      </c>
      <c r="C2" s="1532"/>
      <c r="D2" s="1532"/>
      <c r="E2" s="1518" t="s">
        <v>374</v>
      </c>
      <c r="F2" s="1532"/>
      <c r="G2" s="1519"/>
      <c r="H2" s="20"/>
      <c r="I2" s="20"/>
    </row>
    <row r="3" spans="1:9" ht="20.25" customHeight="1" thickTop="1" thickBot="1" x14ac:dyDescent="0.3">
      <c r="A3" s="1521"/>
      <c r="B3" s="59" t="s">
        <v>375</v>
      </c>
      <c r="C3" s="59" t="s">
        <v>376</v>
      </c>
      <c r="D3" s="662" t="s">
        <v>377</v>
      </c>
      <c r="E3" s="59" t="s">
        <v>375</v>
      </c>
      <c r="F3" s="59" t="s">
        <v>376</v>
      </c>
      <c r="G3" s="59" t="s">
        <v>377</v>
      </c>
      <c r="H3" s="20"/>
      <c r="I3" s="20"/>
    </row>
    <row r="4" spans="1:9" ht="20.25" customHeight="1" thickTop="1" thickBot="1" x14ac:dyDescent="0.3">
      <c r="A4" s="1521"/>
      <c r="B4" s="1533" t="s">
        <v>378</v>
      </c>
      <c r="C4" s="1534"/>
      <c r="D4" s="1534"/>
      <c r="E4" s="1533" t="s">
        <v>378</v>
      </c>
      <c r="F4" s="1534"/>
      <c r="G4" s="1537"/>
      <c r="H4" s="20"/>
      <c r="I4" s="20"/>
    </row>
    <row r="5" spans="1:9" ht="24.75" customHeight="1" thickBot="1" x14ac:dyDescent="0.3">
      <c r="A5" s="1522"/>
      <c r="B5" s="1538" t="s">
        <v>379</v>
      </c>
      <c r="C5" s="1539"/>
      <c r="D5" s="1539"/>
      <c r="E5" s="1538" t="s">
        <v>379</v>
      </c>
      <c r="F5" s="1539"/>
      <c r="G5" s="1540"/>
      <c r="H5" s="20"/>
      <c r="I5" s="20"/>
    </row>
    <row r="6" spans="1:9" ht="20.25" customHeight="1" thickTop="1" thickBot="1" x14ac:dyDescent="0.3">
      <c r="A6" s="1541" t="s">
        <v>380</v>
      </c>
      <c r="B6" s="79"/>
      <c r="C6" s="169"/>
      <c r="D6" s="144"/>
      <c r="E6" s="79"/>
      <c r="F6" s="144"/>
      <c r="G6" s="77"/>
      <c r="H6" s="20"/>
      <c r="I6" s="20"/>
    </row>
    <row r="7" spans="1:9" ht="20.25" customHeight="1" thickBot="1" x14ac:dyDescent="0.3">
      <c r="A7" s="1542"/>
      <c r="B7" s="79"/>
      <c r="C7" s="170"/>
      <c r="D7" s="120"/>
      <c r="E7" s="79"/>
      <c r="F7" s="120"/>
      <c r="G7" s="121"/>
      <c r="H7" s="20"/>
      <c r="I7" s="20"/>
    </row>
    <row r="8" spans="1:9" ht="20.25" customHeight="1" thickBot="1" x14ac:dyDescent="0.3">
      <c r="A8" s="1535" t="s">
        <v>381</v>
      </c>
      <c r="B8" s="79"/>
      <c r="C8" s="170"/>
      <c r="D8" s="120"/>
      <c r="E8" s="79"/>
      <c r="F8" s="120"/>
      <c r="G8" s="121"/>
      <c r="H8" s="20"/>
      <c r="I8" s="20"/>
    </row>
    <row r="9" spans="1:9" ht="20.25" customHeight="1" thickBot="1" x14ac:dyDescent="0.3">
      <c r="A9" s="1536"/>
      <c r="B9" s="79"/>
      <c r="C9" s="170"/>
      <c r="D9" s="120"/>
      <c r="E9" s="79"/>
      <c r="F9" s="120"/>
      <c r="G9" s="121"/>
      <c r="H9" s="20"/>
      <c r="I9" s="20"/>
    </row>
    <row r="10" spans="1:9" ht="20.25" customHeight="1" thickTop="1" thickBot="1" x14ac:dyDescent="0.3">
      <c r="A10" s="1541" t="s">
        <v>382</v>
      </c>
      <c r="B10" s="79"/>
      <c r="C10" s="170"/>
      <c r="D10" s="120"/>
      <c r="E10" s="79"/>
      <c r="F10" s="120"/>
      <c r="G10" s="121"/>
      <c r="H10" s="20"/>
      <c r="I10" s="20"/>
    </row>
    <row r="11" spans="1:9" ht="20.25" customHeight="1" thickBot="1" x14ac:dyDescent="0.3">
      <c r="A11" s="1542"/>
      <c r="B11" s="79"/>
      <c r="C11" s="170"/>
      <c r="D11" s="120"/>
      <c r="E11" s="79"/>
      <c r="F11" s="120"/>
      <c r="G11" s="121"/>
      <c r="H11" s="20"/>
      <c r="I11" s="20"/>
    </row>
    <row r="12" spans="1:9" ht="20.25" customHeight="1" thickBot="1" x14ac:dyDescent="0.3">
      <c r="A12" s="1535" t="s">
        <v>383</v>
      </c>
      <c r="B12" s="79"/>
      <c r="C12" s="170"/>
      <c r="D12" s="120"/>
      <c r="E12" s="79"/>
      <c r="F12" s="120"/>
      <c r="G12" s="121"/>
      <c r="H12" s="20"/>
      <c r="I12" s="20"/>
    </row>
    <row r="13" spans="1:9" ht="20.25" customHeight="1" thickBot="1" x14ac:dyDescent="0.3">
      <c r="A13" s="1542"/>
      <c r="B13" s="79"/>
      <c r="C13" s="170"/>
      <c r="D13" s="120"/>
      <c r="E13" s="79"/>
      <c r="F13" s="120"/>
      <c r="G13" s="121"/>
      <c r="H13" s="20"/>
      <c r="I13" s="20"/>
    </row>
    <row r="14" spans="1:9" ht="20.25" customHeight="1" thickBot="1" x14ac:dyDescent="0.3">
      <c r="A14" s="1535" t="s">
        <v>384</v>
      </c>
      <c r="B14" s="79"/>
      <c r="C14" s="170"/>
      <c r="D14" s="120"/>
      <c r="E14" s="79"/>
      <c r="F14" s="120"/>
      <c r="G14" s="121"/>
      <c r="H14" s="20"/>
      <c r="I14" s="20"/>
    </row>
    <row r="15" spans="1:9" ht="20.25" customHeight="1" thickBot="1" x14ac:dyDescent="0.3">
      <c r="A15" s="1536"/>
      <c r="B15" s="79"/>
      <c r="C15" s="170"/>
      <c r="D15" s="120"/>
      <c r="E15" s="79"/>
      <c r="F15" s="120"/>
      <c r="G15" s="121"/>
      <c r="H15" s="20"/>
      <c r="I15" s="20"/>
    </row>
    <row r="16" spans="1:9" ht="20.25" customHeight="1" thickTop="1" thickBot="1" x14ac:dyDescent="0.3">
      <c r="A16" s="1541" t="s">
        <v>385</v>
      </c>
      <c r="B16" s="79"/>
      <c r="C16" s="170"/>
      <c r="D16" s="120"/>
      <c r="E16" s="79"/>
      <c r="F16" s="120"/>
      <c r="G16" s="121"/>
      <c r="H16" s="20"/>
      <c r="I16" s="20"/>
    </row>
    <row r="17" spans="1:9" ht="20.25" customHeight="1" thickBot="1" x14ac:dyDescent="0.3">
      <c r="A17" s="1536"/>
      <c r="B17" s="79"/>
      <c r="C17" s="170"/>
      <c r="D17" s="120"/>
      <c r="E17" s="79"/>
      <c r="F17" s="120"/>
      <c r="G17" s="121"/>
      <c r="H17" s="20"/>
      <c r="I17" s="20"/>
    </row>
    <row r="18" spans="1:9" ht="20.25" customHeight="1" thickTop="1" thickBot="1" x14ac:dyDescent="0.3">
      <c r="A18" s="1541" t="s">
        <v>287</v>
      </c>
      <c r="B18" s="79"/>
      <c r="C18" s="170"/>
      <c r="D18" s="120"/>
      <c r="E18" s="79"/>
      <c r="F18" s="120"/>
      <c r="G18" s="121"/>
      <c r="H18" s="20"/>
      <c r="I18" s="20"/>
    </row>
    <row r="19" spans="1:9" ht="20.25" customHeight="1" thickBot="1" x14ac:dyDescent="0.3">
      <c r="A19" s="1536"/>
      <c r="B19" s="85"/>
      <c r="C19" s="171"/>
      <c r="D19" s="146"/>
      <c r="E19" s="85"/>
      <c r="F19" s="146"/>
      <c r="G19" s="127"/>
      <c r="H19" s="20"/>
      <c r="I19" s="20"/>
    </row>
    <row r="20" spans="1:9" ht="15.75" thickTop="1" x14ac:dyDescent="0.25">
      <c r="A20" s="48"/>
      <c r="B20" s="48"/>
      <c r="C20" s="48"/>
      <c r="D20" s="48"/>
      <c r="E20" s="48"/>
      <c r="F20" s="48"/>
      <c r="G20" s="48"/>
      <c r="H20" s="20"/>
      <c r="I20" s="20"/>
    </row>
    <row r="21" spans="1:9" x14ac:dyDescent="0.25">
      <c r="A21" s="172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A18:A19"/>
    <mergeCell ref="A16:A17"/>
    <mergeCell ref="A14:A15"/>
    <mergeCell ref="A12:A13"/>
    <mergeCell ref="A10:A11"/>
    <mergeCell ref="B2:D2"/>
    <mergeCell ref="E2:G2"/>
    <mergeCell ref="B4:D4"/>
    <mergeCell ref="A2:A5"/>
    <mergeCell ref="A8:A9"/>
    <mergeCell ref="E4:G4"/>
    <mergeCell ref="B5:D5"/>
    <mergeCell ref="E5:G5"/>
    <mergeCell ref="A6:A7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3" workbookViewId="0">
      <selection activeCell="D70" sqref="D70"/>
    </sheetView>
  </sheetViews>
  <sheetFormatPr defaultRowHeight="11.25" x14ac:dyDescent="0.2"/>
  <cols>
    <col min="1" max="1" width="5.7109375" style="178" customWidth="1"/>
    <col min="2" max="2" width="65" style="178" customWidth="1"/>
    <col min="3" max="3" width="9.28515625" style="201" customWidth="1"/>
    <col min="4" max="4" width="15.5703125" style="300" customWidth="1"/>
    <col min="5" max="5" width="14.5703125" style="178" customWidth="1"/>
    <col min="6" max="16384" width="9.140625" style="178"/>
  </cols>
  <sheetData>
    <row r="1" spans="1:5" ht="12" customHeight="1" x14ac:dyDescent="0.2">
      <c r="A1" s="180" t="s">
        <v>497</v>
      </c>
      <c r="B1" s="259">
        <v>0</v>
      </c>
      <c r="C1" s="260"/>
      <c r="D1" s="261"/>
      <c r="E1" s="262"/>
    </row>
    <row r="2" spans="1:5" s="186" customFormat="1" ht="12" customHeight="1" x14ac:dyDescent="0.2">
      <c r="A2" s="180" t="s">
        <v>500</v>
      </c>
      <c r="B2" s="263" t="s">
        <v>807</v>
      </c>
      <c r="C2" s="260"/>
      <c r="D2" s="261"/>
      <c r="E2" s="262"/>
    </row>
    <row r="3" spans="1:5" ht="11.25" customHeight="1" x14ac:dyDescent="0.2">
      <c r="B3" s="425" t="s">
        <v>807</v>
      </c>
      <c r="C3" s="178"/>
      <c r="D3" s="178"/>
    </row>
    <row r="4" spans="1:5" ht="11.25" customHeight="1" x14ac:dyDescent="0.2">
      <c r="A4" s="189"/>
      <c r="B4" s="190"/>
      <c r="C4" s="190"/>
      <c r="D4" s="264"/>
      <c r="E4" s="265"/>
    </row>
    <row r="5" spans="1:5" ht="12" customHeight="1" x14ac:dyDescent="0.2">
      <c r="B5" s="266" t="s">
        <v>808</v>
      </c>
      <c r="C5" s="196"/>
      <c r="D5" s="267"/>
      <c r="E5" s="268"/>
    </row>
    <row r="6" spans="1:5" s="201" customFormat="1" ht="12" customHeight="1" x14ac:dyDescent="0.2">
      <c r="A6" s="269" t="s">
        <v>508</v>
      </c>
      <c r="B6" s="270" t="s">
        <v>809</v>
      </c>
      <c r="C6" s="269" t="s">
        <v>510</v>
      </c>
      <c r="D6" s="271" t="s">
        <v>810</v>
      </c>
      <c r="E6" s="272"/>
    </row>
    <row r="7" spans="1:5" s="204" customFormat="1" ht="12" customHeight="1" x14ac:dyDescent="0.25">
      <c r="A7" s="273" t="s">
        <v>513</v>
      </c>
      <c r="B7" s="274"/>
      <c r="C7" s="273" t="s">
        <v>514</v>
      </c>
      <c r="D7" s="275" t="s">
        <v>811</v>
      </c>
      <c r="E7" s="276" t="s">
        <v>812</v>
      </c>
    </row>
    <row r="8" spans="1:5" s="201" customFormat="1" ht="12" customHeight="1" x14ac:dyDescent="0.2">
      <c r="A8" s="277" t="s">
        <v>518</v>
      </c>
      <c r="B8" s="278" t="s">
        <v>519</v>
      </c>
      <c r="C8" s="277" t="s">
        <v>520</v>
      </c>
      <c r="D8" s="279">
        <v>1</v>
      </c>
      <c r="E8" s="277">
        <v>2</v>
      </c>
    </row>
    <row r="9" spans="1:5" s="186" customFormat="1" ht="12" customHeight="1" x14ac:dyDescent="0.25">
      <c r="A9" s="280" t="s">
        <v>813</v>
      </c>
      <c r="B9" s="281" t="s">
        <v>1510</v>
      </c>
      <c r="C9" s="282" t="s">
        <v>814</v>
      </c>
      <c r="D9" s="904"/>
      <c r="E9" s="905"/>
    </row>
    <row r="10" spans="1:5" s="186" customFormat="1" ht="12" customHeight="1" x14ac:dyDescent="0.2">
      <c r="A10" s="280" t="s">
        <v>815</v>
      </c>
      <c r="B10" s="281" t="s">
        <v>816</v>
      </c>
      <c r="C10" s="282" t="s">
        <v>817</v>
      </c>
      <c r="D10" s="906"/>
      <c r="E10" s="907"/>
    </row>
    <row r="11" spans="1:5" s="285" customFormat="1" ht="12" customHeight="1" x14ac:dyDescent="0.25">
      <c r="A11" s="283" t="s">
        <v>818</v>
      </c>
      <c r="B11" s="283" t="s">
        <v>819</v>
      </c>
      <c r="C11" s="284" t="s">
        <v>820</v>
      </c>
      <c r="D11" s="908"/>
      <c r="E11" s="908"/>
    </row>
    <row r="12" spans="1:5" s="211" customFormat="1" ht="12" customHeight="1" x14ac:dyDescent="0.25">
      <c r="A12" s="286" t="s">
        <v>821</v>
      </c>
      <c r="B12" s="286" t="s">
        <v>822</v>
      </c>
      <c r="C12" s="287" t="s">
        <v>823</v>
      </c>
      <c r="D12" s="909">
        <v>11330433</v>
      </c>
      <c r="E12" s="909">
        <v>10716651</v>
      </c>
    </row>
    <row r="13" spans="1:5" s="186" customFormat="1" ht="12" customHeight="1" x14ac:dyDescent="0.25">
      <c r="A13" s="280" t="s">
        <v>824</v>
      </c>
      <c r="B13" s="281" t="s">
        <v>825</v>
      </c>
      <c r="C13" s="282" t="s">
        <v>826</v>
      </c>
      <c r="D13" s="904">
        <v>11330433</v>
      </c>
      <c r="E13" s="905">
        <v>10716651</v>
      </c>
    </row>
    <row r="14" spans="1:5" s="186" customFormat="1" ht="12" customHeight="1" x14ac:dyDescent="0.25">
      <c r="A14" s="280" t="s">
        <v>532</v>
      </c>
      <c r="B14" s="281" t="s">
        <v>827</v>
      </c>
      <c r="C14" s="282" t="s">
        <v>828</v>
      </c>
      <c r="D14" s="904"/>
      <c r="E14" s="905"/>
    </row>
    <row r="15" spans="1:5" s="186" customFormat="1" ht="12" customHeight="1" x14ac:dyDescent="0.25">
      <c r="A15" s="280" t="s">
        <v>535</v>
      </c>
      <c r="B15" s="281" t="s">
        <v>829</v>
      </c>
      <c r="C15" s="282" t="s">
        <v>830</v>
      </c>
      <c r="D15" s="904"/>
      <c r="E15" s="905"/>
    </row>
    <row r="16" spans="1:5" s="186" customFormat="1" ht="12" customHeight="1" x14ac:dyDescent="0.25">
      <c r="A16" s="288" t="s">
        <v>594</v>
      </c>
      <c r="B16" s="289" t="s">
        <v>831</v>
      </c>
      <c r="C16" s="290" t="s">
        <v>832</v>
      </c>
      <c r="D16" s="910">
        <v>10076854</v>
      </c>
      <c r="E16" s="910">
        <v>9642113</v>
      </c>
    </row>
    <row r="17" spans="1:5" s="186" customFormat="1" ht="12" customHeight="1" x14ac:dyDescent="0.25">
      <c r="A17" s="280" t="s">
        <v>833</v>
      </c>
      <c r="B17" s="281" t="s">
        <v>834</v>
      </c>
      <c r="C17" s="282" t="s">
        <v>835</v>
      </c>
      <c r="D17" s="904">
        <v>38243</v>
      </c>
      <c r="E17" s="905">
        <v>63661</v>
      </c>
    </row>
    <row r="18" spans="1:5" s="186" customFormat="1" ht="12" customHeight="1" x14ac:dyDescent="0.25">
      <c r="A18" s="280" t="s">
        <v>836</v>
      </c>
      <c r="B18" s="281" t="s">
        <v>837</v>
      </c>
      <c r="C18" s="282" t="s">
        <v>838</v>
      </c>
      <c r="D18" s="906">
        <v>10038611</v>
      </c>
      <c r="E18" s="905">
        <v>9578452</v>
      </c>
    </row>
    <row r="19" spans="1:5" s="285" customFormat="1" ht="12" customHeight="1" x14ac:dyDescent="0.25">
      <c r="A19" s="283" t="s">
        <v>818</v>
      </c>
      <c r="B19" s="283" t="s">
        <v>839</v>
      </c>
      <c r="C19" s="284" t="s">
        <v>840</v>
      </c>
      <c r="D19" s="908">
        <f>D11+D12-D16</f>
        <v>1253579</v>
      </c>
      <c r="E19" s="908">
        <v>1074538</v>
      </c>
    </row>
    <row r="20" spans="1:5" s="211" customFormat="1" ht="12" customHeight="1" x14ac:dyDescent="0.25">
      <c r="A20" s="286" t="s">
        <v>663</v>
      </c>
      <c r="B20" s="286" t="s">
        <v>841</v>
      </c>
      <c r="C20" s="287" t="s">
        <v>842</v>
      </c>
      <c r="D20" s="909">
        <v>409980</v>
      </c>
      <c r="E20" s="909">
        <v>394269</v>
      </c>
    </row>
    <row r="21" spans="1:5" s="186" customFormat="1" ht="12" customHeight="1" x14ac:dyDescent="0.25">
      <c r="A21" s="280" t="s">
        <v>666</v>
      </c>
      <c r="B21" s="281" t="s">
        <v>843</v>
      </c>
      <c r="C21" s="282" t="s">
        <v>844</v>
      </c>
      <c r="D21" s="904">
        <v>296866</v>
      </c>
      <c r="E21" s="905">
        <v>300410</v>
      </c>
    </row>
    <row r="22" spans="1:5" s="186" customFormat="1" ht="12" customHeight="1" x14ac:dyDescent="0.25">
      <c r="A22" s="280" t="s">
        <v>836</v>
      </c>
      <c r="B22" s="281" t="s">
        <v>845</v>
      </c>
      <c r="C22" s="282" t="s">
        <v>846</v>
      </c>
      <c r="D22" s="904"/>
      <c r="E22" s="905"/>
    </row>
    <row r="23" spans="1:5" s="186" customFormat="1" ht="12" customHeight="1" x14ac:dyDescent="0.25">
      <c r="A23" s="280" t="s">
        <v>847</v>
      </c>
      <c r="B23" s="281" t="s">
        <v>848</v>
      </c>
      <c r="C23" s="282" t="s">
        <v>849</v>
      </c>
      <c r="D23" s="904">
        <v>106327</v>
      </c>
      <c r="E23" s="905">
        <v>87584</v>
      </c>
    </row>
    <row r="24" spans="1:5" s="186" customFormat="1" ht="12" customHeight="1" x14ac:dyDescent="0.25">
      <c r="A24" s="280" t="s">
        <v>850</v>
      </c>
      <c r="B24" s="281" t="s">
        <v>851</v>
      </c>
      <c r="C24" s="282" t="s">
        <v>852</v>
      </c>
      <c r="D24" s="904">
        <v>6787</v>
      </c>
      <c r="E24" s="905">
        <v>6275</v>
      </c>
    </row>
    <row r="25" spans="1:5" s="186" customFormat="1" ht="12" customHeight="1" x14ac:dyDescent="0.25">
      <c r="A25" s="280" t="s">
        <v>853</v>
      </c>
      <c r="B25" s="281" t="s">
        <v>854</v>
      </c>
      <c r="C25" s="282" t="s">
        <v>855</v>
      </c>
      <c r="D25" s="904">
        <v>921</v>
      </c>
      <c r="E25" s="905">
        <v>1043</v>
      </c>
    </row>
    <row r="26" spans="1:5" s="186" customFormat="1" ht="12" customHeight="1" x14ac:dyDescent="0.25">
      <c r="A26" s="280" t="s">
        <v>856</v>
      </c>
      <c r="B26" s="281" t="s">
        <v>857</v>
      </c>
      <c r="C26" s="282" t="s">
        <v>858</v>
      </c>
      <c r="D26" s="904">
        <v>24621</v>
      </c>
      <c r="E26" s="905">
        <v>17258</v>
      </c>
    </row>
    <row r="27" spans="1:5" s="186" customFormat="1" ht="12" customHeight="1" x14ac:dyDescent="0.25">
      <c r="A27" s="280" t="s">
        <v>859</v>
      </c>
      <c r="B27" s="281" t="s">
        <v>860</v>
      </c>
      <c r="C27" s="282" t="s">
        <v>861</v>
      </c>
      <c r="D27" s="904"/>
      <c r="E27" s="905"/>
    </row>
    <row r="28" spans="1:5" s="186" customFormat="1" ht="12" customHeight="1" x14ac:dyDescent="0.25">
      <c r="A28" s="280" t="s">
        <v>862</v>
      </c>
      <c r="B28" s="281" t="s">
        <v>863</v>
      </c>
      <c r="C28" s="282" t="s">
        <v>864</v>
      </c>
      <c r="D28" s="904"/>
      <c r="E28" s="905"/>
    </row>
    <row r="29" spans="1:5" s="186" customFormat="1" ht="12" customHeight="1" x14ac:dyDescent="0.25">
      <c r="A29" s="280" t="s">
        <v>865</v>
      </c>
      <c r="B29" s="291" t="s">
        <v>866</v>
      </c>
      <c r="C29" s="282" t="s">
        <v>867</v>
      </c>
      <c r="D29" s="904">
        <v>18068</v>
      </c>
      <c r="E29" s="905"/>
    </row>
    <row r="30" spans="1:5" s="186" customFormat="1" ht="12" customHeight="1" x14ac:dyDescent="0.25">
      <c r="A30" s="280" t="s">
        <v>868</v>
      </c>
      <c r="B30" s="291" t="s">
        <v>869</v>
      </c>
      <c r="C30" s="282" t="s">
        <v>870</v>
      </c>
      <c r="D30" s="904">
        <v>1082</v>
      </c>
      <c r="E30" s="905">
        <v>132466</v>
      </c>
    </row>
    <row r="31" spans="1:5" s="186" customFormat="1" ht="12" customHeight="1" x14ac:dyDescent="0.25">
      <c r="A31" s="280" t="s">
        <v>871</v>
      </c>
      <c r="B31" s="291" t="s">
        <v>872</v>
      </c>
      <c r="C31" s="282" t="s">
        <v>873</v>
      </c>
      <c r="D31" s="904">
        <v>1262</v>
      </c>
      <c r="E31" s="905">
        <v>2251</v>
      </c>
    </row>
    <row r="32" spans="1:5" s="186" customFormat="1" ht="12" customHeight="1" x14ac:dyDescent="0.25">
      <c r="A32" s="280" t="s">
        <v>874</v>
      </c>
      <c r="B32" s="291" t="s">
        <v>875</v>
      </c>
      <c r="C32" s="282" t="s">
        <v>876</v>
      </c>
      <c r="D32" s="904"/>
      <c r="E32" s="905"/>
    </row>
    <row r="33" spans="1:5" s="186" customFormat="1" ht="12" customHeight="1" x14ac:dyDescent="0.25">
      <c r="A33" s="280" t="s">
        <v>877</v>
      </c>
      <c r="B33" s="291" t="s">
        <v>878</v>
      </c>
      <c r="C33" s="282" t="s">
        <v>879</v>
      </c>
      <c r="D33" s="904"/>
      <c r="E33" s="905"/>
    </row>
    <row r="34" spans="1:5" s="285" customFormat="1" ht="30.75" customHeight="1" x14ac:dyDescent="0.25">
      <c r="A34" s="283" t="s">
        <v>880</v>
      </c>
      <c r="B34" s="292" t="s">
        <v>881</v>
      </c>
      <c r="C34" s="293" t="s">
        <v>882</v>
      </c>
      <c r="D34" s="908">
        <v>799809</v>
      </c>
      <c r="E34" s="908">
        <v>792183</v>
      </c>
    </row>
    <row r="35" spans="1:5" s="186" customFormat="1" ht="12" customHeight="1" x14ac:dyDescent="0.25">
      <c r="A35" s="280" t="s">
        <v>883</v>
      </c>
      <c r="B35" s="291" t="s">
        <v>884</v>
      </c>
      <c r="C35" s="282" t="s">
        <v>885</v>
      </c>
      <c r="D35" s="904"/>
      <c r="E35" s="905"/>
    </row>
    <row r="36" spans="1:5" s="186" customFormat="1" ht="12" customHeight="1" x14ac:dyDescent="0.25">
      <c r="A36" s="280" t="s">
        <v>886</v>
      </c>
      <c r="B36" s="291" t="s">
        <v>887</v>
      </c>
      <c r="C36" s="282" t="s">
        <v>888</v>
      </c>
      <c r="D36" s="904"/>
      <c r="E36" s="905"/>
    </row>
    <row r="37" spans="1:5" s="186" customFormat="1" ht="12" customHeight="1" x14ac:dyDescent="0.25">
      <c r="A37" s="288" t="s">
        <v>889</v>
      </c>
      <c r="B37" s="288" t="s">
        <v>890</v>
      </c>
      <c r="C37" s="290" t="s">
        <v>891</v>
      </c>
      <c r="D37" s="910"/>
      <c r="E37" s="910"/>
    </row>
    <row r="38" spans="1:5" s="186" customFormat="1" ht="12" customHeight="1" x14ac:dyDescent="0.25">
      <c r="A38" s="280" t="s">
        <v>892</v>
      </c>
      <c r="B38" s="291" t="s">
        <v>893</v>
      </c>
      <c r="C38" s="282" t="s">
        <v>894</v>
      </c>
      <c r="D38" s="904"/>
      <c r="E38" s="905"/>
    </row>
    <row r="39" spans="1:5" s="186" customFormat="1" ht="12" customHeight="1" x14ac:dyDescent="0.25">
      <c r="A39" s="280" t="s">
        <v>895</v>
      </c>
      <c r="B39" s="291" t="s">
        <v>896</v>
      </c>
      <c r="C39" s="282" t="s">
        <v>897</v>
      </c>
      <c r="D39" s="904"/>
      <c r="E39" s="905"/>
    </row>
    <row r="40" spans="1:5" s="186" customFormat="1" ht="12" customHeight="1" x14ac:dyDescent="0.25">
      <c r="A40" s="280" t="s">
        <v>898</v>
      </c>
      <c r="B40" s="291" t="s">
        <v>899</v>
      </c>
      <c r="C40" s="282" t="s">
        <v>900</v>
      </c>
      <c r="D40" s="904"/>
      <c r="E40" s="905"/>
    </row>
    <row r="41" spans="1:5" s="186" customFormat="1" ht="12" customHeight="1" x14ac:dyDescent="0.25">
      <c r="A41" s="280" t="s">
        <v>901</v>
      </c>
      <c r="B41" s="291" t="s">
        <v>902</v>
      </c>
      <c r="C41" s="282" t="s">
        <v>903</v>
      </c>
      <c r="D41" s="904"/>
      <c r="E41" s="905"/>
    </row>
    <row r="42" spans="1:5" s="186" customFormat="1" ht="12" customHeight="1" x14ac:dyDescent="0.25">
      <c r="A42" s="280" t="s">
        <v>904</v>
      </c>
      <c r="B42" s="291" t="s">
        <v>905</v>
      </c>
      <c r="C42" s="282" t="s">
        <v>906</v>
      </c>
      <c r="D42" s="904"/>
      <c r="E42" s="905"/>
    </row>
    <row r="43" spans="1:5" s="186" customFormat="1" ht="12" customHeight="1" x14ac:dyDescent="0.25">
      <c r="A43" s="280" t="s">
        <v>907</v>
      </c>
      <c r="B43" s="291" t="s">
        <v>908</v>
      </c>
      <c r="C43" s="282" t="s">
        <v>909</v>
      </c>
      <c r="D43" s="904"/>
      <c r="E43" s="905"/>
    </row>
    <row r="44" spans="1:5" s="186" customFormat="1" ht="12" customHeight="1" x14ac:dyDescent="0.25">
      <c r="A44" s="280" t="s">
        <v>910</v>
      </c>
      <c r="B44" s="291" t="s">
        <v>911</v>
      </c>
      <c r="C44" s="282" t="s">
        <v>912</v>
      </c>
      <c r="D44" s="904"/>
      <c r="E44" s="905"/>
    </row>
    <row r="45" spans="1:5" s="186" customFormat="1" ht="12" customHeight="1" x14ac:dyDescent="0.25">
      <c r="A45" s="280" t="s">
        <v>913</v>
      </c>
      <c r="B45" s="291" t="s">
        <v>914</v>
      </c>
      <c r="C45" s="282" t="s">
        <v>915</v>
      </c>
      <c r="D45" s="904"/>
      <c r="E45" s="905"/>
    </row>
    <row r="46" spans="1:5" s="186" customFormat="1" ht="12" customHeight="1" x14ac:dyDescent="0.25">
      <c r="A46" s="280" t="s">
        <v>916</v>
      </c>
      <c r="B46" s="291" t="s">
        <v>917</v>
      </c>
      <c r="C46" s="282" t="s">
        <v>918</v>
      </c>
      <c r="D46" s="904">
        <v>70</v>
      </c>
      <c r="E46" s="905">
        <v>3749</v>
      </c>
    </row>
    <row r="47" spans="1:5" s="186" customFormat="1" ht="12" customHeight="1" x14ac:dyDescent="0.25">
      <c r="A47" s="280" t="s">
        <v>919</v>
      </c>
      <c r="B47" s="291" t="s">
        <v>920</v>
      </c>
      <c r="C47" s="282" t="s">
        <v>921</v>
      </c>
      <c r="D47" s="904">
        <v>433</v>
      </c>
      <c r="E47" s="905">
        <v>619</v>
      </c>
    </row>
    <row r="48" spans="1:5" s="186" customFormat="1" ht="12" customHeight="1" x14ac:dyDescent="0.25">
      <c r="A48" s="280" t="s">
        <v>922</v>
      </c>
      <c r="B48" s="291" t="s">
        <v>923</v>
      </c>
      <c r="C48" s="282" t="s">
        <v>924</v>
      </c>
      <c r="D48" s="904">
        <v>369</v>
      </c>
      <c r="E48" s="905">
        <v>99</v>
      </c>
    </row>
    <row r="49" spans="1:5" s="186" customFormat="1" ht="12" customHeight="1" x14ac:dyDescent="0.25">
      <c r="A49" s="280" t="s">
        <v>925</v>
      </c>
      <c r="B49" s="291" t="s">
        <v>926</v>
      </c>
      <c r="C49" s="282" t="s">
        <v>927</v>
      </c>
      <c r="D49" s="904">
        <v>1704</v>
      </c>
      <c r="E49" s="905">
        <v>2014</v>
      </c>
    </row>
    <row r="50" spans="1:5" s="186" customFormat="1" ht="12" customHeight="1" x14ac:dyDescent="0.25">
      <c r="A50" s="280" t="s">
        <v>928</v>
      </c>
      <c r="B50" s="291" t="s">
        <v>929</v>
      </c>
      <c r="C50" s="282" t="s">
        <v>930</v>
      </c>
      <c r="D50" s="904"/>
      <c r="E50" s="905"/>
    </row>
    <row r="51" spans="1:5" s="186" customFormat="1" ht="12" customHeight="1" x14ac:dyDescent="0.25">
      <c r="A51" s="280" t="s">
        <v>931</v>
      </c>
      <c r="B51" s="291" t="s">
        <v>932</v>
      </c>
      <c r="C51" s="282" t="s">
        <v>933</v>
      </c>
      <c r="D51" s="904">
        <v>7572</v>
      </c>
      <c r="E51" s="905">
        <v>10091</v>
      </c>
    </row>
    <row r="52" spans="1:5" s="186" customFormat="1" ht="12" customHeight="1" x14ac:dyDescent="0.25">
      <c r="A52" s="280" t="s">
        <v>934</v>
      </c>
      <c r="B52" s="291" t="s">
        <v>935</v>
      </c>
      <c r="C52" s="282" t="s">
        <v>936</v>
      </c>
      <c r="D52" s="904"/>
      <c r="E52" s="905"/>
    </row>
    <row r="53" spans="1:5" s="186" customFormat="1" ht="12" customHeight="1" x14ac:dyDescent="0.25">
      <c r="A53" s="280" t="s">
        <v>937</v>
      </c>
      <c r="B53" s="291" t="s">
        <v>938</v>
      </c>
      <c r="C53" s="282" t="s">
        <v>939</v>
      </c>
      <c r="D53" s="904"/>
      <c r="E53" s="905"/>
    </row>
    <row r="54" spans="1:5" s="285" customFormat="1" ht="30" customHeight="1" x14ac:dyDescent="0.25">
      <c r="A54" s="286" t="s">
        <v>880</v>
      </c>
      <c r="B54" s="292" t="s">
        <v>940</v>
      </c>
      <c r="C54" s="293" t="s">
        <v>941</v>
      </c>
      <c r="D54" s="908">
        <v>-9270</v>
      </c>
      <c r="E54" s="908">
        <v>-8876</v>
      </c>
    </row>
    <row r="55" spans="1:5" s="186" customFormat="1" ht="12" customHeight="1" x14ac:dyDescent="0.25">
      <c r="A55" s="288" t="s">
        <v>942</v>
      </c>
      <c r="B55" s="288" t="s">
        <v>943</v>
      </c>
      <c r="C55" s="290" t="s">
        <v>944</v>
      </c>
      <c r="D55" s="910">
        <v>790539</v>
      </c>
      <c r="E55" s="910">
        <v>783307</v>
      </c>
    </row>
    <row r="56" spans="1:5" s="186" customFormat="1" ht="12" customHeight="1" x14ac:dyDescent="0.25">
      <c r="A56" s="288" t="s">
        <v>945</v>
      </c>
      <c r="B56" s="288" t="s">
        <v>946</v>
      </c>
      <c r="C56" s="290" t="s">
        <v>947</v>
      </c>
      <c r="D56" s="910">
        <v>188035</v>
      </c>
      <c r="E56" s="910">
        <v>151714</v>
      </c>
    </row>
    <row r="57" spans="1:5" s="186" customFormat="1" ht="12" customHeight="1" x14ac:dyDescent="0.25">
      <c r="A57" s="280" t="s">
        <v>948</v>
      </c>
      <c r="B57" s="294" t="s">
        <v>949</v>
      </c>
      <c r="C57" s="282" t="s">
        <v>950</v>
      </c>
      <c r="D57" s="905">
        <v>179297</v>
      </c>
      <c r="E57" s="905">
        <v>146331</v>
      </c>
    </row>
    <row r="58" spans="1:5" s="285" customFormat="1" ht="12" customHeight="1" x14ac:dyDescent="0.25">
      <c r="A58" s="280" t="s">
        <v>836</v>
      </c>
      <c r="B58" s="294" t="s">
        <v>951</v>
      </c>
      <c r="C58" s="282" t="s">
        <v>952</v>
      </c>
      <c r="D58" s="905">
        <v>8738</v>
      </c>
      <c r="E58" s="905">
        <v>5383</v>
      </c>
    </row>
    <row r="59" spans="1:5" s="186" customFormat="1" ht="12" customHeight="1" x14ac:dyDescent="0.25">
      <c r="A59" s="286" t="s">
        <v>942</v>
      </c>
      <c r="B59" s="283" t="s">
        <v>953</v>
      </c>
      <c r="C59" s="293" t="s">
        <v>954</v>
      </c>
      <c r="D59" s="908">
        <v>602504</v>
      </c>
      <c r="E59" s="908">
        <v>631593</v>
      </c>
    </row>
    <row r="60" spans="1:5" s="186" customFormat="1" ht="12" customHeight="1" x14ac:dyDescent="0.25">
      <c r="A60" s="280" t="s">
        <v>955</v>
      </c>
      <c r="B60" s="291" t="s">
        <v>956</v>
      </c>
      <c r="C60" s="282" t="s">
        <v>957</v>
      </c>
      <c r="D60" s="905"/>
      <c r="E60" s="905"/>
    </row>
    <row r="61" spans="1:5" s="186" customFormat="1" ht="12" customHeight="1" x14ac:dyDescent="0.25">
      <c r="A61" s="280" t="s">
        <v>958</v>
      </c>
      <c r="B61" s="291" t="s">
        <v>959</v>
      </c>
      <c r="C61" s="282" t="s">
        <v>960</v>
      </c>
      <c r="D61" s="905"/>
      <c r="E61" s="905"/>
    </row>
    <row r="62" spans="1:5" s="186" customFormat="1" ht="12" customHeight="1" x14ac:dyDescent="0.25">
      <c r="A62" s="288" t="s">
        <v>880</v>
      </c>
      <c r="B62" s="288" t="s">
        <v>961</v>
      </c>
      <c r="C62" s="290" t="s">
        <v>962</v>
      </c>
      <c r="D62" s="910"/>
      <c r="E62" s="910"/>
    </row>
    <row r="63" spans="1:5" s="186" customFormat="1" ht="12" customHeight="1" x14ac:dyDescent="0.25">
      <c r="A63" s="288" t="s">
        <v>963</v>
      </c>
      <c r="B63" s="288" t="s">
        <v>964</v>
      </c>
      <c r="C63" s="290" t="s">
        <v>965</v>
      </c>
      <c r="D63" s="910"/>
      <c r="E63" s="910"/>
    </row>
    <row r="64" spans="1:5" s="285" customFormat="1" ht="12" customHeight="1" x14ac:dyDescent="0.25">
      <c r="A64" s="280" t="s">
        <v>966</v>
      </c>
      <c r="B64" s="294" t="s">
        <v>967</v>
      </c>
      <c r="C64" s="282" t="s">
        <v>968</v>
      </c>
      <c r="D64" s="905"/>
      <c r="E64" s="905"/>
    </row>
    <row r="65" spans="1:5" s="186" customFormat="1" ht="12" customHeight="1" x14ac:dyDescent="0.25">
      <c r="A65" s="280" t="s">
        <v>836</v>
      </c>
      <c r="B65" s="294" t="s">
        <v>969</v>
      </c>
      <c r="C65" s="282" t="s">
        <v>970</v>
      </c>
      <c r="D65" s="905"/>
      <c r="E65" s="905"/>
    </row>
    <row r="66" spans="1:5" s="295" customFormat="1" ht="12" customHeight="1" x14ac:dyDescent="0.25">
      <c r="A66" s="286" t="s">
        <v>880</v>
      </c>
      <c r="B66" s="283" t="s">
        <v>971</v>
      </c>
      <c r="C66" s="290" t="s">
        <v>972</v>
      </c>
      <c r="D66" s="908"/>
      <c r="E66" s="908"/>
    </row>
    <row r="67" spans="1:5" s="186" customFormat="1" ht="12" customHeight="1" x14ac:dyDescent="0.25">
      <c r="A67" s="288" t="s">
        <v>973</v>
      </c>
      <c r="B67" s="296" t="s">
        <v>974</v>
      </c>
      <c r="C67" s="290" t="s">
        <v>975</v>
      </c>
      <c r="D67" s="910">
        <v>790539</v>
      </c>
      <c r="E67" s="910">
        <v>783307</v>
      </c>
    </row>
    <row r="68" spans="1:5" ht="12" customHeight="1" x14ac:dyDescent="0.2">
      <c r="A68" s="280" t="s">
        <v>976</v>
      </c>
      <c r="B68" s="281" t="s">
        <v>977</v>
      </c>
      <c r="C68" s="282" t="s">
        <v>978</v>
      </c>
      <c r="D68" s="911"/>
      <c r="E68" s="905"/>
    </row>
    <row r="69" spans="1:5" ht="12" customHeight="1" x14ac:dyDescent="0.2">
      <c r="A69" s="297" t="s">
        <v>973</v>
      </c>
      <c r="B69" s="298" t="s">
        <v>979</v>
      </c>
      <c r="C69" s="299" t="s">
        <v>980</v>
      </c>
      <c r="D69" s="912">
        <v>602504</v>
      </c>
      <c r="E69" s="912">
        <v>631593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300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85" fitToHeight="0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1328" t="s">
        <v>387</v>
      </c>
      <c r="B3" s="1328" t="s">
        <v>388</v>
      </c>
      <c r="C3" s="1197" t="s">
        <v>389</v>
      </c>
      <c r="D3" s="1199"/>
    </row>
    <row r="4" spans="1:4" ht="33" customHeight="1" thickTop="1" thickBot="1" x14ac:dyDescent="0.3">
      <c r="A4" s="1330"/>
      <c r="B4" s="1330"/>
      <c r="C4" s="38" t="s">
        <v>2</v>
      </c>
      <c r="D4" s="38" t="s">
        <v>390</v>
      </c>
    </row>
    <row r="5" spans="1:4" ht="18.75" customHeight="1" thickTop="1" thickBot="1" x14ac:dyDescent="0.3">
      <c r="A5" s="132"/>
      <c r="B5" s="135"/>
      <c r="C5" s="80"/>
      <c r="D5" s="80"/>
    </row>
    <row r="6" spans="1:4" ht="18.75" customHeight="1" thickBot="1" x14ac:dyDescent="0.3">
      <c r="A6" s="132"/>
      <c r="B6" s="135"/>
      <c r="C6" s="80"/>
      <c r="D6" s="80"/>
    </row>
    <row r="7" spans="1:4" ht="18.75" customHeight="1" thickBot="1" x14ac:dyDescent="0.3">
      <c r="A7" s="133"/>
      <c r="B7" s="123"/>
      <c r="C7" s="80"/>
      <c r="D7" s="80"/>
    </row>
    <row r="8" spans="1:4" ht="18.75" customHeight="1" thickBot="1" x14ac:dyDescent="0.3">
      <c r="A8" s="133"/>
      <c r="B8" s="123"/>
      <c r="C8" s="80"/>
      <c r="D8" s="80"/>
    </row>
    <row r="9" spans="1:4" ht="18.75" customHeight="1" thickBot="1" x14ac:dyDescent="0.3">
      <c r="A9" s="133"/>
      <c r="B9" s="123"/>
      <c r="C9" s="80"/>
      <c r="D9" s="80"/>
    </row>
    <row r="10" spans="1:4" ht="18.75" customHeight="1" thickBot="1" x14ac:dyDescent="0.3">
      <c r="A10" s="133"/>
      <c r="B10" s="123"/>
      <c r="C10" s="80"/>
      <c r="D10" s="80"/>
    </row>
    <row r="11" spans="1:4" ht="18.75" customHeight="1" thickBot="1" x14ac:dyDescent="0.3">
      <c r="A11" s="133"/>
      <c r="B11" s="123"/>
      <c r="C11" s="80"/>
      <c r="D11" s="80"/>
    </row>
    <row r="12" spans="1:4" ht="18.75" customHeight="1" thickBot="1" x14ac:dyDescent="0.3">
      <c r="A12" s="133"/>
      <c r="B12" s="123"/>
      <c r="C12" s="80"/>
      <c r="D12" s="80"/>
    </row>
    <row r="13" spans="1:4" ht="18.75" customHeight="1" thickBot="1" x14ac:dyDescent="0.3">
      <c r="A13" s="132"/>
      <c r="B13" s="135"/>
      <c r="C13" s="80"/>
      <c r="D13" s="80"/>
    </row>
    <row r="14" spans="1:4" ht="18.75" customHeight="1" thickBot="1" x14ac:dyDescent="0.3">
      <c r="A14" s="134"/>
      <c r="B14" s="124"/>
      <c r="C14" s="78"/>
      <c r="D14" s="78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391</v>
      </c>
      <c r="B16" s="20"/>
      <c r="C16" s="20"/>
      <c r="D16" s="20"/>
    </row>
    <row r="17" spans="1:4" ht="19.5" customHeight="1" thickTop="1" thickBot="1" x14ac:dyDescent="0.3">
      <c r="A17" s="1328" t="s">
        <v>488</v>
      </c>
      <c r="B17" s="1328" t="s">
        <v>388</v>
      </c>
      <c r="C17" s="1197" t="s">
        <v>389</v>
      </c>
      <c r="D17" s="1199"/>
    </row>
    <row r="18" spans="1:4" ht="33" customHeight="1" thickTop="1" thickBot="1" x14ac:dyDescent="0.3">
      <c r="A18" s="1330"/>
      <c r="B18" s="1330"/>
      <c r="C18" s="38" t="s">
        <v>2</v>
      </c>
      <c r="D18" s="38" t="s">
        <v>390</v>
      </c>
    </row>
    <row r="19" spans="1:4" ht="18.75" customHeight="1" thickTop="1" thickBot="1" x14ac:dyDescent="0.3">
      <c r="A19" s="108"/>
      <c r="B19" s="123"/>
      <c r="C19" s="80"/>
      <c r="D19" s="80"/>
    </row>
    <row r="20" spans="1:4" ht="18.75" customHeight="1" thickBot="1" x14ac:dyDescent="0.3">
      <c r="A20" s="108"/>
      <c r="B20" s="123"/>
      <c r="C20" s="80"/>
      <c r="D20" s="80"/>
    </row>
    <row r="21" spans="1:4" ht="18.75" customHeight="1" thickBot="1" x14ac:dyDescent="0.3">
      <c r="A21" s="108"/>
      <c r="B21" s="123"/>
      <c r="C21" s="80"/>
      <c r="D21" s="80"/>
    </row>
    <row r="22" spans="1:4" ht="18.75" customHeight="1" thickBot="1" x14ac:dyDescent="0.3">
      <c r="A22" s="108"/>
      <c r="B22" s="123"/>
      <c r="C22" s="80"/>
      <c r="D22" s="80"/>
    </row>
    <row r="23" spans="1:4" ht="18.75" customHeight="1" thickBot="1" x14ac:dyDescent="0.3">
      <c r="A23" s="108"/>
      <c r="B23" s="123"/>
      <c r="C23" s="80"/>
      <c r="D23" s="80"/>
    </row>
    <row r="24" spans="1:4" ht="18.75" customHeight="1" thickBot="1" x14ac:dyDescent="0.3">
      <c r="A24" s="108"/>
      <c r="B24" s="123"/>
      <c r="C24" s="80"/>
      <c r="D24" s="80"/>
    </row>
    <row r="25" spans="1:4" ht="18.75" customHeight="1" thickBot="1" x14ac:dyDescent="0.3">
      <c r="A25" s="108"/>
      <c r="B25" s="123"/>
      <c r="C25" s="80"/>
      <c r="D25" s="80"/>
    </row>
    <row r="26" spans="1:4" ht="18.75" customHeight="1" thickBot="1" x14ac:dyDescent="0.3">
      <c r="A26" s="108"/>
      <c r="B26" s="123"/>
      <c r="C26" s="80"/>
      <c r="D26" s="80"/>
    </row>
    <row r="27" spans="1:4" ht="18.75" customHeight="1" thickBot="1" x14ac:dyDescent="0.3">
      <c r="A27" s="109"/>
      <c r="B27" s="124"/>
      <c r="C27" s="78"/>
      <c r="D27" s="78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K53"/>
  <sheetViews>
    <sheetView showGridLines="0" view="pageBreakPreview" zoomScaleSheetLayoutView="100" workbookViewId="0">
      <selection activeCell="H15" sqref="H15"/>
    </sheetView>
  </sheetViews>
  <sheetFormatPr defaultRowHeight="12.75" x14ac:dyDescent="0.25"/>
  <cols>
    <col min="1" max="45" width="2.5703125" style="439" customWidth="1"/>
    <col min="46" max="46" width="7.7109375" style="439" customWidth="1"/>
    <col min="47" max="61" width="2.5703125" style="439" customWidth="1"/>
    <col min="62" max="16384" width="9.140625" style="439"/>
  </cols>
  <sheetData>
    <row r="1" spans="1:37" s="549" customFormat="1" ht="9.75" x14ac:dyDescent="0.25">
      <c r="C1" s="550" t="s">
        <v>1143</v>
      </c>
    </row>
    <row r="2" spans="1:37" s="446" customFormat="1" ht="21" customHeight="1" x14ac:dyDescent="0.25">
      <c r="C2" s="548" t="s">
        <v>1144</v>
      </c>
      <c r="D2" s="547"/>
      <c r="E2" s="547"/>
      <c r="F2" s="547"/>
      <c r="G2" s="547"/>
      <c r="H2" s="547"/>
      <c r="I2" s="547"/>
      <c r="J2" s="546"/>
      <c r="Q2" s="545" t="s">
        <v>1145</v>
      </c>
    </row>
    <row r="3" spans="1:37" ht="13.5" thickBot="1" x14ac:dyDescent="0.3"/>
    <row r="4" spans="1:37" ht="28.5" customHeight="1" thickBot="1" x14ac:dyDescent="0.3">
      <c r="K4" s="544" t="s">
        <v>1146</v>
      </c>
      <c r="L4" s="543" t="str">
        <f>+MID('Input data'!$B$11,1,1)</f>
        <v>3</v>
      </c>
      <c r="M4" s="543" t="str">
        <f>+MID('Input data'!$B$11,2,1)</f>
        <v>1</v>
      </c>
      <c r="N4" s="543" t="s">
        <v>1147</v>
      </c>
      <c r="O4" s="543" t="str">
        <f>LEFT('Input data'!B13,1)</f>
        <v>1</v>
      </c>
      <c r="P4" s="543" t="str">
        <f>RIGHT('Input data'!B13,1)</f>
        <v>2</v>
      </c>
      <c r="Q4" s="543" t="s">
        <v>1147</v>
      </c>
      <c r="R4" s="543" t="str">
        <f>+LEFT('Input data'!$B$14,1)</f>
        <v>2</v>
      </c>
      <c r="S4" s="543" t="str">
        <f>+MID('Input data'!$B$14,2,1)</f>
        <v>0</v>
      </c>
      <c r="T4" s="543" t="str">
        <f>+MID('Input data'!$B$14,3,1)</f>
        <v>1</v>
      </c>
      <c r="U4" s="543" t="str">
        <f>+MID('Input data'!$B$14,4,1)</f>
        <v>3</v>
      </c>
      <c r="V4" s="542" t="s">
        <v>1148</v>
      </c>
      <c r="W4" s="541"/>
      <c r="X4" s="541"/>
      <c r="Y4" s="541"/>
      <c r="Z4" s="540"/>
    </row>
    <row r="5" spans="1:37" ht="7.5" customHeight="1" thickBot="1" x14ac:dyDescent="0.3"/>
    <row r="6" spans="1:37" s="536" customFormat="1" ht="14.25" customHeight="1" x14ac:dyDescent="0.25">
      <c r="A6" s="539" t="s">
        <v>1149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7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7"/>
    </row>
    <row r="7" spans="1:37" s="440" customFormat="1" ht="15" customHeight="1" x14ac:dyDescent="0.25">
      <c r="A7" s="452" t="s">
        <v>1150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535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535"/>
    </row>
    <row r="8" spans="1:37" s="531" customFormat="1" ht="18" customHeight="1" thickBot="1" x14ac:dyDescent="0.3">
      <c r="A8" s="534" t="s">
        <v>1151</v>
      </c>
      <c r="B8" s="533"/>
      <c r="C8" s="533"/>
      <c r="D8" s="533"/>
      <c r="E8" s="534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2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532"/>
    </row>
    <row r="9" spans="1:37" s="511" customFormat="1" ht="3.75" customHeight="1" thickBot="1" x14ac:dyDescent="0.3"/>
    <row r="10" spans="1:37" s="511" customFormat="1" ht="14.25" customHeight="1" x14ac:dyDescent="0.25">
      <c r="A10" s="513" t="s">
        <v>1152</v>
      </c>
      <c r="B10" s="512"/>
      <c r="C10" s="512"/>
      <c r="D10" s="512"/>
      <c r="E10" s="512"/>
      <c r="F10" s="512"/>
      <c r="G10" s="512"/>
      <c r="H10" s="512"/>
      <c r="I10" s="456"/>
      <c r="J10" s="455"/>
      <c r="K10" s="529" t="s">
        <v>1153</v>
      </c>
      <c r="L10" s="512"/>
      <c r="M10" s="530"/>
      <c r="N10" s="530"/>
      <c r="O10" s="530"/>
      <c r="P10" s="512"/>
      <c r="Q10" s="529" t="s">
        <v>1153</v>
      </c>
      <c r="R10" s="512"/>
      <c r="S10" s="456"/>
      <c r="T10" s="512"/>
      <c r="U10" s="512"/>
      <c r="V10" s="528"/>
      <c r="W10" s="512"/>
      <c r="X10" s="512"/>
      <c r="Y10" s="512"/>
      <c r="Z10" s="512"/>
      <c r="AA10" s="512"/>
      <c r="AB10" s="512"/>
      <c r="AC10" s="512"/>
      <c r="AD10" s="529" t="s">
        <v>1154</v>
      </c>
      <c r="AE10" s="529"/>
      <c r="AF10" s="529"/>
      <c r="AG10" s="529" t="s">
        <v>1155</v>
      </c>
      <c r="AH10" s="512"/>
      <c r="AI10" s="512"/>
      <c r="AJ10" s="512"/>
      <c r="AK10" s="528"/>
    </row>
    <row r="11" spans="1:37" s="511" customFormat="1" ht="19.5" customHeight="1" x14ac:dyDescent="0.2">
      <c r="A11" s="525" t="str">
        <f>LEFT('Input data'!C24,1)</f>
        <v>2</v>
      </c>
      <c r="B11" s="490" t="str">
        <f>MID('Input data'!$C$24,2,1)</f>
        <v>0</v>
      </c>
      <c r="C11" s="490" t="str">
        <f>MID('Input data'!$C$24,3,1)</f>
        <v>2</v>
      </c>
      <c r="D11" s="490" t="str">
        <f>MID('Input data'!$C$24,4,1)</f>
        <v>2</v>
      </c>
      <c r="E11" s="490" t="str">
        <f>MID('Input data'!$C$24,5,1)</f>
        <v>3</v>
      </c>
      <c r="F11" s="490" t="str">
        <f>MID('Input data'!$C$24,6,1)</f>
        <v>0</v>
      </c>
      <c r="G11" s="490" t="str">
        <f>MID('Input data'!$C$24,7,1)</f>
        <v>4</v>
      </c>
      <c r="H11" s="490" t="str">
        <f>MID('Input data'!$C$24,8,1)</f>
        <v>1</v>
      </c>
      <c r="I11" s="490" t="str">
        <f>MID('Input data'!$C$24,9,1)</f>
        <v>5</v>
      </c>
      <c r="J11" s="497" t="str">
        <f>MID('Input data'!$C$24,10,1)</f>
        <v>2</v>
      </c>
      <c r="K11" s="448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520"/>
      <c r="W11" s="519" t="s">
        <v>1156</v>
      </c>
      <c r="X11" s="514"/>
      <c r="Y11" s="514"/>
      <c r="Z11" s="514"/>
      <c r="AA11" s="514"/>
      <c r="AB11" s="519" t="s">
        <v>1157</v>
      </c>
      <c r="AC11" s="514"/>
      <c r="AD11" s="490" t="str">
        <f>MID('Input data'!$B$8,1,1)</f>
        <v>0</v>
      </c>
      <c r="AE11" s="490" t="str">
        <f>MID('Input data'!$B$8,2,1)</f>
        <v>1</v>
      </c>
      <c r="AF11" s="490"/>
      <c r="AG11" s="490" t="str">
        <f>MID('Input data'!$B$9,1,1)</f>
        <v>2</v>
      </c>
      <c r="AH11" s="490" t="str">
        <f>MID('Input data'!$B$9,2,1)</f>
        <v>0</v>
      </c>
      <c r="AI11" s="490" t="str">
        <f>MID('Input data'!$B$9,3,1)</f>
        <v>1</v>
      </c>
      <c r="AJ11" s="490" t="str">
        <f>MID('Input data'!$B$9,4,1)</f>
        <v>3</v>
      </c>
      <c r="AK11" s="520"/>
    </row>
    <row r="12" spans="1:37" s="511" customFormat="1" ht="19.5" customHeight="1" thickBot="1" x14ac:dyDescent="0.3">
      <c r="A12" s="452" t="s">
        <v>1158</v>
      </c>
      <c r="B12" s="514"/>
      <c r="C12" s="514"/>
      <c r="D12" s="514"/>
      <c r="E12" s="514"/>
      <c r="F12" s="514"/>
      <c r="G12" s="514"/>
      <c r="H12" s="448"/>
      <c r="I12" s="448"/>
      <c r="J12" s="447"/>
      <c r="K12" s="448"/>
      <c r="L12" s="527" t="str">
        <f>IF('Input data'!D7="x","x"," ")</f>
        <v>x</v>
      </c>
      <c r="M12" s="519" t="s">
        <v>1159</v>
      </c>
      <c r="N12" s="521"/>
      <c r="O12" s="521"/>
      <c r="P12" s="521"/>
      <c r="Q12" s="521"/>
      <c r="R12" s="527" t="str">
        <f>IF('Input data'!D16="x","x"," ")</f>
        <v>x</v>
      </c>
      <c r="S12" s="519" t="s">
        <v>1160</v>
      </c>
      <c r="T12" s="514"/>
      <c r="U12" s="514"/>
      <c r="V12" s="520"/>
      <c r="W12" s="526"/>
      <c r="X12" s="516"/>
      <c r="Y12" s="516"/>
      <c r="Z12" s="516"/>
      <c r="AA12" s="516"/>
      <c r="AB12" s="515" t="s">
        <v>1161</v>
      </c>
      <c r="AC12" s="516"/>
      <c r="AD12" s="488" t="str">
        <f>MID('Input data'!$B$13,1,1)</f>
        <v>1</v>
      </c>
      <c r="AE12" s="488" t="str">
        <f>MID('Input data'!$B$13,2,1)</f>
        <v>2</v>
      </c>
      <c r="AF12" s="488"/>
      <c r="AG12" s="488" t="str">
        <f>MID('Input data'!$B$14,1,1)</f>
        <v>2</v>
      </c>
      <c r="AH12" s="488" t="str">
        <f>MID('Input data'!$B$14,2,1)</f>
        <v>0</v>
      </c>
      <c r="AI12" s="488" t="str">
        <f>MID('Input data'!$B$14,3,1)</f>
        <v>1</v>
      </c>
      <c r="AJ12" s="488" t="str">
        <f>MID('Input data'!$B$14,4,1)</f>
        <v>3</v>
      </c>
      <c r="AK12" s="517"/>
    </row>
    <row r="13" spans="1:37" s="511" customFormat="1" ht="19.5" customHeight="1" x14ac:dyDescent="0.2">
      <c r="A13" s="525" t="str">
        <f>LEFT('Input data'!C26,1)</f>
        <v>3</v>
      </c>
      <c r="B13" s="490" t="str">
        <f>MID('Input data'!$C$26,2,1)</f>
        <v>6</v>
      </c>
      <c r="C13" s="490" t="str">
        <f>MID('Input data'!$C$26,3,1)</f>
        <v>7</v>
      </c>
      <c r="D13" s="490" t="str">
        <f>MID('Input data'!$C$26,4,1)</f>
        <v>2</v>
      </c>
      <c r="E13" s="490" t="str">
        <f>MID('Input data'!$C$26,5,1)</f>
        <v>5</v>
      </c>
      <c r="F13" s="490" t="str">
        <f>MID('Input data'!$C$26,6,1)</f>
        <v>8</v>
      </c>
      <c r="G13" s="490" t="str">
        <f>MID('Input data'!$C$26,7,1)</f>
        <v>3</v>
      </c>
      <c r="H13" s="490" t="str">
        <f>MID('Input data'!$C$26,8,1)</f>
        <v>8</v>
      </c>
      <c r="I13" s="448"/>
      <c r="J13" s="447"/>
      <c r="K13" s="448"/>
      <c r="L13" s="523" t="str">
        <f>IF('Input data'!D8="x","x", "")</f>
        <v/>
      </c>
      <c r="M13" s="519" t="s">
        <v>1162</v>
      </c>
      <c r="N13" s="521"/>
      <c r="O13" s="521"/>
      <c r="P13" s="521"/>
      <c r="Q13" s="521"/>
      <c r="R13" s="524" t="str">
        <f>IF('Input data'!D17="x","x"," ")</f>
        <v xml:space="preserve"> </v>
      </c>
      <c r="S13" s="519" t="s">
        <v>1163</v>
      </c>
      <c r="T13" s="514"/>
      <c r="U13" s="514"/>
      <c r="V13" s="520"/>
      <c r="W13" s="519" t="s">
        <v>1164</v>
      </c>
      <c r="X13" s="514"/>
      <c r="Y13" s="451"/>
      <c r="Z13" s="448"/>
      <c r="AA13" s="448"/>
      <c r="AB13" s="521"/>
      <c r="AC13" s="448"/>
      <c r="AD13" s="523"/>
      <c r="AE13" s="523"/>
      <c r="AF13" s="523"/>
      <c r="AG13" s="523"/>
      <c r="AH13" s="523"/>
      <c r="AI13" s="523"/>
      <c r="AJ13" s="523"/>
      <c r="AK13" s="447"/>
    </row>
    <row r="14" spans="1:37" s="511" customFormat="1" ht="19.5" customHeight="1" x14ac:dyDescent="0.2">
      <c r="A14" s="452" t="s">
        <v>1165</v>
      </c>
      <c r="B14" s="514"/>
      <c r="C14" s="514"/>
      <c r="D14" s="514"/>
      <c r="E14" s="514"/>
      <c r="F14" s="514"/>
      <c r="G14" s="514"/>
      <c r="H14" s="514"/>
      <c r="I14" s="448"/>
      <c r="J14" s="447"/>
      <c r="K14" s="448"/>
      <c r="L14" s="448"/>
      <c r="M14" s="519"/>
      <c r="N14" s="521"/>
      <c r="O14" s="521"/>
      <c r="P14" s="521"/>
      <c r="Q14" s="521"/>
      <c r="R14" s="522" t="s">
        <v>1166</v>
      </c>
      <c r="S14" s="521"/>
      <c r="T14" s="514"/>
      <c r="U14" s="514"/>
      <c r="V14" s="520"/>
      <c r="W14" s="519" t="s">
        <v>987</v>
      </c>
      <c r="X14" s="514"/>
      <c r="Y14" s="451"/>
      <c r="Z14" s="448"/>
      <c r="AA14" s="448"/>
      <c r="AB14" s="519" t="s">
        <v>1157</v>
      </c>
      <c r="AC14" s="448"/>
      <c r="AD14" s="490" t="str">
        <f>MID('Input data'!$B$18,1,1)</f>
        <v>0</v>
      </c>
      <c r="AE14" s="490" t="str">
        <f>MID('Input data'!$B$18,2,1)</f>
        <v>1</v>
      </c>
      <c r="AF14" s="490"/>
      <c r="AG14" s="490" t="str">
        <f>MID('Input data'!$B$19,1,1)</f>
        <v>2</v>
      </c>
      <c r="AH14" s="490" t="str">
        <f>MID('Input data'!$B$19,2,1)</f>
        <v>0</v>
      </c>
      <c r="AI14" s="490" t="str">
        <f>MID('Input data'!$B$19,3,1)</f>
        <v>1</v>
      </c>
      <c r="AJ14" s="490" t="str">
        <f>MID('Input data'!$B$19,4,1)</f>
        <v>2</v>
      </c>
      <c r="AK14" s="447"/>
    </row>
    <row r="15" spans="1:37" s="511" customFormat="1" ht="19.5" customHeight="1" thickBot="1" x14ac:dyDescent="0.25">
      <c r="A15" s="518" t="str">
        <f>LEFT('Input data'!$E$12,1)</f>
        <v>7</v>
      </c>
      <c r="B15" s="443" t="str">
        <f>MID('Input data'!$E$12,2,1)</f>
        <v>3</v>
      </c>
      <c r="C15" s="516" t="s">
        <v>1147</v>
      </c>
      <c r="D15" s="443">
        <v>1</v>
      </c>
      <c r="E15" s="443" t="str">
        <f>MID('Input data'!$E$12,4,1)</f>
        <v>1</v>
      </c>
      <c r="F15" s="467" t="s">
        <v>1147</v>
      </c>
      <c r="G15" s="443">
        <v>0</v>
      </c>
      <c r="H15" s="443"/>
      <c r="I15" s="443"/>
      <c r="J15" s="442"/>
      <c r="K15" s="443"/>
      <c r="L15" s="443"/>
      <c r="M15" s="443"/>
      <c r="N15" s="443"/>
      <c r="O15" s="443"/>
      <c r="P15" s="443"/>
      <c r="Q15" s="443"/>
      <c r="R15" s="443"/>
      <c r="S15" s="443"/>
      <c r="T15" s="516"/>
      <c r="U15" s="516"/>
      <c r="V15" s="517"/>
      <c r="W15" s="515" t="s">
        <v>1167</v>
      </c>
      <c r="X15" s="516"/>
      <c r="Y15" s="444"/>
      <c r="Z15" s="443"/>
      <c r="AA15" s="443"/>
      <c r="AB15" s="515" t="s">
        <v>1161</v>
      </c>
      <c r="AC15" s="443"/>
      <c r="AD15" s="488" t="str">
        <f>MID('Input data'!$B$21,1,1)</f>
        <v>1</v>
      </c>
      <c r="AE15" s="488" t="str">
        <f>MID('Input data'!$B$21,2,1)</f>
        <v>2</v>
      </c>
      <c r="AF15" s="488"/>
      <c r="AG15" s="488" t="str">
        <f>MID('Input data'!$B$22,1,1)</f>
        <v>2</v>
      </c>
      <c r="AH15" s="488" t="str">
        <f>MID('Input data'!$B$22,2,1)</f>
        <v>0</v>
      </c>
      <c r="AI15" s="488" t="str">
        <f>MID('Input data'!$B$22,3,1)</f>
        <v>1</v>
      </c>
      <c r="AJ15" s="488" t="str">
        <f>MID('Input data'!$B$22,4,1)</f>
        <v>2</v>
      </c>
      <c r="AK15" s="442"/>
    </row>
    <row r="16" spans="1:37" s="511" customFormat="1" ht="4.5" customHeight="1" x14ac:dyDescent="0.25">
      <c r="A16" s="514"/>
      <c r="B16" s="514"/>
      <c r="C16" s="514"/>
      <c r="D16" s="514"/>
      <c r="E16" s="514"/>
      <c r="F16" s="512"/>
      <c r="G16" s="514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514"/>
      <c r="U16" s="514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</row>
    <row r="17" spans="1:37" s="511" customFormat="1" ht="3" customHeight="1" thickBot="1" x14ac:dyDescent="0.3"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1:37" s="511" customFormat="1" ht="16.5" x14ac:dyDescent="0.25">
      <c r="A18" s="513" t="s">
        <v>1168</v>
      </c>
      <c r="B18" s="512"/>
      <c r="C18" s="512"/>
      <c r="D18" s="512"/>
      <c r="E18" s="512"/>
      <c r="F18" s="512"/>
      <c r="G18" s="512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6"/>
      <c r="T18" s="512"/>
      <c r="U18" s="512"/>
      <c r="V18" s="512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5"/>
    </row>
    <row r="19" spans="1:37" s="511" customFormat="1" ht="19.5" customHeight="1" x14ac:dyDescent="0.25">
      <c r="A19" s="498" t="str">
        <f>+LEFT('Input data'!$F$3,1)</f>
        <v>A</v>
      </c>
      <c r="B19" s="490" t="str">
        <f>+MID('Input data'!$F$3,2,1)</f>
        <v>e</v>
      </c>
      <c r="C19" s="490" t="str">
        <f>+MID('Input data'!$F$3,3,1)</f>
        <v>g</v>
      </c>
      <c r="D19" s="490" t="str">
        <f>+MID('Input data'!$F$3,4,1)</f>
        <v>i</v>
      </c>
      <c r="E19" s="490" t="str">
        <f>+MID('Input data'!$F$3,5,1)</f>
        <v>s</v>
      </c>
      <c r="F19" s="490" t="str">
        <f>+MID('Input data'!$F$3,6,1)</f>
        <v xml:space="preserve"> </v>
      </c>
      <c r="G19" s="490" t="str">
        <f>+MID('Input data'!$F$3,7,1)</f>
        <v>M</v>
      </c>
      <c r="H19" s="490" t="str">
        <f>+MID('Input data'!$F$3,8,1)</f>
        <v>e</v>
      </c>
      <c r="I19" s="490" t="str">
        <f>+MID('Input data'!$F$3,9,1)</f>
        <v>d</v>
      </c>
      <c r="J19" s="490" t="str">
        <f>+MID('Input data'!$F$3,10,1)</f>
        <v>i</v>
      </c>
      <c r="K19" s="490" t="str">
        <f>+MID('Input data'!$F$3,11,1)</f>
        <v>a</v>
      </c>
      <c r="L19" s="490" t="str">
        <f>+MID('Input data'!$F$3,12,1)</f>
        <v xml:space="preserve"> </v>
      </c>
      <c r="M19" s="490" t="str">
        <f>+MID('Input data'!$F$3,13,1)</f>
        <v>S</v>
      </c>
      <c r="N19" s="490" t="str">
        <f>+MID('Input data'!$F$3,14,1)</f>
        <v>l</v>
      </c>
      <c r="O19" s="490" t="str">
        <f>+MID('Input data'!$F$3,15,1)</f>
        <v>o</v>
      </c>
      <c r="P19" s="490" t="str">
        <f>+MID('Input data'!$F$3,16,1)</f>
        <v>v</v>
      </c>
      <c r="Q19" s="490" t="str">
        <f>+MID('Input data'!$F$3,17,1)</f>
        <v>a</v>
      </c>
      <c r="R19" s="490" t="str">
        <f>+MID('Input data'!$F$3,18,1)</f>
        <v>k</v>
      </c>
      <c r="S19" s="490" t="str">
        <f>+MID('Input data'!$F$3,19,1)</f>
        <v>i</v>
      </c>
      <c r="T19" s="490" t="str">
        <f>+MID('Input data'!$F$3,20,1)</f>
        <v>a</v>
      </c>
      <c r="U19" s="490" t="str">
        <f>+MID('Input data'!$F$3,21,1)</f>
        <v xml:space="preserve"> </v>
      </c>
      <c r="V19" s="490" t="str">
        <f>+MID('Input data'!$F$3,22,1)</f>
        <v>C</v>
      </c>
      <c r="W19" s="490" t="str">
        <f>+MID('Input data'!$F$3,23,1)</f>
        <v>e</v>
      </c>
      <c r="X19" s="490" t="str">
        <f>+MID('Input data'!$F$3,24,1)</f>
        <v>n</v>
      </c>
      <c r="Y19" s="490" t="str">
        <f>+MID('Input data'!$F$3,25,1)</f>
        <v>t</v>
      </c>
      <c r="Z19" s="490" t="str">
        <f>+MID('Input data'!$F$3,26,1)</f>
        <v>r</v>
      </c>
      <c r="AA19" s="490" t="str">
        <f>+MID('Input data'!$F$3,27,1)</f>
        <v>a</v>
      </c>
      <c r="AB19" s="490" t="str">
        <f>+MID('Input data'!$F$3,28,1)</f>
        <v>l</v>
      </c>
      <c r="AC19" s="490" t="str">
        <f>+MID('Input data'!$F$3,29,1)</f>
        <v xml:space="preserve"> </v>
      </c>
      <c r="AD19" s="490" t="str">
        <f>+MID('Input data'!$F$3,30,1)</f>
        <v>S</v>
      </c>
      <c r="AE19" s="490" t="str">
        <f>+MID('Input data'!$F$3,31,1)</f>
        <v>e</v>
      </c>
      <c r="AF19" s="490" t="str">
        <f>+MID('Input data'!$F$3,32,1)</f>
        <v>r</v>
      </c>
      <c r="AG19" s="490" t="str">
        <f>+MID('Input data'!$F$3,33,1)</f>
        <v>v</v>
      </c>
      <c r="AH19" s="490" t="str">
        <f>+MID('Input data'!$E$3,34,1)</f>
        <v/>
      </c>
      <c r="AI19" s="490" t="str">
        <f>+MID('Input data'!$E$3,35,1)</f>
        <v/>
      </c>
      <c r="AJ19" s="490" t="str">
        <f>+MID('Input data'!$E$3,36,1)</f>
        <v/>
      </c>
      <c r="AK19" s="497" t="str">
        <f>+MID('Input data'!$E$3,37,1)</f>
        <v/>
      </c>
    </row>
    <row r="20" spans="1:37" ht="19.5" customHeight="1" x14ac:dyDescent="0.25">
      <c r="A20" s="498" t="str">
        <f>+MID('Input data'!$E$3,38,1)</f>
        <v/>
      </c>
      <c r="B20" s="490" t="str">
        <f>+MID('Input data'!$E$3,39,1)</f>
        <v/>
      </c>
      <c r="C20" s="490" t="str">
        <f>+MID('Input data'!$E$3,40,1)</f>
        <v/>
      </c>
      <c r="D20" s="490" t="str">
        <f>+MID('Input data'!$E$3,41,1)</f>
        <v/>
      </c>
      <c r="E20" s="490" t="str">
        <f>+MID('Input data'!$E$3,42,1)</f>
        <v/>
      </c>
      <c r="F20" s="490" t="str">
        <f>+MID('Input data'!$E$3,43,1)</f>
        <v/>
      </c>
      <c r="G20" s="490" t="str">
        <f>+MID('Input data'!$E$3,44,1)</f>
        <v/>
      </c>
      <c r="H20" s="490" t="str">
        <f>+MID('Input data'!$E$3,45,1)</f>
        <v/>
      </c>
      <c r="I20" s="490" t="str">
        <f>+MID('Input data'!$E$3,46,1)</f>
        <v/>
      </c>
      <c r="J20" s="490" t="str">
        <f>+MID('Input data'!$E$3,47,1)</f>
        <v/>
      </c>
      <c r="K20" s="490" t="str">
        <f>+MID('Input data'!$E$3,48,1)</f>
        <v/>
      </c>
      <c r="L20" s="490" t="str">
        <f>+MID('Input data'!$E$3,49,1)</f>
        <v/>
      </c>
      <c r="M20" s="490" t="str">
        <f>+MID('Input data'!$E$3,50,1)</f>
        <v/>
      </c>
      <c r="N20" s="490" t="str">
        <f>+MID('Input data'!$E$3,51,1)</f>
        <v/>
      </c>
      <c r="O20" s="490" t="str">
        <f>+MID('Input data'!$E$3,52,1)</f>
        <v/>
      </c>
      <c r="P20" s="490" t="str">
        <f>+MID('Input data'!$E$3,53,1)</f>
        <v/>
      </c>
      <c r="Q20" s="490" t="str">
        <f>+MID('Input data'!$E$3,54,1)</f>
        <v/>
      </c>
      <c r="R20" s="490" t="str">
        <f>+MID('Input data'!$E$3,55,1)</f>
        <v/>
      </c>
      <c r="S20" s="490" t="str">
        <f>+MID('Input data'!$E$3,56,1)</f>
        <v/>
      </c>
      <c r="T20" s="490" t="str">
        <f>+MID('Input data'!$E$3,57,1)</f>
        <v/>
      </c>
      <c r="U20" s="490" t="str">
        <f>+MID('Input data'!$E$3,58,1)</f>
        <v/>
      </c>
      <c r="V20" s="490" t="str">
        <f>+MID('Input data'!$E$3,59,1)</f>
        <v/>
      </c>
      <c r="W20" s="490" t="str">
        <f>+MID('Input data'!$E$3,60,1)</f>
        <v/>
      </c>
      <c r="X20" s="490" t="str">
        <f>+MID('Input data'!$E$3,61,1)</f>
        <v/>
      </c>
      <c r="Y20" s="490" t="str">
        <f>+MID('Input data'!$E$3,62,1)</f>
        <v/>
      </c>
      <c r="Z20" s="490" t="str">
        <f>+MID('Input data'!$E$3,63,1)</f>
        <v/>
      </c>
      <c r="AA20" s="490" t="str">
        <f>+MID('Input data'!$E$3,64,1)</f>
        <v/>
      </c>
      <c r="AB20" s="490" t="str">
        <f>+MID('Input data'!$E$3,65,1)</f>
        <v/>
      </c>
      <c r="AC20" s="490" t="str">
        <f>+MID('Input data'!$E$3,66,1)</f>
        <v/>
      </c>
      <c r="AD20" s="490" t="str">
        <f>+MID('Input data'!$E$3,67,1)</f>
        <v/>
      </c>
      <c r="AE20" s="490" t="str">
        <f>+MID('Input data'!$E$3,68,1)</f>
        <v/>
      </c>
      <c r="AF20" s="490" t="str">
        <f>+MID('Input data'!$E$3,69,1)</f>
        <v/>
      </c>
      <c r="AG20" s="490" t="str">
        <f>+MID('Input data'!$E$3,70,1)</f>
        <v/>
      </c>
      <c r="AH20" s="490" t="str">
        <f>+MID('Input data'!$E$3,71,1)</f>
        <v/>
      </c>
      <c r="AI20" s="490" t="str">
        <f>+MID('Input data'!$E$3,72,1)</f>
        <v/>
      </c>
      <c r="AJ20" s="490" t="str">
        <f>+MID('Input data'!$E$3,73,1)</f>
        <v/>
      </c>
      <c r="AK20" s="497" t="str">
        <f>+MID('Input data'!$E$3,74,1)</f>
        <v/>
      </c>
    </row>
    <row r="21" spans="1:37" ht="14.25" customHeight="1" x14ac:dyDescent="0.25">
      <c r="A21" s="510"/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  <c r="T21" s="509"/>
      <c r="U21" s="509"/>
      <c r="V21" s="509"/>
      <c r="W21" s="508"/>
      <c r="X21" s="508"/>
      <c r="Y21" s="508"/>
      <c r="Z21" s="508"/>
      <c r="AA21" s="508"/>
      <c r="AB21" s="508"/>
      <c r="AC21" s="508"/>
      <c r="AD21" s="508"/>
      <c r="AE21" s="508"/>
      <c r="AF21" s="508"/>
      <c r="AG21" s="508"/>
      <c r="AH21" s="508"/>
      <c r="AI21" s="508"/>
      <c r="AJ21" s="508"/>
      <c r="AK21" s="507"/>
    </row>
    <row r="22" spans="1:37" ht="19.5" hidden="1" customHeight="1" x14ac:dyDescent="0.25">
      <c r="A22" s="506"/>
      <c r="B22" s="505"/>
      <c r="C22" s="505"/>
      <c r="D22" s="505"/>
      <c r="E22" s="505"/>
      <c r="F22" s="505"/>
      <c r="G22" s="505" t="e">
        <f>+MID('Input data'!#REF!,7,1)</f>
        <v>#REF!</v>
      </c>
      <c r="H22" s="505" t="e">
        <f>+MID('Input data'!#REF!,8,1)</f>
        <v>#REF!</v>
      </c>
      <c r="I22" s="505" t="e">
        <f>+MID('Input data'!#REF!,9,1)</f>
        <v>#REF!</v>
      </c>
      <c r="J22" s="505" t="e">
        <f>+MID('Input data'!#REF!,10,1)</f>
        <v>#REF!</v>
      </c>
      <c r="K22" s="505" t="e">
        <f>+MID('Input data'!#REF!,11,1)</f>
        <v>#REF!</v>
      </c>
      <c r="L22" s="505" t="e">
        <f>+MID('Input data'!#REF!,12,1)</f>
        <v>#REF!</v>
      </c>
      <c r="M22" s="505" t="e">
        <f>+MID('Input data'!#REF!,13,1)</f>
        <v>#REF!</v>
      </c>
      <c r="N22" s="505" t="e">
        <f>+MID('Input data'!#REF!,14,1)</f>
        <v>#REF!</v>
      </c>
      <c r="O22" s="505" t="e">
        <f>+MID('Input data'!#REF!,15,1)</f>
        <v>#REF!</v>
      </c>
      <c r="P22" s="505" t="e">
        <f>+MID('Input data'!#REF!,16,1)</f>
        <v>#REF!</v>
      </c>
      <c r="Q22" s="505" t="e">
        <f>+MID('Input data'!#REF!,17,1)</f>
        <v>#REF!</v>
      </c>
      <c r="R22" s="505" t="e">
        <f>+MID('Input data'!#REF!,18,1)</f>
        <v>#REF!</v>
      </c>
      <c r="S22" s="505" t="e">
        <f>+MID('Input data'!#REF!,19,1)</f>
        <v>#REF!</v>
      </c>
      <c r="T22" s="505" t="e">
        <f>+MID('Input data'!#REF!,20,1)</f>
        <v>#REF!</v>
      </c>
      <c r="U22" s="505" t="e">
        <f>+MID('Input data'!#REF!,21,1)</f>
        <v>#REF!</v>
      </c>
      <c r="V22" s="505" t="e">
        <f>+MID('Input data'!#REF!,22,1)</f>
        <v>#REF!</v>
      </c>
      <c r="W22" s="505" t="e">
        <f>+MID('Input data'!#REF!,23,1)</f>
        <v>#REF!</v>
      </c>
      <c r="X22" s="505" t="e">
        <f>+MID('Input data'!#REF!,24,1)</f>
        <v>#REF!</v>
      </c>
      <c r="Y22" s="505" t="e">
        <f>+MID('Input data'!#REF!,25,1)</f>
        <v>#REF!</v>
      </c>
      <c r="Z22" s="505" t="e">
        <f>+MID('Input data'!#REF!,26,1)</f>
        <v>#REF!</v>
      </c>
      <c r="AA22" s="505" t="e">
        <f>+MID('Input data'!#REF!,27,1)</f>
        <v>#REF!</v>
      </c>
      <c r="AB22" s="505" t="e">
        <f>+MID('Input data'!#REF!,28,1)</f>
        <v>#REF!</v>
      </c>
      <c r="AC22" s="505" t="e">
        <f>+MID('Input data'!#REF!,29,1)</f>
        <v>#REF!</v>
      </c>
      <c r="AD22" s="505" t="e">
        <f>+MID('Input data'!#REF!,30,1)</f>
        <v>#REF!</v>
      </c>
      <c r="AE22" s="505" t="e">
        <f>+MID('Input data'!#REF!,31,1)</f>
        <v>#REF!</v>
      </c>
      <c r="AF22" s="505" t="e">
        <f>+MID('Input data'!#REF!,32,1)</f>
        <v>#REF!</v>
      </c>
      <c r="AG22" s="505" t="e">
        <f>+MID('Input data'!#REF!,33,1)</f>
        <v>#REF!</v>
      </c>
      <c r="AH22" s="505" t="e">
        <f>+MID('Input data'!#REF!,34,1)</f>
        <v>#REF!</v>
      </c>
      <c r="AI22" s="505" t="e">
        <f>+MID('Input data'!#REF!,35,1)</f>
        <v>#REF!</v>
      </c>
      <c r="AJ22" s="505" t="e">
        <f>+MID('Input data'!#REF!,36,1)</f>
        <v>#REF!</v>
      </c>
      <c r="AK22" s="504" t="e">
        <f>+MID('Input data'!#REF!,37,1)</f>
        <v>#REF!</v>
      </c>
    </row>
    <row r="23" spans="1:37" s="499" customFormat="1" ht="12" customHeight="1" x14ac:dyDescent="0.25">
      <c r="A23" s="503" t="s">
        <v>1169</v>
      </c>
      <c r="B23" s="502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0"/>
    </row>
    <row r="24" spans="1:37" x14ac:dyDescent="0.25">
      <c r="A24" s="495" t="s">
        <v>1170</v>
      </c>
      <c r="B24" s="453"/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48"/>
      <c r="X24" s="448"/>
      <c r="Y24" s="448"/>
      <c r="Z24" s="448"/>
      <c r="AA24" s="448"/>
      <c r="AB24" s="453"/>
      <c r="AC24" s="448"/>
      <c r="AD24" s="451" t="s">
        <v>1171</v>
      </c>
      <c r="AE24" s="448"/>
      <c r="AF24" s="448"/>
      <c r="AG24" s="448"/>
      <c r="AH24" s="448"/>
      <c r="AI24" s="448"/>
      <c r="AJ24" s="448"/>
      <c r="AK24" s="447"/>
    </row>
    <row r="25" spans="1:37" ht="19.5" customHeight="1" x14ac:dyDescent="0.25">
      <c r="A25" s="498" t="str">
        <f>+LEFT('Input data'!$C$28,1)</f>
        <v>T</v>
      </c>
      <c r="B25" s="490" t="str">
        <f>+MID('Input data'!$C$28,2,1)</f>
        <v>e</v>
      </c>
      <c r="C25" s="490" t="str">
        <f>+MID('Input data'!$C$28,3,1)</f>
        <v>s</v>
      </c>
      <c r="D25" s="490" t="str">
        <f>+MID('Input data'!$C$28,4,1)</f>
        <v>l</v>
      </c>
      <c r="E25" s="490" t="str">
        <f>+MID('Input data'!$C$28,5,1)</f>
        <v>o</v>
      </c>
      <c r="F25" s="490" t="str">
        <f>+MID('Input data'!$C$28,6,1)</f>
        <v>v</v>
      </c>
      <c r="G25" s="490" t="str">
        <f>+MID('Input data'!$C$28,7,1)</f>
        <v>a</v>
      </c>
      <c r="H25" s="490" t="str">
        <f>+MID('Input data'!$C$28,8,1)</f>
        <v/>
      </c>
      <c r="I25" s="490" t="str">
        <f>+MID('Input data'!$C$28,9,1)</f>
        <v/>
      </c>
      <c r="J25" s="490" t="str">
        <f>+MID('Input data'!$C$28,10,1)</f>
        <v/>
      </c>
      <c r="K25" s="490" t="str">
        <f>+MID('Input data'!$C$28,11,1)</f>
        <v/>
      </c>
      <c r="L25" s="490" t="str">
        <f>+MID('Input data'!$C$28,12,1)</f>
        <v/>
      </c>
      <c r="M25" s="490" t="str">
        <f>+MID('Input data'!$C$28,13,1)</f>
        <v/>
      </c>
      <c r="N25" s="490" t="str">
        <f>+MID('Input data'!$C$28,14,1)</f>
        <v/>
      </c>
      <c r="O25" s="490" t="str">
        <f>+MID('Input data'!$C$28,15,1)</f>
        <v/>
      </c>
      <c r="P25" s="490" t="str">
        <f>+MID('Input data'!$C$28,16,1)</f>
        <v/>
      </c>
      <c r="Q25" s="490" t="str">
        <f>+MID('Input data'!$C$28,17,1)</f>
        <v/>
      </c>
      <c r="R25" s="490" t="str">
        <f>+MID('Input data'!$C$28,18,1)</f>
        <v/>
      </c>
      <c r="S25" s="490" t="str">
        <f>+MID('Input data'!$C$28,19,1)</f>
        <v/>
      </c>
      <c r="T25" s="490" t="str">
        <f>+MID('Input data'!$C$28,20,1)</f>
        <v/>
      </c>
      <c r="U25" s="490" t="str">
        <f>+MID('Input data'!$C$28,21,1)</f>
        <v/>
      </c>
      <c r="V25" s="490" t="str">
        <f>+MID('Input data'!$C$28,22,1)</f>
        <v/>
      </c>
      <c r="W25" s="490" t="str">
        <f>+MID('Input data'!$C$28,23,1)</f>
        <v/>
      </c>
      <c r="X25" s="490" t="str">
        <f>+MID('Input data'!$C$28,24,1)</f>
        <v/>
      </c>
      <c r="Y25" s="490" t="str">
        <f>+MID('Input data'!$C$28,25,1)</f>
        <v/>
      </c>
      <c r="Z25" s="490" t="str">
        <f>+MID('Input data'!$C$28,26,1)</f>
        <v/>
      </c>
      <c r="AA25" s="490" t="str">
        <f>+MID('Input data'!$C$28,27,1)</f>
        <v/>
      </c>
      <c r="AB25" s="490" t="str">
        <f>+MID('Input data'!$C$28,28,1)</f>
        <v/>
      </c>
      <c r="AC25" s="492"/>
      <c r="AD25" s="490" t="str">
        <f>+LEFT('Input data'!$C$30,1)</f>
        <v>2</v>
      </c>
      <c r="AE25" s="490" t="str">
        <f>+MID('Input data'!$C$30,2,1)</f>
        <v>0</v>
      </c>
      <c r="AF25" s="490" t="str">
        <f>+MID('Input data'!$C$30,3,1)</f>
        <v/>
      </c>
      <c r="AG25" s="490" t="str">
        <f>+MID('Input data'!$C$30,4,1)</f>
        <v/>
      </c>
      <c r="AH25" s="490" t="str">
        <f>+MID('Input data'!$C$30,5,1)</f>
        <v/>
      </c>
      <c r="AI25" s="490" t="str">
        <f>+MID('Input data'!$C$30,6,1)</f>
        <v/>
      </c>
      <c r="AJ25" s="490" t="str">
        <f>+MID('Input data'!$C$30,7,1)</f>
        <v/>
      </c>
      <c r="AK25" s="497" t="str">
        <f>+MID('Input data'!$C$30,8,1)</f>
        <v/>
      </c>
    </row>
    <row r="26" spans="1:37" x14ac:dyDescent="0.25">
      <c r="A26" s="495" t="s">
        <v>1172</v>
      </c>
      <c r="B26" s="453"/>
      <c r="C26" s="453"/>
      <c r="D26" s="453"/>
      <c r="E26" s="453"/>
      <c r="F26" s="453"/>
      <c r="G26" s="494" t="s">
        <v>1173</v>
      </c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4"/>
      <c r="W26" s="494"/>
      <c r="X26" s="494"/>
      <c r="Y26" s="494"/>
      <c r="Z26" s="494"/>
      <c r="AA26" s="494"/>
      <c r="AB26" s="494"/>
      <c r="AC26" s="494"/>
      <c r="AD26" s="494"/>
      <c r="AE26" s="448"/>
      <c r="AF26" s="448"/>
      <c r="AG26" s="448"/>
      <c r="AH26" s="448"/>
      <c r="AI26" s="448"/>
      <c r="AJ26" s="448"/>
      <c r="AK26" s="447"/>
    </row>
    <row r="27" spans="1:37" s="496" customFormat="1" ht="19.5" customHeight="1" x14ac:dyDescent="0.25">
      <c r="A27" s="498" t="str">
        <f>+LEFT('Input data'!$C$32,1)</f>
        <v>8</v>
      </c>
      <c r="B27" s="490" t="str">
        <f>+MID('Input data'!$C$32,2,1)</f>
        <v>2</v>
      </c>
      <c r="C27" s="490" t="str">
        <f>+MID('Input data'!$C$32,3,1)</f>
        <v>0</v>
      </c>
      <c r="D27" s="490" t="str">
        <f>+MID('Input data'!$C$32,4,1)</f>
        <v>0</v>
      </c>
      <c r="E27" s="490" t="str">
        <f>+MID('Input data'!$C$32,5,1)</f>
        <v>5</v>
      </c>
      <c r="F27" s="490"/>
      <c r="G27" s="490" t="str">
        <f>+LEFT('Input data'!$C$34,1)</f>
        <v>B</v>
      </c>
      <c r="H27" s="490" t="str">
        <f>+MID('Input data'!$C$34,2,1)</f>
        <v>r</v>
      </c>
      <c r="I27" s="490" t="str">
        <f>+MID('Input data'!$C$34,3,1)</f>
        <v>a</v>
      </c>
      <c r="J27" s="490" t="str">
        <f>+MID('Input data'!$C$34,4,1)</f>
        <v>t</v>
      </c>
      <c r="K27" s="490" t="str">
        <f>+MID('Input data'!$C$34,5,1)</f>
        <v>i</v>
      </c>
      <c r="L27" s="490" t="str">
        <f>+MID('Input data'!$C$34,6,1)</f>
        <v>s</v>
      </c>
      <c r="M27" s="490" t="str">
        <f>+MID('Input data'!$C$34,7,1)</f>
        <v>l</v>
      </c>
      <c r="N27" s="490" t="str">
        <f>+MID('Input data'!$C$34,8,1)</f>
        <v>a</v>
      </c>
      <c r="O27" s="490" t="str">
        <f>+MID('Input data'!$C$34,9,1)</f>
        <v>v</v>
      </c>
      <c r="P27" s="490" t="str">
        <f>+MID('Input data'!$C$34,10,1)</f>
        <v>a</v>
      </c>
      <c r="Q27" s="490" t="str">
        <f>+MID('Input data'!$C$34,11,1)</f>
        <v/>
      </c>
      <c r="R27" s="490" t="str">
        <f>+MID('Input data'!$C$34,12,1)</f>
        <v/>
      </c>
      <c r="S27" s="490" t="str">
        <f>+MID('Input data'!$C$34,13,1)</f>
        <v/>
      </c>
      <c r="T27" s="490" t="str">
        <f>+MID('Input data'!$C$34,14,1)</f>
        <v/>
      </c>
      <c r="U27" s="490" t="str">
        <f>+MID('Input data'!$C$34,15,1)</f>
        <v/>
      </c>
      <c r="V27" s="490" t="str">
        <f>+MID('Input data'!$C$34,16,1)</f>
        <v/>
      </c>
      <c r="W27" s="490" t="str">
        <f>+MID('Input data'!$C$34,17,1)</f>
        <v/>
      </c>
      <c r="X27" s="490" t="str">
        <f>+MID('Input data'!$C$34,18,1)</f>
        <v/>
      </c>
      <c r="Y27" s="490" t="str">
        <f>+MID('Input data'!$C$34,19,1)</f>
        <v/>
      </c>
      <c r="Z27" s="490" t="str">
        <f>+MID('Input data'!$C$34,20,1)</f>
        <v/>
      </c>
      <c r="AA27" s="490" t="str">
        <f>+MID('Input data'!$C$34,21,1)</f>
        <v/>
      </c>
      <c r="AB27" s="490" t="str">
        <f>+MID('Input data'!$C$34,22,1)</f>
        <v/>
      </c>
      <c r="AC27" s="490" t="str">
        <f>+MID('Input data'!$C$34,23,1)</f>
        <v/>
      </c>
      <c r="AD27" s="490" t="str">
        <f>+MID('Input data'!$C$34,24,1)</f>
        <v/>
      </c>
      <c r="AE27" s="490" t="str">
        <f>+MID('Input data'!$C$34,25,1)</f>
        <v/>
      </c>
      <c r="AF27" s="490" t="str">
        <f>+MID('Input data'!$C$34,26,1)</f>
        <v/>
      </c>
      <c r="AG27" s="490" t="str">
        <f>+MID('Input data'!$C$34,27,1)</f>
        <v/>
      </c>
      <c r="AH27" s="490" t="str">
        <f>+MID('Input data'!$C$34,28,1)</f>
        <v/>
      </c>
      <c r="AI27" s="490" t="str">
        <f>+MID('Input data'!$C$34,29,1)</f>
        <v/>
      </c>
      <c r="AJ27" s="490" t="str">
        <f>+MID('Input data'!$C$34,30,1)</f>
        <v/>
      </c>
      <c r="AK27" s="497" t="str">
        <f>+MID('Input data'!$C$34,31,1)</f>
        <v/>
      </c>
    </row>
    <row r="28" spans="1:37" x14ac:dyDescent="0.25">
      <c r="A28" s="495" t="s">
        <v>1174</v>
      </c>
      <c r="B28" s="453"/>
      <c r="C28" s="453"/>
      <c r="D28" s="453"/>
      <c r="E28" s="453"/>
      <c r="F28" s="453"/>
      <c r="G28" s="494"/>
      <c r="H28" s="494"/>
      <c r="I28" s="494"/>
      <c r="J28" s="494"/>
      <c r="K28" s="494"/>
      <c r="L28" s="494"/>
      <c r="M28" s="494"/>
      <c r="N28" s="453"/>
      <c r="O28" s="494" t="s">
        <v>1175</v>
      </c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  <c r="AD28" s="494"/>
      <c r="AE28" s="448"/>
      <c r="AF28" s="448"/>
      <c r="AG28" s="448"/>
      <c r="AH28" s="448"/>
      <c r="AI28" s="448"/>
      <c r="AJ28" s="448"/>
      <c r="AK28" s="447"/>
    </row>
    <row r="29" spans="1:37" ht="19.5" customHeight="1" x14ac:dyDescent="0.25">
      <c r="A29" s="493">
        <v>0</v>
      </c>
      <c r="B29" s="490" t="str">
        <f>+LEFT('Input data'!$C$36,1)</f>
        <v>2</v>
      </c>
      <c r="C29" s="490" t="str">
        <f>+MID('Input data'!$C$36,2,1)</f>
        <v/>
      </c>
      <c r="D29" s="490" t="str">
        <f>+MID('Input data'!$C$36,3,1)</f>
        <v/>
      </c>
      <c r="E29" s="490" t="s">
        <v>1176</v>
      </c>
      <c r="F29" s="490" t="str">
        <f>+LEFT('Input data'!$C$38,1)</f>
        <v>4</v>
      </c>
      <c r="G29" s="490" t="str">
        <f>+MID('Input data'!$C$38,2,1)</f>
        <v>9</v>
      </c>
      <c r="H29" s="490" t="str">
        <f>+MID('Input data'!$C$38,3,1)</f>
        <v>3</v>
      </c>
      <c r="I29" s="490" t="str">
        <f>+MID('Input data'!$C$38,4,1)</f>
        <v>0</v>
      </c>
      <c r="J29" s="490" t="str">
        <f>+MID('Input data'!$C$38,5,1)</f>
        <v>0</v>
      </c>
      <c r="K29" s="490" t="str">
        <f>+MID('Input data'!$C$38,6,1)</f>
        <v>5</v>
      </c>
      <c r="L29" s="490" t="str">
        <f>+MID('Input data'!$C$38,7,1)</f>
        <v>1</v>
      </c>
      <c r="M29" s="490" t="str">
        <f>+MID('Input data'!$C$38,8,1)</f>
        <v>3</v>
      </c>
      <c r="N29" s="492"/>
      <c r="O29" s="491">
        <v>0</v>
      </c>
      <c r="P29" s="490" t="str">
        <f>+LEFT('Input data'!$C$36,1)</f>
        <v>2</v>
      </c>
      <c r="Q29" s="490" t="str">
        <f>+MID('Input data'!$C$36,2,1)</f>
        <v/>
      </c>
      <c r="R29" s="490" t="str">
        <f>+MID('Input data'!$C$36,3,1)</f>
        <v/>
      </c>
      <c r="S29" s="490" t="s">
        <v>1176</v>
      </c>
      <c r="T29" s="490" t="str">
        <f>+LEFT('Input data'!$C$40,1)</f>
        <v>4</v>
      </c>
      <c r="U29" s="490" t="str">
        <f>+MID('Input data'!$C$40,2,1)</f>
        <v>9</v>
      </c>
      <c r="V29" s="490" t="str">
        <f>+MID('Input data'!$C$40,3,1)</f>
        <v>3</v>
      </c>
      <c r="W29" s="490" t="str">
        <f>+MID('Input data'!$C$40,4,1)</f>
        <v>0</v>
      </c>
      <c r="X29" s="490" t="str">
        <f>+MID('Input data'!$C$40,5,1)</f>
        <v>0</v>
      </c>
      <c r="Y29" s="490" t="str">
        <f>+MID('Input data'!$C$40,6,1)</f>
        <v>5</v>
      </c>
      <c r="Z29" s="490" t="str">
        <f>+MID('Input data'!$C$40,7,1)</f>
        <v>5</v>
      </c>
      <c r="AA29" s="490" t="str">
        <f>+MID('Input data'!$C$40,8,1)</f>
        <v>0</v>
      </c>
      <c r="AB29" s="490"/>
      <c r="AC29" s="490"/>
      <c r="AD29" s="490"/>
      <c r="AE29" s="448"/>
      <c r="AF29" s="448"/>
      <c r="AG29" s="448" t="s">
        <v>1177</v>
      </c>
      <c r="AH29" s="448"/>
      <c r="AI29" s="448"/>
      <c r="AJ29" s="448"/>
      <c r="AK29" s="447"/>
    </row>
    <row r="30" spans="1:37" s="440" customFormat="1" x14ac:dyDescent="0.25">
      <c r="A30" s="452" t="s">
        <v>1178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7"/>
    </row>
    <row r="31" spans="1:37" ht="19.5" customHeight="1" thickBot="1" x14ac:dyDescent="0.3">
      <c r="A31" s="489" t="str">
        <f>+LEFT('Input data'!$B$42,1)</f>
        <v/>
      </c>
      <c r="B31" s="488" t="str">
        <f>+MID('Input data'!$B$42,2,1)</f>
        <v/>
      </c>
      <c r="C31" s="488" t="str">
        <f>+MID('Input data'!$B$42,3,1)</f>
        <v/>
      </c>
      <c r="D31" s="488" t="str">
        <f>+MID('Input data'!$B$42,4,1)</f>
        <v/>
      </c>
      <c r="E31" s="488" t="str">
        <f>+MID('Input data'!$B$42,5,1)</f>
        <v/>
      </c>
      <c r="F31" s="488" t="str">
        <f>+MID('Input data'!$B$42,6,1)</f>
        <v/>
      </c>
      <c r="G31" s="488" t="str">
        <f>+MID('Input data'!$B$42,7,1)</f>
        <v/>
      </c>
      <c r="H31" s="488" t="str">
        <f>+MID('Input data'!$B$42,8,1)</f>
        <v/>
      </c>
      <c r="I31" s="488" t="str">
        <f>+MID('Input data'!$B$42,9,1)</f>
        <v/>
      </c>
      <c r="J31" s="488" t="str">
        <f>+MID('Input data'!$B$42,10,1)</f>
        <v/>
      </c>
      <c r="K31" s="488" t="str">
        <f>+MID('Input data'!$B$42,11,1)</f>
        <v/>
      </c>
      <c r="L31" s="488" t="str">
        <f>+MID('Input data'!$B$42,12,1)</f>
        <v/>
      </c>
      <c r="M31" s="488" t="str">
        <f>+MID('Input data'!$B$42,13,1)</f>
        <v/>
      </c>
      <c r="N31" s="488" t="str">
        <f>+MID('Input data'!$B$42,14,1)</f>
        <v/>
      </c>
      <c r="O31" s="488" t="str">
        <f>+MID('Input data'!$B$42,15,1)</f>
        <v/>
      </c>
      <c r="P31" s="488" t="str">
        <f>+MID('Input data'!$B$42,16,1)</f>
        <v/>
      </c>
      <c r="Q31" s="488" t="str">
        <f>+MID('Input data'!$B$42,17,1)</f>
        <v/>
      </c>
      <c r="R31" s="488" t="str">
        <f>+MID('Input data'!$B$42,18,1)</f>
        <v/>
      </c>
      <c r="S31" s="488" t="str">
        <f>+MID('Input data'!$B$42,19,1)</f>
        <v/>
      </c>
      <c r="T31" s="488" t="str">
        <f>+MID('Input data'!$B$42,20,1)</f>
        <v/>
      </c>
      <c r="U31" s="488" t="str">
        <f>+MID('Input data'!$B$42,21,1)</f>
        <v/>
      </c>
      <c r="V31" s="488" t="str">
        <f>+MID('Input data'!$B$42,22,1)</f>
        <v/>
      </c>
      <c r="W31" s="488" t="str">
        <f>+MID('Input data'!$B$42,23,1)</f>
        <v/>
      </c>
      <c r="X31" s="488" t="str">
        <f>+MID('Input data'!$B$42,24,1)</f>
        <v/>
      </c>
      <c r="Y31" s="488" t="str">
        <f>+MID('Input data'!$B$42,25,1)</f>
        <v/>
      </c>
      <c r="Z31" s="488" t="str">
        <f>+MID('Input data'!$B$42,26,1)</f>
        <v/>
      </c>
      <c r="AA31" s="488" t="str">
        <f>+MID('Input data'!$B$42,27,1)</f>
        <v/>
      </c>
      <c r="AB31" s="488" t="str">
        <f>+MID('Input data'!$B$42,28,1)</f>
        <v/>
      </c>
      <c r="AC31" s="488" t="str">
        <f>+MID('Input data'!$B$42,29,1)</f>
        <v/>
      </c>
      <c r="AD31" s="488" t="str">
        <f>+MID('Input data'!$B$42,30,1)</f>
        <v/>
      </c>
      <c r="AE31" s="488" t="str">
        <f>+MID('Input data'!$B$42,31,1)</f>
        <v/>
      </c>
      <c r="AF31" s="488" t="str">
        <f>+MID('Input data'!$B$42,32,1)</f>
        <v/>
      </c>
      <c r="AG31" s="488" t="str">
        <f>+MID('Input data'!$B$42,33,1)</f>
        <v/>
      </c>
      <c r="AH31" s="488" t="str">
        <f>+MID('Input data'!$B$42,34,1)</f>
        <v/>
      </c>
      <c r="AI31" s="488" t="str">
        <f>+MID('Input data'!$B$42,35,1)</f>
        <v/>
      </c>
      <c r="AJ31" s="488" t="str">
        <f>+MID('Input data'!$B$42,36,1)</f>
        <v/>
      </c>
      <c r="AK31" s="487" t="str">
        <f>+MID('Input data'!$B$42,37,1)</f>
        <v/>
      </c>
    </row>
    <row r="32" spans="1:37" s="440" customFormat="1" ht="4.5" customHeight="1" thickBot="1" x14ac:dyDescent="0.3">
      <c r="W32" s="441"/>
      <c r="X32" s="441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</row>
    <row r="33" spans="1:37" s="483" customFormat="1" ht="12.75" customHeight="1" x14ac:dyDescent="0.25">
      <c r="A33" s="486" t="s">
        <v>1179</v>
      </c>
      <c r="B33" s="485"/>
      <c r="C33" s="485"/>
      <c r="D33" s="485"/>
      <c r="E33" s="485"/>
      <c r="F33" s="485"/>
      <c r="G33" s="485"/>
      <c r="H33" s="485"/>
      <c r="I33" s="485"/>
      <c r="J33" s="485"/>
      <c r="K33" s="484"/>
      <c r="L33" s="1543" t="s">
        <v>1180</v>
      </c>
      <c r="M33" s="1544"/>
      <c r="N33" s="1544"/>
      <c r="O33" s="1544"/>
      <c r="P33" s="1544"/>
      <c r="Q33" s="1544"/>
      <c r="R33" s="1544"/>
      <c r="S33" s="1544"/>
      <c r="T33" s="1549"/>
      <c r="U33" s="1031" t="s">
        <v>1181</v>
      </c>
      <c r="V33" s="1031"/>
      <c r="W33" s="1031"/>
      <c r="X33" s="1031"/>
      <c r="Y33" s="1031"/>
      <c r="Z33" s="1031"/>
      <c r="AA33" s="1031"/>
      <c r="AB33" s="1032"/>
      <c r="AC33" s="1543" t="s">
        <v>1182</v>
      </c>
      <c r="AD33" s="1544"/>
      <c r="AE33" s="1544"/>
      <c r="AF33" s="1544"/>
      <c r="AG33" s="1544"/>
      <c r="AH33" s="1544"/>
      <c r="AI33" s="1544"/>
      <c r="AJ33" s="1544"/>
      <c r="AK33" s="1545"/>
    </row>
    <row r="34" spans="1:37" s="440" customFormat="1" ht="19.5" customHeight="1" x14ac:dyDescent="0.25">
      <c r="A34" s="469" t="str">
        <f>LEFT(TEXT('Input data'!F25,"dd.m.yyyy"),1)</f>
        <v>1</v>
      </c>
      <c r="B34" s="468" t="str">
        <f>MID(TEXT('Input data'!$F$25,"dd.mm.yyyy"),2,1)</f>
        <v>3</v>
      </c>
      <c r="C34" s="467" t="s">
        <v>1147</v>
      </c>
      <c r="D34" s="468" t="str">
        <f>MID(TEXT('Input data'!$F$25,"dd.mm.yyyy"),4,1)</f>
        <v>0</v>
      </c>
      <c r="E34" s="468" t="str">
        <f>MID(TEXT('Input data'!$F$25,"dd.mm.yyyy"),5,1)</f>
        <v>6</v>
      </c>
      <c r="F34" s="467" t="s">
        <v>1147</v>
      </c>
      <c r="G34" s="466" t="str">
        <f>MID(TEXT('Input data'!$F$25,"dd.mm.yyyy"),7,1)</f>
        <v>2</v>
      </c>
      <c r="H34" s="466" t="str">
        <f>MID(TEXT('Input data'!$F$25,"dd.mm.yyyy"),8,1)</f>
        <v>0</v>
      </c>
      <c r="I34" s="466" t="str">
        <f>MID(TEXT('Input data'!$F$25,"dd.mm.yyyy"),9,1)</f>
        <v>1</v>
      </c>
      <c r="J34" s="466" t="str">
        <f>MID(TEXT('Input data'!$F$25,"dd.mm.yyyy"),10,1)</f>
        <v>4</v>
      </c>
      <c r="K34" s="482"/>
      <c r="L34" s="1546"/>
      <c r="M34" s="1547"/>
      <c r="N34" s="1547"/>
      <c r="O34" s="1547"/>
      <c r="P34" s="1547"/>
      <c r="Q34" s="1547"/>
      <c r="R34" s="1547"/>
      <c r="S34" s="1547"/>
      <c r="T34" s="1550"/>
      <c r="U34" s="1034"/>
      <c r="V34" s="1034"/>
      <c r="W34" s="1034"/>
      <c r="X34" s="1034"/>
      <c r="Y34" s="1034"/>
      <c r="Z34" s="1034"/>
      <c r="AA34" s="1034"/>
      <c r="AB34" s="1035"/>
      <c r="AC34" s="1546"/>
      <c r="AD34" s="1547"/>
      <c r="AE34" s="1547"/>
      <c r="AF34" s="1547"/>
      <c r="AG34" s="1547"/>
      <c r="AH34" s="1547"/>
      <c r="AI34" s="1547"/>
      <c r="AJ34" s="1547"/>
      <c r="AK34" s="1548"/>
    </row>
    <row r="35" spans="1:37" s="440" customFormat="1" ht="13.5" customHeight="1" x14ac:dyDescent="0.25">
      <c r="A35" s="481"/>
      <c r="B35" s="480"/>
      <c r="C35" s="480"/>
      <c r="D35" s="480"/>
      <c r="E35" s="480"/>
      <c r="F35" s="480"/>
      <c r="G35" s="479"/>
      <c r="H35" s="479"/>
      <c r="I35" s="479"/>
      <c r="J35" s="479"/>
      <c r="K35" s="478"/>
      <c r="L35" s="1546"/>
      <c r="M35" s="1547"/>
      <c r="N35" s="1547"/>
      <c r="O35" s="1547"/>
      <c r="P35" s="1547"/>
      <c r="Q35" s="1547"/>
      <c r="R35" s="1547"/>
      <c r="S35" s="1547"/>
      <c r="T35" s="1550"/>
      <c r="U35" s="1034"/>
      <c r="V35" s="1034"/>
      <c r="W35" s="1034"/>
      <c r="X35" s="1034"/>
      <c r="Y35" s="1034"/>
      <c r="Z35" s="1034"/>
      <c r="AA35" s="1034"/>
      <c r="AB35" s="1035"/>
      <c r="AC35" s="1546"/>
      <c r="AD35" s="1547"/>
      <c r="AE35" s="1547"/>
      <c r="AF35" s="1547"/>
      <c r="AG35" s="1547"/>
      <c r="AH35" s="1547"/>
      <c r="AI35" s="1547"/>
      <c r="AJ35" s="1547"/>
      <c r="AK35" s="1548"/>
    </row>
    <row r="36" spans="1:37" s="440" customFormat="1" x14ac:dyDescent="0.2">
      <c r="A36" s="452" t="s">
        <v>1183</v>
      </c>
      <c r="B36" s="451"/>
      <c r="C36" s="451"/>
      <c r="D36" s="451"/>
      <c r="E36" s="451"/>
      <c r="F36" s="451"/>
      <c r="G36" s="477"/>
      <c r="H36" s="477"/>
      <c r="I36" s="477"/>
      <c r="J36" s="477"/>
      <c r="K36" s="476"/>
      <c r="L36" s="475"/>
      <c r="M36" s="475"/>
      <c r="N36" s="475"/>
      <c r="O36" s="475"/>
      <c r="P36" s="475"/>
      <c r="Q36" s="475"/>
      <c r="R36" s="475"/>
      <c r="S36" s="451"/>
      <c r="T36" s="473"/>
      <c r="U36" s="474"/>
      <c r="V36" s="474"/>
      <c r="W36" s="474"/>
      <c r="X36" s="474"/>
      <c r="Y36" s="474"/>
      <c r="Z36" s="448"/>
      <c r="AA36" s="474"/>
      <c r="AB36" s="473"/>
      <c r="AC36" s="472"/>
      <c r="AD36" s="471"/>
      <c r="AE36" s="471"/>
      <c r="AF36" s="471"/>
      <c r="AG36" s="471"/>
      <c r="AH36" s="471"/>
      <c r="AI36" s="471"/>
      <c r="AJ36" s="471"/>
      <c r="AK36" s="470"/>
    </row>
    <row r="37" spans="1:37" s="440" customFormat="1" ht="19.5" customHeight="1" x14ac:dyDescent="0.25">
      <c r="A37" s="469" t="str">
        <f>IF('Input data'!$F$27="","",LEFT(TEXT('Input data'!$F$27,"dd.mm.yyyy"),1))</f>
        <v/>
      </c>
      <c r="B37" s="468" t="str">
        <f>IF('Input data'!$F$27="","",MID(TEXT('Input data'!$F$27,"dd.mm.yyyy"),2,1))</f>
        <v/>
      </c>
      <c r="C37" s="467" t="s">
        <v>1147</v>
      </c>
      <c r="D37" s="468" t="str">
        <f>IF('Input data'!$F$27="","",MID(TEXT('Input data'!$F$27,"dd.mm.yyyy"),4,1))</f>
        <v/>
      </c>
      <c r="E37" s="468" t="str">
        <f>IF('Input data'!$F$27="","",MID(TEXT('Input data'!$F$27,"dd.mm.yyyy"),5,1))</f>
        <v/>
      </c>
      <c r="F37" s="467" t="s">
        <v>1147</v>
      </c>
      <c r="G37" s="466" t="str">
        <f>IF('Input data'!$F$27="","",MID(TEXT('Input data'!$F$27,"dd.mm.yyyy"),7,1))</f>
        <v/>
      </c>
      <c r="H37" s="466" t="str">
        <f>IF('Input data'!$F$27="","",MID(TEXT('Input data'!$F$27,"dd.mm.yyyy"),8,1))</f>
        <v/>
      </c>
      <c r="I37" s="466" t="str">
        <f>IF('Input data'!$F$27="","",MID(TEXT('Input data'!$F$27,"dd.mm.yyyy"),9,1))</f>
        <v/>
      </c>
      <c r="J37" s="466" t="str">
        <f>IF('Input data'!$F$27="","",MID(TEXT('Input data'!$F$27,"dd.mm.yyyy"),10,1))</f>
        <v/>
      </c>
      <c r="K37" s="465"/>
      <c r="L37" s="464"/>
      <c r="M37" s="463"/>
      <c r="N37" s="463"/>
      <c r="O37" s="463"/>
      <c r="P37" s="463"/>
      <c r="Q37" s="463"/>
      <c r="R37" s="463"/>
      <c r="S37" s="463"/>
      <c r="T37" s="462"/>
      <c r="U37" s="464"/>
      <c r="V37" s="463"/>
      <c r="W37" s="463"/>
      <c r="X37" s="463"/>
      <c r="Y37" s="463"/>
      <c r="Z37" s="463"/>
      <c r="AA37" s="463"/>
      <c r="AB37" s="462"/>
      <c r="AC37" s="448"/>
      <c r="AD37" s="448"/>
      <c r="AE37" s="448"/>
      <c r="AF37" s="448"/>
      <c r="AG37" s="448"/>
      <c r="AH37" s="448"/>
      <c r="AI37" s="448"/>
      <c r="AJ37" s="448"/>
      <c r="AK37" s="447"/>
    </row>
    <row r="38" spans="1:37" s="446" customFormat="1" thickBot="1" x14ac:dyDescent="0.3">
      <c r="A38" s="461"/>
      <c r="B38" s="460"/>
      <c r="C38" s="460"/>
      <c r="D38" s="460"/>
      <c r="E38" s="460"/>
      <c r="F38" s="460"/>
      <c r="G38" s="460"/>
      <c r="H38" s="460"/>
      <c r="I38" s="460"/>
      <c r="J38" s="460"/>
      <c r="K38" s="459"/>
      <c r="L38" s="1038">
        <f>'Input data'!F31</f>
        <v>0</v>
      </c>
      <c r="M38" s="1039"/>
      <c r="N38" s="1039"/>
      <c r="O38" s="1039"/>
      <c r="P38" s="1039"/>
      <c r="Q38" s="1039"/>
      <c r="R38" s="1039"/>
      <c r="S38" s="1039"/>
      <c r="T38" s="1040"/>
      <c r="U38" s="1038">
        <f>'Input data'!F35</f>
        <v>0</v>
      </c>
      <c r="V38" s="1039"/>
      <c r="W38" s="1039"/>
      <c r="X38" s="1039"/>
      <c r="Y38" s="1039"/>
      <c r="Z38" s="1039"/>
      <c r="AA38" s="1039"/>
      <c r="AB38" s="1040"/>
      <c r="AC38" s="1041">
        <f>'Input data'!F39</f>
        <v>0</v>
      </c>
      <c r="AD38" s="1039"/>
      <c r="AE38" s="1039"/>
      <c r="AF38" s="1039"/>
      <c r="AG38" s="1039"/>
      <c r="AH38" s="1039"/>
      <c r="AI38" s="1039"/>
      <c r="AJ38" s="1039"/>
      <c r="AK38" s="1042"/>
    </row>
    <row r="39" spans="1:37" s="446" customFormat="1" x14ac:dyDescent="0.25"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</row>
    <row r="40" spans="1:37" s="446" customFormat="1" ht="12.75" customHeight="1" x14ac:dyDescent="0.25"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</row>
    <row r="41" spans="1:37" s="446" customFormat="1" x14ac:dyDescent="0.25"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</row>
    <row r="42" spans="1:37" ht="13.5" thickBot="1" x14ac:dyDescent="0.3"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</row>
    <row r="43" spans="1:37" s="446" customFormat="1" x14ac:dyDescent="0.25">
      <c r="B43" s="458" t="s">
        <v>1184</v>
      </c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457"/>
      <c r="S43" s="457"/>
      <c r="T43" s="457"/>
      <c r="U43" s="457"/>
      <c r="V43" s="457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5"/>
      <c r="AK43" s="441"/>
    </row>
    <row r="44" spans="1:37" s="446" customFormat="1" x14ac:dyDescent="0.25">
      <c r="B44" s="450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37" ht="12.75" customHeight="1" x14ac:dyDescent="0.25">
      <c r="B45" s="454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37" s="446" customFormat="1" x14ac:dyDescent="0.25">
      <c r="B46" s="450"/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  <c r="V46" s="449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37" s="440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37" s="440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2:37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2:37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2:37" s="446" customFormat="1" x14ac:dyDescent="0.25">
      <c r="B51" s="450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7"/>
      <c r="AK51" s="441"/>
    </row>
    <row r="52" spans="2:37" s="446" customFormat="1" x14ac:dyDescent="0.25">
      <c r="B52" s="450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7"/>
      <c r="AK52" s="441"/>
    </row>
    <row r="53" spans="2:37" s="440" customFormat="1" ht="13.5" thickBot="1" x14ac:dyDescent="0.3">
      <c r="B53" s="445"/>
      <c r="C53" s="444"/>
      <c r="D53" s="444"/>
      <c r="E53" s="444"/>
      <c r="F53" s="444"/>
      <c r="G53" s="444" t="s">
        <v>1185</v>
      </c>
      <c r="H53" s="444"/>
      <c r="I53" s="444"/>
      <c r="J53" s="444"/>
      <c r="K53" s="444"/>
      <c r="L53" s="444"/>
      <c r="M53" s="444"/>
      <c r="N53" s="444"/>
      <c r="O53" s="444"/>
      <c r="P53" s="444"/>
      <c r="Q53" s="444"/>
      <c r="R53" s="444"/>
      <c r="S53" s="444"/>
      <c r="T53" s="444"/>
      <c r="U53" s="444" t="s">
        <v>1186</v>
      </c>
      <c r="V53" s="444"/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3"/>
      <c r="AH53" s="443"/>
      <c r="AI53" s="443"/>
      <c r="AJ53" s="442"/>
      <c r="AK53" s="441"/>
    </row>
  </sheetData>
  <mergeCells count="6">
    <mergeCell ref="L38:T38"/>
    <mergeCell ref="U33:AB35"/>
    <mergeCell ref="AC33:AK35"/>
    <mergeCell ref="L33:T35"/>
    <mergeCell ref="AC38:AK38"/>
    <mergeCell ref="U38:AB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13"/>
  <sheetViews>
    <sheetView view="pageBreakPreview" topLeftCell="A190" zoomScaleSheetLayoutView="100" workbookViewId="0">
      <selection activeCell="G2" sqref="G2"/>
    </sheetView>
  </sheetViews>
  <sheetFormatPr defaultRowHeight="11.25" x14ac:dyDescent="0.25"/>
  <cols>
    <col min="1" max="1" width="5.5703125" style="551" customWidth="1"/>
    <col min="2" max="2" width="18.7109375" style="551" customWidth="1"/>
    <col min="3" max="3" width="3.7109375" style="551" customWidth="1"/>
    <col min="4" max="4" width="3.5703125" style="551" customWidth="1"/>
    <col min="5" max="5" width="12.42578125" style="551" customWidth="1"/>
    <col min="6" max="6" width="12.140625" style="551" customWidth="1"/>
    <col min="7" max="7" width="14.7109375" style="551" customWidth="1"/>
    <col min="8" max="8" width="3.5703125" style="551" customWidth="1"/>
    <col min="9" max="9" width="10.5703125" style="551" customWidth="1"/>
    <col min="10" max="10" width="14.42578125" style="551" customWidth="1"/>
    <col min="11" max="16384" width="9.140625" style="551"/>
  </cols>
  <sheetData>
    <row r="1" spans="1:13" ht="7.5" customHeight="1" x14ac:dyDescent="0.25">
      <c r="A1" s="550"/>
      <c r="F1" s="494"/>
      <c r="G1" s="494"/>
      <c r="H1" s="494"/>
      <c r="I1" s="494"/>
    </row>
    <row r="2" spans="1:13" ht="17.25" customHeight="1" x14ac:dyDescent="0.25">
      <c r="A2" s="550"/>
      <c r="B2" s="576" t="s">
        <v>1144</v>
      </c>
      <c r="E2" s="494"/>
      <c r="F2" s="575" t="s">
        <v>1318</v>
      </c>
      <c r="G2" s="574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2  0  2  2  3  0  4  1  5  2</v>
      </c>
      <c r="H2" s="573"/>
      <c r="I2" s="572"/>
    </row>
    <row r="3" spans="1:13" ht="7.5" customHeight="1" thickBot="1" x14ac:dyDescent="0.3">
      <c r="A3" s="550"/>
    </row>
    <row r="4" spans="1:13" s="569" customFormat="1" ht="11.25" customHeight="1" x14ac:dyDescent="0.25">
      <c r="A4" s="1604" t="s">
        <v>1221</v>
      </c>
      <c r="B4" s="1605" t="s">
        <v>1265</v>
      </c>
      <c r="C4" s="1607" t="s">
        <v>1219</v>
      </c>
      <c r="D4" s="1553" t="s">
        <v>2</v>
      </c>
      <c r="E4" s="1619"/>
      <c r="F4" s="1619"/>
      <c r="G4" s="1619"/>
      <c r="H4" s="1558"/>
      <c r="I4" s="1617" t="s">
        <v>1264</v>
      </c>
      <c r="J4" s="1618"/>
    </row>
    <row r="5" spans="1:13" s="569" customFormat="1" ht="11.25" customHeight="1" x14ac:dyDescent="0.15">
      <c r="A5" s="1568"/>
      <c r="B5" s="1576"/>
      <c r="C5" s="1578"/>
      <c r="D5" s="1580">
        <v>1</v>
      </c>
      <c r="E5" s="1576" t="s">
        <v>1263</v>
      </c>
      <c r="F5" s="1576"/>
      <c r="G5" s="1563" t="s">
        <v>1262</v>
      </c>
      <c r="H5" s="1564"/>
      <c r="I5" s="1556"/>
      <c r="J5" s="1557"/>
    </row>
    <row r="6" spans="1:13" s="569" customFormat="1" ht="12" customHeight="1" x14ac:dyDescent="0.15">
      <c r="A6" s="1568"/>
      <c r="B6" s="1576"/>
      <c r="C6" s="1578"/>
      <c r="D6" s="1580"/>
      <c r="E6" s="1576" t="s">
        <v>1261</v>
      </c>
      <c r="F6" s="1576"/>
      <c r="G6" s="1563"/>
      <c r="H6" s="1564"/>
      <c r="I6" s="1565" t="s">
        <v>1260</v>
      </c>
      <c r="J6" s="1566"/>
    </row>
    <row r="7" spans="1:13" s="571" customFormat="1" ht="27.95" customHeight="1" x14ac:dyDescent="0.25">
      <c r="A7" s="1606"/>
      <c r="B7" s="1584" t="s">
        <v>1317</v>
      </c>
      <c r="C7" s="1585" t="s">
        <v>522</v>
      </c>
      <c r="D7" s="1579">
        <f>BS!D10</f>
        <v>4718463</v>
      </c>
      <c r="E7" s="1579"/>
      <c r="F7" s="1579"/>
      <c r="G7" s="1551">
        <f>BS!F10</f>
        <v>4583761</v>
      </c>
      <c r="H7" s="1560"/>
      <c r="I7" s="1555"/>
      <c r="J7" s="570"/>
    </row>
    <row r="8" spans="1:13" s="571" customFormat="1" ht="27.95" customHeight="1" x14ac:dyDescent="0.25">
      <c r="A8" s="1606"/>
      <c r="B8" s="1584"/>
      <c r="C8" s="1585"/>
      <c r="D8" s="1579">
        <f>BS!E10</f>
        <v>134702</v>
      </c>
      <c r="E8" s="1579"/>
      <c r="F8" s="1579"/>
      <c r="G8" s="568"/>
      <c r="H8" s="1551">
        <f>BS!G10</f>
        <v>4160554</v>
      </c>
      <c r="I8" s="1560"/>
      <c r="J8" s="1552"/>
      <c r="M8" s="571" t="s">
        <v>1177</v>
      </c>
    </row>
    <row r="9" spans="1:13" s="571" customFormat="1" ht="27.95" customHeight="1" x14ac:dyDescent="0.25">
      <c r="A9" s="1586" t="s">
        <v>523</v>
      </c>
      <c r="B9" s="1591" t="s">
        <v>1316</v>
      </c>
      <c r="C9" s="1585" t="s">
        <v>525</v>
      </c>
      <c r="D9" s="1579">
        <f>BS!D11</f>
        <v>212189</v>
      </c>
      <c r="E9" s="1579"/>
      <c r="F9" s="1579"/>
      <c r="G9" s="1551">
        <f>BS!F11</f>
        <v>95555</v>
      </c>
      <c r="H9" s="1560"/>
      <c r="I9" s="1555"/>
      <c r="J9" s="570"/>
    </row>
    <row r="10" spans="1:13" s="571" customFormat="1" ht="27.95" customHeight="1" x14ac:dyDescent="0.25">
      <c r="A10" s="1586"/>
      <c r="B10" s="1584"/>
      <c r="C10" s="1585"/>
      <c r="D10" s="1579">
        <f>BS!E11</f>
        <v>116634</v>
      </c>
      <c r="E10" s="1579"/>
      <c r="F10" s="1579"/>
      <c r="G10" s="642"/>
      <c r="H10" s="1551">
        <f>BS!G11</f>
        <v>114084</v>
      </c>
      <c r="I10" s="1560"/>
      <c r="J10" s="1552"/>
    </row>
    <row r="11" spans="1:13" s="571" customFormat="1" ht="27.95" customHeight="1" x14ac:dyDescent="0.25">
      <c r="A11" s="1586" t="s">
        <v>526</v>
      </c>
      <c r="B11" s="1591" t="s">
        <v>1315</v>
      </c>
      <c r="C11" s="1585" t="s">
        <v>528</v>
      </c>
      <c r="D11" s="1579">
        <f>BS!D12</f>
        <v>2068</v>
      </c>
      <c r="E11" s="1579"/>
      <c r="F11" s="1579"/>
      <c r="G11" s="1551">
        <f>BS!F12</f>
        <v>0</v>
      </c>
      <c r="H11" s="1560"/>
      <c r="I11" s="1555"/>
      <c r="J11" s="570"/>
    </row>
    <row r="12" spans="1:13" s="571" customFormat="1" ht="27.95" customHeight="1" x14ac:dyDescent="0.25">
      <c r="A12" s="1586"/>
      <c r="B12" s="1584"/>
      <c r="C12" s="1585"/>
      <c r="D12" s="1579">
        <f>BS!E12</f>
        <v>2068</v>
      </c>
      <c r="E12" s="1579"/>
      <c r="F12" s="1579"/>
      <c r="G12" s="642"/>
      <c r="H12" s="1551">
        <f>BS!G12</f>
        <v>0</v>
      </c>
      <c r="I12" s="1560"/>
      <c r="J12" s="1552"/>
    </row>
    <row r="13" spans="1:13" s="569" customFormat="1" ht="27.95" customHeight="1" x14ac:dyDescent="0.25">
      <c r="A13" s="1596" t="s">
        <v>529</v>
      </c>
      <c r="B13" s="1572" t="s">
        <v>1314</v>
      </c>
      <c r="C13" s="1600" t="s">
        <v>531</v>
      </c>
      <c r="D13" s="1579">
        <f>BS!D13</f>
        <v>0</v>
      </c>
      <c r="E13" s="1579"/>
      <c r="F13" s="1579"/>
      <c r="G13" s="1551">
        <f>BS!F13</f>
        <v>0</v>
      </c>
      <c r="H13" s="1560"/>
      <c r="I13" s="1555"/>
      <c r="J13" s="570"/>
    </row>
    <row r="14" spans="1:13" s="569" customFormat="1" ht="27.95" customHeight="1" x14ac:dyDescent="0.25">
      <c r="A14" s="1603"/>
      <c r="B14" s="1572"/>
      <c r="C14" s="1573"/>
      <c r="D14" s="1579">
        <f>BS!E13</f>
        <v>0</v>
      </c>
      <c r="E14" s="1579"/>
      <c r="F14" s="1579"/>
      <c r="G14" s="642"/>
      <c r="H14" s="1551">
        <f>BS!G13</f>
        <v>0</v>
      </c>
      <c r="I14" s="1560"/>
      <c r="J14" s="1552"/>
    </row>
    <row r="15" spans="1:13" s="569" customFormat="1" ht="27.95" customHeight="1" x14ac:dyDescent="0.25">
      <c r="A15" s="1570" t="s">
        <v>532</v>
      </c>
      <c r="B15" s="1572" t="s">
        <v>1313</v>
      </c>
      <c r="C15" s="1600" t="s">
        <v>534</v>
      </c>
      <c r="D15" s="1579">
        <f>BS!D14</f>
        <v>2068</v>
      </c>
      <c r="E15" s="1579"/>
      <c r="F15" s="1579"/>
      <c r="G15" s="1551">
        <f>BS!F14</f>
        <v>0</v>
      </c>
      <c r="H15" s="1560"/>
      <c r="I15" s="1555"/>
      <c r="J15" s="570"/>
    </row>
    <row r="16" spans="1:13" s="569" customFormat="1" ht="27.95" customHeight="1" x14ac:dyDescent="0.25">
      <c r="A16" s="1570"/>
      <c r="B16" s="1572"/>
      <c r="C16" s="1573"/>
      <c r="D16" s="1579">
        <f>BS!E14</f>
        <v>2068</v>
      </c>
      <c r="E16" s="1579"/>
      <c r="F16" s="1579"/>
      <c r="G16" s="642"/>
      <c r="H16" s="1551">
        <f>BS!G14</f>
        <v>0</v>
      </c>
      <c r="I16" s="1560"/>
      <c r="J16" s="1552"/>
    </row>
    <row r="17" spans="1:10" s="569" customFormat="1" ht="27.95" customHeight="1" x14ac:dyDescent="0.25">
      <c r="A17" s="1570" t="s">
        <v>535</v>
      </c>
      <c r="B17" s="1572" t="s">
        <v>1312</v>
      </c>
      <c r="C17" s="1600" t="s">
        <v>537</v>
      </c>
      <c r="D17" s="1579">
        <f>BS!D15</f>
        <v>0</v>
      </c>
      <c r="E17" s="1579"/>
      <c r="F17" s="1579"/>
      <c r="G17" s="1551">
        <f>BS!F15</f>
        <v>0</v>
      </c>
      <c r="H17" s="1560"/>
      <c r="I17" s="1555"/>
      <c r="J17" s="570"/>
    </row>
    <row r="18" spans="1:10" s="569" customFormat="1" ht="27.95" customHeight="1" x14ac:dyDescent="0.25">
      <c r="A18" s="1570"/>
      <c r="B18" s="1572"/>
      <c r="C18" s="1573"/>
      <c r="D18" s="1579">
        <f>BS!E15</f>
        <v>0</v>
      </c>
      <c r="E18" s="1579"/>
      <c r="F18" s="1579"/>
      <c r="G18" s="642"/>
      <c r="H18" s="1551">
        <f>BS!G15</f>
        <v>0</v>
      </c>
      <c r="I18" s="1560"/>
      <c r="J18" s="1552"/>
    </row>
    <row r="19" spans="1:10" s="569" customFormat="1" ht="27.95" customHeight="1" x14ac:dyDescent="0.25">
      <c r="A19" s="1570" t="s">
        <v>538</v>
      </c>
      <c r="B19" s="1572" t="s">
        <v>1311</v>
      </c>
      <c r="C19" s="1600" t="s">
        <v>540</v>
      </c>
      <c r="D19" s="1579">
        <f>BS!D16</f>
        <v>0</v>
      </c>
      <c r="E19" s="1579"/>
      <c r="F19" s="1579"/>
      <c r="G19" s="1551">
        <f>BS!F16</f>
        <v>0</v>
      </c>
      <c r="H19" s="1560"/>
      <c r="I19" s="1555"/>
      <c r="J19" s="570"/>
    </row>
    <row r="20" spans="1:10" s="569" customFormat="1" ht="27.95" customHeight="1" x14ac:dyDescent="0.25">
      <c r="A20" s="1570"/>
      <c r="B20" s="1572"/>
      <c r="C20" s="1573"/>
      <c r="D20" s="1579">
        <f>BS!E16</f>
        <v>0</v>
      </c>
      <c r="E20" s="1579"/>
      <c r="F20" s="1579"/>
      <c r="G20" s="642"/>
      <c r="H20" s="1551">
        <f>BS!G16</f>
        <v>0</v>
      </c>
      <c r="I20" s="1560"/>
      <c r="J20" s="1552"/>
    </row>
    <row r="21" spans="1:10" s="569" customFormat="1" ht="27.95" customHeight="1" x14ac:dyDescent="0.25">
      <c r="A21" s="1570" t="s">
        <v>541</v>
      </c>
      <c r="B21" s="1572" t="s">
        <v>1310</v>
      </c>
      <c r="C21" s="1600" t="s">
        <v>543</v>
      </c>
      <c r="D21" s="1579">
        <f>BS!D17</f>
        <v>0</v>
      </c>
      <c r="E21" s="1579"/>
      <c r="F21" s="1579"/>
      <c r="G21" s="1551">
        <f>BS!F17</f>
        <v>0</v>
      </c>
      <c r="H21" s="1560"/>
      <c r="I21" s="1555"/>
      <c r="J21" s="570"/>
    </row>
    <row r="22" spans="1:10" s="569" customFormat="1" ht="27.95" customHeight="1" x14ac:dyDescent="0.25">
      <c r="A22" s="1570"/>
      <c r="B22" s="1572"/>
      <c r="C22" s="1573"/>
      <c r="D22" s="1579">
        <f>BS!E17</f>
        <v>0</v>
      </c>
      <c r="E22" s="1579"/>
      <c r="F22" s="1579"/>
      <c r="G22" s="642"/>
      <c r="H22" s="1551">
        <f>BS!G17</f>
        <v>0</v>
      </c>
      <c r="I22" s="1560"/>
      <c r="J22" s="1552"/>
    </row>
    <row r="23" spans="1:10" s="569" customFormat="1" ht="27.95" customHeight="1" x14ac:dyDescent="0.25">
      <c r="A23" s="1570" t="s">
        <v>544</v>
      </c>
      <c r="B23" s="1572" t="s">
        <v>1309</v>
      </c>
      <c r="C23" s="1600" t="s">
        <v>546</v>
      </c>
      <c r="D23" s="1579">
        <f>BS!D18</f>
        <v>0</v>
      </c>
      <c r="E23" s="1579"/>
      <c r="F23" s="1579"/>
      <c r="G23" s="1551">
        <f>BS!F18</f>
        <v>0</v>
      </c>
      <c r="H23" s="1560"/>
      <c r="I23" s="1555"/>
      <c r="J23" s="570"/>
    </row>
    <row r="24" spans="1:10" s="569" customFormat="1" ht="27.95" customHeight="1" x14ac:dyDescent="0.25">
      <c r="A24" s="1570"/>
      <c r="B24" s="1572"/>
      <c r="C24" s="1573"/>
      <c r="D24" s="1579">
        <f>BS!E18</f>
        <v>0</v>
      </c>
      <c r="E24" s="1579"/>
      <c r="F24" s="1579"/>
      <c r="G24" s="642"/>
      <c r="H24" s="1551">
        <f>BS!G18</f>
        <v>0</v>
      </c>
      <c r="I24" s="1560"/>
      <c r="J24" s="1552"/>
    </row>
    <row r="25" spans="1:10" s="569" customFormat="1" ht="27.95" customHeight="1" x14ac:dyDescent="0.25">
      <c r="A25" s="1570" t="s">
        <v>547</v>
      </c>
      <c r="B25" s="1572" t="s">
        <v>1308</v>
      </c>
      <c r="C25" s="1600" t="s">
        <v>549</v>
      </c>
      <c r="D25" s="1579">
        <f>BS!D19</f>
        <v>0</v>
      </c>
      <c r="E25" s="1579"/>
      <c r="F25" s="1579"/>
      <c r="G25" s="1551">
        <f>BS!F19</f>
        <v>0</v>
      </c>
      <c r="H25" s="1560"/>
      <c r="I25" s="1555"/>
      <c r="J25" s="570"/>
    </row>
    <row r="26" spans="1:10" s="569" customFormat="1" ht="27.95" customHeight="1" x14ac:dyDescent="0.25">
      <c r="A26" s="1570"/>
      <c r="B26" s="1572"/>
      <c r="C26" s="1573"/>
      <c r="D26" s="1579">
        <f>BS!E19</f>
        <v>0</v>
      </c>
      <c r="E26" s="1579"/>
      <c r="F26" s="1579"/>
      <c r="G26" s="642"/>
      <c r="H26" s="1551">
        <f>BS!G19</f>
        <v>0</v>
      </c>
      <c r="I26" s="1560"/>
      <c r="J26" s="1552"/>
    </row>
    <row r="27" spans="1:10" s="571" customFormat="1" ht="27.95" customHeight="1" x14ac:dyDescent="0.25">
      <c r="A27" s="1597" t="s">
        <v>550</v>
      </c>
      <c r="B27" s="1584" t="s">
        <v>1307</v>
      </c>
      <c r="C27" s="1601" t="s">
        <v>552</v>
      </c>
      <c r="D27" s="1579">
        <f>BS!D20</f>
        <v>210121</v>
      </c>
      <c r="E27" s="1579"/>
      <c r="F27" s="1579"/>
      <c r="G27" s="1551">
        <f>BS!F20</f>
        <v>95555</v>
      </c>
      <c r="H27" s="1560"/>
      <c r="I27" s="1555"/>
      <c r="J27" s="570"/>
    </row>
    <row r="28" spans="1:10" s="571" customFormat="1" ht="27.95" customHeight="1" x14ac:dyDescent="0.25">
      <c r="A28" s="1586"/>
      <c r="B28" s="1584"/>
      <c r="C28" s="1602"/>
      <c r="D28" s="1579">
        <f>BS!E20</f>
        <v>114566</v>
      </c>
      <c r="E28" s="1579"/>
      <c r="F28" s="1579"/>
      <c r="G28" s="642"/>
      <c r="H28" s="1551">
        <f>BS!G20</f>
        <v>114084</v>
      </c>
      <c r="I28" s="1560"/>
      <c r="J28" s="1552"/>
    </row>
    <row r="29" spans="1:10" s="569" customFormat="1" ht="27.95" customHeight="1" x14ac:dyDescent="0.25">
      <c r="A29" s="1596" t="s">
        <v>553</v>
      </c>
      <c r="B29" s="1572" t="s">
        <v>1306</v>
      </c>
      <c r="C29" s="1600" t="s">
        <v>555</v>
      </c>
      <c r="D29" s="1579">
        <f>BS!D21</f>
        <v>0</v>
      </c>
      <c r="E29" s="1579"/>
      <c r="F29" s="1579"/>
      <c r="G29" s="1551">
        <f>BS!F21</f>
        <v>0</v>
      </c>
      <c r="H29" s="1560"/>
      <c r="I29" s="1555"/>
      <c r="J29" s="570"/>
    </row>
    <row r="30" spans="1:10" s="569" customFormat="1" ht="27.95" customHeight="1" x14ac:dyDescent="0.25">
      <c r="A30" s="1581"/>
      <c r="B30" s="1572"/>
      <c r="C30" s="1573"/>
      <c r="D30" s="1579">
        <f>BS!E21</f>
        <v>0</v>
      </c>
      <c r="E30" s="1579"/>
      <c r="F30" s="1579"/>
      <c r="G30" s="642"/>
      <c r="H30" s="1551">
        <f>BS!G21</f>
        <v>0</v>
      </c>
      <c r="I30" s="1560"/>
      <c r="J30" s="1552"/>
    </row>
    <row r="31" spans="1:10" s="569" customFormat="1" ht="27.95" customHeight="1" x14ac:dyDescent="0.25">
      <c r="A31" s="1570" t="s">
        <v>532</v>
      </c>
      <c r="B31" s="1572" t="s">
        <v>1305</v>
      </c>
      <c r="C31" s="1600" t="s">
        <v>557</v>
      </c>
      <c r="D31" s="1579">
        <f>BS!D22</f>
        <v>18949</v>
      </c>
      <c r="E31" s="1579"/>
      <c r="F31" s="1579"/>
      <c r="G31" s="1551">
        <f>BS!F22</f>
        <v>15613</v>
      </c>
      <c r="H31" s="1560"/>
      <c r="I31" s="1555"/>
      <c r="J31" s="570"/>
    </row>
    <row r="32" spans="1:10" s="569" customFormat="1" ht="27.95" customHeight="1" x14ac:dyDescent="0.25">
      <c r="A32" s="1570"/>
      <c r="B32" s="1572"/>
      <c r="C32" s="1573"/>
      <c r="D32" s="1579">
        <f>BS!E22</f>
        <v>3336</v>
      </c>
      <c r="E32" s="1579"/>
      <c r="F32" s="1579"/>
      <c r="G32" s="642"/>
      <c r="H32" s="1551">
        <f>BS!G22</f>
        <v>16993</v>
      </c>
      <c r="I32" s="1560"/>
      <c r="J32" s="1552"/>
    </row>
    <row r="33" spans="1:10" s="569" customFormat="1" ht="11.25" customHeight="1" x14ac:dyDescent="0.25">
      <c r="A33" s="1567" t="s">
        <v>1221</v>
      </c>
      <c r="B33" s="1575" t="s">
        <v>1265</v>
      </c>
      <c r="C33" s="1577" t="s">
        <v>1219</v>
      </c>
      <c r="D33" s="1556" t="s">
        <v>2</v>
      </c>
      <c r="E33" s="1587"/>
      <c r="F33" s="1587"/>
      <c r="G33" s="1587"/>
      <c r="H33" s="1559"/>
      <c r="I33" s="1561" t="s">
        <v>1264</v>
      </c>
      <c r="J33" s="1562"/>
    </row>
    <row r="34" spans="1:10" s="569" customFormat="1" ht="11.25" customHeight="1" x14ac:dyDescent="0.15">
      <c r="A34" s="1568"/>
      <c r="B34" s="1576"/>
      <c r="C34" s="1578"/>
      <c r="D34" s="1580">
        <v>1</v>
      </c>
      <c r="E34" s="1576" t="s">
        <v>1263</v>
      </c>
      <c r="F34" s="1576"/>
      <c r="G34" s="1563" t="s">
        <v>1262</v>
      </c>
      <c r="H34" s="1564"/>
      <c r="I34" s="1556"/>
      <c r="J34" s="1557"/>
    </row>
    <row r="35" spans="1:10" s="569" customFormat="1" ht="12" customHeight="1" x14ac:dyDescent="0.15">
      <c r="A35" s="1568"/>
      <c r="B35" s="1576"/>
      <c r="C35" s="1578"/>
      <c r="D35" s="1580"/>
      <c r="E35" s="1576" t="s">
        <v>1261</v>
      </c>
      <c r="F35" s="1576"/>
      <c r="G35" s="1620"/>
      <c r="H35" s="1621"/>
      <c r="I35" s="1565" t="s">
        <v>1260</v>
      </c>
      <c r="J35" s="1566"/>
    </row>
    <row r="36" spans="1:10" ht="27.95" customHeight="1" x14ac:dyDescent="0.25">
      <c r="A36" s="1569" t="s">
        <v>535</v>
      </c>
      <c r="B36" s="1571" t="s">
        <v>1304</v>
      </c>
      <c r="C36" s="1573" t="s">
        <v>559</v>
      </c>
      <c r="D36" s="1579">
        <f>BS!D23</f>
        <v>191172</v>
      </c>
      <c r="E36" s="1579"/>
      <c r="F36" s="1579"/>
      <c r="G36" s="1551">
        <f>BS!F23</f>
        <v>79942</v>
      </c>
      <c r="H36" s="1560"/>
      <c r="I36" s="1555"/>
      <c r="J36" s="570"/>
    </row>
    <row r="37" spans="1:10" ht="27.95" customHeight="1" x14ac:dyDescent="0.25">
      <c r="A37" s="1570"/>
      <c r="B37" s="1572"/>
      <c r="C37" s="1574"/>
      <c r="D37" s="1579">
        <f>BS!E23</f>
        <v>111230</v>
      </c>
      <c r="E37" s="1579"/>
      <c r="F37" s="1579"/>
      <c r="G37" s="642"/>
      <c r="H37" s="1551">
        <f>BS!G23</f>
        <v>49017</v>
      </c>
      <c r="I37" s="1560"/>
      <c r="J37" s="1552"/>
    </row>
    <row r="38" spans="1:10" ht="27.95" customHeight="1" x14ac:dyDescent="0.25">
      <c r="A38" s="1570" t="s">
        <v>538</v>
      </c>
      <c r="B38" s="1572" t="s">
        <v>1303</v>
      </c>
      <c r="C38" s="1574" t="s">
        <v>561</v>
      </c>
      <c r="D38" s="1579">
        <f>BS!D24</f>
        <v>0</v>
      </c>
      <c r="E38" s="1579"/>
      <c r="F38" s="1579"/>
      <c r="G38" s="1551">
        <f>BS!F24</f>
        <v>0</v>
      </c>
      <c r="H38" s="1560"/>
      <c r="I38" s="1555"/>
      <c r="J38" s="570"/>
    </row>
    <row r="39" spans="1:10" ht="27.95" customHeight="1" x14ac:dyDescent="0.25">
      <c r="A39" s="1570"/>
      <c r="B39" s="1572"/>
      <c r="C39" s="1574"/>
      <c r="D39" s="1579">
        <f>BS!E24</f>
        <v>0</v>
      </c>
      <c r="E39" s="1579"/>
      <c r="F39" s="1579"/>
      <c r="G39" s="642"/>
      <c r="H39" s="1551">
        <f>BS!G24</f>
        <v>0</v>
      </c>
      <c r="I39" s="1560"/>
      <c r="J39" s="1552"/>
    </row>
    <row r="40" spans="1:10" ht="27.95" customHeight="1" x14ac:dyDescent="0.25">
      <c r="A40" s="1570" t="s">
        <v>541</v>
      </c>
      <c r="B40" s="1572" t="s">
        <v>1302</v>
      </c>
      <c r="C40" s="1573" t="s">
        <v>563</v>
      </c>
      <c r="D40" s="1579">
        <f>BS!D25</f>
        <v>0</v>
      </c>
      <c r="E40" s="1579"/>
      <c r="F40" s="1579"/>
      <c r="G40" s="1551">
        <f>BS!F25</f>
        <v>0</v>
      </c>
      <c r="H40" s="1560"/>
      <c r="I40" s="1555"/>
      <c r="J40" s="570"/>
    </row>
    <row r="41" spans="1:10" ht="27.95" customHeight="1" x14ac:dyDescent="0.25">
      <c r="A41" s="1570"/>
      <c r="B41" s="1572"/>
      <c r="C41" s="1574"/>
      <c r="D41" s="1579">
        <f>BS!E25</f>
        <v>0</v>
      </c>
      <c r="E41" s="1579"/>
      <c r="F41" s="1579"/>
      <c r="G41" s="642"/>
      <c r="H41" s="1551">
        <f>BS!G25</f>
        <v>0</v>
      </c>
      <c r="I41" s="1560"/>
      <c r="J41" s="1552"/>
    </row>
    <row r="42" spans="1:10" ht="27.95" customHeight="1" x14ac:dyDescent="0.25">
      <c r="A42" s="1570" t="s">
        <v>544</v>
      </c>
      <c r="B42" s="1572" t="s">
        <v>1301</v>
      </c>
      <c r="C42" s="1574" t="s">
        <v>565</v>
      </c>
      <c r="D42" s="1579">
        <f>BS!D26</f>
        <v>0</v>
      </c>
      <c r="E42" s="1579"/>
      <c r="F42" s="1579"/>
      <c r="G42" s="1551">
        <f>BS!F26</f>
        <v>0</v>
      </c>
      <c r="H42" s="1560"/>
      <c r="I42" s="1555"/>
      <c r="J42" s="570"/>
    </row>
    <row r="43" spans="1:10" ht="27.95" customHeight="1" x14ac:dyDescent="0.25">
      <c r="A43" s="1570"/>
      <c r="B43" s="1572"/>
      <c r="C43" s="1574"/>
      <c r="D43" s="1579">
        <f>BS!E26</f>
        <v>0</v>
      </c>
      <c r="E43" s="1579"/>
      <c r="F43" s="1579"/>
      <c r="G43" s="642"/>
      <c r="H43" s="1551">
        <f>BS!G26</f>
        <v>0</v>
      </c>
      <c r="I43" s="1560"/>
      <c r="J43" s="1552"/>
    </row>
    <row r="44" spans="1:10" ht="27.95" customHeight="1" x14ac:dyDescent="0.25">
      <c r="A44" s="1570" t="s">
        <v>547</v>
      </c>
      <c r="B44" s="1572" t="s">
        <v>1300</v>
      </c>
      <c r="C44" s="1573" t="s">
        <v>567</v>
      </c>
      <c r="D44" s="1579">
        <f>BS!D27</f>
        <v>0</v>
      </c>
      <c r="E44" s="1579"/>
      <c r="F44" s="1579"/>
      <c r="G44" s="1551">
        <f>BS!F27</f>
        <v>0</v>
      </c>
      <c r="H44" s="1560"/>
      <c r="I44" s="1555"/>
      <c r="J44" s="570"/>
    </row>
    <row r="45" spans="1:10" ht="27.95" customHeight="1" x14ac:dyDescent="0.25">
      <c r="A45" s="1570"/>
      <c r="B45" s="1572"/>
      <c r="C45" s="1574"/>
      <c r="D45" s="1579">
        <f>BS!E27</f>
        <v>0</v>
      </c>
      <c r="E45" s="1579"/>
      <c r="F45" s="1579"/>
      <c r="G45" s="642"/>
      <c r="H45" s="1551">
        <f>BS!G27</f>
        <v>48074</v>
      </c>
      <c r="I45" s="1560"/>
      <c r="J45" s="1552"/>
    </row>
    <row r="46" spans="1:10" ht="27.95" customHeight="1" x14ac:dyDescent="0.25">
      <c r="A46" s="1570" t="s">
        <v>568</v>
      </c>
      <c r="B46" s="1572" t="s">
        <v>1299</v>
      </c>
      <c r="C46" s="1574" t="s">
        <v>570</v>
      </c>
      <c r="D46" s="1579">
        <f>BS!D28</f>
        <v>0</v>
      </c>
      <c r="E46" s="1579"/>
      <c r="F46" s="1579"/>
      <c r="G46" s="1551">
        <f>BS!F28</f>
        <v>0</v>
      </c>
      <c r="H46" s="1560"/>
      <c r="I46" s="1555"/>
      <c r="J46" s="570"/>
    </row>
    <row r="47" spans="1:10" ht="27.95" customHeight="1" x14ac:dyDescent="0.25">
      <c r="A47" s="1570"/>
      <c r="B47" s="1572"/>
      <c r="C47" s="1574"/>
      <c r="D47" s="1579">
        <f>BS!E28</f>
        <v>0</v>
      </c>
      <c r="E47" s="1579"/>
      <c r="F47" s="1579"/>
      <c r="G47" s="642"/>
      <c r="H47" s="1551">
        <f>BS!G28</f>
        <v>0</v>
      </c>
      <c r="I47" s="1560"/>
      <c r="J47" s="1552"/>
    </row>
    <row r="48" spans="1:10" ht="27.95" customHeight="1" x14ac:dyDescent="0.25">
      <c r="A48" s="1570" t="s">
        <v>571</v>
      </c>
      <c r="B48" s="1572" t="s">
        <v>1298</v>
      </c>
      <c r="C48" s="1573" t="s">
        <v>573</v>
      </c>
      <c r="D48" s="1579">
        <f>BS!D29</f>
        <v>0</v>
      </c>
      <c r="E48" s="1579"/>
      <c r="F48" s="1579"/>
      <c r="G48" s="1551">
        <f>BS!F29</f>
        <v>0</v>
      </c>
      <c r="H48" s="1560"/>
      <c r="I48" s="1555"/>
      <c r="J48" s="570"/>
    </row>
    <row r="49" spans="1:10" ht="27.95" customHeight="1" x14ac:dyDescent="0.25">
      <c r="A49" s="1570"/>
      <c r="B49" s="1572"/>
      <c r="C49" s="1574"/>
      <c r="D49" s="1579">
        <f>BS!E29</f>
        <v>0</v>
      </c>
      <c r="E49" s="1579"/>
      <c r="F49" s="1579"/>
      <c r="G49" s="642"/>
      <c r="H49" s="1551">
        <f>BS!G29</f>
        <v>0</v>
      </c>
      <c r="I49" s="1560"/>
      <c r="J49" s="1552"/>
    </row>
    <row r="50" spans="1:10" ht="27.95" customHeight="1" x14ac:dyDescent="0.25">
      <c r="A50" s="1597" t="s">
        <v>574</v>
      </c>
      <c r="B50" s="1591" t="s">
        <v>1297</v>
      </c>
      <c r="C50" s="1574" t="s">
        <v>576</v>
      </c>
      <c r="D50" s="1579">
        <f>BS!D30</f>
        <v>0</v>
      </c>
      <c r="E50" s="1579"/>
      <c r="F50" s="1579"/>
      <c r="G50" s="1551">
        <f>BS!F30</f>
        <v>0</v>
      </c>
      <c r="H50" s="1560"/>
      <c r="I50" s="1555"/>
      <c r="J50" s="570"/>
    </row>
    <row r="51" spans="1:10" ht="27.95" customHeight="1" x14ac:dyDescent="0.25">
      <c r="A51" s="1597"/>
      <c r="B51" s="1591"/>
      <c r="C51" s="1574"/>
      <c r="D51" s="1579">
        <f>BS!E30</f>
        <v>0</v>
      </c>
      <c r="E51" s="1579"/>
      <c r="F51" s="1579"/>
      <c r="G51" s="642"/>
      <c r="H51" s="1551">
        <f>BS!G30</f>
        <v>0</v>
      </c>
      <c r="I51" s="1560"/>
      <c r="J51" s="1552"/>
    </row>
    <row r="52" spans="1:10" s="499" customFormat="1" ht="27.95" customHeight="1" x14ac:dyDescent="0.25">
      <c r="A52" s="1599" t="s">
        <v>577</v>
      </c>
      <c r="B52" s="1572" t="s">
        <v>1296</v>
      </c>
      <c r="C52" s="1573" t="s">
        <v>579</v>
      </c>
      <c r="D52" s="1579">
        <f>BS!D31</f>
        <v>0</v>
      </c>
      <c r="E52" s="1579"/>
      <c r="F52" s="1579"/>
      <c r="G52" s="1551">
        <f>BS!F31</f>
        <v>0</v>
      </c>
      <c r="H52" s="1560"/>
      <c r="I52" s="1555"/>
      <c r="J52" s="570"/>
    </row>
    <row r="53" spans="1:10" s="499" customFormat="1" ht="27.95" customHeight="1" x14ac:dyDescent="0.25">
      <c r="A53" s="1599"/>
      <c r="B53" s="1572"/>
      <c r="C53" s="1574"/>
      <c r="D53" s="1579">
        <f>BS!E31</f>
        <v>0</v>
      </c>
      <c r="E53" s="1579"/>
      <c r="F53" s="1579"/>
      <c r="G53" s="642"/>
      <c r="H53" s="1551">
        <f>BS!G31</f>
        <v>0</v>
      </c>
      <c r="I53" s="1560"/>
      <c r="J53" s="1552"/>
    </row>
    <row r="54" spans="1:10" ht="27.95" customHeight="1" x14ac:dyDescent="0.25">
      <c r="A54" s="1570" t="s">
        <v>532</v>
      </c>
      <c r="B54" s="1572" t="s">
        <v>1295</v>
      </c>
      <c r="C54" s="1574" t="s">
        <v>581</v>
      </c>
      <c r="D54" s="1579">
        <f>BS!D32</f>
        <v>0</v>
      </c>
      <c r="E54" s="1579"/>
      <c r="F54" s="1579"/>
      <c r="G54" s="1551">
        <f>BS!F32</f>
        <v>0</v>
      </c>
      <c r="H54" s="1560"/>
      <c r="I54" s="1555"/>
      <c r="J54" s="570"/>
    </row>
    <row r="55" spans="1:10" ht="27.95" customHeight="1" x14ac:dyDescent="0.25">
      <c r="A55" s="1570"/>
      <c r="B55" s="1572"/>
      <c r="C55" s="1574"/>
      <c r="D55" s="1579">
        <f>BS!E32</f>
        <v>0</v>
      </c>
      <c r="E55" s="1579"/>
      <c r="F55" s="1579"/>
      <c r="G55" s="642"/>
      <c r="H55" s="1551">
        <f>BS!G32</f>
        <v>0</v>
      </c>
      <c r="I55" s="1560"/>
      <c r="J55" s="1552"/>
    </row>
    <row r="56" spans="1:10" ht="27.95" customHeight="1" x14ac:dyDescent="0.25">
      <c r="A56" s="1570" t="s">
        <v>535</v>
      </c>
      <c r="B56" s="1572" t="s">
        <v>1294</v>
      </c>
      <c r="C56" s="1573" t="s">
        <v>583</v>
      </c>
      <c r="D56" s="1579">
        <f>BS!D33</f>
        <v>0</v>
      </c>
      <c r="E56" s="1579"/>
      <c r="F56" s="1579"/>
      <c r="G56" s="1551">
        <f>BS!F33</f>
        <v>0</v>
      </c>
      <c r="H56" s="1560"/>
      <c r="I56" s="1555"/>
      <c r="J56" s="570"/>
    </row>
    <row r="57" spans="1:10" ht="27.95" customHeight="1" x14ac:dyDescent="0.25">
      <c r="A57" s="1570"/>
      <c r="B57" s="1572"/>
      <c r="C57" s="1574"/>
      <c r="D57" s="1579">
        <f>BS!E33</f>
        <v>0</v>
      </c>
      <c r="E57" s="1579"/>
      <c r="F57" s="1579"/>
      <c r="G57" s="642"/>
      <c r="H57" s="1551">
        <f>BS!G33</f>
        <v>0</v>
      </c>
      <c r="I57" s="1560"/>
      <c r="J57" s="1552"/>
    </row>
    <row r="58" spans="1:10" ht="27.95" customHeight="1" x14ac:dyDescent="0.25">
      <c r="A58" s="1570" t="s">
        <v>538</v>
      </c>
      <c r="B58" s="1572" t="s">
        <v>1293</v>
      </c>
      <c r="C58" s="1574" t="s">
        <v>585</v>
      </c>
      <c r="D58" s="1579">
        <f>BS!D34</f>
        <v>0</v>
      </c>
      <c r="E58" s="1579"/>
      <c r="F58" s="1579"/>
      <c r="G58" s="1551">
        <f>BS!F34</f>
        <v>0</v>
      </c>
      <c r="H58" s="1560"/>
      <c r="I58" s="1555"/>
      <c r="J58" s="570"/>
    </row>
    <row r="59" spans="1:10" ht="27.95" customHeight="1" x14ac:dyDescent="0.25">
      <c r="A59" s="1570"/>
      <c r="B59" s="1572"/>
      <c r="C59" s="1574"/>
      <c r="D59" s="1579">
        <f>BS!E34</f>
        <v>0</v>
      </c>
      <c r="E59" s="1579"/>
      <c r="F59" s="1579"/>
      <c r="G59" s="642"/>
      <c r="H59" s="1551">
        <f>BS!G34</f>
        <v>0</v>
      </c>
      <c r="I59" s="1560"/>
      <c r="J59" s="1552"/>
    </row>
    <row r="60" spans="1:10" ht="27.95" customHeight="1" x14ac:dyDescent="0.25">
      <c r="A60" s="1570" t="s">
        <v>541</v>
      </c>
      <c r="B60" s="1572" t="s">
        <v>1292</v>
      </c>
      <c r="C60" s="1573" t="s">
        <v>587</v>
      </c>
      <c r="D60" s="1579">
        <f>BS!D35</f>
        <v>0</v>
      </c>
      <c r="E60" s="1579"/>
      <c r="F60" s="1579"/>
      <c r="G60" s="1551">
        <f>BS!F35</f>
        <v>0</v>
      </c>
      <c r="H60" s="1560"/>
      <c r="I60" s="1555"/>
      <c r="J60" s="570"/>
    </row>
    <row r="61" spans="1:10" ht="27.95" customHeight="1" x14ac:dyDescent="0.25">
      <c r="A61" s="1570"/>
      <c r="B61" s="1572"/>
      <c r="C61" s="1574"/>
      <c r="D61" s="1579">
        <f>BS!E35</f>
        <v>0</v>
      </c>
      <c r="E61" s="1579"/>
      <c r="F61" s="1579"/>
      <c r="G61" s="642"/>
      <c r="H61" s="1551">
        <f>BS!G35</f>
        <v>0</v>
      </c>
      <c r="I61" s="1560"/>
      <c r="J61" s="1552"/>
    </row>
    <row r="62" spans="1:10" ht="27.95" customHeight="1" x14ac:dyDescent="0.25">
      <c r="A62" s="1570" t="s">
        <v>544</v>
      </c>
      <c r="B62" s="1572" t="s">
        <v>1291</v>
      </c>
      <c r="C62" s="1574" t="s">
        <v>589</v>
      </c>
      <c r="D62" s="1579">
        <f>BS!D36</f>
        <v>0</v>
      </c>
      <c r="E62" s="1579"/>
      <c r="F62" s="1579"/>
      <c r="G62" s="1551">
        <f>BS!F36</f>
        <v>0</v>
      </c>
      <c r="H62" s="1560"/>
      <c r="I62" s="1555"/>
      <c r="J62" s="570"/>
    </row>
    <row r="63" spans="1:10" ht="27.95" customHeight="1" x14ac:dyDescent="0.25">
      <c r="A63" s="1570"/>
      <c r="B63" s="1572"/>
      <c r="C63" s="1574"/>
      <c r="D63" s="1579">
        <f>BS!E36</f>
        <v>0</v>
      </c>
      <c r="E63" s="1579"/>
      <c r="F63" s="1579"/>
      <c r="G63" s="642"/>
      <c r="H63" s="1551">
        <f>BS!G36</f>
        <v>0</v>
      </c>
      <c r="I63" s="1560"/>
      <c r="J63" s="1552"/>
    </row>
    <row r="64" spans="1:10" ht="11.25" customHeight="1" x14ac:dyDescent="0.25">
      <c r="A64" s="1567" t="s">
        <v>1221</v>
      </c>
      <c r="B64" s="1575" t="s">
        <v>1265</v>
      </c>
      <c r="C64" s="1577" t="s">
        <v>1219</v>
      </c>
      <c r="D64" s="1556" t="s">
        <v>2</v>
      </c>
      <c r="E64" s="1587"/>
      <c r="F64" s="1587"/>
      <c r="G64" s="1587"/>
      <c r="H64" s="1559"/>
      <c r="I64" s="1561" t="s">
        <v>1264</v>
      </c>
      <c r="J64" s="1562"/>
    </row>
    <row r="65" spans="1:10" ht="11.25" customHeight="1" x14ac:dyDescent="0.15">
      <c r="A65" s="1568"/>
      <c r="B65" s="1576"/>
      <c r="C65" s="1578"/>
      <c r="D65" s="1580">
        <v>1</v>
      </c>
      <c r="E65" s="1576" t="s">
        <v>1263</v>
      </c>
      <c r="F65" s="1576"/>
      <c r="G65" s="1563" t="s">
        <v>1262</v>
      </c>
      <c r="H65" s="1564"/>
      <c r="I65" s="1556"/>
      <c r="J65" s="1557"/>
    </row>
    <row r="66" spans="1:10" ht="11.25" customHeight="1" x14ac:dyDescent="0.15">
      <c r="A66" s="1568"/>
      <c r="B66" s="1576"/>
      <c r="C66" s="1578"/>
      <c r="D66" s="1580"/>
      <c r="E66" s="1576" t="s">
        <v>1261</v>
      </c>
      <c r="F66" s="1576"/>
      <c r="G66" s="1594"/>
      <c r="H66" s="1595"/>
      <c r="I66" s="1592" t="s">
        <v>1260</v>
      </c>
      <c r="J66" s="1566"/>
    </row>
    <row r="67" spans="1:10" ht="27.95" customHeight="1" x14ac:dyDescent="0.25">
      <c r="A67" s="1570" t="s">
        <v>547</v>
      </c>
      <c r="B67" s="1572" t="s">
        <v>1290</v>
      </c>
      <c r="C67" s="1574" t="s">
        <v>888</v>
      </c>
      <c r="D67" s="1579">
        <f>BS!D37</f>
        <v>0</v>
      </c>
      <c r="E67" s="1579"/>
      <c r="F67" s="1579"/>
      <c r="G67" s="1551">
        <f>BS!F37</f>
        <v>0</v>
      </c>
      <c r="H67" s="1560"/>
      <c r="I67" s="1555"/>
      <c r="J67" s="570"/>
    </row>
    <row r="68" spans="1:10" ht="27.95" customHeight="1" x14ac:dyDescent="0.25">
      <c r="A68" s="1570"/>
      <c r="B68" s="1572"/>
      <c r="C68" s="1574"/>
      <c r="D68" s="1579">
        <f>BS!E37</f>
        <v>0</v>
      </c>
      <c r="E68" s="1579"/>
      <c r="F68" s="1579"/>
      <c r="G68" s="642"/>
      <c r="H68" s="1551">
        <f>BS!G37</f>
        <v>0</v>
      </c>
      <c r="I68" s="1560"/>
      <c r="J68" s="1552"/>
    </row>
    <row r="69" spans="1:10" ht="27.95" customHeight="1" x14ac:dyDescent="0.25">
      <c r="A69" s="1570" t="s">
        <v>568</v>
      </c>
      <c r="B69" s="1572" t="s">
        <v>1289</v>
      </c>
      <c r="C69" s="1574" t="s">
        <v>891</v>
      </c>
      <c r="D69" s="1579">
        <f>BS!D38</f>
        <v>0</v>
      </c>
      <c r="E69" s="1579"/>
      <c r="F69" s="1579"/>
      <c r="G69" s="1551">
        <f>BS!F38</f>
        <v>0</v>
      </c>
      <c r="H69" s="1560"/>
      <c r="I69" s="1555"/>
      <c r="J69" s="570"/>
    </row>
    <row r="70" spans="1:10" ht="27.95" customHeight="1" x14ac:dyDescent="0.25">
      <c r="A70" s="1570"/>
      <c r="B70" s="1572"/>
      <c r="C70" s="1574"/>
      <c r="D70" s="1579">
        <f>BS!E38</f>
        <v>0</v>
      </c>
      <c r="E70" s="1579"/>
      <c r="F70" s="1579"/>
      <c r="G70" s="642"/>
      <c r="H70" s="1551">
        <f>BS!G38</f>
        <v>0</v>
      </c>
      <c r="I70" s="1560"/>
      <c r="J70" s="1552"/>
    </row>
    <row r="71" spans="1:10" ht="27.95" customHeight="1" x14ac:dyDescent="0.25">
      <c r="A71" s="1586" t="s">
        <v>594</v>
      </c>
      <c r="B71" s="1591" t="s">
        <v>1288</v>
      </c>
      <c r="C71" s="1574" t="s">
        <v>894</v>
      </c>
      <c r="D71" s="1579">
        <f>BS!D39</f>
        <v>4504723</v>
      </c>
      <c r="E71" s="1579"/>
      <c r="F71" s="1579"/>
      <c r="G71" s="1551">
        <f>BS!F39</f>
        <v>4486655</v>
      </c>
      <c r="H71" s="1560"/>
      <c r="I71" s="1555"/>
      <c r="J71" s="570"/>
    </row>
    <row r="72" spans="1:10" ht="27.95" customHeight="1" x14ac:dyDescent="0.25">
      <c r="A72" s="1586"/>
      <c r="B72" s="1584"/>
      <c r="C72" s="1574"/>
      <c r="D72" s="1579">
        <f>BS!E39</f>
        <v>18068</v>
      </c>
      <c r="E72" s="1579"/>
      <c r="F72" s="1579"/>
      <c r="G72" s="642"/>
      <c r="H72" s="1551">
        <f>BS!G39</f>
        <v>4040245</v>
      </c>
      <c r="I72" s="1560"/>
      <c r="J72" s="1552"/>
    </row>
    <row r="73" spans="1:10" s="499" customFormat="1" ht="27.95" customHeight="1" x14ac:dyDescent="0.25">
      <c r="A73" s="1597" t="s">
        <v>597</v>
      </c>
      <c r="B73" s="1591" t="s">
        <v>1287</v>
      </c>
      <c r="C73" s="1574" t="s">
        <v>897</v>
      </c>
      <c r="D73" s="1579">
        <f>BS!D40</f>
        <v>0</v>
      </c>
      <c r="E73" s="1579"/>
      <c r="F73" s="1579"/>
      <c r="G73" s="1551">
        <f>BS!F40</f>
        <v>0</v>
      </c>
      <c r="H73" s="1560"/>
      <c r="I73" s="1555"/>
      <c r="J73" s="570"/>
    </row>
    <row r="74" spans="1:10" s="499" customFormat="1" ht="27.95" customHeight="1" x14ac:dyDescent="0.25">
      <c r="A74" s="1586"/>
      <c r="B74" s="1584"/>
      <c r="C74" s="1574"/>
      <c r="D74" s="1579">
        <f>BS!E40</f>
        <v>0</v>
      </c>
      <c r="E74" s="1579"/>
      <c r="F74" s="1579"/>
      <c r="G74" s="642"/>
      <c r="H74" s="1551">
        <f>BS!G40</f>
        <v>0</v>
      </c>
      <c r="I74" s="1560"/>
      <c r="J74" s="1552"/>
    </row>
    <row r="75" spans="1:10" s="499" customFormat="1" ht="27.95" customHeight="1" x14ac:dyDescent="0.25">
      <c r="A75" s="1596" t="s">
        <v>600</v>
      </c>
      <c r="B75" s="1572" t="s">
        <v>1286</v>
      </c>
      <c r="C75" s="1574" t="s">
        <v>900</v>
      </c>
      <c r="D75" s="1579">
        <f>BS!D41</f>
        <v>0</v>
      </c>
      <c r="E75" s="1579"/>
      <c r="F75" s="1579"/>
      <c r="G75" s="1551">
        <f>BS!F41</f>
        <v>0</v>
      </c>
      <c r="H75" s="1560"/>
      <c r="I75" s="1555"/>
      <c r="J75" s="570"/>
    </row>
    <row r="76" spans="1:10" s="499" customFormat="1" ht="27.95" customHeight="1" x14ac:dyDescent="0.25">
      <c r="A76" s="1581"/>
      <c r="B76" s="1572"/>
      <c r="C76" s="1574"/>
      <c r="D76" s="1579">
        <f>BS!E41</f>
        <v>0</v>
      </c>
      <c r="E76" s="1579"/>
      <c r="F76" s="1579"/>
      <c r="G76" s="642"/>
      <c r="H76" s="1551">
        <f>BS!G41</f>
        <v>0</v>
      </c>
      <c r="I76" s="1560"/>
      <c r="J76" s="1552"/>
    </row>
    <row r="77" spans="1:10" ht="27.95" customHeight="1" x14ac:dyDescent="0.25">
      <c r="A77" s="1570" t="s">
        <v>532</v>
      </c>
      <c r="B77" s="1572" t="s">
        <v>1285</v>
      </c>
      <c r="C77" s="1574" t="s">
        <v>903</v>
      </c>
      <c r="D77" s="1579">
        <f>BS!D42</f>
        <v>0</v>
      </c>
      <c r="E77" s="1579"/>
      <c r="F77" s="1579"/>
      <c r="G77" s="1551">
        <f>BS!F42</f>
        <v>0</v>
      </c>
      <c r="H77" s="1560"/>
      <c r="I77" s="1555"/>
      <c r="J77" s="570"/>
    </row>
    <row r="78" spans="1:10" ht="27.95" customHeight="1" x14ac:dyDescent="0.25">
      <c r="A78" s="1570"/>
      <c r="B78" s="1572"/>
      <c r="C78" s="1574"/>
      <c r="D78" s="1579">
        <f>BS!E42</f>
        <v>0</v>
      </c>
      <c r="E78" s="1579"/>
      <c r="F78" s="1579"/>
      <c r="G78" s="642"/>
      <c r="H78" s="1551">
        <f>BS!G42</f>
        <v>0</v>
      </c>
      <c r="I78" s="1560"/>
      <c r="J78" s="1552"/>
    </row>
    <row r="79" spans="1:10" ht="27.95" customHeight="1" x14ac:dyDescent="0.25">
      <c r="A79" s="1570" t="s">
        <v>535</v>
      </c>
      <c r="B79" s="1572" t="s">
        <v>1284</v>
      </c>
      <c r="C79" s="1574" t="s">
        <v>906</v>
      </c>
      <c r="D79" s="1579">
        <f>BS!D43</f>
        <v>0</v>
      </c>
      <c r="E79" s="1579"/>
      <c r="F79" s="1579"/>
      <c r="G79" s="1551">
        <f>BS!F43</f>
        <v>0</v>
      </c>
      <c r="H79" s="1560"/>
      <c r="I79" s="1555"/>
      <c r="J79" s="570"/>
    </row>
    <row r="80" spans="1:10" ht="27.95" customHeight="1" x14ac:dyDescent="0.25">
      <c r="A80" s="1570"/>
      <c r="B80" s="1572"/>
      <c r="C80" s="1574"/>
      <c r="D80" s="1579">
        <f>BS!E43</f>
        <v>0</v>
      </c>
      <c r="E80" s="1579"/>
      <c r="F80" s="1579"/>
      <c r="G80" s="642"/>
      <c r="H80" s="1551">
        <f>BS!G43</f>
        <v>0</v>
      </c>
      <c r="I80" s="1560"/>
      <c r="J80" s="1552"/>
    </row>
    <row r="81" spans="1:10" ht="27.95" customHeight="1" x14ac:dyDescent="0.25">
      <c r="A81" s="1570" t="s">
        <v>538</v>
      </c>
      <c r="B81" s="1572" t="s">
        <v>1283</v>
      </c>
      <c r="C81" s="1574" t="s">
        <v>909</v>
      </c>
      <c r="D81" s="1579">
        <f>BS!D44</f>
        <v>0</v>
      </c>
      <c r="E81" s="1579"/>
      <c r="F81" s="1579"/>
      <c r="G81" s="1551">
        <f>BS!F44</f>
        <v>0</v>
      </c>
      <c r="H81" s="1560"/>
      <c r="I81" s="1555"/>
      <c r="J81" s="570"/>
    </row>
    <row r="82" spans="1:10" ht="27.95" customHeight="1" x14ac:dyDescent="0.25">
      <c r="A82" s="1570"/>
      <c r="B82" s="1572"/>
      <c r="C82" s="1574"/>
      <c r="D82" s="1579">
        <f>BS!E44</f>
        <v>0</v>
      </c>
      <c r="E82" s="1579"/>
      <c r="F82" s="1579"/>
      <c r="G82" s="642"/>
      <c r="H82" s="1551">
        <f>BS!G44</f>
        <v>0</v>
      </c>
      <c r="I82" s="1560"/>
      <c r="J82" s="1552"/>
    </row>
    <row r="83" spans="1:10" ht="27.95" customHeight="1" x14ac:dyDescent="0.25">
      <c r="A83" s="1570" t="s">
        <v>541</v>
      </c>
      <c r="B83" s="1572" t="s">
        <v>1282</v>
      </c>
      <c r="C83" s="1574" t="s">
        <v>912</v>
      </c>
      <c r="D83" s="1579">
        <f>BS!D45</f>
        <v>0</v>
      </c>
      <c r="E83" s="1579"/>
      <c r="F83" s="1579"/>
      <c r="G83" s="1551">
        <f>BS!F45</f>
        <v>0</v>
      </c>
      <c r="H83" s="1560"/>
      <c r="I83" s="1555"/>
      <c r="J83" s="570"/>
    </row>
    <row r="84" spans="1:10" ht="27.95" customHeight="1" x14ac:dyDescent="0.25">
      <c r="A84" s="1570"/>
      <c r="B84" s="1572"/>
      <c r="C84" s="1574"/>
      <c r="D84" s="1579">
        <f>BS!E45</f>
        <v>0</v>
      </c>
      <c r="E84" s="1579"/>
      <c r="F84" s="1579"/>
      <c r="G84" s="642"/>
      <c r="H84" s="1551">
        <f>BS!G45</f>
        <v>0</v>
      </c>
      <c r="I84" s="1560"/>
      <c r="J84" s="1552"/>
    </row>
    <row r="85" spans="1:10" ht="27.95" customHeight="1" x14ac:dyDescent="0.25">
      <c r="A85" s="1570" t="s">
        <v>544</v>
      </c>
      <c r="B85" s="1572" t="s">
        <v>1281</v>
      </c>
      <c r="C85" s="1574" t="s">
        <v>915</v>
      </c>
      <c r="D85" s="1579">
        <f>BS!D46</f>
        <v>0</v>
      </c>
      <c r="E85" s="1579"/>
      <c r="F85" s="1579"/>
      <c r="G85" s="1551">
        <f>BS!F46</f>
        <v>0</v>
      </c>
      <c r="H85" s="1560"/>
      <c r="I85" s="1555"/>
      <c r="J85" s="570"/>
    </row>
    <row r="86" spans="1:10" ht="27.95" customHeight="1" x14ac:dyDescent="0.25">
      <c r="A86" s="1570"/>
      <c r="B86" s="1572"/>
      <c r="C86" s="1574"/>
      <c r="D86" s="1579">
        <f>BS!E46</f>
        <v>0</v>
      </c>
      <c r="E86" s="1579"/>
      <c r="F86" s="1579"/>
      <c r="G86" s="642"/>
      <c r="H86" s="1551">
        <f>BS!G46</f>
        <v>0</v>
      </c>
      <c r="I86" s="1560"/>
      <c r="J86" s="1552"/>
    </row>
    <row r="87" spans="1:10" ht="27.95" customHeight="1" x14ac:dyDescent="0.25">
      <c r="A87" s="1597" t="s">
        <v>613</v>
      </c>
      <c r="B87" s="1584" t="s">
        <v>1280</v>
      </c>
      <c r="C87" s="1574" t="s">
        <v>918</v>
      </c>
      <c r="D87" s="1579">
        <f>BS!D47</f>
        <v>114485</v>
      </c>
      <c r="E87" s="1579"/>
      <c r="F87" s="1579"/>
      <c r="G87" s="1551">
        <f>BS!F47</f>
        <v>11485</v>
      </c>
      <c r="H87" s="1560"/>
      <c r="I87" s="1555"/>
      <c r="J87" s="570"/>
    </row>
    <row r="88" spans="1:10" ht="27.95" customHeight="1" x14ac:dyDescent="0.25">
      <c r="A88" s="1586"/>
      <c r="B88" s="1584"/>
      <c r="C88" s="1574"/>
      <c r="D88" s="1579">
        <f>BS!E47</f>
        <v>0</v>
      </c>
      <c r="E88" s="1579"/>
      <c r="F88" s="1579"/>
      <c r="G88" s="642"/>
      <c r="H88" s="1551">
        <f>BS!G47</f>
        <v>20223</v>
      </c>
      <c r="I88" s="1560"/>
      <c r="J88" s="1552"/>
    </row>
    <row r="89" spans="1:10" s="499" customFormat="1" ht="27.95" customHeight="1" x14ac:dyDescent="0.25">
      <c r="A89" s="1596" t="s">
        <v>616</v>
      </c>
      <c r="B89" s="1572" t="s">
        <v>1279</v>
      </c>
      <c r="C89" s="1574" t="s">
        <v>921</v>
      </c>
      <c r="D89" s="1579">
        <f>BS!D48</f>
        <v>0</v>
      </c>
      <c r="E89" s="1579"/>
      <c r="F89" s="1579"/>
      <c r="G89" s="1551">
        <f>BS!F48</f>
        <v>0</v>
      </c>
      <c r="H89" s="1560"/>
      <c r="I89" s="1555"/>
      <c r="J89" s="570"/>
    </row>
    <row r="90" spans="1:10" s="499" customFormat="1" ht="27.95" customHeight="1" x14ac:dyDescent="0.25">
      <c r="A90" s="1581"/>
      <c r="B90" s="1572"/>
      <c r="C90" s="1574"/>
      <c r="D90" s="1579">
        <f>BS!E48</f>
        <v>0</v>
      </c>
      <c r="E90" s="1579"/>
      <c r="F90" s="1579"/>
      <c r="G90" s="642"/>
      <c r="H90" s="1551">
        <f>BS!G48</f>
        <v>0</v>
      </c>
      <c r="I90" s="1560"/>
      <c r="J90" s="1552"/>
    </row>
    <row r="91" spans="1:10" s="499" customFormat="1" ht="27.95" customHeight="1" x14ac:dyDescent="0.25">
      <c r="A91" s="1570" t="s">
        <v>532</v>
      </c>
      <c r="B91" s="1572" t="s">
        <v>1274</v>
      </c>
      <c r="C91" s="1574" t="s">
        <v>924</v>
      </c>
      <c r="D91" s="1579">
        <f>BS!D49</f>
        <v>0</v>
      </c>
      <c r="E91" s="1579"/>
      <c r="F91" s="1579"/>
      <c r="G91" s="1551">
        <f>BS!F49</f>
        <v>0</v>
      </c>
      <c r="H91" s="1560"/>
      <c r="I91" s="1555"/>
      <c r="J91" s="570"/>
    </row>
    <row r="92" spans="1:10" s="499" customFormat="1" ht="27.95" customHeight="1" x14ac:dyDescent="0.25">
      <c r="A92" s="1570"/>
      <c r="B92" s="1572"/>
      <c r="C92" s="1574"/>
      <c r="D92" s="1579">
        <f>BS!E49</f>
        <v>0</v>
      </c>
      <c r="E92" s="1579"/>
      <c r="F92" s="1579"/>
      <c r="G92" s="642"/>
      <c r="H92" s="1551">
        <f>BS!G49</f>
        <v>0</v>
      </c>
      <c r="I92" s="1560"/>
      <c r="J92" s="1552"/>
    </row>
    <row r="93" spans="1:10" ht="27.95" customHeight="1" x14ac:dyDescent="0.25">
      <c r="A93" s="1570" t="s">
        <v>535</v>
      </c>
      <c r="B93" s="1572" t="s">
        <v>1273</v>
      </c>
      <c r="C93" s="1574" t="s">
        <v>927</v>
      </c>
      <c r="D93" s="1579">
        <f>BS!D50</f>
        <v>0</v>
      </c>
      <c r="E93" s="1579"/>
      <c r="F93" s="1579"/>
      <c r="G93" s="1551">
        <f>BS!F50</f>
        <v>0</v>
      </c>
      <c r="H93" s="1560"/>
      <c r="I93" s="1555"/>
      <c r="J93" s="570"/>
    </row>
    <row r="94" spans="1:10" ht="27.95" customHeight="1" x14ac:dyDescent="0.25">
      <c r="A94" s="1570"/>
      <c r="B94" s="1572"/>
      <c r="C94" s="1574"/>
      <c r="D94" s="1579">
        <f>BS!E50</f>
        <v>0</v>
      </c>
      <c r="E94" s="1579"/>
      <c r="F94" s="1579"/>
      <c r="G94" s="642"/>
      <c r="H94" s="1551">
        <f>BS!G50</f>
        <v>0</v>
      </c>
      <c r="I94" s="1560"/>
      <c r="J94" s="1552"/>
    </row>
    <row r="95" spans="1:10" ht="11.25" customHeight="1" x14ac:dyDescent="0.25">
      <c r="A95" s="1567" t="s">
        <v>1221</v>
      </c>
      <c r="B95" s="1575" t="s">
        <v>1265</v>
      </c>
      <c r="C95" s="1577" t="s">
        <v>1219</v>
      </c>
      <c r="D95" s="1556" t="s">
        <v>2</v>
      </c>
      <c r="E95" s="1587"/>
      <c r="F95" s="1587"/>
      <c r="G95" s="1587"/>
      <c r="H95" s="1559"/>
      <c r="I95" s="1561" t="s">
        <v>1264</v>
      </c>
      <c r="J95" s="1562"/>
    </row>
    <row r="96" spans="1:10" ht="11.25" customHeight="1" x14ac:dyDescent="0.15">
      <c r="A96" s="1568"/>
      <c r="B96" s="1576"/>
      <c r="C96" s="1578"/>
      <c r="D96" s="1580">
        <v>1</v>
      </c>
      <c r="E96" s="1576" t="s">
        <v>1263</v>
      </c>
      <c r="F96" s="1576"/>
      <c r="G96" s="1563" t="s">
        <v>1262</v>
      </c>
      <c r="H96" s="1564"/>
      <c r="I96" s="1556"/>
      <c r="J96" s="1557"/>
    </row>
    <row r="97" spans="1:12" ht="12" customHeight="1" x14ac:dyDescent="0.15">
      <c r="A97" s="1598"/>
      <c r="B97" s="1593"/>
      <c r="C97" s="1578"/>
      <c r="D97" s="1609"/>
      <c r="E97" s="1593" t="s">
        <v>1261</v>
      </c>
      <c r="F97" s="1593"/>
      <c r="G97" s="1594"/>
      <c r="H97" s="1595"/>
      <c r="I97" s="1592" t="s">
        <v>1260</v>
      </c>
      <c r="J97" s="1566"/>
    </row>
    <row r="98" spans="1:12" ht="27.95" customHeight="1" x14ac:dyDescent="0.25">
      <c r="A98" s="1570" t="s">
        <v>538</v>
      </c>
      <c r="B98" s="1572" t="s">
        <v>1272</v>
      </c>
      <c r="C98" s="1573" t="s">
        <v>930</v>
      </c>
      <c r="D98" s="1579">
        <f>BS!D51</f>
        <v>0</v>
      </c>
      <c r="E98" s="1579"/>
      <c r="F98" s="1579"/>
      <c r="G98" s="1551">
        <f>BS!F51</f>
        <v>0</v>
      </c>
      <c r="H98" s="1560"/>
      <c r="I98" s="1555"/>
      <c r="J98" s="570"/>
      <c r="L98" s="551" t="s">
        <v>1177</v>
      </c>
    </row>
    <row r="99" spans="1:12" ht="27.95" customHeight="1" x14ac:dyDescent="0.25">
      <c r="A99" s="1570"/>
      <c r="B99" s="1572"/>
      <c r="C99" s="1574"/>
      <c r="D99" s="1579">
        <f>BS!E51</f>
        <v>0</v>
      </c>
      <c r="E99" s="1579"/>
      <c r="F99" s="1579"/>
      <c r="G99" s="642"/>
      <c r="H99" s="1551">
        <f>BS!G51</f>
        <v>0</v>
      </c>
      <c r="I99" s="1560"/>
      <c r="J99" s="1552"/>
    </row>
    <row r="100" spans="1:12" ht="27.95" customHeight="1" x14ac:dyDescent="0.25">
      <c r="A100" s="1570" t="s">
        <v>541</v>
      </c>
      <c r="B100" s="1572" t="s">
        <v>1278</v>
      </c>
      <c r="C100" s="1574" t="s">
        <v>933</v>
      </c>
      <c r="D100" s="1579">
        <f>BS!D52</f>
        <v>0</v>
      </c>
      <c r="E100" s="1579"/>
      <c r="F100" s="1579"/>
      <c r="G100" s="1551">
        <f>BS!F52</f>
        <v>0</v>
      </c>
      <c r="H100" s="1560"/>
      <c r="I100" s="1555"/>
      <c r="J100" s="570"/>
    </row>
    <row r="101" spans="1:12" ht="27.95" customHeight="1" x14ac:dyDescent="0.25">
      <c r="A101" s="1570"/>
      <c r="B101" s="1572"/>
      <c r="C101" s="1574"/>
      <c r="D101" s="1579">
        <f>BS!E52</f>
        <v>0</v>
      </c>
      <c r="E101" s="1579"/>
      <c r="F101" s="1579"/>
      <c r="G101" s="642"/>
      <c r="H101" s="1551">
        <f>BS!G52</f>
        <v>0</v>
      </c>
      <c r="I101" s="1560"/>
      <c r="J101" s="1552"/>
    </row>
    <row r="102" spans="1:12" ht="27.95" customHeight="1" x14ac:dyDescent="0.25">
      <c r="A102" s="1570" t="s">
        <v>544</v>
      </c>
      <c r="B102" s="1572" t="s">
        <v>1268</v>
      </c>
      <c r="C102" s="1573" t="s">
        <v>936</v>
      </c>
      <c r="D102" s="1579">
        <f>BS!D53</f>
        <v>0</v>
      </c>
      <c r="E102" s="1579"/>
      <c r="F102" s="1579"/>
      <c r="G102" s="1551">
        <f>BS!F53</f>
        <v>0</v>
      </c>
      <c r="H102" s="1560"/>
      <c r="I102" s="1555"/>
      <c r="J102" s="570"/>
    </row>
    <row r="103" spans="1:12" ht="27.95" customHeight="1" x14ac:dyDescent="0.25">
      <c r="A103" s="1570"/>
      <c r="B103" s="1572"/>
      <c r="C103" s="1574"/>
      <c r="D103" s="1579">
        <f>BS!E53</f>
        <v>0</v>
      </c>
      <c r="E103" s="1579"/>
      <c r="F103" s="1579"/>
      <c r="G103" s="642"/>
      <c r="H103" s="1551">
        <f>BS!G53</f>
        <v>0</v>
      </c>
      <c r="I103" s="1560"/>
      <c r="J103" s="1552"/>
    </row>
    <row r="104" spans="1:12" ht="27.95" customHeight="1" x14ac:dyDescent="0.25">
      <c r="A104" s="1570" t="s">
        <v>547</v>
      </c>
      <c r="B104" s="1572" t="s">
        <v>1277</v>
      </c>
      <c r="C104" s="1574" t="s">
        <v>939</v>
      </c>
      <c r="D104" s="1579">
        <f>BS!D54</f>
        <v>11485</v>
      </c>
      <c r="E104" s="1579"/>
      <c r="F104" s="1579"/>
      <c r="G104" s="1551">
        <f>BS!F54</f>
        <v>11485</v>
      </c>
      <c r="H104" s="1560"/>
      <c r="I104" s="1555"/>
      <c r="J104" s="570"/>
    </row>
    <row r="105" spans="1:12" ht="27.95" customHeight="1" x14ac:dyDescent="0.25">
      <c r="A105" s="1570"/>
      <c r="B105" s="1572"/>
      <c r="C105" s="1574"/>
      <c r="D105" s="1579">
        <f>BS!E54</f>
        <v>0</v>
      </c>
      <c r="E105" s="1579"/>
      <c r="F105" s="1579"/>
      <c r="G105" s="642"/>
      <c r="H105" s="1551">
        <f>BS!G54</f>
        <v>20223</v>
      </c>
      <c r="I105" s="1560"/>
      <c r="J105" s="1552"/>
    </row>
    <row r="106" spans="1:12" ht="27.95" customHeight="1" x14ac:dyDescent="0.25">
      <c r="A106" s="1590" t="s">
        <v>631</v>
      </c>
      <c r="B106" s="1591" t="s">
        <v>1276</v>
      </c>
      <c r="C106" s="1573" t="s">
        <v>941</v>
      </c>
      <c r="D106" s="1579">
        <f>BS!D55</f>
        <v>4027190</v>
      </c>
      <c r="E106" s="1579"/>
      <c r="F106" s="1579"/>
      <c r="G106" s="1551">
        <f>BS!F55</f>
        <v>4009122</v>
      </c>
      <c r="H106" s="1560"/>
      <c r="I106" s="1555"/>
      <c r="J106" s="570"/>
    </row>
    <row r="107" spans="1:12" ht="27.95" customHeight="1" x14ac:dyDescent="0.25">
      <c r="A107" s="1583"/>
      <c r="B107" s="1584"/>
      <c r="C107" s="1574"/>
      <c r="D107" s="1579">
        <f>BS!E55</f>
        <v>18068</v>
      </c>
      <c r="E107" s="1579"/>
      <c r="F107" s="1579"/>
      <c r="G107" s="642"/>
      <c r="H107" s="1551">
        <f>BS!G55</f>
        <v>3332620</v>
      </c>
      <c r="I107" s="1560"/>
      <c r="J107" s="1552"/>
    </row>
    <row r="108" spans="1:12" s="499" customFormat="1" ht="27.95" customHeight="1" x14ac:dyDescent="0.25">
      <c r="A108" s="1589" t="s">
        <v>634</v>
      </c>
      <c r="B108" s="1572" t="s">
        <v>1275</v>
      </c>
      <c r="C108" s="1574" t="s">
        <v>944</v>
      </c>
      <c r="D108" s="1579">
        <f>BS!D56</f>
        <v>3787096</v>
      </c>
      <c r="E108" s="1579"/>
      <c r="F108" s="1579"/>
      <c r="G108" s="1551">
        <f>BS!F56</f>
        <v>3769028</v>
      </c>
      <c r="H108" s="1560"/>
      <c r="I108" s="1555"/>
      <c r="J108" s="570"/>
    </row>
    <row r="109" spans="1:12" s="499" customFormat="1" ht="27.95" customHeight="1" x14ac:dyDescent="0.25">
      <c r="A109" s="1589"/>
      <c r="B109" s="1572"/>
      <c r="C109" s="1574"/>
      <c r="D109" s="1579">
        <f>BS!E56</f>
        <v>18068</v>
      </c>
      <c r="E109" s="1579"/>
      <c r="F109" s="1579"/>
      <c r="G109" s="642"/>
      <c r="H109" s="1551">
        <f>BS!G56</f>
        <v>3140060</v>
      </c>
      <c r="I109" s="1560"/>
      <c r="J109" s="1552"/>
    </row>
    <row r="110" spans="1:12" s="499" customFormat="1" ht="27.95" customHeight="1" x14ac:dyDescent="0.25">
      <c r="A110" s="1570" t="s">
        <v>532</v>
      </c>
      <c r="B110" s="1572" t="s">
        <v>1274</v>
      </c>
      <c r="C110" s="1573" t="s">
        <v>947</v>
      </c>
      <c r="D110" s="1579">
        <f>BS!D57</f>
        <v>0</v>
      </c>
      <c r="E110" s="1579"/>
      <c r="F110" s="1579"/>
      <c r="G110" s="1551">
        <f>BS!F57</f>
        <v>0</v>
      </c>
      <c r="H110" s="1560"/>
      <c r="I110" s="1555"/>
      <c r="J110" s="570"/>
    </row>
    <row r="111" spans="1:12" s="499" customFormat="1" ht="27.95" customHeight="1" x14ac:dyDescent="0.25">
      <c r="A111" s="1570"/>
      <c r="B111" s="1572"/>
      <c r="C111" s="1574"/>
      <c r="D111" s="1579">
        <f>BS!E57</f>
        <v>0</v>
      </c>
      <c r="E111" s="1579"/>
      <c r="F111" s="1579"/>
      <c r="G111" s="642"/>
      <c r="H111" s="1551">
        <f>BS!G57</f>
        <v>0</v>
      </c>
      <c r="I111" s="1560"/>
      <c r="J111" s="1552"/>
    </row>
    <row r="112" spans="1:12" ht="27.95" customHeight="1" x14ac:dyDescent="0.25">
      <c r="A112" s="1570" t="s">
        <v>535</v>
      </c>
      <c r="B112" s="1572" t="s">
        <v>1273</v>
      </c>
      <c r="C112" s="1574" t="s">
        <v>950</v>
      </c>
      <c r="D112" s="1579">
        <f>BS!D58</f>
        <v>100000</v>
      </c>
      <c r="E112" s="1579"/>
      <c r="F112" s="1579"/>
      <c r="G112" s="1551">
        <f>BS!F58</f>
        <v>100000</v>
      </c>
      <c r="H112" s="1560"/>
      <c r="I112" s="1555"/>
      <c r="J112" s="570"/>
    </row>
    <row r="113" spans="1:10" ht="27.95" customHeight="1" x14ac:dyDescent="0.25">
      <c r="A113" s="1570"/>
      <c r="B113" s="1572"/>
      <c r="C113" s="1574"/>
      <c r="D113" s="1579">
        <f>BS!E58</f>
        <v>0</v>
      </c>
      <c r="E113" s="1579"/>
      <c r="F113" s="1579"/>
      <c r="G113" s="642"/>
      <c r="H113" s="1551">
        <f>BS!G58</f>
        <v>0</v>
      </c>
      <c r="I113" s="1560"/>
      <c r="J113" s="1552"/>
    </row>
    <row r="114" spans="1:10" ht="27.95" customHeight="1" x14ac:dyDescent="0.25">
      <c r="A114" s="1570" t="s">
        <v>538</v>
      </c>
      <c r="B114" s="1572" t="s">
        <v>1272</v>
      </c>
      <c r="C114" s="1573" t="s">
        <v>952</v>
      </c>
      <c r="D114" s="1579">
        <f>BS!D59</f>
        <v>0</v>
      </c>
      <c r="E114" s="1579"/>
      <c r="F114" s="1579"/>
      <c r="G114" s="1551">
        <f>BS!F59</f>
        <v>0</v>
      </c>
      <c r="H114" s="1560"/>
      <c r="I114" s="1555"/>
      <c r="J114" s="570"/>
    </row>
    <row r="115" spans="1:10" ht="27.95" customHeight="1" x14ac:dyDescent="0.25">
      <c r="A115" s="1570"/>
      <c r="B115" s="1572"/>
      <c r="C115" s="1574"/>
      <c r="D115" s="1579">
        <f>BS!E59</f>
        <v>0</v>
      </c>
      <c r="E115" s="1579"/>
      <c r="F115" s="1579"/>
      <c r="G115" s="642"/>
      <c r="H115" s="1551">
        <f>BS!G59</f>
        <v>0</v>
      </c>
      <c r="I115" s="1560"/>
      <c r="J115" s="1552"/>
    </row>
    <row r="116" spans="1:10" ht="27.95" customHeight="1" x14ac:dyDescent="0.25">
      <c r="A116" s="1570" t="s">
        <v>541</v>
      </c>
      <c r="B116" s="1572" t="s">
        <v>1271</v>
      </c>
      <c r="C116" s="1574" t="s">
        <v>954</v>
      </c>
      <c r="D116" s="1579">
        <f>BS!D60</f>
        <v>0</v>
      </c>
      <c r="E116" s="1579"/>
      <c r="F116" s="1579"/>
      <c r="G116" s="1551">
        <f>BS!F60</f>
        <v>0</v>
      </c>
      <c r="H116" s="1560"/>
      <c r="I116" s="1555"/>
      <c r="J116" s="570"/>
    </row>
    <row r="117" spans="1:10" ht="27.95" customHeight="1" x14ac:dyDescent="0.25">
      <c r="A117" s="1570"/>
      <c r="B117" s="1572"/>
      <c r="C117" s="1574"/>
      <c r="D117" s="1579">
        <f>BS!E60</f>
        <v>0</v>
      </c>
      <c r="E117" s="1579"/>
      <c r="F117" s="1579"/>
      <c r="G117" s="642"/>
      <c r="H117" s="1551">
        <f>BS!G60</f>
        <v>0</v>
      </c>
      <c r="I117" s="1560"/>
      <c r="J117" s="1552"/>
    </row>
    <row r="118" spans="1:10" ht="27.95" customHeight="1" x14ac:dyDescent="0.25">
      <c r="A118" s="1570" t="s">
        <v>544</v>
      </c>
      <c r="B118" s="1572" t="s">
        <v>1270</v>
      </c>
      <c r="C118" s="1573" t="s">
        <v>957</v>
      </c>
      <c r="D118" s="1579">
        <f>BS!D61</f>
        <v>0</v>
      </c>
      <c r="E118" s="1579"/>
      <c r="F118" s="1579"/>
      <c r="G118" s="1551">
        <f>BS!F61</f>
        <v>0</v>
      </c>
      <c r="H118" s="1560"/>
      <c r="I118" s="1555"/>
      <c r="J118" s="570"/>
    </row>
    <row r="119" spans="1:10" ht="27.95" customHeight="1" x14ac:dyDescent="0.25">
      <c r="A119" s="1570"/>
      <c r="B119" s="1572"/>
      <c r="C119" s="1574"/>
      <c r="D119" s="1579">
        <f>BS!E61</f>
        <v>0</v>
      </c>
      <c r="E119" s="1579"/>
      <c r="F119" s="1579"/>
      <c r="G119" s="642"/>
      <c r="H119" s="1551">
        <f>BS!G61</f>
        <v>0</v>
      </c>
      <c r="I119" s="1560"/>
      <c r="J119" s="1552"/>
    </row>
    <row r="120" spans="1:10" ht="27.95" customHeight="1" x14ac:dyDescent="0.25">
      <c r="A120" s="1570" t="s">
        <v>547</v>
      </c>
      <c r="B120" s="1572" t="s">
        <v>1269</v>
      </c>
      <c r="C120" s="1574" t="s">
        <v>960</v>
      </c>
      <c r="D120" s="1579">
        <f>BS!D62</f>
        <v>139836</v>
      </c>
      <c r="E120" s="1579"/>
      <c r="F120" s="1579"/>
      <c r="G120" s="1551">
        <f>BS!F62</f>
        <v>139836</v>
      </c>
      <c r="H120" s="1560"/>
      <c r="I120" s="1555"/>
      <c r="J120" s="570"/>
    </row>
    <row r="121" spans="1:10" ht="27.95" customHeight="1" x14ac:dyDescent="0.25">
      <c r="A121" s="1570"/>
      <c r="B121" s="1572"/>
      <c r="C121" s="1574"/>
      <c r="D121" s="1579">
        <f>BS!E62</f>
        <v>0</v>
      </c>
      <c r="E121" s="1579"/>
      <c r="F121" s="1579"/>
      <c r="G121" s="642"/>
      <c r="H121" s="1551">
        <f>BS!G62</f>
        <v>192532</v>
      </c>
      <c r="I121" s="1560"/>
      <c r="J121" s="1552"/>
    </row>
    <row r="122" spans="1:10" ht="27.95" customHeight="1" x14ac:dyDescent="0.25">
      <c r="A122" s="1570" t="s">
        <v>568</v>
      </c>
      <c r="B122" s="1572" t="s">
        <v>1268</v>
      </c>
      <c r="C122" s="1573" t="s">
        <v>962</v>
      </c>
      <c r="D122" s="1579">
        <f>BS!D63</f>
        <v>258</v>
      </c>
      <c r="E122" s="1579"/>
      <c r="F122" s="1579"/>
      <c r="G122" s="1551">
        <f>BS!F63</f>
        <v>258</v>
      </c>
      <c r="H122" s="1560"/>
      <c r="I122" s="1555"/>
      <c r="J122" s="570"/>
    </row>
    <row r="123" spans="1:10" ht="27.95" customHeight="1" x14ac:dyDescent="0.25">
      <c r="A123" s="1570"/>
      <c r="B123" s="1572"/>
      <c r="C123" s="1574"/>
      <c r="D123" s="1579">
        <f>BS!E63</f>
        <v>0</v>
      </c>
      <c r="E123" s="1579"/>
      <c r="F123" s="1579"/>
      <c r="G123" s="642"/>
      <c r="H123" s="1551">
        <f>BS!G63</f>
        <v>28</v>
      </c>
      <c r="I123" s="1560"/>
      <c r="J123" s="1552"/>
    </row>
    <row r="124" spans="1:10" ht="27.95" customHeight="1" x14ac:dyDescent="0.25">
      <c r="A124" s="1582" t="s">
        <v>649</v>
      </c>
      <c r="B124" s="1588" t="s">
        <v>1267</v>
      </c>
      <c r="C124" s="1574" t="s">
        <v>965</v>
      </c>
      <c r="D124" s="1579">
        <f>BS!D64</f>
        <v>466048</v>
      </c>
      <c r="E124" s="1579"/>
      <c r="F124" s="1579"/>
      <c r="G124" s="1551">
        <f>BS!F64</f>
        <v>466048</v>
      </c>
      <c r="H124" s="1560"/>
      <c r="I124" s="1555"/>
      <c r="J124" s="570"/>
    </row>
    <row r="125" spans="1:10" ht="27.95" customHeight="1" x14ac:dyDescent="0.25">
      <c r="A125" s="1583"/>
      <c r="B125" s="1584"/>
      <c r="C125" s="1574"/>
      <c r="D125" s="1579">
        <f>BS!E64</f>
        <v>0</v>
      </c>
      <c r="E125" s="1579"/>
      <c r="F125" s="1579"/>
      <c r="G125" s="642"/>
      <c r="H125" s="1551">
        <f>BS!G64</f>
        <v>687402</v>
      </c>
      <c r="I125" s="1560"/>
      <c r="J125" s="1552"/>
    </row>
    <row r="126" spans="1:10" s="499" customFormat="1" ht="27.95" customHeight="1" x14ac:dyDescent="0.25">
      <c r="A126" s="1581" t="s">
        <v>652</v>
      </c>
      <c r="B126" s="1572" t="s">
        <v>1266</v>
      </c>
      <c r="C126" s="1573" t="s">
        <v>968</v>
      </c>
      <c r="D126" s="1579">
        <f>BS!D65</f>
        <v>2698</v>
      </c>
      <c r="E126" s="1579"/>
      <c r="F126" s="1579"/>
      <c r="G126" s="1551">
        <f>BS!F65</f>
        <v>2698</v>
      </c>
      <c r="H126" s="1560"/>
      <c r="I126" s="1555"/>
      <c r="J126" s="570"/>
    </row>
    <row r="127" spans="1:10" s="499" customFormat="1" ht="27.95" customHeight="1" x14ac:dyDescent="0.25">
      <c r="A127" s="1581"/>
      <c r="B127" s="1572"/>
      <c r="C127" s="1574"/>
      <c r="D127" s="1579">
        <f>BS!E65</f>
        <v>0</v>
      </c>
      <c r="E127" s="1579"/>
      <c r="F127" s="1579"/>
      <c r="G127" s="642"/>
      <c r="H127" s="1551">
        <f>BS!G65</f>
        <v>820</v>
      </c>
      <c r="I127" s="1560"/>
      <c r="J127" s="1552"/>
    </row>
    <row r="128" spans="1:10" ht="11.25" customHeight="1" x14ac:dyDescent="0.25">
      <c r="A128" s="1567" t="s">
        <v>1221</v>
      </c>
      <c r="B128" s="1575" t="s">
        <v>1265</v>
      </c>
      <c r="C128" s="1577" t="s">
        <v>1219</v>
      </c>
      <c r="D128" s="1556" t="s">
        <v>2</v>
      </c>
      <c r="E128" s="1587"/>
      <c r="F128" s="1587"/>
      <c r="G128" s="1587"/>
      <c r="H128" s="1559"/>
      <c r="I128" s="1561" t="s">
        <v>1264</v>
      </c>
      <c r="J128" s="1562"/>
    </row>
    <row r="129" spans="1:10" ht="11.25" customHeight="1" x14ac:dyDescent="0.15">
      <c r="A129" s="1568"/>
      <c r="B129" s="1576"/>
      <c r="C129" s="1578"/>
      <c r="D129" s="1580">
        <v>1</v>
      </c>
      <c r="E129" s="1576" t="s">
        <v>1263</v>
      </c>
      <c r="F129" s="1576"/>
      <c r="G129" s="1563" t="s">
        <v>1262</v>
      </c>
      <c r="H129" s="1564"/>
      <c r="I129" s="1556"/>
      <c r="J129" s="1557"/>
    </row>
    <row r="130" spans="1:10" ht="11.25" customHeight="1" x14ac:dyDescent="0.15">
      <c r="A130" s="1568"/>
      <c r="B130" s="1576"/>
      <c r="C130" s="1578"/>
      <c r="D130" s="1580"/>
      <c r="E130" s="1576" t="s">
        <v>1261</v>
      </c>
      <c r="F130" s="1576"/>
      <c r="G130" s="1563"/>
      <c r="H130" s="1564"/>
      <c r="I130" s="1565" t="s">
        <v>1260</v>
      </c>
      <c r="J130" s="1566"/>
    </row>
    <row r="131" spans="1:10" s="569" customFormat="1" ht="27.95" customHeight="1" x14ac:dyDescent="0.25">
      <c r="A131" s="1570" t="s">
        <v>532</v>
      </c>
      <c r="B131" s="1572" t="s">
        <v>1259</v>
      </c>
      <c r="C131" s="1574" t="s">
        <v>656</v>
      </c>
      <c r="D131" s="1579">
        <f>BS!D66</f>
        <v>463350</v>
      </c>
      <c r="E131" s="1579"/>
      <c r="F131" s="1579"/>
      <c r="G131" s="1551">
        <f>BS!F66</f>
        <v>463350</v>
      </c>
      <c r="H131" s="1560"/>
      <c r="I131" s="1555"/>
      <c r="J131" s="570"/>
    </row>
    <row r="132" spans="1:10" s="569" customFormat="1" ht="27.95" customHeight="1" x14ac:dyDescent="0.25">
      <c r="A132" s="1570"/>
      <c r="B132" s="1572"/>
      <c r="C132" s="1574"/>
      <c r="D132" s="1579">
        <f>BS!E66</f>
        <v>0</v>
      </c>
      <c r="E132" s="1579"/>
      <c r="F132" s="1579"/>
      <c r="G132" s="642"/>
      <c r="H132" s="1551">
        <f>BS!G66</f>
        <v>686582</v>
      </c>
      <c r="I132" s="1560"/>
      <c r="J132" s="1552"/>
    </row>
    <row r="133" spans="1:10" s="569" customFormat="1" ht="27.95" customHeight="1" x14ac:dyDescent="0.25">
      <c r="A133" s="1570" t="s">
        <v>535</v>
      </c>
      <c r="B133" s="1572" t="s">
        <v>1258</v>
      </c>
      <c r="C133" s="1574" t="s">
        <v>658</v>
      </c>
      <c r="D133" s="1579">
        <f>BS!D67</f>
        <v>0</v>
      </c>
      <c r="E133" s="1579"/>
      <c r="F133" s="1579"/>
      <c r="G133" s="1551">
        <f>BS!F67</f>
        <v>0</v>
      </c>
      <c r="H133" s="1560"/>
      <c r="I133" s="1555"/>
      <c r="J133" s="570"/>
    </row>
    <row r="134" spans="1:10" ht="27.95" customHeight="1" x14ac:dyDescent="0.25">
      <c r="A134" s="1570"/>
      <c r="B134" s="1572"/>
      <c r="C134" s="1574"/>
      <c r="D134" s="1579">
        <f>BS!E67</f>
        <v>0</v>
      </c>
      <c r="E134" s="1579"/>
      <c r="F134" s="1579"/>
      <c r="G134" s="642"/>
      <c r="H134" s="1551">
        <f>BS!G67</f>
        <v>0</v>
      </c>
      <c r="I134" s="1560"/>
      <c r="J134" s="1552"/>
    </row>
    <row r="135" spans="1:10" ht="27.95" customHeight="1" x14ac:dyDescent="0.25">
      <c r="A135" s="1570" t="s">
        <v>538</v>
      </c>
      <c r="B135" s="1572" t="s">
        <v>1257</v>
      </c>
      <c r="C135" s="1574" t="s">
        <v>660</v>
      </c>
      <c r="D135" s="1579">
        <f>BS!D68</f>
        <v>0</v>
      </c>
      <c r="E135" s="1579"/>
      <c r="F135" s="1579"/>
      <c r="G135" s="1551">
        <f>BS!F68</f>
        <v>0</v>
      </c>
      <c r="H135" s="1560"/>
      <c r="I135" s="1555"/>
      <c r="J135" s="570"/>
    </row>
    <row r="136" spans="1:10" ht="27.95" customHeight="1" x14ac:dyDescent="0.25">
      <c r="A136" s="1570"/>
      <c r="B136" s="1572"/>
      <c r="C136" s="1574"/>
      <c r="D136" s="1579">
        <f>BS!E68</f>
        <v>0</v>
      </c>
      <c r="E136" s="1579"/>
      <c r="F136" s="1579"/>
      <c r="G136" s="642"/>
      <c r="H136" s="1551">
        <f>BS!G68</f>
        <v>0</v>
      </c>
      <c r="I136" s="1560"/>
      <c r="J136" s="1552"/>
    </row>
    <row r="137" spans="1:10" ht="27.95" customHeight="1" x14ac:dyDescent="0.25">
      <c r="A137" s="1570" t="s">
        <v>541</v>
      </c>
      <c r="B137" s="1572" t="s">
        <v>1256</v>
      </c>
      <c r="C137" s="1574" t="s">
        <v>662</v>
      </c>
      <c r="D137" s="1579">
        <f>BS!D69</f>
        <v>0</v>
      </c>
      <c r="E137" s="1579"/>
      <c r="F137" s="1579"/>
      <c r="G137" s="1551">
        <f>BS!F69</f>
        <v>0</v>
      </c>
      <c r="H137" s="1560"/>
      <c r="I137" s="1555"/>
      <c r="J137" s="570"/>
    </row>
    <row r="138" spans="1:10" ht="27.95" customHeight="1" x14ac:dyDescent="0.25">
      <c r="A138" s="1570"/>
      <c r="B138" s="1572"/>
      <c r="C138" s="1574"/>
      <c r="D138" s="1579">
        <f>BS!E69</f>
        <v>0</v>
      </c>
      <c r="E138" s="1579"/>
      <c r="F138" s="1579"/>
      <c r="G138" s="642"/>
      <c r="H138" s="1551">
        <f>BS!G69</f>
        <v>0</v>
      </c>
      <c r="I138" s="1560"/>
      <c r="J138" s="1552"/>
    </row>
    <row r="139" spans="1:10" ht="27.95" customHeight="1" x14ac:dyDescent="0.25">
      <c r="A139" s="1586" t="s">
        <v>663</v>
      </c>
      <c r="B139" s="1584" t="s">
        <v>1255</v>
      </c>
      <c r="C139" s="1585" t="s">
        <v>665</v>
      </c>
      <c r="D139" s="1579">
        <f>BS!D70</f>
        <v>1551</v>
      </c>
      <c r="E139" s="1579"/>
      <c r="F139" s="1579"/>
      <c r="G139" s="1551">
        <f>BS!F70</f>
        <v>1551</v>
      </c>
      <c r="H139" s="1560"/>
      <c r="I139" s="1555"/>
      <c r="J139" s="570"/>
    </row>
    <row r="140" spans="1:10" ht="27.95" customHeight="1" x14ac:dyDescent="0.25">
      <c r="A140" s="1586"/>
      <c r="B140" s="1584"/>
      <c r="C140" s="1585"/>
      <c r="D140" s="1579">
        <f>BS!E70</f>
        <v>0</v>
      </c>
      <c r="E140" s="1579"/>
      <c r="F140" s="1579"/>
      <c r="G140" s="642"/>
      <c r="H140" s="1551">
        <f>BS!G70</f>
        <v>6225</v>
      </c>
      <c r="I140" s="1560"/>
      <c r="J140" s="1552"/>
    </row>
    <row r="141" spans="1:10" ht="27.95" customHeight="1" x14ac:dyDescent="0.25">
      <c r="A141" s="1581" t="s">
        <v>666</v>
      </c>
      <c r="B141" s="1572" t="s">
        <v>1254</v>
      </c>
      <c r="C141" s="1574" t="s">
        <v>668</v>
      </c>
      <c r="D141" s="1579">
        <f>BS!D71</f>
        <v>0</v>
      </c>
      <c r="E141" s="1579"/>
      <c r="F141" s="1579"/>
      <c r="G141" s="1551">
        <f>BS!F71</f>
        <v>0</v>
      </c>
      <c r="H141" s="1560"/>
      <c r="I141" s="1555"/>
      <c r="J141" s="570"/>
    </row>
    <row r="142" spans="1:10" ht="27.95" customHeight="1" x14ac:dyDescent="0.25">
      <c r="A142" s="1581"/>
      <c r="B142" s="1572"/>
      <c r="C142" s="1574"/>
      <c r="D142" s="1579">
        <f>BS!E71</f>
        <v>0</v>
      </c>
      <c r="E142" s="1579"/>
      <c r="F142" s="1579"/>
      <c r="G142" s="642"/>
      <c r="H142" s="1551">
        <f>BS!G71</f>
        <v>0</v>
      </c>
      <c r="I142" s="1560"/>
      <c r="J142" s="1552"/>
    </row>
    <row r="143" spans="1:10" ht="27.95" customHeight="1" x14ac:dyDescent="0.25">
      <c r="A143" s="1570" t="s">
        <v>532</v>
      </c>
      <c r="B143" s="1572" t="s">
        <v>1253</v>
      </c>
      <c r="C143" s="1574" t="s">
        <v>670</v>
      </c>
      <c r="D143" s="1579">
        <f>BS!D72</f>
        <v>1526</v>
      </c>
      <c r="E143" s="1579"/>
      <c r="F143" s="1579"/>
      <c r="G143" s="1551">
        <f>BS!F72</f>
        <v>1526</v>
      </c>
      <c r="H143" s="1560"/>
      <c r="I143" s="1555"/>
      <c r="J143" s="570"/>
    </row>
    <row r="144" spans="1:10" s="499" customFormat="1" ht="27.95" customHeight="1" x14ac:dyDescent="0.25">
      <c r="A144" s="1570"/>
      <c r="B144" s="1572"/>
      <c r="C144" s="1574"/>
      <c r="D144" s="1579">
        <f>BS!E72</f>
        <v>0</v>
      </c>
      <c r="E144" s="1579"/>
      <c r="F144" s="1579"/>
      <c r="G144" s="642"/>
      <c r="H144" s="1551">
        <f>BS!G72</f>
        <v>1889</v>
      </c>
      <c r="I144" s="1560"/>
      <c r="J144" s="1552"/>
    </row>
    <row r="145" spans="1:10" s="499" customFormat="1" ht="27.95" customHeight="1" x14ac:dyDescent="0.25">
      <c r="A145" s="1570" t="s">
        <v>535</v>
      </c>
      <c r="B145" s="1572" t="s">
        <v>1252</v>
      </c>
      <c r="C145" s="1574" t="s">
        <v>672</v>
      </c>
      <c r="D145" s="1579">
        <f>BS!D73</f>
        <v>0</v>
      </c>
      <c r="E145" s="1579"/>
      <c r="F145" s="1579"/>
      <c r="G145" s="1551">
        <f>BS!F73</f>
        <v>0</v>
      </c>
      <c r="H145" s="1560"/>
      <c r="I145" s="1555"/>
      <c r="J145" s="570"/>
    </row>
    <row r="146" spans="1:10" ht="27.95" customHeight="1" x14ac:dyDescent="0.25">
      <c r="A146" s="1570"/>
      <c r="B146" s="1572"/>
      <c r="C146" s="1574"/>
      <c r="D146" s="1579">
        <f>BS!E73</f>
        <v>0</v>
      </c>
      <c r="E146" s="1579"/>
      <c r="F146" s="1579"/>
      <c r="G146" s="642"/>
      <c r="H146" s="1551">
        <f>BS!G73</f>
        <v>0</v>
      </c>
      <c r="I146" s="1560"/>
      <c r="J146" s="1552"/>
    </row>
    <row r="147" spans="1:10" ht="27.95" customHeight="1" x14ac:dyDescent="0.25">
      <c r="A147" s="1570" t="s">
        <v>538</v>
      </c>
      <c r="B147" s="1572" t="s">
        <v>1251</v>
      </c>
      <c r="C147" s="1574" t="s">
        <v>674</v>
      </c>
      <c r="D147" s="1579">
        <f>BS!D74</f>
        <v>25</v>
      </c>
      <c r="E147" s="1579"/>
      <c r="F147" s="1579"/>
      <c r="G147" s="1551">
        <f>BS!F74</f>
        <v>25</v>
      </c>
      <c r="H147" s="1560"/>
      <c r="I147" s="1555"/>
      <c r="J147" s="570"/>
    </row>
    <row r="148" spans="1:10" s="564" customFormat="1" ht="27.95" customHeight="1" x14ac:dyDescent="0.2">
      <c r="A148" s="1570"/>
      <c r="B148" s="1572"/>
      <c r="C148" s="1574"/>
      <c r="D148" s="1579">
        <f>BS!E74</f>
        <v>0</v>
      </c>
      <c r="E148" s="1579"/>
      <c r="F148" s="1579"/>
      <c r="G148" s="642"/>
      <c r="H148" s="1551">
        <f>BS!G74</f>
        <v>4336</v>
      </c>
      <c r="I148" s="1560"/>
      <c r="J148" s="1552"/>
    </row>
    <row r="149" spans="1:10" s="564" customFormat="1" ht="30" customHeight="1" x14ac:dyDescent="0.2">
      <c r="A149" s="567" t="s">
        <v>1221</v>
      </c>
      <c r="B149" s="1556" t="s">
        <v>1220</v>
      </c>
      <c r="C149" s="1587"/>
      <c r="D149" s="1587"/>
      <c r="E149" s="1559"/>
      <c r="F149" s="566" t="s">
        <v>1219</v>
      </c>
      <c r="G149" s="1556" t="s">
        <v>1218</v>
      </c>
      <c r="H149" s="1559"/>
      <c r="I149" s="1556" t="s">
        <v>1217</v>
      </c>
      <c r="J149" s="1557"/>
    </row>
    <row r="150" spans="1:10" s="564" customFormat="1" ht="27.75" customHeight="1" x14ac:dyDescent="0.2">
      <c r="A150" s="565"/>
      <c r="B150" s="1584" t="s">
        <v>1250</v>
      </c>
      <c r="C150" s="1610"/>
      <c r="D150" s="1610"/>
      <c r="E150" s="1610"/>
      <c r="F150" s="562" t="s">
        <v>681</v>
      </c>
      <c r="G150" s="1551">
        <f>BS!D81</f>
        <v>4583761</v>
      </c>
      <c r="H150" s="1555"/>
      <c r="I150" s="1551">
        <f>BS!E81</f>
        <v>4160554</v>
      </c>
      <c r="J150" s="1552"/>
    </row>
    <row r="151" spans="1:10" s="564" customFormat="1" ht="27.75" customHeight="1" x14ac:dyDescent="0.2">
      <c r="A151" s="556" t="s">
        <v>523</v>
      </c>
      <c r="B151" s="1584" t="s">
        <v>1249</v>
      </c>
      <c r="C151" s="1610"/>
      <c r="D151" s="1610"/>
      <c r="E151" s="1610"/>
      <c r="F151" s="562" t="s">
        <v>683</v>
      </c>
      <c r="G151" s="1551">
        <f>BS!D82</f>
        <v>609783</v>
      </c>
      <c r="H151" s="1555"/>
      <c r="I151" s="1551">
        <f>BS!E82</f>
        <v>1317264</v>
      </c>
      <c r="J151" s="1552"/>
    </row>
    <row r="152" spans="1:10" ht="27.75" customHeight="1" x14ac:dyDescent="0.25">
      <c r="A152" s="556" t="s">
        <v>526</v>
      </c>
      <c r="B152" s="1584" t="s">
        <v>1248</v>
      </c>
      <c r="C152" s="1610"/>
      <c r="D152" s="1610"/>
      <c r="E152" s="1610"/>
      <c r="F152" s="562" t="s">
        <v>685</v>
      </c>
      <c r="G152" s="1551">
        <f>BS!D83</f>
        <v>6639</v>
      </c>
      <c r="H152" s="1555"/>
      <c r="I152" s="1551">
        <f>BS!E83</f>
        <v>6639</v>
      </c>
      <c r="J152" s="1552"/>
    </row>
    <row r="153" spans="1:10" s="499" customFormat="1" ht="27.75" customHeight="1" x14ac:dyDescent="0.25">
      <c r="A153" s="555" t="s">
        <v>529</v>
      </c>
      <c r="B153" s="1572" t="s">
        <v>1247</v>
      </c>
      <c r="C153" s="1608"/>
      <c r="D153" s="1608"/>
      <c r="E153" s="1608"/>
      <c r="F153" s="552" t="s">
        <v>687</v>
      </c>
      <c r="G153" s="1551">
        <f>BS!D84</f>
        <v>6639</v>
      </c>
      <c r="H153" s="1555"/>
      <c r="I153" s="1551">
        <f>BS!E84</f>
        <v>6639</v>
      </c>
      <c r="J153" s="1552"/>
    </row>
    <row r="154" spans="1:10" s="499" customFormat="1" ht="27.75" customHeight="1" x14ac:dyDescent="0.25">
      <c r="A154" s="554" t="s">
        <v>532</v>
      </c>
      <c r="B154" s="1572" t="s">
        <v>1246</v>
      </c>
      <c r="C154" s="1608"/>
      <c r="D154" s="1608"/>
      <c r="E154" s="1608"/>
      <c r="F154" s="552" t="s">
        <v>689</v>
      </c>
      <c r="G154" s="1551">
        <f>BS!D85</f>
        <v>0</v>
      </c>
      <c r="H154" s="1555"/>
      <c r="I154" s="1551">
        <f>BS!E85</f>
        <v>0</v>
      </c>
      <c r="J154" s="1552"/>
    </row>
    <row r="155" spans="1:10" s="499" customFormat="1" ht="27.75" customHeight="1" x14ac:dyDescent="0.25">
      <c r="A155" s="554" t="s">
        <v>535</v>
      </c>
      <c r="B155" s="1572" t="s">
        <v>1245</v>
      </c>
      <c r="C155" s="1608"/>
      <c r="D155" s="1608"/>
      <c r="E155" s="1608"/>
      <c r="F155" s="552" t="s">
        <v>691</v>
      </c>
      <c r="G155" s="1551">
        <f>BS!D86</f>
        <v>0</v>
      </c>
      <c r="H155" s="1555"/>
      <c r="I155" s="1551">
        <f>BS!E86</f>
        <v>0</v>
      </c>
      <c r="J155" s="1552"/>
    </row>
    <row r="156" spans="1:10" ht="27.75" customHeight="1" x14ac:dyDescent="0.25">
      <c r="A156" s="554" t="s">
        <v>538</v>
      </c>
      <c r="B156" s="1572" t="s">
        <v>1244</v>
      </c>
      <c r="C156" s="1608"/>
      <c r="D156" s="1608"/>
      <c r="E156" s="1608"/>
      <c r="F156" s="552" t="s">
        <v>693</v>
      </c>
      <c r="G156" s="1551">
        <f>BS!D87</f>
        <v>0</v>
      </c>
      <c r="H156" s="1555"/>
      <c r="I156" s="1551">
        <f>BS!E87</f>
        <v>0</v>
      </c>
      <c r="J156" s="1552"/>
    </row>
    <row r="157" spans="1:10" ht="27.75" customHeight="1" x14ac:dyDescent="0.25">
      <c r="A157" s="556" t="s">
        <v>550</v>
      </c>
      <c r="B157" s="1584" t="s">
        <v>1243</v>
      </c>
      <c r="C157" s="1610"/>
      <c r="D157" s="1610"/>
      <c r="E157" s="1610"/>
      <c r="F157" s="562" t="s">
        <v>695</v>
      </c>
      <c r="G157" s="1551">
        <f>BS!D88</f>
        <v>0</v>
      </c>
      <c r="H157" s="1555"/>
      <c r="I157" s="1551">
        <f>BS!E88</f>
        <v>0</v>
      </c>
      <c r="J157" s="1552"/>
    </row>
    <row r="158" spans="1:10" ht="27.75" customHeight="1" x14ac:dyDescent="0.25">
      <c r="A158" s="555" t="s">
        <v>553</v>
      </c>
      <c r="B158" s="1572" t="s">
        <v>1242</v>
      </c>
      <c r="C158" s="1608"/>
      <c r="D158" s="1608"/>
      <c r="E158" s="1608"/>
      <c r="F158" s="552" t="s">
        <v>697</v>
      </c>
      <c r="G158" s="1551">
        <f>BS!D89</f>
        <v>0</v>
      </c>
      <c r="H158" s="1555"/>
      <c r="I158" s="1551">
        <f>BS!E89</f>
        <v>0</v>
      </c>
      <c r="J158" s="1552"/>
    </row>
    <row r="159" spans="1:10" ht="27.75" customHeight="1" x14ac:dyDescent="0.25">
      <c r="A159" s="554" t="s">
        <v>532</v>
      </c>
      <c r="B159" s="1572" t="s">
        <v>1241</v>
      </c>
      <c r="C159" s="1608"/>
      <c r="D159" s="1608"/>
      <c r="E159" s="1608"/>
      <c r="F159" s="552" t="s">
        <v>699</v>
      </c>
      <c r="G159" s="1551">
        <f>BS!D90</f>
        <v>0</v>
      </c>
      <c r="H159" s="1555"/>
      <c r="I159" s="1551">
        <f>BS!E90</f>
        <v>0</v>
      </c>
      <c r="J159" s="1552"/>
    </row>
    <row r="160" spans="1:10" s="499" customFormat="1" ht="27.75" customHeight="1" x14ac:dyDescent="0.25">
      <c r="A160" s="554" t="s">
        <v>535</v>
      </c>
      <c r="B160" s="1572" t="s">
        <v>1240</v>
      </c>
      <c r="C160" s="1608"/>
      <c r="D160" s="1608"/>
      <c r="E160" s="1608"/>
      <c r="F160" s="552" t="s">
        <v>701</v>
      </c>
      <c r="G160" s="1551">
        <f>BS!D91</f>
        <v>0</v>
      </c>
      <c r="H160" s="1555"/>
      <c r="I160" s="1551">
        <f>BS!E91</f>
        <v>0</v>
      </c>
      <c r="J160" s="1552"/>
    </row>
    <row r="161" spans="1:10" ht="27.75" customHeight="1" x14ac:dyDescent="0.25">
      <c r="A161" s="554" t="s">
        <v>538</v>
      </c>
      <c r="B161" s="1572" t="s">
        <v>1239</v>
      </c>
      <c r="C161" s="1608"/>
      <c r="D161" s="1608"/>
      <c r="E161" s="1608"/>
      <c r="F161" s="552" t="s">
        <v>703</v>
      </c>
      <c r="G161" s="1551">
        <f>BS!D92</f>
        <v>0</v>
      </c>
      <c r="H161" s="1555"/>
      <c r="I161" s="1551">
        <f>BS!E92</f>
        <v>0</v>
      </c>
      <c r="J161" s="1552"/>
    </row>
    <row r="162" spans="1:10" ht="27.75" customHeight="1" x14ac:dyDescent="0.25">
      <c r="A162" s="554" t="s">
        <v>541</v>
      </c>
      <c r="B162" s="1572" t="s">
        <v>1238</v>
      </c>
      <c r="C162" s="1608"/>
      <c r="D162" s="1608"/>
      <c r="E162" s="1608"/>
      <c r="F162" s="552" t="s">
        <v>705</v>
      </c>
      <c r="G162" s="1551">
        <f>BS!D93</f>
        <v>0</v>
      </c>
      <c r="H162" s="1555"/>
      <c r="I162" s="1551">
        <f>BS!E93</f>
        <v>0</v>
      </c>
      <c r="J162" s="1552"/>
    </row>
    <row r="163" spans="1:10" ht="27.75" customHeight="1" x14ac:dyDescent="0.25">
      <c r="A163" s="554" t="s">
        <v>544</v>
      </c>
      <c r="B163" s="1572" t="s">
        <v>1237</v>
      </c>
      <c r="C163" s="1608"/>
      <c r="D163" s="1608"/>
      <c r="E163" s="1608"/>
      <c r="F163" s="552" t="s">
        <v>707</v>
      </c>
      <c r="G163" s="1551">
        <f>BS!D94</f>
        <v>0</v>
      </c>
      <c r="H163" s="1555"/>
      <c r="I163" s="1551">
        <f>BS!E94</f>
        <v>0</v>
      </c>
      <c r="J163" s="1552"/>
    </row>
    <row r="164" spans="1:10" ht="27.75" customHeight="1" x14ac:dyDescent="0.25">
      <c r="A164" s="556" t="s">
        <v>574</v>
      </c>
      <c r="B164" s="1584" t="s">
        <v>1236</v>
      </c>
      <c r="C164" s="1610"/>
      <c r="D164" s="1610"/>
      <c r="E164" s="1610"/>
      <c r="F164" s="562" t="s">
        <v>709</v>
      </c>
      <c r="G164" s="1551">
        <f>BS!D95</f>
        <v>664</v>
      </c>
      <c r="H164" s="1555"/>
      <c r="I164" s="1551">
        <f>BS!E95</f>
        <v>332</v>
      </c>
      <c r="J164" s="1552"/>
    </row>
    <row r="165" spans="1:10" ht="27.75" customHeight="1" x14ac:dyDescent="0.25">
      <c r="A165" s="554" t="s">
        <v>577</v>
      </c>
      <c r="B165" s="1572" t="s">
        <v>1235</v>
      </c>
      <c r="C165" s="1608"/>
      <c r="D165" s="1608"/>
      <c r="E165" s="1608"/>
      <c r="F165" s="552" t="s">
        <v>711</v>
      </c>
      <c r="G165" s="1551">
        <f>BS!D96</f>
        <v>664</v>
      </c>
      <c r="H165" s="1555"/>
      <c r="I165" s="1551">
        <f>BS!E96</f>
        <v>332</v>
      </c>
      <c r="J165" s="1552"/>
    </row>
    <row r="166" spans="1:10" ht="27.75" customHeight="1" x14ac:dyDescent="0.25">
      <c r="A166" s="554" t="s">
        <v>532</v>
      </c>
      <c r="B166" s="1572" t="s">
        <v>1234</v>
      </c>
      <c r="C166" s="1608"/>
      <c r="D166" s="1608"/>
      <c r="E166" s="1608"/>
      <c r="F166" s="552" t="s">
        <v>713</v>
      </c>
      <c r="G166" s="1551">
        <f>BS!D97</f>
        <v>0</v>
      </c>
      <c r="H166" s="1555"/>
      <c r="I166" s="1551">
        <f>BS!E97</f>
        <v>0</v>
      </c>
      <c r="J166" s="1552"/>
    </row>
    <row r="167" spans="1:10" s="499" customFormat="1" ht="27.75" customHeight="1" x14ac:dyDescent="0.25">
      <c r="A167" s="554" t="s">
        <v>535</v>
      </c>
      <c r="B167" s="1572" t="s">
        <v>1233</v>
      </c>
      <c r="C167" s="1608"/>
      <c r="D167" s="1608"/>
      <c r="E167" s="1608"/>
      <c r="F167" s="552" t="s">
        <v>715</v>
      </c>
      <c r="G167" s="1551">
        <f>BS!D98</f>
        <v>0</v>
      </c>
      <c r="H167" s="1555"/>
      <c r="I167" s="1551">
        <f>BS!E98</f>
        <v>0</v>
      </c>
      <c r="J167" s="1552"/>
    </row>
    <row r="168" spans="1:10" ht="27.75" customHeight="1" x14ac:dyDescent="0.25">
      <c r="A168" s="556" t="s">
        <v>716</v>
      </c>
      <c r="B168" s="1584" t="s">
        <v>1232</v>
      </c>
      <c r="C168" s="1610"/>
      <c r="D168" s="1610"/>
      <c r="E168" s="1610"/>
      <c r="F168" s="562" t="s">
        <v>718</v>
      </c>
      <c r="G168" s="1551">
        <f>BS!D99</f>
        <v>0</v>
      </c>
      <c r="H168" s="1555"/>
      <c r="I168" s="1551">
        <f>BS!E99</f>
        <v>0</v>
      </c>
      <c r="J168" s="1552"/>
    </row>
    <row r="169" spans="1:10" ht="27.75" customHeight="1" x14ac:dyDescent="0.25">
      <c r="A169" s="563" t="s">
        <v>719</v>
      </c>
      <c r="B169" s="1572" t="s">
        <v>1231</v>
      </c>
      <c r="C169" s="1608"/>
      <c r="D169" s="1608"/>
      <c r="E169" s="1608"/>
      <c r="F169" s="552" t="s">
        <v>721</v>
      </c>
      <c r="G169" s="1551">
        <f>BS!D100</f>
        <v>0</v>
      </c>
      <c r="H169" s="1555"/>
      <c r="I169" s="1551">
        <f>BS!E100</f>
        <v>678700</v>
      </c>
      <c r="J169" s="1552"/>
    </row>
    <row r="170" spans="1:10" ht="27.75" customHeight="1" x14ac:dyDescent="0.25">
      <c r="A170" s="554" t="s">
        <v>532</v>
      </c>
      <c r="B170" s="1572" t="s">
        <v>1230</v>
      </c>
      <c r="C170" s="1608"/>
      <c r="D170" s="1608"/>
      <c r="E170" s="1608"/>
      <c r="F170" s="552" t="s">
        <v>723</v>
      </c>
      <c r="G170" s="1551">
        <f>BS!D101</f>
        <v>0</v>
      </c>
      <c r="H170" s="1555"/>
      <c r="I170" s="1551">
        <f>BS!E101</f>
        <v>0</v>
      </c>
      <c r="J170" s="1552"/>
    </row>
    <row r="171" spans="1:10" s="499" customFormat="1" ht="31.5" customHeight="1" x14ac:dyDescent="0.25">
      <c r="A171" s="556" t="s">
        <v>724</v>
      </c>
      <c r="B171" s="1584" t="s">
        <v>1229</v>
      </c>
      <c r="C171" s="1610"/>
      <c r="D171" s="1610"/>
      <c r="E171" s="1610"/>
      <c r="F171" s="562" t="s">
        <v>726</v>
      </c>
      <c r="G171" s="1551">
        <f>BS!D102</f>
        <v>602504</v>
      </c>
      <c r="H171" s="1555"/>
      <c r="I171" s="1551">
        <f>BS!E102</f>
        <v>631593</v>
      </c>
      <c r="J171" s="1552"/>
    </row>
    <row r="172" spans="1:10" ht="27.75" customHeight="1" x14ac:dyDescent="0.25">
      <c r="A172" s="556" t="s">
        <v>594</v>
      </c>
      <c r="B172" s="1584" t="s">
        <v>1228</v>
      </c>
      <c r="C172" s="1610"/>
      <c r="D172" s="1610"/>
      <c r="E172" s="1610"/>
      <c r="F172" s="562" t="s">
        <v>728</v>
      </c>
      <c r="G172" s="1551">
        <f>BS!D103</f>
        <v>3973954</v>
      </c>
      <c r="H172" s="1555"/>
      <c r="I172" s="1551">
        <f>BS!E103</f>
        <v>2843290</v>
      </c>
      <c r="J172" s="1552"/>
    </row>
    <row r="173" spans="1:10" ht="27.75" customHeight="1" x14ac:dyDescent="0.25">
      <c r="A173" s="556" t="s">
        <v>597</v>
      </c>
      <c r="B173" s="1584" t="s">
        <v>1227</v>
      </c>
      <c r="C173" s="1610"/>
      <c r="D173" s="1610"/>
      <c r="E173" s="1610"/>
      <c r="F173" s="562" t="s">
        <v>730</v>
      </c>
      <c r="G173" s="1551">
        <f>BS!D104</f>
        <v>100876</v>
      </c>
      <c r="H173" s="1555"/>
      <c r="I173" s="1551">
        <f>BS!E104</f>
        <v>131269</v>
      </c>
      <c r="J173" s="1552"/>
    </row>
    <row r="174" spans="1:10" s="499" customFormat="1" ht="27.75" customHeight="1" x14ac:dyDescent="0.25">
      <c r="A174" s="555" t="s">
        <v>600</v>
      </c>
      <c r="B174" s="1572" t="s">
        <v>1226</v>
      </c>
      <c r="C174" s="1608"/>
      <c r="D174" s="1608"/>
      <c r="E174" s="1608"/>
      <c r="F174" s="552" t="s">
        <v>732</v>
      </c>
      <c r="G174" s="1551">
        <f>BS!D105</f>
        <v>0</v>
      </c>
      <c r="H174" s="1555"/>
      <c r="I174" s="1551">
        <f>BS!E105</f>
        <v>0</v>
      </c>
      <c r="J174" s="1552"/>
    </row>
    <row r="175" spans="1:10" s="499" customFormat="1" ht="27.75" customHeight="1" x14ac:dyDescent="0.25">
      <c r="A175" s="554" t="s">
        <v>532</v>
      </c>
      <c r="B175" s="1572" t="s">
        <v>1225</v>
      </c>
      <c r="C175" s="1608"/>
      <c r="D175" s="1608"/>
      <c r="E175" s="1608"/>
      <c r="F175" s="552" t="s">
        <v>734</v>
      </c>
      <c r="G175" s="1551">
        <f>BS!D106</f>
        <v>62550</v>
      </c>
      <c r="H175" s="1555"/>
      <c r="I175" s="1551">
        <f>BS!E106</f>
        <v>34586</v>
      </c>
      <c r="J175" s="1552"/>
    </row>
    <row r="176" spans="1:10" s="499" customFormat="1" ht="27.75" customHeight="1" x14ac:dyDescent="0.25">
      <c r="A176" s="554" t="s">
        <v>535</v>
      </c>
      <c r="B176" s="1572" t="s">
        <v>1224</v>
      </c>
      <c r="C176" s="1608"/>
      <c r="D176" s="1608"/>
      <c r="E176" s="1608"/>
      <c r="F176" s="552" t="s">
        <v>736</v>
      </c>
      <c r="G176" s="1551">
        <f>BS!D107</f>
        <v>0</v>
      </c>
      <c r="H176" s="1555"/>
      <c r="I176" s="1551">
        <f>BS!E107</f>
        <v>0</v>
      </c>
      <c r="J176" s="1552"/>
    </row>
    <row r="177" spans="1:10" ht="27.75" customHeight="1" x14ac:dyDescent="0.25">
      <c r="A177" s="554" t="s">
        <v>538</v>
      </c>
      <c r="B177" s="1572" t="s">
        <v>1223</v>
      </c>
      <c r="C177" s="1608"/>
      <c r="D177" s="1608"/>
      <c r="E177" s="1608"/>
      <c r="F177" s="552" t="s">
        <v>738</v>
      </c>
      <c r="G177" s="1551">
        <f>BS!D108</f>
        <v>38326</v>
      </c>
      <c r="H177" s="1555"/>
      <c r="I177" s="1551">
        <f>BS!E108</f>
        <v>96683</v>
      </c>
      <c r="J177" s="1552"/>
    </row>
    <row r="178" spans="1:10" ht="25.5" customHeight="1" thickBot="1" x14ac:dyDescent="0.3">
      <c r="A178" s="561" t="s">
        <v>613</v>
      </c>
      <c r="B178" s="1611" t="s">
        <v>1222</v>
      </c>
      <c r="C178" s="1612"/>
      <c r="D178" s="1612"/>
      <c r="E178" s="1612"/>
      <c r="F178" s="560" t="s">
        <v>740</v>
      </c>
      <c r="G178" s="1551">
        <f>BS!D109</f>
        <v>2814</v>
      </c>
      <c r="H178" s="1555"/>
      <c r="I178" s="1551">
        <f>BS!E109</f>
        <v>10823</v>
      </c>
      <c r="J178" s="1552"/>
    </row>
    <row r="179" spans="1:10" ht="30" customHeight="1" x14ac:dyDescent="0.15">
      <c r="A179" s="559" t="s">
        <v>1221</v>
      </c>
      <c r="B179" s="1553" t="s">
        <v>1220</v>
      </c>
      <c r="C179" s="1615"/>
      <c r="D179" s="1615"/>
      <c r="E179" s="1616"/>
      <c r="F179" s="558" t="s">
        <v>1219</v>
      </c>
      <c r="G179" s="1553" t="s">
        <v>1218</v>
      </c>
      <c r="H179" s="1558"/>
      <c r="I179" s="1553" t="s">
        <v>1217</v>
      </c>
      <c r="J179" s="1554"/>
    </row>
    <row r="180" spans="1:10" ht="27.75" customHeight="1" x14ac:dyDescent="0.25">
      <c r="A180" s="555" t="s">
        <v>616</v>
      </c>
      <c r="B180" s="1572" t="s">
        <v>1216</v>
      </c>
      <c r="C180" s="1608"/>
      <c r="D180" s="1608"/>
      <c r="E180" s="1608"/>
      <c r="F180" s="552" t="s">
        <v>742</v>
      </c>
      <c r="G180" s="1551">
        <f>BS!D110</f>
        <v>0</v>
      </c>
      <c r="H180" s="1555"/>
      <c r="I180" s="1551">
        <f>BS!E110</f>
        <v>0</v>
      </c>
      <c r="J180" s="1552"/>
    </row>
    <row r="181" spans="1:10" ht="27.75" customHeight="1" x14ac:dyDescent="0.25">
      <c r="A181" s="554" t="s">
        <v>532</v>
      </c>
      <c r="B181" s="1572" t="s">
        <v>1204</v>
      </c>
      <c r="C181" s="1608"/>
      <c r="D181" s="1608"/>
      <c r="E181" s="1608"/>
      <c r="F181" s="552" t="s">
        <v>743</v>
      </c>
      <c r="G181" s="1551">
        <f>BS!D111</f>
        <v>0</v>
      </c>
      <c r="H181" s="1555"/>
      <c r="I181" s="1551">
        <f>BS!E111</f>
        <v>0</v>
      </c>
      <c r="J181" s="1552"/>
    </row>
    <row r="182" spans="1:10" s="499" customFormat="1" ht="27.75" customHeight="1" x14ac:dyDescent="0.25">
      <c r="A182" s="554" t="s">
        <v>535</v>
      </c>
      <c r="B182" s="1572" t="s">
        <v>1215</v>
      </c>
      <c r="C182" s="1608"/>
      <c r="D182" s="1608"/>
      <c r="E182" s="1608"/>
      <c r="F182" s="552" t="s">
        <v>745</v>
      </c>
      <c r="G182" s="1551">
        <f>BS!D112</f>
        <v>0</v>
      </c>
      <c r="H182" s="1555"/>
      <c r="I182" s="1551">
        <f>BS!E112</f>
        <v>0</v>
      </c>
      <c r="J182" s="1552"/>
    </row>
    <row r="183" spans="1:10" ht="27.75" customHeight="1" x14ac:dyDescent="0.25">
      <c r="A183" s="554" t="s">
        <v>538</v>
      </c>
      <c r="B183" s="1572" t="s">
        <v>1214</v>
      </c>
      <c r="C183" s="1608"/>
      <c r="D183" s="1608"/>
      <c r="E183" s="1608"/>
      <c r="F183" s="552" t="s">
        <v>747</v>
      </c>
      <c r="G183" s="1551">
        <f>BS!D113</f>
        <v>0</v>
      </c>
      <c r="H183" s="1555"/>
      <c r="I183" s="1551">
        <f>BS!E113</f>
        <v>0</v>
      </c>
      <c r="J183" s="1552"/>
    </row>
    <row r="184" spans="1:10" ht="27.75" customHeight="1" x14ac:dyDescent="0.25">
      <c r="A184" s="554" t="s">
        <v>541</v>
      </c>
      <c r="B184" s="1572" t="s">
        <v>1213</v>
      </c>
      <c r="C184" s="1608"/>
      <c r="D184" s="1608"/>
      <c r="E184" s="1608"/>
      <c r="F184" s="552" t="s">
        <v>749</v>
      </c>
      <c r="G184" s="1551">
        <f>BS!D114</f>
        <v>0</v>
      </c>
      <c r="H184" s="1555"/>
      <c r="I184" s="1551">
        <f>BS!E114</f>
        <v>0</v>
      </c>
      <c r="J184" s="1552"/>
    </row>
    <row r="185" spans="1:10" ht="27.75" customHeight="1" x14ac:dyDescent="0.25">
      <c r="A185" s="554" t="s">
        <v>544</v>
      </c>
      <c r="B185" s="1572" t="s">
        <v>1212</v>
      </c>
      <c r="C185" s="1608"/>
      <c r="D185" s="1608"/>
      <c r="E185" s="1608"/>
      <c r="F185" s="552" t="s">
        <v>751</v>
      </c>
      <c r="G185" s="1551">
        <f>BS!D115</f>
        <v>0</v>
      </c>
      <c r="H185" s="1555"/>
      <c r="I185" s="1551">
        <f>BS!E115</f>
        <v>0</v>
      </c>
      <c r="J185" s="1552"/>
    </row>
    <row r="186" spans="1:10" ht="27.75" customHeight="1" x14ac:dyDescent="0.25">
      <c r="A186" s="554" t="s">
        <v>547</v>
      </c>
      <c r="B186" s="1572" t="s">
        <v>1211</v>
      </c>
      <c r="C186" s="1608"/>
      <c r="D186" s="1608"/>
      <c r="E186" s="1608"/>
      <c r="F186" s="552" t="s">
        <v>753</v>
      </c>
      <c r="G186" s="1551">
        <f>BS!D116</f>
        <v>0</v>
      </c>
      <c r="H186" s="1555"/>
      <c r="I186" s="1551">
        <f>BS!E116</f>
        <v>0</v>
      </c>
      <c r="J186" s="1552"/>
    </row>
    <row r="187" spans="1:10" ht="27.75" customHeight="1" x14ac:dyDescent="0.25">
      <c r="A187" s="554" t="s">
        <v>568</v>
      </c>
      <c r="B187" s="1572" t="s">
        <v>1210</v>
      </c>
      <c r="C187" s="1608"/>
      <c r="D187" s="1608"/>
      <c r="E187" s="1608"/>
      <c r="F187" s="552" t="s">
        <v>755</v>
      </c>
      <c r="G187" s="1551">
        <f>BS!D117</f>
        <v>0</v>
      </c>
      <c r="H187" s="1555"/>
      <c r="I187" s="1551">
        <f>BS!E117</f>
        <v>0</v>
      </c>
      <c r="J187" s="1552"/>
    </row>
    <row r="188" spans="1:10" ht="27.75" customHeight="1" x14ac:dyDescent="0.25">
      <c r="A188" s="554" t="s">
        <v>571</v>
      </c>
      <c r="B188" s="1572" t="s">
        <v>1209</v>
      </c>
      <c r="C188" s="1608"/>
      <c r="D188" s="1608"/>
      <c r="E188" s="1608"/>
      <c r="F188" s="552" t="s">
        <v>757</v>
      </c>
      <c r="G188" s="1551">
        <f>BS!D118</f>
        <v>77</v>
      </c>
      <c r="H188" s="1555"/>
      <c r="I188" s="1551">
        <f>BS!E118</f>
        <v>28</v>
      </c>
      <c r="J188" s="1552"/>
    </row>
    <row r="189" spans="1:10" ht="27.75" customHeight="1" x14ac:dyDescent="0.25">
      <c r="A189" s="554" t="s">
        <v>758</v>
      </c>
      <c r="B189" s="1572" t="s">
        <v>1208</v>
      </c>
      <c r="C189" s="1608"/>
      <c r="D189" s="1608"/>
      <c r="E189" s="1608"/>
      <c r="F189" s="552" t="s">
        <v>760</v>
      </c>
      <c r="G189" s="1551">
        <f>BS!D119</f>
        <v>2737</v>
      </c>
      <c r="H189" s="1555"/>
      <c r="I189" s="1551">
        <f>BS!E119</f>
        <v>10795</v>
      </c>
      <c r="J189" s="1552"/>
    </row>
    <row r="190" spans="1:10" ht="27.75" customHeight="1" x14ac:dyDescent="0.25">
      <c r="A190" s="554" t="s">
        <v>761</v>
      </c>
      <c r="B190" s="1572" t="s">
        <v>1207</v>
      </c>
      <c r="C190" s="1608"/>
      <c r="D190" s="1608"/>
      <c r="E190" s="1608"/>
      <c r="F190" s="552" t="s">
        <v>763</v>
      </c>
      <c r="G190" s="1551">
        <f>BS!D120</f>
        <v>0</v>
      </c>
      <c r="H190" s="1555"/>
      <c r="I190" s="1551">
        <f>BS!E120</f>
        <v>0</v>
      </c>
      <c r="J190" s="1552"/>
    </row>
    <row r="191" spans="1:10" ht="27.75" customHeight="1" x14ac:dyDescent="0.25">
      <c r="A191" s="556" t="s">
        <v>631</v>
      </c>
      <c r="B191" s="1584" t="s">
        <v>1206</v>
      </c>
      <c r="C191" s="1610"/>
      <c r="D191" s="1610"/>
      <c r="E191" s="1610"/>
      <c r="F191" s="552" t="s">
        <v>765</v>
      </c>
      <c r="G191" s="1551">
        <f>BS!D121</f>
        <v>3870264</v>
      </c>
      <c r="H191" s="1555"/>
      <c r="I191" s="1551">
        <f>BS!E121</f>
        <v>2701198</v>
      </c>
      <c r="J191" s="1552"/>
    </row>
    <row r="192" spans="1:10" ht="27.75" customHeight="1" x14ac:dyDescent="0.25">
      <c r="A192" s="554" t="s">
        <v>634</v>
      </c>
      <c r="B192" s="1572" t="s">
        <v>1205</v>
      </c>
      <c r="C192" s="1608"/>
      <c r="D192" s="1608"/>
      <c r="E192" s="1608"/>
      <c r="F192" s="552" t="s">
        <v>767</v>
      </c>
      <c r="G192" s="1551">
        <f>BS!D122</f>
        <v>2440560</v>
      </c>
      <c r="H192" s="1555"/>
      <c r="I192" s="1551">
        <f>BS!E122</f>
        <v>2158603</v>
      </c>
      <c r="J192" s="1552"/>
    </row>
    <row r="193" spans="1:10" ht="27.75" customHeight="1" x14ac:dyDescent="0.25">
      <c r="A193" s="554" t="s">
        <v>532</v>
      </c>
      <c r="B193" s="1572" t="s">
        <v>1204</v>
      </c>
      <c r="C193" s="1608"/>
      <c r="D193" s="1608"/>
      <c r="E193" s="1608"/>
      <c r="F193" s="552" t="s">
        <v>768</v>
      </c>
      <c r="G193" s="1551">
        <f>BS!D123</f>
        <v>0</v>
      </c>
      <c r="H193" s="1555"/>
      <c r="I193" s="1551">
        <f>BS!E123</f>
        <v>0</v>
      </c>
      <c r="J193" s="1552"/>
    </row>
    <row r="194" spans="1:10" ht="27.75" customHeight="1" x14ac:dyDescent="0.25">
      <c r="A194" s="554" t="s">
        <v>535</v>
      </c>
      <c r="B194" s="1572" t="s">
        <v>1203</v>
      </c>
      <c r="C194" s="1608"/>
      <c r="D194" s="1608"/>
      <c r="E194" s="1608"/>
      <c r="F194" s="552" t="s">
        <v>770</v>
      </c>
      <c r="G194" s="1551">
        <f>BS!D124</f>
        <v>-27836</v>
      </c>
      <c r="H194" s="1555"/>
      <c r="I194" s="1551">
        <f>BS!E124</f>
        <v>-61063</v>
      </c>
      <c r="J194" s="1552"/>
    </row>
    <row r="195" spans="1:10" s="499" customFormat="1" ht="27.75" customHeight="1" x14ac:dyDescent="0.25">
      <c r="A195" s="554" t="s">
        <v>538</v>
      </c>
      <c r="B195" s="1572" t="s">
        <v>1202</v>
      </c>
      <c r="C195" s="1608"/>
      <c r="D195" s="1608"/>
      <c r="E195" s="1608"/>
      <c r="F195" s="552" t="s">
        <v>772</v>
      </c>
      <c r="G195" s="1551">
        <f>BS!D125</f>
        <v>0</v>
      </c>
      <c r="H195" s="1555"/>
      <c r="I195" s="1551">
        <f>BS!E125</f>
        <v>0</v>
      </c>
      <c r="J195" s="1552"/>
    </row>
    <row r="196" spans="1:10" ht="27.75" customHeight="1" x14ac:dyDescent="0.25">
      <c r="A196" s="554" t="s">
        <v>541</v>
      </c>
      <c r="B196" s="1572" t="s">
        <v>1201</v>
      </c>
      <c r="C196" s="1608"/>
      <c r="D196" s="1608"/>
      <c r="E196" s="1608"/>
      <c r="F196" s="552" t="s">
        <v>774</v>
      </c>
      <c r="G196" s="1551">
        <f>BS!D126</f>
        <v>0</v>
      </c>
      <c r="H196" s="1555"/>
      <c r="I196" s="1551">
        <f>BS!E126</f>
        <v>0</v>
      </c>
      <c r="J196" s="1552"/>
    </row>
    <row r="197" spans="1:10" ht="27.75" customHeight="1" x14ac:dyDescent="0.25">
      <c r="A197" s="554" t="s">
        <v>544</v>
      </c>
      <c r="B197" s="1572" t="s">
        <v>1200</v>
      </c>
      <c r="C197" s="1608"/>
      <c r="D197" s="1608"/>
      <c r="E197" s="1608"/>
      <c r="F197" s="552" t="s">
        <v>776</v>
      </c>
      <c r="G197" s="1551">
        <f>BS!D127</f>
        <v>1410651</v>
      </c>
      <c r="H197" s="1555"/>
      <c r="I197" s="1551">
        <f>BS!E127</f>
        <v>550689</v>
      </c>
      <c r="J197" s="1552"/>
    </row>
    <row r="198" spans="1:10" ht="27.75" customHeight="1" x14ac:dyDescent="0.25">
      <c r="A198" s="554" t="s">
        <v>547</v>
      </c>
      <c r="B198" s="1572" t="s">
        <v>1199</v>
      </c>
      <c r="C198" s="1608"/>
      <c r="D198" s="1608"/>
      <c r="E198" s="1608"/>
      <c r="F198" s="552" t="s">
        <v>778</v>
      </c>
      <c r="G198" s="1551">
        <f>BS!D128</f>
        <v>21827</v>
      </c>
      <c r="H198" s="1555"/>
      <c r="I198" s="1551">
        <f>BS!E128</f>
        <v>23985</v>
      </c>
      <c r="J198" s="1552"/>
    </row>
    <row r="199" spans="1:10" ht="27.75" customHeight="1" x14ac:dyDescent="0.25">
      <c r="A199" s="554" t="s">
        <v>568</v>
      </c>
      <c r="B199" s="1572" t="s">
        <v>1198</v>
      </c>
      <c r="C199" s="1608"/>
      <c r="D199" s="1608"/>
      <c r="E199" s="1608"/>
      <c r="F199" s="552" t="s">
        <v>780</v>
      </c>
      <c r="G199" s="1551">
        <f>BS!D129</f>
        <v>11108</v>
      </c>
      <c r="H199" s="1555"/>
      <c r="I199" s="1551">
        <f>BS!E129</f>
        <v>13969</v>
      </c>
      <c r="J199" s="1552"/>
    </row>
    <row r="200" spans="1:10" ht="27.75" customHeight="1" x14ac:dyDescent="0.25">
      <c r="A200" s="554" t="s">
        <v>571</v>
      </c>
      <c r="B200" s="1572" t="s">
        <v>1197</v>
      </c>
      <c r="C200" s="1608"/>
      <c r="D200" s="1608"/>
      <c r="E200" s="1608"/>
      <c r="F200" s="552" t="s">
        <v>782</v>
      </c>
      <c r="G200" s="1551">
        <f>BS!D130</f>
        <v>5571</v>
      </c>
      <c r="H200" s="1555"/>
      <c r="I200" s="1551">
        <f>BS!E130</f>
        <v>5166</v>
      </c>
      <c r="J200" s="1552"/>
    </row>
    <row r="201" spans="1:10" ht="27.75" customHeight="1" x14ac:dyDescent="0.25">
      <c r="A201" s="554" t="s">
        <v>758</v>
      </c>
      <c r="B201" s="1572" t="s">
        <v>1196</v>
      </c>
      <c r="C201" s="1608"/>
      <c r="D201" s="1608"/>
      <c r="E201" s="1608"/>
      <c r="F201" s="552" t="s">
        <v>784</v>
      </c>
      <c r="G201" s="1551">
        <f>BS!D131</f>
        <v>8383</v>
      </c>
      <c r="H201" s="1555"/>
      <c r="I201" s="1551">
        <f>BS!E131</f>
        <v>9849</v>
      </c>
      <c r="J201" s="1552"/>
    </row>
    <row r="202" spans="1:10" ht="27.75" customHeight="1" x14ac:dyDescent="0.25">
      <c r="A202" s="556" t="s">
        <v>649</v>
      </c>
      <c r="B202" s="1584" t="s">
        <v>1195</v>
      </c>
      <c r="C202" s="1610"/>
      <c r="D202" s="1610"/>
      <c r="E202" s="1610"/>
      <c r="F202" s="552" t="s">
        <v>786</v>
      </c>
      <c r="G202" s="1551">
        <f>BS!D132</f>
        <v>0</v>
      </c>
      <c r="H202" s="1555"/>
      <c r="I202" s="1551">
        <f>BS!E132</f>
        <v>0</v>
      </c>
      <c r="J202" s="1552"/>
    </row>
    <row r="203" spans="1:10" ht="27.75" customHeight="1" x14ac:dyDescent="0.25">
      <c r="A203" s="557" t="s">
        <v>787</v>
      </c>
      <c r="B203" s="1584" t="s">
        <v>1194</v>
      </c>
      <c r="C203" s="1610"/>
      <c r="D203" s="1610"/>
      <c r="E203" s="1610"/>
      <c r="F203" s="552" t="s">
        <v>789</v>
      </c>
      <c r="G203" s="1551">
        <f>BS!D133</f>
        <v>0</v>
      </c>
      <c r="H203" s="1555"/>
      <c r="I203" s="1551">
        <f>BS!E133</f>
        <v>0</v>
      </c>
      <c r="J203" s="1552"/>
    </row>
    <row r="204" spans="1:10" ht="27.75" customHeight="1" x14ac:dyDescent="0.25">
      <c r="A204" s="554" t="s">
        <v>790</v>
      </c>
      <c r="B204" s="1584" t="s">
        <v>1193</v>
      </c>
      <c r="C204" s="1610"/>
      <c r="D204" s="1610"/>
      <c r="E204" s="1610"/>
      <c r="F204" s="552" t="s">
        <v>792</v>
      </c>
      <c r="G204" s="1551">
        <f>BS!D134</f>
        <v>0</v>
      </c>
      <c r="H204" s="1555"/>
      <c r="I204" s="1551">
        <f>BS!E134</f>
        <v>0</v>
      </c>
      <c r="J204" s="1552"/>
    </row>
    <row r="205" spans="1:10" s="499" customFormat="1" ht="27.75" customHeight="1" x14ac:dyDescent="0.25">
      <c r="A205" s="554" t="s">
        <v>532</v>
      </c>
      <c r="B205" s="1572" t="s">
        <v>1192</v>
      </c>
      <c r="C205" s="1608"/>
      <c r="D205" s="1608"/>
      <c r="E205" s="1608"/>
      <c r="F205" s="552" t="s">
        <v>794</v>
      </c>
      <c r="G205" s="1551">
        <f>BS!D135</f>
        <v>0</v>
      </c>
      <c r="H205" s="1555"/>
      <c r="I205" s="1551">
        <f>BS!E135</f>
        <v>0</v>
      </c>
      <c r="J205" s="1552"/>
    </row>
    <row r="206" spans="1:10" ht="27.75" customHeight="1" x14ac:dyDescent="0.25">
      <c r="A206" s="556" t="s">
        <v>663</v>
      </c>
      <c r="B206" s="1584" t="s">
        <v>1191</v>
      </c>
      <c r="C206" s="1610"/>
      <c r="D206" s="1610"/>
      <c r="E206" s="1610"/>
      <c r="F206" s="552" t="s">
        <v>796</v>
      </c>
      <c r="G206" s="1551">
        <f>BS!D136</f>
        <v>0</v>
      </c>
      <c r="H206" s="1555"/>
      <c r="I206" s="1551">
        <f>BS!E136</f>
        <v>0</v>
      </c>
      <c r="J206" s="1552"/>
    </row>
    <row r="207" spans="1:10" ht="27.75" customHeight="1" x14ac:dyDescent="0.25">
      <c r="A207" s="555" t="s">
        <v>666</v>
      </c>
      <c r="B207" s="1572" t="s">
        <v>1190</v>
      </c>
      <c r="C207" s="1608"/>
      <c r="D207" s="1608"/>
      <c r="E207" s="1608"/>
      <c r="F207" s="552" t="s">
        <v>798</v>
      </c>
      <c r="G207" s="1551">
        <f>BS!D137</f>
        <v>0</v>
      </c>
      <c r="H207" s="1555"/>
      <c r="I207" s="1551">
        <f>BS!E137</f>
        <v>0</v>
      </c>
      <c r="J207" s="1552"/>
    </row>
    <row r="208" spans="1:10" ht="27.75" customHeight="1" x14ac:dyDescent="0.25">
      <c r="A208" s="554" t="s">
        <v>532</v>
      </c>
      <c r="B208" s="1572" t="s">
        <v>1189</v>
      </c>
      <c r="C208" s="1608"/>
      <c r="D208" s="1608"/>
      <c r="E208" s="1608"/>
      <c r="F208" s="552" t="s">
        <v>800</v>
      </c>
      <c r="G208" s="1551">
        <f>BS!D138</f>
        <v>0</v>
      </c>
      <c r="H208" s="1555"/>
      <c r="I208" s="1551">
        <f>BS!E138</f>
        <v>0</v>
      </c>
      <c r="J208" s="1552"/>
    </row>
    <row r="209" spans="1:10" s="499" customFormat="1" ht="27.75" customHeight="1" x14ac:dyDescent="0.25">
      <c r="A209" s="554" t="s">
        <v>535</v>
      </c>
      <c r="B209" s="1572" t="s">
        <v>1188</v>
      </c>
      <c r="C209" s="1608"/>
      <c r="D209" s="1608"/>
      <c r="E209" s="1608"/>
      <c r="F209" s="552" t="s">
        <v>802</v>
      </c>
      <c r="G209" s="1551">
        <f>BS!D139</f>
        <v>0</v>
      </c>
      <c r="H209" s="1555"/>
      <c r="I209" s="1551">
        <f>BS!E139</f>
        <v>0</v>
      </c>
      <c r="J209" s="1552"/>
    </row>
    <row r="210" spans="1:10" ht="27.75" customHeight="1" thickBot="1" x14ac:dyDescent="0.3">
      <c r="A210" s="553" t="s">
        <v>538</v>
      </c>
      <c r="B210" s="1613" t="s">
        <v>1187</v>
      </c>
      <c r="C210" s="1614"/>
      <c r="D210" s="1614"/>
      <c r="E210" s="1614"/>
      <c r="F210" s="552" t="s">
        <v>804</v>
      </c>
      <c r="G210" s="1551">
        <f>BS!D140</f>
        <v>0</v>
      </c>
      <c r="H210" s="1555"/>
      <c r="I210" s="1551">
        <f>BS!E140</f>
        <v>0</v>
      </c>
      <c r="J210" s="1552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6">
    <mergeCell ref="H10:J10"/>
    <mergeCell ref="H12:J12"/>
    <mergeCell ref="G15:I15"/>
    <mergeCell ref="D19:F19"/>
    <mergeCell ref="D44:F44"/>
    <mergeCell ref="D45:F45"/>
    <mergeCell ref="G48:I48"/>
    <mergeCell ref="H47:J47"/>
    <mergeCell ref="H16:J16"/>
    <mergeCell ref="G31:I31"/>
    <mergeCell ref="I35:J35"/>
    <mergeCell ref="D33:H33"/>
    <mergeCell ref="G23:I23"/>
    <mergeCell ref="G40:I40"/>
    <mergeCell ref="H39:J39"/>
    <mergeCell ref="D41:F41"/>
    <mergeCell ref="D20:F20"/>
    <mergeCell ref="D42:F42"/>
    <mergeCell ref="D43:F43"/>
    <mergeCell ref="G38:I38"/>
    <mergeCell ref="G42:I42"/>
    <mergeCell ref="G35:H35"/>
    <mergeCell ref="H24:J24"/>
    <mergeCell ref="G27:I27"/>
    <mergeCell ref="H32:J32"/>
    <mergeCell ref="D48:F48"/>
    <mergeCell ref="G54:I54"/>
    <mergeCell ref="G50:I50"/>
    <mergeCell ref="G52:I52"/>
    <mergeCell ref="H20:J20"/>
    <mergeCell ref="G19:I19"/>
    <mergeCell ref="H18:J18"/>
    <mergeCell ref="G17:I17"/>
    <mergeCell ref="G21:I21"/>
    <mergeCell ref="H26:J26"/>
    <mergeCell ref="G34:H34"/>
    <mergeCell ref="H22:J22"/>
    <mergeCell ref="H30:J30"/>
    <mergeCell ref="G29:I29"/>
    <mergeCell ref="H28:J28"/>
    <mergeCell ref="I33:J34"/>
    <mergeCell ref="D21:F21"/>
    <mergeCell ref="I4:J5"/>
    <mergeCell ref="H8:J8"/>
    <mergeCell ref="G5:H5"/>
    <mergeCell ref="G6:H6"/>
    <mergeCell ref="D4:H4"/>
    <mergeCell ref="G9:I9"/>
    <mergeCell ref="G7:I7"/>
    <mergeCell ref="E5:F5"/>
    <mergeCell ref="E6:F6"/>
    <mergeCell ref="D5:D6"/>
    <mergeCell ref="D9:F9"/>
    <mergeCell ref="I6:J6"/>
    <mergeCell ref="G11:I11"/>
    <mergeCell ref="H14:J14"/>
    <mergeCell ref="G13:I13"/>
    <mergeCell ref="H92:J92"/>
    <mergeCell ref="D83:F83"/>
    <mergeCell ref="G81:I81"/>
    <mergeCell ref="H80:J80"/>
    <mergeCell ref="G87:I87"/>
    <mergeCell ref="H86:J86"/>
    <mergeCell ref="G85:I85"/>
    <mergeCell ref="H84:J84"/>
    <mergeCell ref="G25:I25"/>
    <mergeCell ref="D68:F68"/>
    <mergeCell ref="D67:F67"/>
    <mergeCell ref="D89:F89"/>
    <mergeCell ref="D50:F50"/>
    <mergeCell ref="H49:J49"/>
    <mergeCell ref="D47:F47"/>
    <mergeCell ref="G44:I44"/>
    <mergeCell ref="H43:J43"/>
    <mergeCell ref="D14:F14"/>
    <mergeCell ref="D13:F13"/>
    <mergeCell ref="G36:I36"/>
    <mergeCell ref="H63:J63"/>
    <mergeCell ref="B187:E187"/>
    <mergeCell ref="B168:E168"/>
    <mergeCell ref="B169:E169"/>
    <mergeCell ref="B179:E179"/>
    <mergeCell ref="G66:H66"/>
    <mergeCell ref="G96:H96"/>
    <mergeCell ref="B188:E188"/>
    <mergeCell ref="B166:E166"/>
    <mergeCell ref="D80:F80"/>
    <mergeCell ref="D79:F79"/>
    <mergeCell ref="D91:F91"/>
    <mergeCell ref="D92:F92"/>
    <mergeCell ref="B91:B92"/>
    <mergeCell ref="D65:D66"/>
    <mergeCell ref="D69:F69"/>
    <mergeCell ref="B177:E177"/>
    <mergeCell ref="B170:E170"/>
    <mergeCell ref="B171:E171"/>
    <mergeCell ref="B174:E174"/>
    <mergeCell ref="B175:E175"/>
    <mergeCell ref="B110:B111"/>
    <mergeCell ref="B150:E150"/>
    <mergeCell ref="B151:E151"/>
    <mergeCell ref="B152:E152"/>
    <mergeCell ref="B210:E210"/>
    <mergeCell ref="B200:E200"/>
    <mergeCell ref="B201:E201"/>
    <mergeCell ref="B202:E202"/>
    <mergeCell ref="B203:E203"/>
    <mergeCell ref="B204:E204"/>
    <mergeCell ref="B199:E199"/>
    <mergeCell ref="B207:E207"/>
    <mergeCell ref="B189:E189"/>
    <mergeCell ref="B190:E190"/>
    <mergeCell ref="B192:E192"/>
    <mergeCell ref="B197:E197"/>
    <mergeCell ref="B194:E194"/>
    <mergeCell ref="B195:E195"/>
    <mergeCell ref="B196:E196"/>
    <mergeCell ref="B193:E193"/>
    <mergeCell ref="B198:E198"/>
    <mergeCell ref="B191:E191"/>
    <mergeCell ref="B209:E209"/>
    <mergeCell ref="B205:E205"/>
    <mergeCell ref="B206:E206"/>
    <mergeCell ref="B208:E208"/>
    <mergeCell ref="B186:E186"/>
    <mergeCell ref="D62:F62"/>
    <mergeCell ref="D51:F51"/>
    <mergeCell ref="D60:F60"/>
    <mergeCell ref="D55:F55"/>
    <mergeCell ref="B164:E164"/>
    <mergeCell ref="B165:E165"/>
    <mergeCell ref="B156:E156"/>
    <mergeCell ref="B157:E157"/>
    <mergeCell ref="B162:E162"/>
    <mergeCell ref="B163:E163"/>
    <mergeCell ref="B62:B63"/>
    <mergeCell ref="B87:B88"/>
    <mergeCell ref="C87:C88"/>
    <mergeCell ref="B160:E160"/>
    <mergeCell ref="B161:E161"/>
    <mergeCell ref="D74:F74"/>
    <mergeCell ref="D84:F84"/>
    <mergeCell ref="B178:E178"/>
    <mergeCell ref="B172:E172"/>
    <mergeCell ref="B173:E173"/>
    <mergeCell ref="D64:H64"/>
    <mergeCell ref="G91:I91"/>
    <mergeCell ref="B149:E149"/>
    <mergeCell ref="B185:E185"/>
    <mergeCell ref="B184:E184"/>
    <mergeCell ref="I66:J66"/>
    <mergeCell ref="D26:F26"/>
    <mergeCell ref="D30:F30"/>
    <mergeCell ref="B38:B39"/>
    <mergeCell ref="B180:E180"/>
    <mergeCell ref="B182:E182"/>
    <mergeCell ref="B183:E183"/>
    <mergeCell ref="B167:E167"/>
    <mergeCell ref="B176:E176"/>
    <mergeCell ref="B181:E181"/>
    <mergeCell ref="D46:F46"/>
    <mergeCell ref="D54:F54"/>
    <mergeCell ref="B153:E153"/>
    <mergeCell ref="B158:E158"/>
    <mergeCell ref="B159:E159"/>
    <mergeCell ref="B154:E154"/>
    <mergeCell ref="B155:E155"/>
    <mergeCell ref="B98:B99"/>
    <mergeCell ref="H82:J82"/>
    <mergeCell ref="D96:D97"/>
    <mergeCell ref="I95:J96"/>
    <mergeCell ref="H94:J94"/>
    <mergeCell ref="A15:A16"/>
    <mergeCell ref="B15:B16"/>
    <mergeCell ref="A13:A14"/>
    <mergeCell ref="B13:B14"/>
    <mergeCell ref="C13:C14"/>
    <mergeCell ref="A11:A12"/>
    <mergeCell ref="B11:B12"/>
    <mergeCell ref="C11:C12"/>
    <mergeCell ref="A4:A6"/>
    <mergeCell ref="B4:B6"/>
    <mergeCell ref="A7:A8"/>
    <mergeCell ref="B7:B8"/>
    <mergeCell ref="C7:C8"/>
    <mergeCell ref="A9:A10"/>
    <mergeCell ref="B9:B10"/>
    <mergeCell ref="C9:C10"/>
    <mergeCell ref="C4:C6"/>
    <mergeCell ref="C15:C16"/>
    <mergeCell ref="C23:C24"/>
    <mergeCell ref="D24:F24"/>
    <mergeCell ref="D23:F23"/>
    <mergeCell ref="B21:B22"/>
    <mergeCell ref="C21:C22"/>
    <mergeCell ref="B19:B20"/>
    <mergeCell ref="C19:C20"/>
    <mergeCell ref="D22:F22"/>
    <mergeCell ref="D16:F16"/>
    <mergeCell ref="B23:B24"/>
    <mergeCell ref="C31:C32"/>
    <mergeCell ref="D31:F31"/>
    <mergeCell ref="D32:F32"/>
    <mergeCell ref="A17:A18"/>
    <mergeCell ref="B17:B18"/>
    <mergeCell ref="C17:C18"/>
    <mergeCell ref="A19:A20"/>
    <mergeCell ref="A21:A22"/>
    <mergeCell ref="D27:F27"/>
    <mergeCell ref="C29:C30"/>
    <mergeCell ref="D29:F29"/>
    <mergeCell ref="A27:A28"/>
    <mergeCell ref="B27:B28"/>
    <mergeCell ref="C27:C28"/>
    <mergeCell ref="A25:A26"/>
    <mergeCell ref="B25:B26"/>
    <mergeCell ref="C25:C26"/>
    <mergeCell ref="D25:F25"/>
    <mergeCell ref="D28:F28"/>
    <mergeCell ref="A31:A32"/>
    <mergeCell ref="A29:A30"/>
    <mergeCell ref="B29:B30"/>
    <mergeCell ref="B31:B32"/>
    <mergeCell ref="A23:A24"/>
    <mergeCell ref="A50:A51"/>
    <mergeCell ref="A60:A61"/>
    <mergeCell ref="B60:B61"/>
    <mergeCell ref="C42:C43"/>
    <mergeCell ref="A42:A43"/>
    <mergeCell ref="A40:A41"/>
    <mergeCell ref="C48:C49"/>
    <mergeCell ref="A44:A45"/>
    <mergeCell ref="B48:B49"/>
    <mergeCell ref="B50:B51"/>
    <mergeCell ref="B52:B53"/>
    <mergeCell ref="A52:A53"/>
    <mergeCell ref="C44:C45"/>
    <mergeCell ref="C50:C51"/>
    <mergeCell ref="B40:B41"/>
    <mergeCell ref="A62:A63"/>
    <mergeCell ref="A56:A57"/>
    <mergeCell ref="B56:B57"/>
    <mergeCell ref="B44:B45"/>
    <mergeCell ref="A58:A59"/>
    <mergeCell ref="A67:A68"/>
    <mergeCell ref="E65:F65"/>
    <mergeCell ref="D73:F73"/>
    <mergeCell ref="B67:B68"/>
    <mergeCell ref="A69:A70"/>
    <mergeCell ref="C67:C68"/>
    <mergeCell ref="A71:A72"/>
    <mergeCell ref="B71:B72"/>
    <mergeCell ref="C71:C72"/>
    <mergeCell ref="C69:C70"/>
    <mergeCell ref="D72:F72"/>
    <mergeCell ref="C46:C47"/>
    <mergeCell ref="B58:B59"/>
    <mergeCell ref="C56:C57"/>
    <mergeCell ref="C58:C59"/>
    <mergeCell ref="A73:A74"/>
    <mergeCell ref="B73:B74"/>
    <mergeCell ref="B64:B66"/>
    <mergeCell ref="A64:A66"/>
    <mergeCell ref="A77:A78"/>
    <mergeCell ref="B77:B78"/>
    <mergeCell ref="C77:C78"/>
    <mergeCell ref="D77:F77"/>
    <mergeCell ref="D78:F78"/>
    <mergeCell ref="A75:A76"/>
    <mergeCell ref="B75:B76"/>
    <mergeCell ref="C75:C76"/>
    <mergeCell ref="D75:F75"/>
    <mergeCell ref="D76:F76"/>
    <mergeCell ref="A91:A92"/>
    <mergeCell ref="D81:F81"/>
    <mergeCell ref="B83:B84"/>
    <mergeCell ref="C83:C84"/>
    <mergeCell ref="A87:A88"/>
    <mergeCell ref="A110:A111"/>
    <mergeCell ref="C110:C111"/>
    <mergeCell ref="D110:F110"/>
    <mergeCell ref="A81:A82"/>
    <mergeCell ref="B81:B82"/>
    <mergeCell ref="C81:C82"/>
    <mergeCell ref="D82:F82"/>
    <mergeCell ref="D111:F111"/>
    <mergeCell ref="C91:C92"/>
    <mergeCell ref="A83:A84"/>
    <mergeCell ref="A100:A101"/>
    <mergeCell ref="A95:A97"/>
    <mergeCell ref="A104:A105"/>
    <mergeCell ref="D106:F106"/>
    <mergeCell ref="D105:F105"/>
    <mergeCell ref="B102:B103"/>
    <mergeCell ref="C102:C103"/>
    <mergeCell ref="A102:A103"/>
    <mergeCell ref="B100:B101"/>
    <mergeCell ref="G98:I98"/>
    <mergeCell ref="I97:J97"/>
    <mergeCell ref="D90:F90"/>
    <mergeCell ref="D85:F85"/>
    <mergeCell ref="A79:A80"/>
    <mergeCell ref="B79:B80"/>
    <mergeCell ref="C79:C80"/>
    <mergeCell ref="D87:F87"/>
    <mergeCell ref="D86:F86"/>
    <mergeCell ref="A98:A99"/>
    <mergeCell ref="A93:A94"/>
    <mergeCell ref="B93:B94"/>
    <mergeCell ref="C93:C94"/>
    <mergeCell ref="B95:B97"/>
    <mergeCell ref="D94:F94"/>
    <mergeCell ref="D95:H95"/>
    <mergeCell ref="E96:F96"/>
    <mergeCell ref="E97:F97"/>
    <mergeCell ref="G97:H97"/>
    <mergeCell ref="A85:A86"/>
    <mergeCell ref="B85:B86"/>
    <mergeCell ref="C85:C86"/>
    <mergeCell ref="A89:A90"/>
    <mergeCell ref="B89:B90"/>
    <mergeCell ref="D107:F107"/>
    <mergeCell ref="B104:B105"/>
    <mergeCell ref="C104:C105"/>
    <mergeCell ref="D102:F102"/>
    <mergeCell ref="D103:F103"/>
    <mergeCell ref="C100:C101"/>
    <mergeCell ref="D100:F100"/>
    <mergeCell ref="A108:A109"/>
    <mergeCell ref="B108:B109"/>
    <mergeCell ref="C108:C109"/>
    <mergeCell ref="C106:C107"/>
    <mergeCell ref="A106:A107"/>
    <mergeCell ref="B106:B107"/>
    <mergeCell ref="A114:A115"/>
    <mergeCell ref="B114:B115"/>
    <mergeCell ref="C114:C115"/>
    <mergeCell ref="A112:A113"/>
    <mergeCell ref="B112:B113"/>
    <mergeCell ref="C112:C113"/>
    <mergeCell ref="A116:A117"/>
    <mergeCell ref="B116:B117"/>
    <mergeCell ref="C116:C117"/>
    <mergeCell ref="D124:F124"/>
    <mergeCell ref="D123:F123"/>
    <mergeCell ref="G122:I122"/>
    <mergeCell ref="H121:J121"/>
    <mergeCell ref="A139:A140"/>
    <mergeCell ref="D139:F139"/>
    <mergeCell ref="C118:C119"/>
    <mergeCell ref="C122:C123"/>
    <mergeCell ref="D125:F125"/>
    <mergeCell ref="E129:F129"/>
    <mergeCell ref="D131:F131"/>
    <mergeCell ref="D132:F132"/>
    <mergeCell ref="D128:H128"/>
    <mergeCell ref="E130:F130"/>
    <mergeCell ref="C128:C130"/>
    <mergeCell ref="C135:C136"/>
    <mergeCell ref="D136:F136"/>
    <mergeCell ref="D129:D130"/>
    <mergeCell ref="B124:B125"/>
    <mergeCell ref="C124:C125"/>
    <mergeCell ref="H127:J127"/>
    <mergeCell ref="G126:I126"/>
    <mergeCell ref="H125:J125"/>
    <mergeCell ref="G124:I124"/>
    <mergeCell ref="A141:A142"/>
    <mergeCell ref="B141:B142"/>
    <mergeCell ref="C141:C142"/>
    <mergeCell ref="A133:A134"/>
    <mergeCell ref="B133:B134"/>
    <mergeCell ref="C133:C134"/>
    <mergeCell ref="B128:B130"/>
    <mergeCell ref="B120:B121"/>
    <mergeCell ref="A128:A130"/>
    <mergeCell ref="A124:A125"/>
    <mergeCell ref="A126:A127"/>
    <mergeCell ref="A135:A136"/>
    <mergeCell ref="A137:A138"/>
    <mergeCell ref="B137:B138"/>
    <mergeCell ref="A131:A132"/>
    <mergeCell ref="B135:B136"/>
    <mergeCell ref="B139:B140"/>
    <mergeCell ref="C139:C140"/>
    <mergeCell ref="D141:F141"/>
    <mergeCell ref="D142:F142"/>
    <mergeCell ref="A143:A144"/>
    <mergeCell ref="C131:C132"/>
    <mergeCell ref="C89:C90"/>
    <mergeCell ref="C95:C97"/>
    <mergeCell ref="D115:F115"/>
    <mergeCell ref="D117:F117"/>
    <mergeCell ref="D133:F133"/>
    <mergeCell ref="D114:F114"/>
    <mergeCell ref="D126:F126"/>
    <mergeCell ref="D127:F127"/>
    <mergeCell ref="C120:C121"/>
    <mergeCell ref="C126:C127"/>
    <mergeCell ref="D118:F118"/>
    <mergeCell ref="D120:F120"/>
    <mergeCell ref="D121:F121"/>
    <mergeCell ref="A118:A119"/>
    <mergeCell ref="B118:B119"/>
    <mergeCell ref="B122:B123"/>
    <mergeCell ref="A122:A123"/>
    <mergeCell ref="A120:A121"/>
    <mergeCell ref="B126:B127"/>
    <mergeCell ref="B131:B132"/>
    <mergeCell ref="D99:F99"/>
    <mergeCell ref="D39:F39"/>
    <mergeCell ref="D36:F36"/>
    <mergeCell ref="D37:F37"/>
    <mergeCell ref="D34:D35"/>
    <mergeCell ref="E34:F34"/>
    <mergeCell ref="E35:F35"/>
    <mergeCell ref="B143:B144"/>
    <mergeCell ref="C143:C144"/>
    <mergeCell ref="D140:F140"/>
    <mergeCell ref="D144:F144"/>
    <mergeCell ref="D143:F143"/>
    <mergeCell ref="D134:F134"/>
    <mergeCell ref="D135:F135"/>
    <mergeCell ref="D138:F138"/>
    <mergeCell ref="C137:C138"/>
    <mergeCell ref="D137:F137"/>
    <mergeCell ref="C98:C99"/>
    <mergeCell ref="D93:F93"/>
    <mergeCell ref="B46:B47"/>
    <mergeCell ref="C33:C35"/>
    <mergeCell ref="D38:F38"/>
    <mergeCell ref="C38:C39"/>
    <mergeCell ref="D40:F40"/>
    <mergeCell ref="D10:F10"/>
    <mergeCell ref="D122:F122"/>
    <mergeCell ref="D7:F7"/>
    <mergeCell ref="D58:F58"/>
    <mergeCell ref="D52:F52"/>
    <mergeCell ref="D53:F53"/>
    <mergeCell ref="D8:F8"/>
    <mergeCell ref="D11:F11"/>
    <mergeCell ref="D12:F12"/>
    <mergeCell ref="D17:F17"/>
    <mergeCell ref="D116:F116"/>
    <mergeCell ref="D88:F88"/>
    <mergeCell ref="D113:F113"/>
    <mergeCell ref="D112:F112"/>
    <mergeCell ref="D104:F104"/>
    <mergeCell ref="D119:F119"/>
    <mergeCell ref="D18:F18"/>
    <mergeCell ref="D15:F15"/>
    <mergeCell ref="D49:F49"/>
    <mergeCell ref="D56:F56"/>
    <mergeCell ref="D108:F108"/>
    <mergeCell ref="D109:F109"/>
    <mergeCell ref="D101:F101"/>
    <mergeCell ref="D98:F98"/>
    <mergeCell ref="D147:F147"/>
    <mergeCell ref="D145:F145"/>
    <mergeCell ref="A145:A146"/>
    <mergeCell ref="B145:B146"/>
    <mergeCell ref="C145:C146"/>
    <mergeCell ref="A147:A148"/>
    <mergeCell ref="B147:B148"/>
    <mergeCell ref="C147:C148"/>
    <mergeCell ref="D148:F148"/>
    <mergeCell ref="D146:F146"/>
    <mergeCell ref="B69:B70"/>
    <mergeCell ref="C64:C66"/>
    <mergeCell ref="D71:F71"/>
    <mergeCell ref="C73:C74"/>
    <mergeCell ref="D63:F63"/>
    <mergeCell ref="C62:C63"/>
    <mergeCell ref="D57:F57"/>
    <mergeCell ref="D70:F70"/>
    <mergeCell ref="C60:C61"/>
    <mergeCell ref="D61:F61"/>
    <mergeCell ref="D59:F59"/>
    <mergeCell ref="E66:F66"/>
    <mergeCell ref="A33:A35"/>
    <mergeCell ref="A36:A37"/>
    <mergeCell ref="B36:B37"/>
    <mergeCell ref="C36:C37"/>
    <mergeCell ref="B33:B35"/>
    <mergeCell ref="A38:A39"/>
    <mergeCell ref="C40:C41"/>
    <mergeCell ref="B42:B43"/>
    <mergeCell ref="H59:J59"/>
    <mergeCell ref="G58:I58"/>
    <mergeCell ref="H57:J57"/>
    <mergeCell ref="H37:J37"/>
    <mergeCell ref="H53:J53"/>
    <mergeCell ref="H51:J51"/>
    <mergeCell ref="G56:I56"/>
    <mergeCell ref="H55:J55"/>
    <mergeCell ref="G46:I46"/>
    <mergeCell ref="H45:J45"/>
    <mergeCell ref="A54:A55"/>
    <mergeCell ref="B54:B55"/>
    <mergeCell ref="C54:C55"/>
    <mergeCell ref="A48:A49"/>
    <mergeCell ref="C52:C53"/>
    <mergeCell ref="A46:A47"/>
    <mergeCell ref="G62:I62"/>
    <mergeCell ref="H61:J61"/>
    <mergeCell ref="G60:I60"/>
    <mergeCell ref="G77:I77"/>
    <mergeCell ref="H76:J76"/>
    <mergeCell ref="G75:I75"/>
    <mergeCell ref="H74:J74"/>
    <mergeCell ref="G69:I69"/>
    <mergeCell ref="H68:J68"/>
    <mergeCell ref="G73:I73"/>
    <mergeCell ref="H72:J72"/>
    <mergeCell ref="G71:I71"/>
    <mergeCell ref="H70:J70"/>
    <mergeCell ref="G67:I67"/>
    <mergeCell ref="I64:J65"/>
    <mergeCell ref="G65:H65"/>
    <mergeCell ref="H148:J148"/>
    <mergeCell ref="G147:I147"/>
    <mergeCell ref="H146:J146"/>
    <mergeCell ref="G145:I145"/>
    <mergeCell ref="G93:I93"/>
    <mergeCell ref="H90:J90"/>
    <mergeCell ref="G89:I89"/>
    <mergeCell ref="H88:J88"/>
    <mergeCell ref="H41:J41"/>
    <mergeCell ref="G79:I79"/>
    <mergeCell ref="H78:J78"/>
    <mergeCell ref="G83:I83"/>
    <mergeCell ref="H140:J140"/>
    <mergeCell ref="G139:I139"/>
    <mergeCell ref="I128:J129"/>
    <mergeCell ref="G129:H129"/>
    <mergeCell ref="G130:H130"/>
    <mergeCell ref="H136:J136"/>
    <mergeCell ref="G135:I135"/>
    <mergeCell ref="H144:J144"/>
    <mergeCell ref="G143:I143"/>
    <mergeCell ref="H142:J142"/>
    <mergeCell ref="G141:I141"/>
    <mergeCell ref="I130:J130"/>
    <mergeCell ref="H99:J99"/>
    <mergeCell ref="G112:I112"/>
    <mergeCell ref="H109:J109"/>
    <mergeCell ref="G108:I108"/>
    <mergeCell ref="H107:J107"/>
    <mergeCell ref="H103:J103"/>
    <mergeCell ref="G102:I102"/>
    <mergeCell ref="H101:J101"/>
    <mergeCell ref="G100:I100"/>
    <mergeCell ref="G104:I104"/>
    <mergeCell ref="G114:I114"/>
    <mergeCell ref="H113:J113"/>
    <mergeCell ref="G110:I110"/>
    <mergeCell ref="H111:J111"/>
    <mergeCell ref="H138:J138"/>
    <mergeCell ref="G137:I137"/>
    <mergeCell ref="H134:J134"/>
    <mergeCell ref="G133:I133"/>
    <mergeCell ref="H105:J105"/>
    <mergeCell ref="G106:I106"/>
    <mergeCell ref="G116:I116"/>
    <mergeCell ref="H115:J115"/>
    <mergeCell ref="G120:I120"/>
    <mergeCell ref="H119:J119"/>
    <mergeCell ref="G118:I118"/>
    <mergeCell ref="H117:J117"/>
    <mergeCell ref="H132:J132"/>
    <mergeCell ref="G131:I131"/>
    <mergeCell ref="H123:J123"/>
    <mergeCell ref="G153:H153"/>
    <mergeCell ref="G154:H154"/>
    <mergeCell ref="G155:H155"/>
    <mergeCell ref="G156:H156"/>
    <mergeCell ref="G149:H149"/>
    <mergeCell ref="G150:H150"/>
    <mergeCell ref="G151:H151"/>
    <mergeCell ref="G152:H152"/>
    <mergeCell ref="G161:H161"/>
    <mergeCell ref="G162:H162"/>
    <mergeCell ref="G163:H163"/>
    <mergeCell ref="G164:H164"/>
    <mergeCell ref="G157:H157"/>
    <mergeCell ref="G158:H158"/>
    <mergeCell ref="G159:H159"/>
    <mergeCell ref="G160:H160"/>
    <mergeCell ref="G181:H181"/>
    <mergeCell ref="G169:H169"/>
    <mergeCell ref="G170:H170"/>
    <mergeCell ref="G171:H171"/>
    <mergeCell ref="G172:H172"/>
    <mergeCell ref="G165:H165"/>
    <mergeCell ref="G166:H166"/>
    <mergeCell ref="G167:H167"/>
    <mergeCell ref="G168:H168"/>
    <mergeCell ref="G177:H177"/>
    <mergeCell ref="G178:H178"/>
    <mergeCell ref="G179:H179"/>
    <mergeCell ref="G180:H180"/>
    <mergeCell ref="G173:H173"/>
    <mergeCell ref="G174:H174"/>
    <mergeCell ref="G175:H175"/>
    <mergeCell ref="G176:H176"/>
    <mergeCell ref="G186:H186"/>
    <mergeCell ref="G187:H187"/>
    <mergeCell ref="G188:H188"/>
    <mergeCell ref="G189:H189"/>
    <mergeCell ref="G193:H193"/>
    <mergeCell ref="G182:H182"/>
    <mergeCell ref="G183:H183"/>
    <mergeCell ref="G184:H184"/>
    <mergeCell ref="G185:H185"/>
    <mergeCell ref="G195:H195"/>
    <mergeCell ref="G196:H196"/>
    <mergeCell ref="G197:H197"/>
    <mergeCell ref="G198:H198"/>
    <mergeCell ref="G190:H190"/>
    <mergeCell ref="G191:H191"/>
    <mergeCell ref="G192:H192"/>
    <mergeCell ref="G194:H194"/>
    <mergeCell ref="G209:H209"/>
    <mergeCell ref="G210:H210"/>
    <mergeCell ref="G203:H203"/>
    <mergeCell ref="G204:H204"/>
    <mergeCell ref="G205:H205"/>
    <mergeCell ref="G206:H206"/>
    <mergeCell ref="I149:J149"/>
    <mergeCell ref="I150:J150"/>
    <mergeCell ref="I151:J151"/>
    <mergeCell ref="I152:J152"/>
    <mergeCell ref="G207:H207"/>
    <mergeCell ref="G208:H208"/>
    <mergeCell ref="G199:H199"/>
    <mergeCell ref="G200:H200"/>
    <mergeCell ref="G201:H201"/>
    <mergeCell ref="G202:H202"/>
    <mergeCell ref="I157:J157"/>
    <mergeCell ref="I158:J158"/>
    <mergeCell ref="I159:J159"/>
    <mergeCell ref="I160:J160"/>
    <mergeCell ref="I153:J153"/>
    <mergeCell ref="I154:J154"/>
    <mergeCell ref="I155:J155"/>
    <mergeCell ref="I156:J156"/>
    <mergeCell ref="I165:J165"/>
    <mergeCell ref="I166:J166"/>
    <mergeCell ref="I167:J167"/>
    <mergeCell ref="I168:J168"/>
    <mergeCell ref="I161:J161"/>
    <mergeCell ref="I162:J162"/>
    <mergeCell ref="I163:J163"/>
    <mergeCell ref="I164:J164"/>
    <mergeCell ref="I173:J173"/>
    <mergeCell ref="I174:J174"/>
    <mergeCell ref="I175:J175"/>
    <mergeCell ref="I176:J176"/>
    <mergeCell ref="I181:J181"/>
    <mergeCell ref="I169:J169"/>
    <mergeCell ref="I170:J170"/>
    <mergeCell ref="I171:J171"/>
    <mergeCell ref="I172:J172"/>
    <mergeCell ref="I182:J182"/>
    <mergeCell ref="I183:J183"/>
    <mergeCell ref="I184:J184"/>
    <mergeCell ref="I185:J185"/>
    <mergeCell ref="I177:J177"/>
    <mergeCell ref="I178:J178"/>
    <mergeCell ref="I179:J179"/>
    <mergeCell ref="I180:J180"/>
    <mergeCell ref="I190:J190"/>
    <mergeCell ref="I191:J191"/>
    <mergeCell ref="I192:J192"/>
    <mergeCell ref="I194:J194"/>
    <mergeCell ref="I186:J186"/>
    <mergeCell ref="I187:J187"/>
    <mergeCell ref="I188:J188"/>
    <mergeCell ref="I189:J189"/>
    <mergeCell ref="I193:J193"/>
    <mergeCell ref="I199:J199"/>
    <mergeCell ref="I200:J200"/>
    <mergeCell ref="I207:J207"/>
    <mergeCell ref="I208:J208"/>
    <mergeCell ref="I195:J195"/>
    <mergeCell ref="I196:J196"/>
    <mergeCell ref="I197:J197"/>
    <mergeCell ref="I198:J198"/>
    <mergeCell ref="I209:J209"/>
    <mergeCell ref="I210:J210"/>
    <mergeCell ref="I201:J201"/>
    <mergeCell ref="I202:J202"/>
    <mergeCell ref="I203:J203"/>
    <mergeCell ref="I204:J204"/>
    <mergeCell ref="I205:J205"/>
    <mergeCell ref="I206:J20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SheetLayoutView="100" workbookViewId="0">
      <selection activeCell="H15" sqref="H15"/>
    </sheetView>
  </sheetViews>
  <sheetFormatPr defaultRowHeight="12.75" x14ac:dyDescent="0.25"/>
  <cols>
    <col min="1" max="41" width="2.5703125" style="439" customWidth="1"/>
    <col min="42" max="42" width="9.140625" style="439"/>
    <col min="43" max="45" width="2.5703125" style="439" customWidth="1"/>
    <col min="46" max="46" width="7.7109375" style="439" customWidth="1"/>
    <col min="47" max="61" width="2.5703125" style="439" customWidth="1"/>
    <col min="62" max="16384" width="9.140625" style="439"/>
  </cols>
  <sheetData>
    <row r="1" spans="1:39" s="549" customFormat="1" ht="10.5" customHeight="1" x14ac:dyDescent="0.25">
      <c r="B1" s="550" t="s">
        <v>1321</v>
      </c>
      <c r="N1" s="1622" t="s">
        <v>1320</v>
      </c>
      <c r="O1" s="1622"/>
      <c r="P1" s="1622"/>
      <c r="Q1" s="1622"/>
      <c r="R1" s="1622"/>
      <c r="S1" s="1622"/>
      <c r="T1" s="1622"/>
      <c r="U1" s="1622"/>
      <c r="V1" s="1622"/>
      <c r="W1" s="1622"/>
      <c r="AM1" s="550"/>
    </row>
    <row r="2" spans="1:39" s="446" customFormat="1" ht="21" customHeight="1" x14ac:dyDescent="0.25">
      <c r="B2" s="548" t="s">
        <v>1319</v>
      </c>
      <c r="C2" s="547"/>
      <c r="D2" s="547"/>
      <c r="E2" s="547"/>
      <c r="F2" s="547"/>
      <c r="G2" s="547"/>
      <c r="H2" s="547"/>
      <c r="I2" s="547"/>
      <c r="J2" s="584"/>
      <c r="K2" s="547"/>
      <c r="L2" s="547"/>
      <c r="M2" s="583"/>
      <c r="N2" s="1622"/>
      <c r="O2" s="1622"/>
      <c r="P2" s="1622"/>
      <c r="Q2" s="1622"/>
      <c r="R2" s="1622"/>
      <c r="S2" s="1622"/>
      <c r="T2" s="1622"/>
      <c r="U2" s="1622"/>
      <c r="V2" s="1622"/>
      <c r="W2" s="1622"/>
      <c r="AM2" s="582"/>
    </row>
    <row r="3" spans="1:39" ht="13.5" customHeight="1" thickBot="1" x14ac:dyDescent="0.3">
      <c r="N3" s="1623"/>
      <c r="O3" s="1623"/>
      <c r="P3" s="1623"/>
      <c r="Q3" s="1623"/>
      <c r="R3" s="1623"/>
      <c r="S3" s="1623"/>
      <c r="T3" s="1623"/>
      <c r="U3" s="1623"/>
      <c r="V3" s="1623"/>
      <c r="W3" s="1623"/>
    </row>
    <row r="4" spans="1:39" ht="28.5" customHeight="1" thickBot="1" x14ac:dyDescent="0.3">
      <c r="K4" s="544" t="s">
        <v>1146</v>
      </c>
      <c r="L4" s="543" t="str">
        <f>+MID('Input data'!$B$11,1,1)</f>
        <v>3</v>
      </c>
      <c r="M4" s="543" t="str">
        <f>+MID('Input data'!$B$11,2,1)</f>
        <v>1</v>
      </c>
      <c r="N4" s="543" t="s">
        <v>1147</v>
      </c>
      <c r="O4" s="543" t="str">
        <f>LEFT('Input data'!B13,1)</f>
        <v>1</v>
      </c>
      <c r="P4" s="543" t="str">
        <f>RIGHT('Input data'!B13,1)</f>
        <v>2</v>
      </c>
      <c r="Q4" s="543" t="s">
        <v>1147</v>
      </c>
      <c r="R4" s="543" t="str">
        <f>+LEFT('Input data'!$B$14,1)</f>
        <v>2</v>
      </c>
      <c r="S4" s="543" t="str">
        <f>+MID('Input data'!$B$14,2,1)</f>
        <v>0</v>
      </c>
      <c r="T4" s="543" t="str">
        <f>+MID('Input data'!$B$14,3,1)</f>
        <v>1</v>
      </c>
      <c r="U4" s="543" t="str">
        <f>+MID('Input data'!$B$14,4,1)</f>
        <v>3</v>
      </c>
      <c r="V4" s="542" t="s">
        <v>1148</v>
      </c>
      <c r="W4" s="541"/>
      <c r="X4" s="541"/>
      <c r="Y4" s="541"/>
      <c r="Z4" s="540"/>
    </row>
    <row r="5" spans="1:39" ht="7.5" customHeight="1" thickBot="1" x14ac:dyDescent="0.3"/>
    <row r="6" spans="1:39" s="536" customFormat="1" ht="14.25" customHeight="1" x14ac:dyDescent="0.25">
      <c r="A6" s="539" t="s">
        <v>1149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7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7"/>
    </row>
    <row r="7" spans="1:39" s="440" customFormat="1" ht="15" customHeight="1" x14ac:dyDescent="0.25">
      <c r="A7" s="452" t="s">
        <v>1150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535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535"/>
    </row>
    <row r="8" spans="1:39" s="531" customFormat="1" ht="18" customHeight="1" thickBot="1" x14ac:dyDescent="0.3">
      <c r="A8" s="534" t="s">
        <v>1151</v>
      </c>
      <c r="B8" s="533"/>
      <c r="C8" s="533"/>
      <c r="D8" s="533"/>
      <c r="E8" s="534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2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532"/>
    </row>
    <row r="9" spans="1:39" s="511" customFormat="1" ht="3.75" customHeight="1" thickBot="1" x14ac:dyDescent="0.3"/>
    <row r="10" spans="1:39" s="511" customFormat="1" ht="14.25" customHeight="1" x14ac:dyDescent="0.25">
      <c r="A10" s="513" t="s">
        <v>1152</v>
      </c>
      <c r="B10" s="512"/>
      <c r="C10" s="512"/>
      <c r="D10" s="512"/>
      <c r="E10" s="512"/>
      <c r="F10" s="512"/>
      <c r="G10" s="512"/>
      <c r="H10" s="512"/>
      <c r="I10" s="456"/>
      <c r="J10" s="455"/>
      <c r="K10" s="529" t="s">
        <v>1153</v>
      </c>
      <c r="L10" s="512"/>
      <c r="M10" s="530"/>
      <c r="N10" s="530"/>
      <c r="O10" s="530"/>
      <c r="P10" s="512"/>
      <c r="Q10" s="529" t="s">
        <v>1153</v>
      </c>
      <c r="R10" s="512"/>
      <c r="S10" s="456"/>
      <c r="T10" s="512"/>
      <c r="U10" s="512"/>
      <c r="V10" s="528"/>
      <c r="W10" s="512"/>
      <c r="X10" s="512"/>
      <c r="Y10" s="512"/>
      <c r="Z10" s="512"/>
      <c r="AA10" s="512"/>
      <c r="AB10" s="512"/>
      <c r="AC10" s="512"/>
      <c r="AD10" s="529" t="s">
        <v>1154</v>
      </c>
      <c r="AE10" s="529"/>
      <c r="AF10" s="529"/>
      <c r="AG10" s="529" t="s">
        <v>1155</v>
      </c>
      <c r="AH10" s="512"/>
      <c r="AI10" s="512"/>
      <c r="AJ10" s="512"/>
      <c r="AK10" s="528"/>
    </row>
    <row r="11" spans="1:39" s="511" customFormat="1" ht="19.5" customHeight="1" x14ac:dyDescent="0.2">
      <c r="A11" s="525" t="str">
        <f>LEFT('Input data'!C24,1)</f>
        <v>2</v>
      </c>
      <c r="B11" s="490" t="str">
        <f>MID('Input data'!$C$24,2,1)</f>
        <v>0</v>
      </c>
      <c r="C11" s="490" t="str">
        <f>MID('Input data'!$C$24,3,1)</f>
        <v>2</v>
      </c>
      <c r="D11" s="490" t="str">
        <f>MID('Input data'!$C$24,4,1)</f>
        <v>2</v>
      </c>
      <c r="E11" s="490" t="str">
        <f>MID('Input data'!$C$24,5,1)</f>
        <v>3</v>
      </c>
      <c r="F11" s="490" t="str">
        <f>MID('Input data'!$C$24,6,1)</f>
        <v>0</v>
      </c>
      <c r="G11" s="490" t="str">
        <f>MID('Input data'!$C$24,7,1)</f>
        <v>4</v>
      </c>
      <c r="H11" s="490" t="str">
        <f>MID('Input data'!$C$24,8,1)</f>
        <v>1</v>
      </c>
      <c r="I11" s="490" t="str">
        <f>MID('Input data'!$C$24,9,1)</f>
        <v>5</v>
      </c>
      <c r="J11" s="497" t="str">
        <f>MID('Input data'!$C$24,10,1)</f>
        <v>2</v>
      </c>
      <c r="K11" s="448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520"/>
      <c r="W11" s="519" t="s">
        <v>1156</v>
      </c>
      <c r="X11" s="514"/>
      <c r="Y11" s="514"/>
      <c r="Z11" s="514"/>
      <c r="AA11" s="514"/>
      <c r="AB11" s="519" t="s">
        <v>1157</v>
      </c>
      <c r="AC11" s="514"/>
      <c r="AD11" s="490" t="str">
        <f>MID('Input data'!$B$8,1,1)</f>
        <v>0</v>
      </c>
      <c r="AE11" s="490" t="str">
        <f>MID('Input data'!$B$8,2,1)</f>
        <v>1</v>
      </c>
      <c r="AF11" s="490"/>
      <c r="AG11" s="490" t="str">
        <f>MID('Input data'!$B$9,1,1)</f>
        <v>2</v>
      </c>
      <c r="AH11" s="490" t="str">
        <f>MID('Input data'!$B$9,2,1)</f>
        <v>0</v>
      </c>
      <c r="AI11" s="490" t="str">
        <f>MID('Input data'!$B$9,3,1)</f>
        <v>1</v>
      </c>
      <c r="AJ11" s="490" t="str">
        <f>MID('Input data'!$B$9,4,1)</f>
        <v>3</v>
      </c>
      <c r="AK11" s="520"/>
    </row>
    <row r="12" spans="1:39" s="511" customFormat="1" ht="19.5" customHeight="1" thickBot="1" x14ac:dyDescent="0.3">
      <c r="A12" s="452" t="s">
        <v>1158</v>
      </c>
      <c r="B12" s="514"/>
      <c r="C12" s="514"/>
      <c r="D12" s="514"/>
      <c r="E12" s="514"/>
      <c r="F12" s="514"/>
      <c r="G12" s="514"/>
      <c r="H12" s="448"/>
      <c r="I12" s="448"/>
      <c r="J12" s="447"/>
      <c r="K12" s="448"/>
      <c r="L12" s="527" t="str">
        <f>IF('Input data'!D7="x","x"," ")</f>
        <v>x</v>
      </c>
      <c r="M12" s="519" t="s">
        <v>1159</v>
      </c>
      <c r="N12" s="521"/>
      <c r="O12" s="521"/>
      <c r="P12" s="521"/>
      <c r="Q12" s="521"/>
      <c r="R12" s="527" t="str">
        <f>IF('Input data'!D16="x","x"," ")</f>
        <v>x</v>
      </c>
      <c r="S12" s="519" t="s">
        <v>1160</v>
      </c>
      <c r="T12" s="514"/>
      <c r="U12" s="514"/>
      <c r="V12" s="520"/>
      <c r="W12" s="526"/>
      <c r="X12" s="516"/>
      <c r="Y12" s="516"/>
      <c r="Z12" s="516"/>
      <c r="AA12" s="516"/>
      <c r="AB12" s="515" t="s">
        <v>1161</v>
      </c>
      <c r="AC12" s="516"/>
      <c r="AD12" s="488" t="str">
        <f>MID('Input data'!$B$13,1,1)</f>
        <v>1</v>
      </c>
      <c r="AE12" s="488" t="str">
        <f>MID('Input data'!$B$13,2,1)</f>
        <v>2</v>
      </c>
      <c r="AF12" s="488"/>
      <c r="AG12" s="488" t="str">
        <f>MID('Input data'!$B$14,1,1)</f>
        <v>2</v>
      </c>
      <c r="AH12" s="488" t="str">
        <f>MID('Input data'!$B$14,2,1)</f>
        <v>0</v>
      </c>
      <c r="AI12" s="488" t="str">
        <f>MID('Input data'!$B$14,3,1)</f>
        <v>1</v>
      </c>
      <c r="AJ12" s="488" t="str">
        <f>MID('Input data'!$B$14,4,1)</f>
        <v>3</v>
      </c>
      <c r="AK12" s="517"/>
    </row>
    <row r="13" spans="1:39" s="511" customFormat="1" ht="19.5" customHeight="1" x14ac:dyDescent="0.2">
      <c r="A13" s="525" t="str">
        <f>LEFT('Input data'!C26,1)</f>
        <v>3</v>
      </c>
      <c r="B13" s="490" t="str">
        <f>MID('Input data'!$C$26,2,1)</f>
        <v>6</v>
      </c>
      <c r="C13" s="490" t="str">
        <f>MID('Input data'!$C$26,3,1)</f>
        <v>7</v>
      </c>
      <c r="D13" s="490" t="str">
        <f>MID('Input data'!$C$26,4,1)</f>
        <v>2</v>
      </c>
      <c r="E13" s="490" t="str">
        <f>MID('Input data'!$C$26,5,1)</f>
        <v>5</v>
      </c>
      <c r="F13" s="490" t="str">
        <f>MID('Input data'!$C$26,6,1)</f>
        <v>8</v>
      </c>
      <c r="G13" s="490" t="str">
        <f>MID('Input data'!$C$26,7,1)</f>
        <v>3</v>
      </c>
      <c r="H13" s="490" t="str">
        <f>MID('Input data'!$C$26,8,1)</f>
        <v>8</v>
      </c>
      <c r="I13" s="448"/>
      <c r="J13" s="447"/>
      <c r="K13" s="448"/>
      <c r="L13" s="523" t="str">
        <f>IF('Input data'!D8="x","x", "")</f>
        <v/>
      </c>
      <c r="M13" s="519" t="s">
        <v>1162</v>
      </c>
      <c r="N13" s="521"/>
      <c r="O13" s="521"/>
      <c r="P13" s="521"/>
      <c r="Q13" s="521"/>
      <c r="R13" s="524" t="str">
        <f>IF('Input data'!D17="x","x"," ")</f>
        <v xml:space="preserve"> </v>
      </c>
      <c r="S13" s="519" t="s">
        <v>1163</v>
      </c>
      <c r="T13" s="514"/>
      <c r="U13" s="514"/>
      <c r="V13" s="520"/>
      <c r="W13" s="519" t="s">
        <v>1164</v>
      </c>
      <c r="X13" s="514"/>
      <c r="Y13" s="451"/>
      <c r="Z13" s="448"/>
      <c r="AA13" s="448"/>
      <c r="AB13" s="521"/>
      <c r="AC13" s="448"/>
      <c r="AD13" s="523"/>
      <c r="AE13" s="523"/>
      <c r="AF13" s="523"/>
      <c r="AG13" s="523"/>
      <c r="AH13" s="523"/>
      <c r="AI13" s="523"/>
      <c r="AJ13" s="523"/>
      <c r="AK13" s="447"/>
    </row>
    <row r="14" spans="1:39" s="511" customFormat="1" ht="19.5" customHeight="1" x14ac:dyDescent="0.2">
      <c r="A14" s="452" t="s">
        <v>1165</v>
      </c>
      <c r="B14" s="514"/>
      <c r="C14" s="514"/>
      <c r="D14" s="514"/>
      <c r="E14" s="514"/>
      <c r="F14" s="514"/>
      <c r="G14" s="514"/>
      <c r="H14" s="514"/>
      <c r="I14" s="448"/>
      <c r="J14" s="447"/>
      <c r="K14" s="448"/>
      <c r="L14" s="448"/>
      <c r="M14" s="519"/>
      <c r="N14" s="521"/>
      <c r="O14" s="521"/>
      <c r="P14" s="521"/>
      <c r="Q14" s="521"/>
      <c r="R14" s="522" t="s">
        <v>1166</v>
      </c>
      <c r="S14" s="521"/>
      <c r="T14" s="514"/>
      <c r="U14" s="514"/>
      <c r="V14" s="520"/>
      <c r="W14" s="519" t="s">
        <v>987</v>
      </c>
      <c r="X14" s="514"/>
      <c r="Y14" s="451"/>
      <c r="Z14" s="448"/>
      <c r="AA14" s="448"/>
      <c r="AB14" s="519" t="s">
        <v>1157</v>
      </c>
      <c r="AC14" s="448"/>
      <c r="AD14" s="490" t="str">
        <f>MID('Input data'!$B$18,1,1)</f>
        <v>0</v>
      </c>
      <c r="AE14" s="490" t="str">
        <f>MID('Input data'!$B$18,2,1)</f>
        <v>1</v>
      </c>
      <c r="AF14" s="490"/>
      <c r="AG14" s="490" t="str">
        <f>MID('Input data'!$B$19,1,1)</f>
        <v>2</v>
      </c>
      <c r="AH14" s="490" t="str">
        <f>MID('Input data'!$B$19,2,1)</f>
        <v>0</v>
      </c>
      <c r="AI14" s="490" t="str">
        <f>MID('Input data'!$B$19,3,1)</f>
        <v>1</v>
      </c>
      <c r="AJ14" s="490" t="str">
        <f>MID('Input data'!$B$19,4,1)</f>
        <v>2</v>
      </c>
      <c r="AK14" s="447"/>
    </row>
    <row r="15" spans="1:39" s="511" customFormat="1" ht="19.5" customHeight="1" thickBot="1" x14ac:dyDescent="0.25">
      <c r="A15" s="518" t="str">
        <f>LEFT('Input data'!$E$12,1)</f>
        <v>7</v>
      </c>
      <c r="B15" s="443" t="str">
        <f>MID('Input data'!$E$12,2,1)</f>
        <v>3</v>
      </c>
      <c r="C15" s="516" t="s">
        <v>1147</v>
      </c>
      <c r="D15" s="443">
        <v>1</v>
      </c>
      <c r="E15" s="443" t="str">
        <f>MID('Input data'!$E$12,4,1)</f>
        <v>1</v>
      </c>
      <c r="F15" s="467" t="s">
        <v>1147</v>
      </c>
      <c r="G15" s="443">
        <v>0</v>
      </c>
      <c r="H15" s="443"/>
      <c r="I15" s="443"/>
      <c r="J15" s="442"/>
      <c r="K15" s="443"/>
      <c r="L15" s="443"/>
      <c r="M15" s="443"/>
      <c r="N15" s="443"/>
      <c r="O15" s="443"/>
      <c r="P15" s="443"/>
      <c r="Q15" s="443"/>
      <c r="R15" s="443"/>
      <c r="S15" s="443"/>
      <c r="T15" s="516"/>
      <c r="U15" s="516"/>
      <c r="V15" s="517"/>
      <c r="W15" s="515" t="s">
        <v>1167</v>
      </c>
      <c r="X15" s="516"/>
      <c r="Y15" s="444"/>
      <c r="Z15" s="443"/>
      <c r="AA15" s="443"/>
      <c r="AB15" s="515" t="s">
        <v>1161</v>
      </c>
      <c r="AC15" s="443"/>
      <c r="AD15" s="488" t="str">
        <f>MID('Input data'!$B$21,1,1)</f>
        <v>1</v>
      </c>
      <c r="AE15" s="488" t="str">
        <f>MID('Input data'!$B$21,2,1)</f>
        <v>2</v>
      </c>
      <c r="AF15" s="488"/>
      <c r="AG15" s="488" t="str">
        <f>MID('Input data'!$B$22,1,1)</f>
        <v>2</v>
      </c>
      <c r="AH15" s="488" t="str">
        <f>MID('Input data'!$B$22,2,1)</f>
        <v>0</v>
      </c>
      <c r="AI15" s="488" t="str">
        <f>MID('Input data'!$B$22,3,1)</f>
        <v>1</v>
      </c>
      <c r="AJ15" s="488" t="str">
        <f>MID('Input data'!$B$22,4,1)</f>
        <v>2</v>
      </c>
      <c r="AK15" s="442"/>
    </row>
    <row r="16" spans="1:39" s="511" customFormat="1" ht="4.5" customHeight="1" x14ac:dyDescent="0.25">
      <c r="A16" s="514"/>
      <c r="B16" s="514"/>
      <c r="C16" s="514"/>
      <c r="D16" s="514"/>
      <c r="E16" s="514"/>
      <c r="F16" s="512"/>
      <c r="G16" s="514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514"/>
      <c r="U16" s="514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</row>
    <row r="17" spans="1:39" s="511" customFormat="1" ht="3" customHeight="1" thickBot="1" x14ac:dyDescent="0.3"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1:39" s="511" customFormat="1" ht="16.5" x14ac:dyDescent="0.25">
      <c r="A18" s="513" t="s">
        <v>1168</v>
      </c>
      <c r="B18" s="512"/>
      <c r="C18" s="512"/>
      <c r="D18" s="512"/>
      <c r="E18" s="512"/>
      <c r="F18" s="512"/>
      <c r="G18" s="512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6"/>
      <c r="T18" s="512"/>
      <c r="U18" s="512"/>
      <c r="V18" s="512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5"/>
    </row>
    <row r="19" spans="1:39" s="441" customFormat="1" ht="19.5" customHeight="1" x14ac:dyDescent="0.25">
      <c r="A19" s="498" t="str">
        <f>+LEFT('Input data'!$F$3,1)</f>
        <v>A</v>
      </c>
      <c r="B19" s="490" t="str">
        <f>+MID('Input data'!$F$3,2,1)</f>
        <v>e</v>
      </c>
      <c r="C19" s="490" t="str">
        <f>+MID('Input data'!$F$3,3,1)</f>
        <v>g</v>
      </c>
      <c r="D19" s="490" t="str">
        <f>+MID('Input data'!$F$3,4,1)</f>
        <v>i</v>
      </c>
      <c r="E19" s="490" t="str">
        <f>+MID('Input data'!$F$3,5,1)</f>
        <v>s</v>
      </c>
      <c r="F19" s="490" t="str">
        <f>+MID('Input data'!$F$3,6,1)</f>
        <v xml:space="preserve"> </v>
      </c>
      <c r="G19" s="490" t="str">
        <f>+MID('Input data'!$F$3,7,1)</f>
        <v>M</v>
      </c>
      <c r="H19" s="490" t="str">
        <f>+MID('Input data'!$F$3,8,1)</f>
        <v>e</v>
      </c>
      <c r="I19" s="490" t="str">
        <f>+MID('Input data'!$F$3,9,1)</f>
        <v>d</v>
      </c>
      <c r="J19" s="490" t="str">
        <f>+MID('Input data'!$F$3,10,1)</f>
        <v>i</v>
      </c>
      <c r="K19" s="490" t="str">
        <f>+MID('Input data'!$F$3,11,1)</f>
        <v>a</v>
      </c>
      <c r="L19" s="490" t="str">
        <f>+MID('Input data'!$F$3,12,1)</f>
        <v xml:space="preserve"> </v>
      </c>
      <c r="M19" s="490" t="str">
        <f>+MID('Input data'!$F$3,13,1)</f>
        <v>S</v>
      </c>
      <c r="N19" s="490" t="str">
        <f>+MID('Input data'!$F$3,14,1)</f>
        <v>l</v>
      </c>
      <c r="O19" s="490" t="str">
        <f>+MID('Input data'!$F$3,15,1)</f>
        <v>o</v>
      </c>
      <c r="P19" s="490" t="str">
        <f>+MID('Input data'!$F$3,16,1)</f>
        <v>v</v>
      </c>
      <c r="Q19" s="490" t="str">
        <f>+MID('Input data'!$F$3,17,1)</f>
        <v>a</v>
      </c>
      <c r="R19" s="490" t="str">
        <f>+MID('Input data'!$F$3,18,1)</f>
        <v>k</v>
      </c>
      <c r="S19" s="490" t="str">
        <f>+MID('Input data'!$F$3,19,1)</f>
        <v>i</v>
      </c>
      <c r="T19" s="490" t="str">
        <f>+MID('Input data'!$F$3,20,1)</f>
        <v>a</v>
      </c>
      <c r="U19" s="490" t="str">
        <f>+MID('Input data'!$F$3,21,1)</f>
        <v xml:space="preserve"> </v>
      </c>
      <c r="V19" s="490" t="str">
        <f>+MID('Input data'!$F$3,22,1)</f>
        <v>C</v>
      </c>
      <c r="W19" s="490" t="str">
        <f>+MID('Input data'!$F$3,23,1)</f>
        <v>e</v>
      </c>
      <c r="X19" s="490" t="str">
        <f>+MID('Input data'!$F$3,24,1)</f>
        <v>n</v>
      </c>
      <c r="Y19" s="490" t="str">
        <f>+MID('Input data'!$F$3,25,1)</f>
        <v>t</v>
      </c>
      <c r="Z19" s="490" t="str">
        <f>+MID('Input data'!$F$3,26,1)</f>
        <v>r</v>
      </c>
      <c r="AA19" s="490" t="str">
        <f>+MID('Input data'!$F$3,27,1)</f>
        <v>a</v>
      </c>
      <c r="AB19" s="490" t="str">
        <f>+MID('Input data'!$F$3,28,1)</f>
        <v>l</v>
      </c>
      <c r="AC19" s="490" t="str">
        <f>+MID('Input data'!$F$3,29,1)</f>
        <v xml:space="preserve"> </v>
      </c>
      <c r="AD19" s="490" t="str">
        <f>+MID('Input data'!$F$3,30,1)</f>
        <v>S</v>
      </c>
      <c r="AE19" s="490" t="str">
        <f>+MID('Input data'!$F$3,31,1)</f>
        <v>e</v>
      </c>
      <c r="AF19" s="490" t="str">
        <f>+MID('Input data'!$F$3,32,1)</f>
        <v>r</v>
      </c>
      <c r="AG19" s="490" t="str">
        <f>+MID('Input data'!$F$3,33,1)</f>
        <v>v</v>
      </c>
      <c r="AH19" s="490" t="str">
        <f>+MID('Input data'!$E$3,34,1)</f>
        <v/>
      </c>
      <c r="AI19" s="490" t="str">
        <f>+MID('Input data'!$E$3,35,1)</f>
        <v/>
      </c>
      <c r="AJ19" s="490" t="str">
        <f>+MID('Input data'!$E$3,36,1)</f>
        <v/>
      </c>
      <c r="AK19" s="497" t="str">
        <f>+MID('Input data'!$E$3,37,1)</f>
        <v/>
      </c>
      <c r="AL19" s="511"/>
      <c r="AM19" s="511"/>
    </row>
    <row r="20" spans="1:39" s="580" customFormat="1" ht="19.5" customHeight="1" x14ac:dyDescent="0.25">
      <c r="A20" s="498" t="str">
        <f>+MID('Input data'!$E$3,38,1)</f>
        <v/>
      </c>
      <c r="B20" s="490" t="str">
        <f>+MID('Input data'!$E$3,39,1)</f>
        <v/>
      </c>
      <c r="C20" s="490" t="str">
        <f>+MID('Input data'!$E$3,40,1)</f>
        <v/>
      </c>
      <c r="D20" s="490" t="str">
        <f>+MID('Input data'!$E$3,41,1)</f>
        <v/>
      </c>
      <c r="E20" s="490" t="str">
        <f>+MID('Input data'!$E$3,42,1)</f>
        <v/>
      </c>
      <c r="F20" s="490" t="str">
        <f>+MID('Input data'!$E$3,43,1)</f>
        <v/>
      </c>
      <c r="G20" s="490" t="str">
        <f>+MID('Input data'!$E$3,44,1)</f>
        <v/>
      </c>
      <c r="H20" s="490" t="str">
        <f>+MID('Input data'!$E$3,45,1)</f>
        <v/>
      </c>
      <c r="I20" s="490" t="str">
        <f>+MID('Input data'!$E$3,46,1)</f>
        <v/>
      </c>
      <c r="J20" s="490" t="str">
        <f>+MID('Input data'!$E$3,47,1)</f>
        <v/>
      </c>
      <c r="K20" s="490" t="str">
        <f>+MID('Input data'!$E$3,48,1)</f>
        <v/>
      </c>
      <c r="L20" s="490" t="str">
        <f>+MID('Input data'!$E$3,49,1)</f>
        <v/>
      </c>
      <c r="M20" s="490" t="str">
        <f>+MID('Input data'!$E$3,50,1)</f>
        <v/>
      </c>
      <c r="N20" s="490" t="str">
        <f>+MID('Input data'!$E$3,51,1)</f>
        <v/>
      </c>
      <c r="O20" s="490" t="str">
        <f>+MID('Input data'!$E$3,52,1)</f>
        <v/>
      </c>
      <c r="P20" s="490" t="str">
        <f>+MID('Input data'!$E$3,53,1)</f>
        <v/>
      </c>
      <c r="Q20" s="490" t="str">
        <f>+MID('Input data'!$E$3,54,1)</f>
        <v/>
      </c>
      <c r="R20" s="490" t="str">
        <f>+MID('Input data'!$E$3,55,1)</f>
        <v/>
      </c>
      <c r="S20" s="490" t="str">
        <f>+MID('Input data'!$E$3,56,1)</f>
        <v/>
      </c>
      <c r="T20" s="490" t="str">
        <f>+MID('Input data'!$E$3,57,1)</f>
        <v/>
      </c>
      <c r="U20" s="490" t="str">
        <f>+MID('Input data'!$E$3,58,1)</f>
        <v/>
      </c>
      <c r="V20" s="490" t="str">
        <f>+MID('Input data'!$E$3,59,1)</f>
        <v/>
      </c>
      <c r="W20" s="490" t="str">
        <f>+MID('Input data'!$E$3,60,1)</f>
        <v/>
      </c>
      <c r="X20" s="490" t="str">
        <f>+MID('Input data'!$E$3,61,1)</f>
        <v/>
      </c>
      <c r="Y20" s="490" t="str">
        <f>+MID('Input data'!$E$3,62,1)</f>
        <v/>
      </c>
      <c r="Z20" s="490" t="str">
        <f>+MID('Input data'!$E$3,63,1)</f>
        <v/>
      </c>
      <c r="AA20" s="490" t="str">
        <f>+MID('Input data'!$E$3,64,1)</f>
        <v/>
      </c>
      <c r="AB20" s="490" t="str">
        <f>+MID('Input data'!$E$3,65,1)</f>
        <v/>
      </c>
      <c r="AC20" s="490" t="str">
        <f>+MID('Input data'!$E$3,66,1)</f>
        <v/>
      </c>
      <c r="AD20" s="490" t="str">
        <f>+MID('Input data'!$E$3,67,1)</f>
        <v/>
      </c>
      <c r="AE20" s="490" t="str">
        <f>+MID('Input data'!$E$3,68,1)</f>
        <v/>
      </c>
      <c r="AF20" s="490" t="str">
        <f>+MID('Input data'!$E$3,69,1)</f>
        <v/>
      </c>
      <c r="AG20" s="490" t="str">
        <f>+MID('Input data'!$E$3,70,1)</f>
        <v/>
      </c>
      <c r="AH20" s="490" t="str">
        <f>+MID('Input data'!$E$3,71,1)</f>
        <v/>
      </c>
      <c r="AI20" s="490" t="str">
        <f>+MID('Input data'!$E$3,72,1)</f>
        <v/>
      </c>
      <c r="AJ20" s="490" t="str">
        <f>+MID('Input data'!$E$3,73,1)</f>
        <v/>
      </c>
      <c r="AK20" s="497" t="str">
        <f>+MID('Input data'!$E$3,74,1)</f>
        <v/>
      </c>
    </row>
    <row r="21" spans="1:39" ht="12.75" customHeight="1" x14ac:dyDescent="0.25">
      <c r="A21" s="510"/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  <c r="T21" s="509"/>
      <c r="U21" s="509"/>
      <c r="V21" s="509"/>
      <c r="W21" s="508"/>
      <c r="X21" s="508"/>
      <c r="Y21" s="508"/>
      <c r="Z21" s="508"/>
      <c r="AA21" s="508"/>
      <c r="AB21" s="508"/>
      <c r="AC21" s="508"/>
      <c r="AD21" s="508"/>
      <c r="AE21" s="508"/>
      <c r="AF21" s="508"/>
      <c r="AG21" s="508"/>
      <c r="AH21" s="508"/>
      <c r="AI21" s="508"/>
      <c r="AJ21" s="508"/>
      <c r="AK21" s="507"/>
    </row>
    <row r="22" spans="1:39" s="581" customFormat="1" ht="19.5" hidden="1" customHeight="1" x14ac:dyDescent="0.25">
      <c r="A22" s="506"/>
      <c r="B22" s="505"/>
      <c r="C22" s="505"/>
      <c r="D22" s="505"/>
      <c r="E22" s="505"/>
      <c r="F22" s="505"/>
      <c r="G22" s="505" t="e">
        <f>+MID('Input data'!#REF!,7,1)</f>
        <v>#REF!</v>
      </c>
      <c r="H22" s="505" t="e">
        <f>+MID('Input data'!#REF!,8,1)</f>
        <v>#REF!</v>
      </c>
      <c r="I22" s="505" t="e">
        <f>+MID('Input data'!#REF!,9,1)</f>
        <v>#REF!</v>
      </c>
      <c r="J22" s="505" t="e">
        <f>+MID('Input data'!#REF!,10,1)</f>
        <v>#REF!</v>
      </c>
      <c r="K22" s="505" t="e">
        <f>+MID('Input data'!#REF!,11,1)</f>
        <v>#REF!</v>
      </c>
      <c r="L22" s="505" t="e">
        <f>+MID('Input data'!#REF!,12,1)</f>
        <v>#REF!</v>
      </c>
      <c r="M22" s="505" t="e">
        <f>+MID('Input data'!#REF!,13,1)</f>
        <v>#REF!</v>
      </c>
      <c r="N22" s="505" t="e">
        <f>+MID('Input data'!#REF!,14,1)</f>
        <v>#REF!</v>
      </c>
      <c r="O22" s="505" t="e">
        <f>+MID('Input data'!#REF!,15,1)</f>
        <v>#REF!</v>
      </c>
      <c r="P22" s="505" t="e">
        <f>+MID('Input data'!#REF!,16,1)</f>
        <v>#REF!</v>
      </c>
      <c r="Q22" s="505" t="e">
        <f>+MID('Input data'!#REF!,17,1)</f>
        <v>#REF!</v>
      </c>
      <c r="R22" s="505" t="e">
        <f>+MID('Input data'!#REF!,18,1)</f>
        <v>#REF!</v>
      </c>
      <c r="S22" s="505" t="e">
        <f>+MID('Input data'!#REF!,19,1)</f>
        <v>#REF!</v>
      </c>
      <c r="T22" s="505" t="e">
        <f>+MID('Input data'!#REF!,20,1)</f>
        <v>#REF!</v>
      </c>
      <c r="U22" s="505" t="e">
        <f>+MID('Input data'!#REF!,21,1)</f>
        <v>#REF!</v>
      </c>
      <c r="V22" s="505" t="e">
        <f>+MID('Input data'!#REF!,22,1)</f>
        <v>#REF!</v>
      </c>
      <c r="W22" s="505" t="e">
        <f>+MID('Input data'!#REF!,23,1)</f>
        <v>#REF!</v>
      </c>
      <c r="X22" s="505" t="e">
        <f>+MID('Input data'!#REF!,24,1)</f>
        <v>#REF!</v>
      </c>
      <c r="Y22" s="505" t="e">
        <f>+MID('Input data'!#REF!,25,1)</f>
        <v>#REF!</v>
      </c>
      <c r="Z22" s="505" t="e">
        <f>+MID('Input data'!#REF!,26,1)</f>
        <v>#REF!</v>
      </c>
      <c r="AA22" s="505" t="e">
        <f>+MID('Input data'!#REF!,27,1)</f>
        <v>#REF!</v>
      </c>
      <c r="AB22" s="505" t="e">
        <f>+MID('Input data'!#REF!,28,1)</f>
        <v>#REF!</v>
      </c>
      <c r="AC22" s="505" t="e">
        <f>+MID('Input data'!#REF!,29,1)</f>
        <v>#REF!</v>
      </c>
      <c r="AD22" s="505" t="e">
        <f>+MID('Input data'!#REF!,30,1)</f>
        <v>#REF!</v>
      </c>
      <c r="AE22" s="505" t="e">
        <f>+MID('Input data'!#REF!,31,1)</f>
        <v>#REF!</v>
      </c>
      <c r="AF22" s="505" t="e">
        <f>+MID('Input data'!#REF!,32,1)</f>
        <v>#REF!</v>
      </c>
      <c r="AG22" s="505" t="e">
        <f>+MID('Input data'!#REF!,33,1)</f>
        <v>#REF!</v>
      </c>
      <c r="AH22" s="505" t="e">
        <f>+MID('Input data'!#REF!,34,1)</f>
        <v>#REF!</v>
      </c>
      <c r="AI22" s="505" t="e">
        <f>+MID('Input data'!#REF!,35,1)</f>
        <v>#REF!</v>
      </c>
      <c r="AJ22" s="505" t="e">
        <f>+MID('Input data'!#REF!,36,1)</f>
        <v>#REF!</v>
      </c>
      <c r="AK22" s="504" t="e">
        <f>+MID('Input data'!#REF!,37,1)</f>
        <v>#REF!</v>
      </c>
      <c r="AL22" s="439"/>
      <c r="AM22" s="439"/>
    </row>
    <row r="23" spans="1:39" s="499" customFormat="1" ht="14.25" customHeight="1" x14ac:dyDescent="0.25">
      <c r="A23" s="503" t="s">
        <v>1169</v>
      </c>
      <c r="B23" s="502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0"/>
    </row>
    <row r="24" spans="1:39" x14ac:dyDescent="0.25">
      <c r="A24" s="495" t="s">
        <v>1170</v>
      </c>
      <c r="B24" s="453"/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48"/>
      <c r="X24" s="448"/>
      <c r="Y24" s="448"/>
      <c r="Z24" s="448"/>
      <c r="AA24" s="448"/>
      <c r="AB24" s="453"/>
      <c r="AC24" s="448"/>
      <c r="AD24" s="451" t="s">
        <v>1171</v>
      </c>
      <c r="AE24" s="448"/>
      <c r="AF24" s="448"/>
      <c r="AG24" s="448"/>
      <c r="AH24" s="448"/>
      <c r="AI24" s="448"/>
      <c r="AJ24" s="448"/>
      <c r="AK24" s="447"/>
    </row>
    <row r="25" spans="1:39" s="580" customFormat="1" ht="19.5" customHeight="1" x14ac:dyDescent="0.25">
      <c r="A25" s="498" t="str">
        <f>+LEFT('Input data'!$C$28,1)</f>
        <v>T</v>
      </c>
      <c r="B25" s="490" t="str">
        <f>+MID('Input data'!$C$28,2,1)</f>
        <v>e</v>
      </c>
      <c r="C25" s="490" t="str">
        <f>+MID('Input data'!$C$28,3,1)</f>
        <v>s</v>
      </c>
      <c r="D25" s="490" t="str">
        <f>+MID('Input data'!$C$28,4,1)</f>
        <v>l</v>
      </c>
      <c r="E25" s="490" t="str">
        <f>+MID('Input data'!$C$28,5,1)</f>
        <v>o</v>
      </c>
      <c r="F25" s="490" t="str">
        <f>+MID('Input data'!$C$28,6,1)</f>
        <v>v</v>
      </c>
      <c r="G25" s="490" t="str">
        <f>+MID('Input data'!$C$28,7,1)</f>
        <v>a</v>
      </c>
      <c r="H25" s="490" t="str">
        <f>+MID('Input data'!$C$28,8,1)</f>
        <v/>
      </c>
      <c r="I25" s="490" t="str">
        <f>+MID('Input data'!$C$28,9,1)</f>
        <v/>
      </c>
      <c r="J25" s="490" t="str">
        <f>+MID('Input data'!$C$28,10,1)</f>
        <v/>
      </c>
      <c r="K25" s="490" t="str">
        <f>+MID('Input data'!$C$28,11,1)</f>
        <v/>
      </c>
      <c r="L25" s="490" t="str">
        <f>+MID('Input data'!$C$28,12,1)</f>
        <v/>
      </c>
      <c r="M25" s="490" t="str">
        <f>+MID('Input data'!$C$28,13,1)</f>
        <v/>
      </c>
      <c r="N25" s="490" t="str">
        <f>+MID('Input data'!$C$28,14,1)</f>
        <v/>
      </c>
      <c r="O25" s="490" t="str">
        <f>+MID('Input data'!$C$28,15,1)</f>
        <v/>
      </c>
      <c r="P25" s="490" t="str">
        <f>+MID('Input data'!$C$28,16,1)</f>
        <v/>
      </c>
      <c r="Q25" s="490" t="str">
        <f>+MID('Input data'!$C$28,17,1)</f>
        <v/>
      </c>
      <c r="R25" s="490" t="str">
        <f>+MID('Input data'!$C$28,18,1)</f>
        <v/>
      </c>
      <c r="S25" s="490" t="str">
        <f>+MID('Input data'!$C$28,19,1)</f>
        <v/>
      </c>
      <c r="T25" s="490" t="str">
        <f>+MID('Input data'!$C$28,20,1)</f>
        <v/>
      </c>
      <c r="U25" s="490" t="str">
        <f>+MID('Input data'!$C$28,21,1)</f>
        <v/>
      </c>
      <c r="V25" s="490" t="str">
        <f>+MID('Input data'!$C$28,22,1)</f>
        <v/>
      </c>
      <c r="W25" s="490" t="str">
        <f>+MID('Input data'!$C$28,23,1)</f>
        <v/>
      </c>
      <c r="X25" s="490" t="str">
        <f>+MID('Input data'!$C$28,24,1)</f>
        <v/>
      </c>
      <c r="Y25" s="490" t="str">
        <f>+MID('Input data'!$C$28,25,1)</f>
        <v/>
      </c>
      <c r="Z25" s="490" t="str">
        <f>+MID('Input data'!$C$28,26,1)</f>
        <v/>
      </c>
      <c r="AA25" s="490" t="str">
        <f>+MID('Input data'!$C$28,27,1)</f>
        <v/>
      </c>
      <c r="AB25" s="490" t="str">
        <f>+MID('Input data'!$C$28,28,1)</f>
        <v/>
      </c>
      <c r="AC25" s="492"/>
      <c r="AD25" s="490" t="str">
        <f>+LEFT('Input data'!$C$30,1)</f>
        <v>2</v>
      </c>
      <c r="AE25" s="490" t="str">
        <f>+MID('Input data'!$C$30,2,1)</f>
        <v>0</v>
      </c>
      <c r="AF25" s="490" t="str">
        <f>+MID('Input data'!$C$30,3,1)</f>
        <v/>
      </c>
      <c r="AG25" s="490" t="str">
        <f>+MID('Input data'!$C$30,4,1)</f>
        <v/>
      </c>
      <c r="AH25" s="490" t="str">
        <f>+MID('Input data'!$C$30,5,1)</f>
        <v/>
      </c>
      <c r="AI25" s="490" t="str">
        <f>+MID('Input data'!$C$30,6,1)</f>
        <v/>
      </c>
      <c r="AJ25" s="490" t="str">
        <f>+MID('Input data'!$C$30,7,1)</f>
        <v/>
      </c>
      <c r="AK25" s="497" t="str">
        <f>+MID('Input data'!$C$30,8,1)</f>
        <v/>
      </c>
    </row>
    <row r="26" spans="1:39" x14ac:dyDescent="0.25">
      <c r="A26" s="495" t="s">
        <v>1172</v>
      </c>
      <c r="B26" s="453"/>
      <c r="C26" s="453"/>
      <c r="D26" s="453"/>
      <c r="E26" s="453"/>
      <c r="F26" s="453"/>
      <c r="G26" s="494" t="s">
        <v>1173</v>
      </c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4"/>
      <c r="W26" s="494"/>
      <c r="X26" s="494"/>
      <c r="Y26" s="494"/>
      <c r="Z26" s="494"/>
      <c r="AA26" s="494"/>
      <c r="AB26" s="494"/>
      <c r="AC26" s="494"/>
      <c r="AD26" s="494"/>
      <c r="AE26" s="448"/>
      <c r="AF26" s="448"/>
      <c r="AG26" s="448"/>
      <c r="AH26" s="448"/>
      <c r="AI26" s="448"/>
      <c r="AJ26" s="448"/>
      <c r="AK26" s="447"/>
    </row>
    <row r="27" spans="1:39" s="580" customFormat="1" ht="19.5" customHeight="1" x14ac:dyDescent="0.25">
      <c r="A27" s="498" t="str">
        <f>+LEFT('Input data'!$C$32,1)</f>
        <v>8</v>
      </c>
      <c r="B27" s="490" t="str">
        <f>+MID('Input data'!$C$32,2,1)</f>
        <v>2</v>
      </c>
      <c r="C27" s="490" t="str">
        <f>+MID('Input data'!$C$32,3,1)</f>
        <v>0</v>
      </c>
      <c r="D27" s="490" t="str">
        <f>+MID('Input data'!$C$32,4,1)</f>
        <v>0</v>
      </c>
      <c r="E27" s="490" t="str">
        <f>+MID('Input data'!$C$32,5,1)</f>
        <v>5</v>
      </c>
      <c r="F27" s="490"/>
      <c r="G27" s="490" t="str">
        <f>+LEFT('Input data'!$C$34,1)</f>
        <v>B</v>
      </c>
      <c r="H27" s="490" t="str">
        <f>+MID('Input data'!$C$34,2,1)</f>
        <v>r</v>
      </c>
      <c r="I27" s="490" t="str">
        <f>+MID('Input data'!$C$34,3,1)</f>
        <v>a</v>
      </c>
      <c r="J27" s="490" t="str">
        <f>+MID('Input data'!$C$34,4,1)</f>
        <v>t</v>
      </c>
      <c r="K27" s="490" t="str">
        <f>+MID('Input data'!$C$34,5,1)</f>
        <v>i</v>
      </c>
      <c r="L27" s="490" t="str">
        <f>+MID('Input data'!$C$34,6,1)</f>
        <v>s</v>
      </c>
      <c r="M27" s="490" t="str">
        <f>+MID('Input data'!$C$34,7,1)</f>
        <v>l</v>
      </c>
      <c r="N27" s="490" t="str">
        <f>+MID('Input data'!$C$34,8,1)</f>
        <v>a</v>
      </c>
      <c r="O27" s="490" t="str">
        <f>+MID('Input data'!$C$34,9,1)</f>
        <v>v</v>
      </c>
      <c r="P27" s="490" t="str">
        <f>+MID('Input data'!$C$34,10,1)</f>
        <v>a</v>
      </c>
      <c r="Q27" s="490" t="str">
        <f>+MID('Input data'!$C$34,11,1)</f>
        <v/>
      </c>
      <c r="R27" s="490" t="str">
        <f>+MID('Input data'!$C$34,12,1)</f>
        <v/>
      </c>
      <c r="S27" s="490" t="str">
        <f>+MID('Input data'!$C$34,13,1)</f>
        <v/>
      </c>
      <c r="T27" s="490" t="str">
        <f>+MID('Input data'!$C$34,14,1)</f>
        <v/>
      </c>
      <c r="U27" s="490" t="str">
        <f>+MID('Input data'!$C$34,15,1)</f>
        <v/>
      </c>
      <c r="V27" s="490" t="str">
        <f>+MID('Input data'!$C$34,16,1)</f>
        <v/>
      </c>
      <c r="W27" s="490" t="str">
        <f>+MID('Input data'!$C$34,17,1)</f>
        <v/>
      </c>
      <c r="X27" s="490" t="str">
        <f>+MID('Input data'!$C$34,18,1)</f>
        <v/>
      </c>
      <c r="Y27" s="490" t="str">
        <f>+MID('Input data'!$C$34,19,1)</f>
        <v/>
      </c>
      <c r="Z27" s="490" t="str">
        <f>+MID('Input data'!$C$34,20,1)</f>
        <v/>
      </c>
      <c r="AA27" s="490" t="str">
        <f>+MID('Input data'!$C$34,21,1)</f>
        <v/>
      </c>
      <c r="AB27" s="490" t="str">
        <f>+MID('Input data'!$C$34,22,1)</f>
        <v/>
      </c>
      <c r="AC27" s="490" t="str">
        <f>+MID('Input data'!$C$34,23,1)</f>
        <v/>
      </c>
      <c r="AD27" s="490" t="str">
        <f>+MID('Input data'!$C$34,24,1)</f>
        <v/>
      </c>
      <c r="AE27" s="490" t="str">
        <f>+MID('Input data'!$C$34,25,1)</f>
        <v/>
      </c>
      <c r="AF27" s="490" t="str">
        <f>+MID('Input data'!$C$34,26,1)</f>
        <v/>
      </c>
      <c r="AG27" s="490" t="str">
        <f>+MID('Input data'!$C$34,27,1)</f>
        <v/>
      </c>
      <c r="AH27" s="490" t="str">
        <f>+MID('Input data'!$C$34,28,1)</f>
        <v/>
      </c>
      <c r="AI27" s="490" t="str">
        <f>+MID('Input data'!$C$34,29,1)</f>
        <v/>
      </c>
      <c r="AJ27" s="490" t="str">
        <f>+MID('Input data'!$C$34,30,1)</f>
        <v/>
      </c>
      <c r="AK27" s="497" t="str">
        <f>+MID('Input data'!$C$34,31,1)</f>
        <v/>
      </c>
    </row>
    <row r="28" spans="1:39" x14ac:dyDescent="0.25">
      <c r="A28" s="495" t="s">
        <v>1174</v>
      </c>
      <c r="B28" s="453"/>
      <c r="C28" s="453"/>
      <c r="D28" s="453"/>
      <c r="E28" s="453"/>
      <c r="F28" s="453"/>
      <c r="G28" s="494"/>
      <c r="H28" s="494"/>
      <c r="I28" s="494"/>
      <c r="J28" s="494"/>
      <c r="K28" s="494"/>
      <c r="L28" s="494"/>
      <c r="M28" s="494"/>
      <c r="N28" s="453"/>
      <c r="O28" s="494" t="s">
        <v>1175</v>
      </c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  <c r="AD28" s="494"/>
      <c r="AE28" s="448"/>
      <c r="AF28" s="448"/>
      <c r="AG28" s="448"/>
      <c r="AH28" s="448"/>
      <c r="AI28" s="448"/>
      <c r="AJ28" s="448"/>
      <c r="AK28" s="447"/>
    </row>
    <row r="29" spans="1:39" s="580" customFormat="1" ht="19.5" customHeight="1" x14ac:dyDescent="0.25">
      <c r="A29" s="493">
        <v>0</v>
      </c>
      <c r="B29" s="490" t="str">
        <f>+LEFT('Input data'!$C$36,1)</f>
        <v>2</v>
      </c>
      <c r="C29" s="490" t="str">
        <f>+MID('Input data'!$C$36,2,1)</f>
        <v/>
      </c>
      <c r="D29" s="490" t="str">
        <f>+MID('Input data'!$C$36,3,1)</f>
        <v/>
      </c>
      <c r="E29" s="490" t="s">
        <v>1176</v>
      </c>
      <c r="F29" s="490" t="str">
        <f>+LEFT('Input data'!$C$38,1)</f>
        <v>4</v>
      </c>
      <c r="G29" s="490" t="str">
        <f>+MID('Input data'!$C$38,2,1)</f>
        <v>9</v>
      </c>
      <c r="H29" s="490" t="str">
        <f>+MID('Input data'!$C$38,3,1)</f>
        <v>3</v>
      </c>
      <c r="I29" s="490" t="str">
        <f>+MID('Input data'!$C$38,4,1)</f>
        <v>0</v>
      </c>
      <c r="J29" s="490" t="str">
        <f>+MID('Input data'!$C$38,5,1)</f>
        <v>0</v>
      </c>
      <c r="K29" s="490" t="str">
        <f>+MID('Input data'!$C$38,6,1)</f>
        <v>5</v>
      </c>
      <c r="L29" s="490" t="str">
        <f>+MID('Input data'!$C$38,7,1)</f>
        <v>1</v>
      </c>
      <c r="M29" s="490" t="str">
        <f>+MID('Input data'!$C$38,8,1)</f>
        <v>3</v>
      </c>
      <c r="N29" s="492"/>
      <c r="O29" s="491">
        <v>0</v>
      </c>
      <c r="P29" s="490" t="str">
        <f>+LEFT('Input data'!$C$36,1)</f>
        <v>2</v>
      </c>
      <c r="Q29" s="490" t="str">
        <f>+MID('Input data'!$C$36,2,1)</f>
        <v/>
      </c>
      <c r="R29" s="490" t="str">
        <f>+MID('Input data'!$C$36,3,1)</f>
        <v/>
      </c>
      <c r="S29" s="490" t="s">
        <v>1176</v>
      </c>
      <c r="T29" s="490" t="str">
        <f>+LEFT('Input data'!$C$40,1)</f>
        <v>4</v>
      </c>
      <c r="U29" s="490" t="str">
        <f>+MID('Input data'!$C$40,2,1)</f>
        <v>9</v>
      </c>
      <c r="V29" s="490" t="str">
        <f>+MID('Input data'!$C$40,3,1)</f>
        <v>3</v>
      </c>
      <c r="W29" s="490" t="str">
        <f>+MID('Input data'!$C$40,4,1)</f>
        <v>0</v>
      </c>
      <c r="X29" s="490" t="str">
        <f>+MID('Input data'!$C$40,5,1)</f>
        <v>0</v>
      </c>
      <c r="Y29" s="490" t="str">
        <f>+MID('Input data'!$C$40,6,1)</f>
        <v>5</v>
      </c>
      <c r="Z29" s="490" t="str">
        <f>+MID('Input data'!$C$40,7,1)</f>
        <v>5</v>
      </c>
      <c r="AA29" s="490" t="str">
        <f>+MID('Input data'!$C$40,8,1)</f>
        <v>0</v>
      </c>
      <c r="AB29" s="490"/>
      <c r="AC29" s="490"/>
      <c r="AD29" s="490"/>
      <c r="AE29" s="448"/>
      <c r="AF29" s="448"/>
      <c r="AG29" s="448"/>
      <c r="AH29" s="448"/>
      <c r="AI29" s="448"/>
      <c r="AJ29" s="448"/>
      <c r="AK29" s="447"/>
    </row>
    <row r="30" spans="1:39" s="440" customFormat="1" x14ac:dyDescent="0.25">
      <c r="A30" s="452" t="s">
        <v>1178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7"/>
    </row>
    <row r="31" spans="1:39" s="580" customFormat="1" ht="19.5" customHeight="1" thickBot="1" x14ac:dyDescent="0.3">
      <c r="A31" s="489" t="str">
        <f>+LEFT('Input data'!$B$42,1)</f>
        <v/>
      </c>
      <c r="B31" s="488" t="str">
        <f>+MID('Input data'!$B$42,2,1)</f>
        <v/>
      </c>
      <c r="C31" s="488" t="str">
        <f>+MID('Input data'!$B$42,3,1)</f>
        <v/>
      </c>
      <c r="D31" s="488" t="str">
        <f>+MID('Input data'!$B$42,4,1)</f>
        <v/>
      </c>
      <c r="E31" s="488" t="str">
        <f>+MID('Input data'!$B$42,5,1)</f>
        <v/>
      </c>
      <c r="F31" s="488" t="str">
        <f>+MID('Input data'!$B$42,6,1)</f>
        <v/>
      </c>
      <c r="G31" s="488" t="str">
        <f>+MID('Input data'!$B$42,7,1)</f>
        <v/>
      </c>
      <c r="H31" s="488" t="str">
        <f>+MID('Input data'!$B$42,8,1)</f>
        <v/>
      </c>
      <c r="I31" s="488" t="str">
        <f>+MID('Input data'!$B$42,9,1)</f>
        <v/>
      </c>
      <c r="J31" s="488" t="str">
        <f>+MID('Input data'!$B$42,10,1)</f>
        <v/>
      </c>
      <c r="K31" s="488" t="str">
        <f>+MID('Input data'!$B$42,11,1)</f>
        <v/>
      </c>
      <c r="L31" s="488" t="str">
        <f>+MID('Input data'!$B$42,12,1)</f>
        <v/>
      </c>
      <c r="M31" s="488" t="str">
        <f>+MID('Input data'!$B$42,13,1)</f>
        <v/>
      </c>
      <c r="N31" s="488" t="str">
        <f>+MID('Input data'!$B$42,14,1)</f>
        <v/>
      </c>
      <c r="O31" s="488" t="str">
        <f>+MID('Input data'!$B$42,15,1)</f>
        <v/>
      </c>
      <c r="P31" s="488" t="str">
        <f>+MID('Input data'!$B$42,16,1)</f>
        <v/>
      </c>
      <c r="Q31" s="488" t="str">
        <f>+MID('Input data'!$B$42,17,1)</f>
        <v/>
      </c>
      <c r="R31" s="488" t="str">
        <f>+MID('Input data'!$B$42,18,1)</f>
        <v/>
      </c>
      <c r="S31" s="488" t="str">
        <f>+MID('Input data'!$B$42,19,1)</f>
        <v/>
      </c>
      <c r="T31" s="488" t="str">
        <f>+MID('Input data'!$B$42,20,1)</f>
        <v/>
      </c>
      <c r="U31" s="488" t="str">
        <f>+MID('Input data'!$B$42,21,1)</f>
        <v/>
      </c>
      <c r="V31" s="488" t="str">
        <f>+MID('Input data'!$B$42,22,1)</f>
        <v/>
      </c>
      <c r="W31" s="488" t="str">
        <f>+MID('Input data'!$B$42,23,1)</f>
        <v/>
      </c>
      <c r="X31" s="488" t="str">
        <f>+MID('Input data'!$B$42,24,1)</f>
        <v/>
      </c>
      <c r="Y31" s="488" t="str">
        <f>+MID('Input data'!$B$42,25,1)</f>
        <v/>
      </c>
      <c r="Z31" s="488" t="str">
        <f>+MID('Input data'!$B$42,26,1)</f>
        <v/>
      </c>
      <c r="AA31" s="488" t="str">
        <f>+MID('Input data'!$B$42,27,1)</f>
        <v/>
      </c>
      <c r="AB31" s="488" t="str">
        <f>+MID('Input data'!$B$42,28,1)</f>
        <v/>
      </c>
      <c r="AC31" s="488" t="str">
        <f>+MID('Input data'!$B$42,29,1)</f>
        <v/>
      </c>
      <c r="AD31" s="488" t="str">
        <f>+MID('Input data'!$B$42,30,1)</f>
        <v/>
      </c>
      <c r="AE31" s="488" t="str">
        <f>+MID('Input data'!$B$42,31,1)</f>
        <v/>
      </c>
      <c r="AF31" s="488" t="str">
        <f>+MID('Input data'!$B$42,32,1)</f>
        <v/>
      </c>
      <c r="AG31" s="488" t="str">
        <f>+MID('Input data'!$B$42,33,1)</f>
        <v/>
      </c>
      <c r="AH31" s="488" t="str">
        <f>+MID('Input data'!$B$42,34,1)</f>
        <v/>
      </c>
      <c r="AI31" s="488" t="str">
        <f>+MID('Input data'!$B$42,35,1)</f>
        <v/>
      </c>
      <c r="AJ31" s="488" t="str">
        <f>+MID('Input data'!$B$42,36,1)</f>
        <v/>
      </c>
      <c r="AK31" s="487" t="str">
        <f>+MID('Input data'!$B$42,37,1)</f>
        <v/>
      </c>
    </row>
    <row r="32" spans="1:39" s="440" customFormat="1" ht="4.5" customHeight="1" thickBot="1" x14ac:dyDescent="0.3">
      <c r="W32" s="441"/>
      <c r="X32" s="441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</row>
    <row r="33" spans="1:41" s="483" customFormat="1" ht="12.75" customHeight="1" x14ac:dyDescent="0.25">
      <c r="A33" s="486" t="s">
        <v>1179</v>
      </c>
      <c r="B33" s="485"/>
      <c r="C33" s="485"/>
      <c r="D33" s="485"/>
      <c r="E33" s="485"/>
      <c r="F33" s="485"/>
      <c r="G33" s="485"/>
      <c r="H33" s="485"/>
      <c r="I33" s="485"/>
      <c r="J33" s="485"/>
      <c r="K33" s="484"/>
      <c r="L33" s="1543" t="s">
        <v>1182</v>
      </c>
      <c r="M33" s="1544"/>
      <c r="N33" s="1544"/>
      <c r="O33" s="1544"/>
      <c r="P33" s="1544"/>
      <c r="Q33" s="1544"/>
      <c r="R33" s="1544"/>
      <c r="S33" s="1544"/>
      <c r="T33" s="1549"/>
      <c r="U33" s="1031" t="s">
        <v>1181</v>
      </c>
      <c r="V33" s="1031"/>
      <c r="W33" s="1031"/>
      <c r="X33" s="1031"/>
      <c r="Y33" s="1031"/>
      <c r="Z33" s="1031"/>
      <c r="AA33" s="1031"/>
      <c r="AB33" s="1032"/>
      <c r="AC33" s="1543" t="s">
        <v>1180</v>
      </c>
      <c r="AD33" s="1544"/>
      <c r="AE33" s="1544"/>
      <c r="AF33" s="1544"/>
      <c r="AG33" s="1544"/>
      <c r="AH33" s="1544"/>
      <c r="AI33" s="1544"/>
      <c r="AJ33" s="1544"/>
      <c r="AK33" s="1545"/>
    </row>
    <row r="34" spans="1:41" s="440" customFormat="1" ht="19.5" customHeight="1" x14ac:dyDescent="0.25">
      <c r="A34" s="469" t="str">
        <f>LEFT(TEXT('Input data'!F25,"dd.m.yyyy"),1)</f>
        <v>1</v>
      </c>
      <c r="B34" s="468" t="str">
        <f>MID(TEXT('Input data'!$F$25,"dd.mm.yyyy"),2,1)</f>
        <v>3</v>
      </c>
      <c r="C34" s="467" t="s">
        <v>1147</v>
      </c>
      <c r="D34" s="468" t="str">
        <f>MID(TEXT('Input data'!$F$25,"dd.mm.yyyy"),4,1)</f>
        <v>0</v>
      </c>
      <c r="E34" s="468" t="str">
        <f>MID(TEXT('Input data'!$F$25,"dd.mm.yyyy"),5,1)</f>
        <v>6</v>
      </c>
      <c r="F34" s="467" t="s">
        <v>1147</v>
      </c>
      <c r="G34" s="466" t="str">
        <f>MID(TEXT('Input data'!$F$25,"dd.mm.yyyy"),7,1)</f>
        <v>2</v>
      </c>
      <c r="H34" s="466" t="str">
        <f>MID(TEXT('Input data'!$F$25,"dd.mm.yyyy"),8,1)</f>
        <v>0</v>
      </c>
      <c r="I34" s="466" t="str">
        <f>MID(TEXT('Input data'!$F$25,"dd.mm.yyyy"),9,1)</f>
        <v>1</v>
      </c>
      <c r="J34" s="466" t="str">
        <f>MID(TEXT('Input data'!$F$25,"dd.mm.yyyy"),10,1)</f>
        <v>4</v>
      </c>
      <c r="K34" s="482"/>
      <c r="L34" s="1546"/>
      <c r="M34" s="1547"/>
      <c r="N34" s="1547"/>
      <c r="O34" s="1547"/>
      <c r="P34" s="1547"/>
      <c r="Q34" s="1547"/>
      <c r="R34" s="1547"/>
      <c r="S34" s="1547"/>
      <c r="T34" s="1550"/>
      <c r="U34" s="1034"/>
      <c r="V34" s="1034"/>
      <c r="W34" s="1034"/>
      <c r="X34" s="1034"/>
      <c r="Y34" s="1034"/>
      <c r="Z34" s="1034"/>
      <c r="AA34" s="1034"/>
      <c r="AB34" s="1035"/>
      <c r="AC34" s="1546"/>
      <c r="AD34" s="1547"/>
      <c r="AE34" s="1547"/>
      <c r="AF34" s="1547"/>
      <c r="AG34" s="1547"/>
      <c r="AH34" s="1547"/>
      <c r="AI34" s="1547"/>
      <c r="AJ34" s="1547"/>
      <c r="AK34" s="1548"/>
      <c r="AO34" s="579"/>
    </row>
    <row r="35" spans="1:41" s="440" customFormat="1" ht="13.5" customHeight="1" x14ac:dyDescent="0.25">
      <c r="A35" s="481"/>
      <c r="B35" s="480"/>
      <c r="C35" s="480"/>
      <c r="D35" s="480"/>
      <c r="E35" s="480"/>
      <c r="F35" s="480"/>
      <c r="G35" s="479"/>
      <c r="H35" s="479"/>
      <c r="I35" s="479"/>
      <c r="J35" s="479"/>
      <c r="K35" s="478"/>
      <c r="L35" s="1546"/>
      <c r="M35" s="1547"/>
      <c r="N35" s="1547"/>
      <c r="O35" s="1547"/>
      <c r="P35" s="1547"/>
      <c r="Q35" s="1547"/>
      <c r="R35" s="1547"/>
      <c r="S35" s="1547"/>
      <c r="T35" s="1550"/>
      <c r="U35" s="1034"/>
      <c r="V35" s="1034"/>
      <c r="W35" s="1034"/>
      <c r="X35" s="1034"/>
      <c r="Y35" s="1034"/>
      <c r="Z35" s="1034"/>
      <c r="AA35" s="1034"/>
      <c r="AB35" s="1035"/>
      <c r="AC35" s="1546"/>
      <c r="AD35" s="1547"/>
      <c r="AE35" s="1547"/>
      <c r="AF35" s="1547"/>
      <c r="AG35" s="1547"/>
      <c r="AH35" s="1547"/>
      <c r="AI35" s="1547"/>
      <c r="AJ35" s="1547"/>
      <c r="AK35" s="1548"/>
    </row>
    <row r="36" spans="1:41" s="440" customFormat="1" x14ac:dyDescent="0.2">
      <c r="A36" s="452" t="s">
        <v>1183</v>
      </c>
      <c r="B36" s="451"/>
      <c r="C36" s="451"/>
      <c r="D36" s="451"/>
      <c r="E36" s="451"/>
      <c r="F36" s="451"/>
      <c r="G36" s="477"/>
      <c r="H36" s="477"/>
      <c r="I36" s="477"/>
      <c r="J36" s="477"/>
      <c r="K36" s="476"/>
      <c r="L36" s="475"/>
      <c r="M36" s="475"/>
      <c r="N36" s="475"/>
      <c r="O36" s="475"/>
      <c r="P36" s="475"/>
      <c r="Q36" s="475"/>
      <c r="R36" s="475"/>
      <c r="S36" s="451"/>
      <c r="T36" s="473"/>
      <c r="U36" s="474"/>
      <c r="V36" s="474"/>
      <c r="W36" s="474"/>
      <c r="X36" s="474"/>
      <c r="Y36" s="474"/>
      <c r="Z36" s="448"/>
      <c r="AA36" s="474"/>
      <c r="AB36" s="473"/>
      <c r="AC36" s="472"/>
      <c r="AD36" s="471"/>
      <c r="AE36" s="471"/>
      <c r="AF36" s="471"/>
      <c r="AG36" s="471"/>
      <c r="AH36" s="471"/>
      <c r="AI36" s="471"/>
      <c r="AJ36" s="471"/>
      <c r="AK36" s="470"/>
    </row>
    <row r="37" spans="1:41" s="440" customFormat="1" ht="19.5" customHeight="1" x14ac:dyDescent="0.25">
      <c r="A37" s="469" t="str">
        <f>IF('Input data'!$F$27="","",LEFT(TEXT('Input data'!$F$27,"dd.mm.yyyy"),1))</f>
        <v/>
      </c>
      <c r="B37" s="468" t="str">
        <f>IF('Input data'!$F$27="","",MID(TEXT('Input data'!$F$27,"dd.mm.yyyy"),2,1))</f>
        <v/>
      </c>
      <c r="C37" s="467" t="s">
        <v>1147</v>
      </c>
      <c r="D37" s="468" t="str">
        <f>IF('Input data'!$F$27="","",MID(TEXT('Input data'!$F$27,"dd.mm.yyyy"),4,1))</f>
        <v/>
      </c>
      <c r="E37" s="468" t="str">
        <f>IF('Input data'!$F$27="","",MID(TEXT('Input data'!$F$27,"dd.mm.yyyy"),5,1))</f>
        <v/>
      </c>
      <c r="F37" s="467" t="s">
        <v>1147</v>
      </c>
      <c r="G37" s="466" t="str">
        <f>IF('Input data'!$F$27="","",MID(TEXT('Input data'!$F$27,"dd.mm.yyyy"),7,1))</f>
        <v/>
      </c>
      <c r="H37" s="466" t="str">
        <f>IF('Input data'!$F$27="","",MID(TEXT('Input data'!$F$27,"dd.mm.yyyy"),8,1))</f>
        <v/>
      </c>
      <c r="I37" s="466" t="str">
        <f>IF('Input data'!$F$27="","",MID(TEXT('Input data'!$F$27,"dd.mm.yyyy"),9,1))</f>
        <v/>
      </c>
      <c r="J37" s="466" t="str">
        <f>IF('Input data'!$F$27="","",MID(TEXT('Input data'!$F$27,"dd.mm.yyyy"),10,1))</f>
        <v/>
      </c>
      <c r="K37" s="465"/>
      <c r="L37" s="451"/>
      <c r="M37" s="451"/>
      <c r="N37" s="451"/>
      <c r="O37" s="451"/>
      <c r="P37" s="451"/>
      <c r="Q37" s="451"/>
      <c r="R37" s="451"/>
      <c r="S37" s="451"/>
      <c r="T37" s="578"/>
      <c r="U37" s="451"/>
      <c r="V37" s="448"/>
      <c r="W37" s="448"/>
      <c r="X37" s="448"/>
      <c r="Y37" s="448"/>
      <c r="Z37" s="448"/>
      <c r="AA37" s="448"/>
      <c r="AB37" s="577"/>
      <c r="AC37" s="448"/>
      <c r="AD37" s="448"/>
      <c r="AE37" s="448"/>
      <c r="AF37" s="448"/>
      <c r="AG37" s="448"/>
      <c r="AH37" s="448"/>
      <c r="AI37" s="448"/>
      <c r="AJ37" s="448"/>
      <c r="AK37" s="447"/>
    </row>
    <row r="38" spans="1:41" s="446" customFormat="1" thickBot="1" x14ac:dyDescent="0.3">
      <c r="A38" s="461"/>
      <c r="B38" s="460"/>
      <c r="C38" s="460"/>
      <c r="D38" s="460"/>
      <c r="E38" s="460"/>
      <c r="F38" s="460"/>
      <c r="G38" s="460"/>
      <c r="H38" s="460"/>
      <c r="I38" s="460"/>
      <c r="J38" s="460"/>
      <c r="K38" s="459"/>
      <c r="L38" s="1038">
        <f>'Input data'!F31</f>
        <v>0</v>
      </c>
      <c r="M38" s="1039"/>
      <c r="N38" s="1039"/>
      <c r="O38" s="1039"/>
      <c r="P38" s="1039"/>
      <c r="Q38" s="1039"/>
      <c r="R38" s="1039"/>
      <c r="S38" s="1039"/>
      <c r="T38" s="1040"/>
      <c r="U38" s="1038">
        <f>'Input data'!F35</f>
        <v>0</v>
      </c>
      <c r="V38" s="1039"/>
      <c r="W38" s="1039"/>
      <c r="X38" s="1039"/>
      <c r="Y38" s="1039"/>
      <c r="Z38" s="1039"/>
      <c r="AA38" s="1039"/>
      <c r="AB38" s="1040"/>
      <c r="AC38" s="1041">
        <f>'Input data'!F39</f>
        <v>0</v>
      </c>
      <c r="AD38" s="1039"/>
      <c r="AE38" s="1039"/>
      <c r="AF38" s="1039"/>
      <c r="AG38" s="1039"/>
      <c r="AH38" s="1039"/>
      <c r="AI38" s="1039"/>
      <c r="AJ38" s="1039"/>
      <c r="AK38" s="1042"/>
    </row>
    <row r="39" spans="1:41" s="446" customFormat="1" x14ac:dyDescent="0.25"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</row>
    <row r="40" spans="1:41" s="446" customFormat="1" x14ac:dyDescent="0.25"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</row>
    <row r="41" spans="1:41" s="446" customFormat="1" x14ac:dyDescent="0.25"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</row>
    <row r="42" spans="1:41" ht="13.5" thickBot="1" x14ac:dyDescent="0.3"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</row>
    <row r="43" spans="1:41" s="446" customFormat="1" x14ac:dyDescent="0.25">
      <c r="B43" s="458" t="s">
        <v>1184</v>
      </c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457"/>
      <c r="S43" s="457"/>
      <c r="T43" s="457"/>
      <c r="U43" s="457"/>
      <c r="V43" s="457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5"/>
      <c r="AK43" s="441"/>
    </row>
    <row r="44" spans="1:41" s="446" customFormat="1" x14ac:dyDescent="0.25">
      <c r="B44" s="450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41" x14ac:dyDescent="0.25">
      <c r="B45" s="454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41" s="446" customFormat="1" x14ac:dyDescent="0.25">
      <c r="B46" s="450"/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  <c r="V46" s="449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41" s="440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41" s="440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1:39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1:39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1:39" s="446" customFormat="1" x14ac:dyDescent="0.25">
      <c r="B51" s="450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7"/>
      <c r="AK51" s="441"/>
    </row>
    <row r="52" spans="1:39" s="446" customFormat="1" x14ac:dyDescent="0.25">
      <c r="B52" s="450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7"/>
      <c r="AK52" s="441"/>
    </row>
    <row r="53" spans="1:39" s="440" customFormat="1" ht="13.5" thickBot="1" x14ac:dyDescent="0.3">
      <c r="B53" s="445"/>
      <c r="C53" s="444"/>
      <c r="D53" s="444"/>
      <c r="E53" s="444"/>
      <c r="F53" s="444"/>
      <c r="G53" s="444" t="s">
        <v>1185</v>
      </c>
      <c r="H53" s="444"/>
      <c r="I53" s="444"/>
      <c r="J53" s="444"/>
      <c r="K53" s="444"/>
      <c r="L53" s="444"/>
      <c r="M53" s="444"/>
      <c r="N53" s="444"/>
      <c r="O53" s="444"/>
      <c r="P53" s="444"/>
      <c r="Q53" s="444"/>
      <c r="R53" s="444"/>
      <c r="S53" s="444"/>
      <c r="T53" s="444"/>
      <c r="U53" s="444" t="s">
        <v>1186</v>
      </c>
      <c r="V53" s="444"/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3"/>
      <c r="AH53" s="443"/>
      <c r="AI53" s="443"/>
      <c r="AJ53" s="442"/>
      <c r="AK53" s="441"/>
    </row>
    <row r="55" spans="1:39" x14ac:dyDescent="0.25">
      <c r="A55" s="549"/>
      <c r="B55" s="549"/>
      <c r="C55" s="550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49"/>
      <c r="AK55" s="549"/>
      <c r="AL55" s="549"/>
      <c r="AM55" s="549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zoomScaleSheetLayoutView="100" workbookViewId="0">
      <selection activeCell="E6" sqref="E6"/>
    </sheetView>
  </sheetViews>
  <sheetFormatPr defaultRowHeight="10.5" x14ac:dyDescent="0.25"/>
  <cols>
    <col min="1" max="1" width="4.42578125" style="585" customWidth="1"/>
    <col min="2" max="2" width="37.5703125" style="585" customWidth="1"/>
    <col min="3" max="3" width="1.42578125" style="585" customWidth="1"/>
    <col min="4" max="4" width="6.42578125" style="585" customWidth="1"/>
    <col min="5" max="6" width="29.5703125" style="585" customWidth="1"/>
    <col min="7" max="16384" width="9.140625" style="585"/>
  </cols>
  <sheetData>
    <row r="1" spans="1:10" s="551" customFormat="1" ht="7.5" customHeight="1" x14ac:dyDescent="0.25">
      <c r="A1" s="550"/>
      <c r="G1" s="494"/>
      <c r="H1" s="494"/>
    </row>
    <row r="2" spans="1:10" s="551" customFormat="1" ht="17.25" customHeight="1" x14ac:dyDescent="0.25">
      <c r="A2" s="550"/>
      <c r="B2" s="576" t="s">
        <v>1319</v>
      </c>
      <c r="C2" s="494"/>
      <c r="D2" s="575" t="s">
        <v>1318</v>
      </c>
      <c r="E2" s="631" t="str">
        <f>"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2  0  2  2  3  0  4  1  5  2</v>
      </c>
    </row>
    <row r="3" spans="1:10" s="551" customFormat="1" ht="7.5" customHeight="1" thickBot="1" x14ac:dyDescent="0.3">
      <c r="A3" s="550"/>
      <c r="B3" s="630"/>
      <c r="C3" s="494"/>
    </row>
    <row r="4" spans="1:10" s="610" customFormat="1" ht="11.25" customHeight="1" x14ac:dyDescent="0.25">
      <c r="A4" s="629"/>
      <c r="B4" s="628"/>
      <c r="C4" s="627"/>
      <c r="D4" s="626"/>
      <c r="E4" s="1605" t="s">
        <v>1386</v>
      </c>
      <c r="F4" s="1624"/>
    </row>
    <row r="5" spans="1:10" s="610" customFormat="1" ht="33.75" customHeight="1" x14ac:dyDescent="0.15">
      <c r="A5" s="625" t="s">
        <v>1221</v>
      </c>
      <c r="B5" s="624" t="s">
        <v>1385</v>
      </c>
      <c r="C5" s="623"/>
      <c r="D5" s="622" t="s">
        <v>1219</v>
      </c>
      <c r="E5" s="621" t="s">
        <v>1384</v>
      </c>
      <c r="F5" s="620" t="s">
        <v>1383</v>
      </c>
    </row>
    <row r="6" spans="1:10" s="610" customFormat="1" ht="29.65" customHeight="1" x14ac:dyDescent="0.25">
      <c r="A6" s="555" t="s">
        <v>813</v>
      </c>
      <c r="B6" s="591" t="s">
        <v>1382</v>
      </c>
      <c r="C6" s="590"/>
      <c r="D6" s="552" t="s">
        <v>814</v>
      </c>
      <c r="E6" s="589">
        <f>'P&amp;L'!D9</f>
        <v>0</v>
      </c>
      <c r="F6" s="589">
        <f>'P&amp;L'!E9</f>
        <v>0</v>
      </c>
    </row>
    <row r="7" spans="1:10" s="610" customFormat="1" ht="29.65" customHeight="1" x14ac:dyDescent="0.25">
      <c r="A7" s="555" t="s">
        <v>815</v>
      </c>
      <c r="B7" s="591" t="s">
        <v>1381</v>
      </c>
      <c r="C7" s="590"/>
      <c r="D7" s="552" t="s">
        <v>817</v>
      </c>
      <c r="E7" s="642">
        <f>'P&amp;L'!D10</f>
        <v>0</v>
      </c>
      <c r="F7" s="589">
        <f>'P&amp;L'!E10</f>
        <v>0</v>
      </c>
    </row>
    <row r="8" spans="1:10" s="615" customFormat="1" ht="29.65" customHeight="1" x14ac:dyDescent="0.25">
      <c r="A8" s="556" t="s">
        <v>818</v>
      </c>
      <c r="B8" s="593" t="s">
        <v>1380</v>
      </c>
      <c r="C8" s="592"/>
      <c r="D8" s="562" t="s">
        <v>820</v>
      </c>
      <c r="E8" s="642">
        <f>'P&amp;L'!D11</f>
        <v>0</v>
      </c>
      <c r="F8" s="589">
        <f>'P&amp;L'!E11</f>
        <v>0</v>
      </c>
    </row>
    <row r="9" spans="1:10" s="615" customFormat="1" ht="29.65" customHeight="1" x14ac:dyDescent="0.25">
      <c r="A9" s="556" t="s">
        <v>821</v>
      </c>
      <c r="B9" s="593" t="s">
        <v>1379</v>
      </c>
      <c r="C9" s="592"/>
      <c r="D9" s="562" t="s">
        <v>823</v>
      </c>
      <c r="E9" s="642">
        <f>'P&amp;L'!D12</f>
        <v>11330433</v>
      </c>
      <c r="F9" s="589">
        <f>'P&amp;L'!E12</f>
        <v>10716651</v>
      </c>
    </row>
    <row r="10" spans="1:10" s="610" customFormat="1" ht="29.65" customHeight="1" x14ac:dyDescent="0.25">
      <c r="A10" s="554" t="s">
        <v>824</v>
      </c>
      <c r="B10" s="591" t="s">
        <v>1378</v>
      </c>
      <c r="C10" s="590"/>
      <c r="D10" s="552" t="s">
        <v>826</v>
      </c>
      <c r="E10" s="642">
        <f>'P&amp;L'!D13</f>
        <v>11330433</v>
      </c>
      <c r="F10" s="589">
        <f>'P&amp;L'!E13</f>
        <v>10716651</v>
      </c>
    </row>
    <row r="11" spans="1:10" s="610" customFormat="1" ht="29.65" customHeight="1" x14ac:dyDescent="0.25">
      <c r="A11" s="554" t="s">
        <v>532</v>
      </c>
      <c r="B11" s="591" t="s">
        <v>1377</v>
      </c>
      <c r="C11" s="590"/>
      <c r="D11" s="552" t="s">
        <v>828</v>
      </c>
      <c r="E11" s="642">
        <f>'P&amp;L'!D14</f>
        <v>0</v>
      </c>
      <c r="F11" s="589">
        <f>'P&amp;L'!E14</f>
        <v>0</v>
      </c>
    </row>
    <row r="12" spans="1:10" s="610" customFormat="1" ht="29.65" customHeight="1" x14ac:dyDescent="0.25">
      <c r="A12" s="554" t="s">
        <v>535</v>
      </c>
      <c r="B12" s="591" t="s">
        <v>1376</v>
      </c>
      <c r="C12" s="590"/>
      <c r="D12" s="552" t="s">
        <v>830</v>
      </c>
      <c r="E12" s="642">
        <f>'P&amp;L'!D15</f>
        <v>0</v>
      </c>
      <c r="F12" s="589">
        <f>'P&amp;L'!E15</f>
        <v>0</v>
      </c>
    </row>
    <row r="13" spans="1:10" s="615" customFormat="1" ht="29.65" customHeight="1" x14ac:dyDescent="0.25">
      <c r="A13" s="556" t="s">
        <v>594</v>
      </c>
      <c r="B13" s="593" t="s">
        <v>1375</v>
      </c>
      <c r="C13" s="592"/>
      <c r="D13" s="562" t="s">
        <v>832</v>
      </c>
      <c r="E13" s="642">
        <f>'P&amp;L'!D16</f>
        <v>10076854</v>
      </c>
      <c r="F13" s="589">
        <f>'P&amp;L'!E16</f>
        <v>9642113</v>
      </c>
      <c r="J13" s="610"/>
    </row>
    <row r="14" spans="1:10" s="610" customFormat="1" ht="29.65" customHeight="1" x14ac:dyDescent="0.25">
      <c r="A14" s="555" t="s">
        <v>833</v>
      </c>
      <c r="B14" s="591" t="s">
        <v>1374</v>
      </c>
      <c r="C14" s="590"/>
      <c r="D14" s="552" t="s">
        <v>835</v>
      </c>
      <c r="E14" s="642">
        <f>'P&amp;L'!D17</f>
        <v>38243</v>
      </c>
      <c r="F14" s="589">
        <f>'P&amp;L'!E17</f>
        <v>63661</v>
      </c>
    </row>
    <row r="15" spans="1:10" s="610" customFormat="1" ht="29.65" customHeight="1" x14ac:dyDescent="0.25">
      <c r="A15" s="555" t="s">
        <v>836</v>
      </c>
      <c r="B15" s="591" t="s">
        <v>1373</v>
      </c>
      <c r="C15" s="590"/>
      <c r="D15" s="552" t="s">
        <v>838</v>
      </c>
      <c r="E15" s="642">
        <f>'P&amp;L'!D18</f>
        <v>10038611</v>
      </c>
      <c r="F15" s="589">
        <f>'P&amp;L'!E18</f>
        <v>9578452</v>
      </c>
    </row>
    <row r="16" spans="1:10" s="615" customFormat="1" ht="29.65" customHeight="1" x14ac:dyDescent="0.25">
      <c r="A16" s="556" t="s">
        <v>818</v>
      </c>
      <c r="B16" s="593" t="s">
        <v>1372</v>
      </c>
      <c r="C16" s="592"/>
      <c r="D16" s="562" t="s">
        <v>840</v>
      </c>
      <c r="E16" s="642">
        <f>'P&amp;L'!D19</f>
        <v>1253579</v>
      </c>
      <c r="F16" s="589">
        <f>'P&amp;L'!E19</f>
        <v>1074538</v>
      </c>
    </row>
    <row r="17" spans="1:6" s="610" customFormat="1" ht="29.65" customHeight="1" x14ac:dyDescent="0.25">
      <c r="A17" s="555" t="s">
        <v>663</v>
      </c>
      <c r="B17" s="591" t="s">
        <v>1371</v>
      </c>
      <c r="C17" s="590"/>
      <c r="D17" s="552" t="s">
        <v>842</v>
      </c>
      <c r="E17" s="642">
        <f>'P&amp;L'!D20</f>
        <v>409980</v>
      </c>
      <c r="F17" s="589">
        <f>'P&amp;L'!E20</f>
        <v>394269</v>
      </c>
    </row>
    <row r="18" spans="1:6" s="610" customFormat="1" ht="29.65" customHeight="1" x14ac:dyDescent="0.25">
      <c r="A18" s="555" t="s">
        <v>666</v>
      </c>
      <c r="B18" s="591" t="s">
        <v>1370</v>
      </c>
      <c r="C18" s="590"/>
      <c r="D18" s="552" t="s">
        <v>844</v>
      </c>
      <c r="E18" s="642">
        <f>'P&amp;L'!D21</f>
        <v>296866</v>
      </c>
      <c r="F18" s="589">
        <f>'P&amp;L'!E21</f>
        <v>300410</v>
      </c>
    </row>
    <row r="19" spans="1:6" s="610" customFormat="1" ht="29.65" customHeight="1" x14ac:dyDescent="0.25">
      <c r="A19" s="555" t="s">
        <v>836</v>
      </c>
      <c r="B19" s="591" t="s">
        <v>1369</v>
      </c>
      <c r="C19" s="590"/>
      <c r="D19" s="552" t="s">
        <v>846</v>
      </c>
      <c r="E19" s="642">
        <f>'P&amp;L'!D22</f>
        <v>0</v>
      </c>
      <c r="F19" s="589">
        <f>'P&amp;L'!E22</f>
        <v>0</v>
      </c>
    </row>
    <row r="20" spans="1:6" s="610" customFormat="1" ht="29.65" customHeight="1" x14ac:dyDescent="0.25">
      <c r="A20" s="555" t="s">
        <v>847</v>
      </c>
      <c r="B20" s="591" t="s">
        <v>1368</v>
      </c>
      <c r="C20" s="590"/>
      <c r="D20" s="552" t="s">
        <v>849</v>
      </c>
      <c r="E20" s="642">
        <f>'P&amp;L'!D23</f>
        <v>106327</v>
      </c>
      <c r="F20" s="589">
        <f>'P&amp;L'!E23</f>
        <v>87584</v>
      </c>
    </row>
    <row r="21" spans="1:6" s="610" customFormat="1" ht="29.65" customHeight="1" x14ac:dyDescent="0.25">
      <c r="A21" s="555" t="s">
        <v>850</v>
      </c>
      <c r="B21" s="591" t="s">
        <v>1367</v>
      </c>
      <c r="C21" s="590"/>
      <c r="D21" s="552" t="s">
        <v>852</v>
      </c>
      <c r="E21" s="642">
        <f>'P&amp;L'!D24</f>
        <v>6787</v>
      </c>
      <c r="F21" s="589">
        <f>'P&amp;L'!E24</f>
        <v>6275</v>
      </c>
    </row>
    <row r="22" spans="1:6" s="610" customFormat="1" ht="29.65" customHeight="1" x14ac:dyDescent="0.25">
      <c r="A22" s="555" t="s">
        <v>853</v>
      </c>
      <c r="B22" s="591" t="s">
        <v>1366</v>
      </c>
      <c r="C22" s="590"/>
      <c r="D22" s="552" t="s">
        <v>855</v>
      </c>
      <c r="E22" s="642">
        <f>'P&amp;L'!D25</f>
        <v>921</v>
      </c>
      <c r="F22" s="589">
        <f>'P&amp;L'!E25</f>
        <v>1043</v>
      </c>
    </row>
    <row r="23" spans="1:6" s="610" customFormat="1" ht="29.65" customHeight="1" x14ac:dyDescent="0.25">
      <c r="A23" s="555" t="s">
        <v>856</v>
      </c>
      <c r="B23" s="591" t="s">
        <v>1365</v>
      </c>
      <c r="C23" s="590"/>
      <c r="D23" s="552" t="s">
        <v>858</v>
      </c>
      <c r="E23" s="642">
        <f>'P&amp;L'!D26</f>
        <v>24621</v>
      </c>
      <c r="F23" s="589">
        <f>'P&amp;L'!E26</f>
        <v>17258</v>
      </c>
    </row>
    <row r="24" spans="1:6" s="610" customFormat="1" ht="29.65" customHeight="1" x14ac:dyDescent="0.25">
      <c r="A24" s="555" t="s">
        <v>859</v>
      </c>
      <c r="B24" s="591" t="s">
        <v>1364</v>
      </c>
      <c r="C24" s="590"/>
      <c r="D24" s="552" t="s">
        <v>861</v>
      </c>
      <c r="E24" s="642">
        <f>'P&amp;L'!D27</f>
        <v>0</v>
      </c>
      <c r="F24" s="589">
        <f>'P&amp;L'!E27</f>
        <v>0</v>
      </c>
    </row>
    <row r="25" spans="1:6" s="610" customFormat="1" ht="29.65" customHeight="1" x14ac:dyDescent="0.25">
      <c r="A25" s="555" t="s">
        <v>862</v>
      </c>
      <c r="B25" s="591" t="s">
        <v>1363</v>
      </c>
      <c r="C25" s="590"/>
      <c r="D25" s="552" t="s">
        <v>864</v>
      </c>
      <c r="E25" s="642">
        <f>'P&amp;L'!D28</f>
        <v>0</v>
      </c>
      <c r="F25" s="589">
        <f>'P&amp;L'!E28</f>
        <v>0</v>
      </c>
    </row>
    <row r="26" spans="1:6" s="610" customFormat="1" ht="29.65" customHeight="1" x14ac:dyDescent="0.25">
      <c r="A26" s="555" t="s">
        <v>865</v>
      </c>
      <c r="B26" s="619" t="s">
        <v>1362</v>
      </c>
      <c r="C26" s="618"/>
      <c r="D26" s="552" t="s">
        <v>867</v>
      </c>
      <c r="E26" s="642">
        <f>'P&amp;L'!D29</f>
        <v>18068</v>
      </c>
      <c r="F26" s="589">
        <f>'P&amp;L'!E29</f>
        <v>0</v>
      </c>
    </row>
    <row r="27" spans="1:6" s="610" customFormat="1" ht="29.65" customHeight="1" x14ac:dyDescent="0.25">
      <c r="A27" s="555" t="s">
        <v>868</v>
      </c>
      <c r="B27" s="591" t="s">
        <v>1361</v>
      </c>
      <c r="C27" s="590"/>
      <c r="D27" s="552" t="s">
        <v>870</v>
      </c>
      <c r="E27" s="642">
        <f>'P&amp;L'!D30</f>
        <v>1082</v>
      </c>
      <c r="F27" s="589">
        <f>'P&amp;L'!E30</f>
        <v>132466</v>
      </c>
    </row>
    <row r="28" spans="1:6" s="610" customFormat="1" ht="29.65" customHeight="1" x14ac:dyDescent="0.25">
      <c r="A28" s="555" t="s">
        <v>871</v>
      </c>
      <c r="B28" s="619" t="s">
        <v>1360</v>
      </c>
      <c r="C28" s="618"/>
      <c r="D28" s="552" t="s">
        <v>873</v>
      </c>
      <c r="E28" s="642">
        <f>'P&amp;L'!D31</f>
        <v>1262</v>
      </c>
      <c r="F28" s="589">
        <f>'P&amp;L'!E31</f>
        <v>2251</v>
      </c>
    </row>
    <row r="29" spans="1:6" s="610" customFormat="1" ht="29.65" customHeight="1" x14ac:dyDescent="0.25">
      <c r="A29" s="555" t="s">
        <v>874</v>
      </c>
      <c r="B29" s="591" t="s">
        <v>1359</v>
      </c>
      <c r="C29" s="590"/>
      <c r="D29" s="552" t="s">
        <v>876</v>
      </c>
      <c r="E29" s="642">
        <f>'P&amp;L'!D32</f>
        <v>0</v>
      </c>
      <c r="F29" s="589">
        <f>'P&amp;L'!E32</f>
        <v>0</v>
      </c>
    </row>
    <row r="30" spans="1:6" s="610" customFormat="1" ht="29.65" customHeight="1" x14ac:dyDescent="0.25">
      <c r="A30" s="555" t="s">
        <v>877</v>
      </c>
      <c r="B30" s="591" t="s">
        <v>1358</v>
      </c>
      <c r="C30" s="590"/>
      <c r="D30" s="552" t="s">
        <v>879</v>
      </c>
      <c r="E30" s="642">
        <f>'P&amp;L'!D33</f>
        <v>0</v>
      </c>
      <c r="F30" s="589">
        <f>'P&amp;L'!E33</f>
        <v>0</v>
      </c>
    </row>
    <row r="31" spans="1:6" s="615" customFormat="1" ht="33.75" customHeight="1" x14ac:dyDescent="0.25">
      <c r="A31" s="556" t="s">
        <v>880</v>
      </c>
      <c r="B31" s="617" t="s">
        <v>1357</v>
      </c>
      <c r="C31" s="616"/>
      <c r="D31" s="562" t="s">
        <v>882</v>
      </c>
      <c r="E31" s="642">
        <f>'P&amp;L'!D34</f>
        <v>799809</v>
      </c>
      <c r="F31" s="589">
        <f>'P&amp;L'!E34</f>
        <v>792183</v>
      </c>
    </row>
    <row r="32" spans="1:6" s="610" customFormat="1" ht="29.65" customHeight="1" thickBot="1" x14ac:dyDescent="0.3">
      <c r="A32" s="614" t="s">
        <v>883</v>
      </c>
      <c r="B32" s="613" t="s">
        <v>1356</v>
      </c>
      <c r="C32" s="612"/>
      <c r="D32" s="611" t="s">
        <v>885</v>
      </c>
      <c r="E32" s="642">
        <f>'P&amp;L'!D35</f>
        <v>0</v>
      </c>
      <c r="F32" s="589">
        <f>'P&amp;L'!E35</f>
        <v>0</v>
      </c>
    </row>
    <row r="33" spans="1:6" ht="24.75" customHeight="1" x14ac:dyDescent="0.25">
      <c r="A33" s="602" t="s">
        <v>886</v>
      </c>
      <c r="B33" s="601" t="s">
        <v>1355</v>
      </c>
      <c r="C33" s="600"/>
      <c r="D33" s="599" t="s">
        <v>888</v>
      </c>
      <c r="E33" s="642">
        <f>'P&amp;L'!D36</f>
        <v>0</v>
      </c>
      <c r="F33" s="589">
        <f>'P&amp;L'!E36</f>
        <v>0</v>
      </c>
    </row>
    <row r="34" spans="1:6" ht="30.75" customHeight="1" x14ac:dyDescent="0.25">
      <c r="A34" s="602" t="s">
        <v>889</v>
      </c>
      <c r="B34" s="609" t="s">
        <v>1354</v>
      </c>
      <c r="C34" s="608"/>
      <c r="D34" s="599" t="s">
        <v>891</v>
      </c>
      <c r="E34" s="642">
        <f>'P&amp;L'!D37</f>
        <v>0</v>
      </c>
      <c r="F34" s="589">
        <f>'P&amp;L'!E37</f>
        <v>0</v>
      </c>
    </row>
    <row r="35" spans="1:6" ht="36.75" customHeight="1" x14ac:dyDescent="0.25">
      <c r="A35" s="555" t="s">
        <v>892</v>
      </c>
      <c r="B35" s="591" t="s">
        <v>1353</v>
      </c>
      <c r="C35" s="590"/>
      <c r="D35" s="552" t="s">
        <v>894</v>
      </c>
      <c r="E35" s="642">
        <f>'P&amp;L'!D38</f>
        <v>0</v>
      </c>
      <c r="F35" s="589">
        <f>'P&amp;L'!E38</f>
        <v>0</v>
      </c>
    </row>
    <row r="36" spans="1:6" ht="30.75" customHeight="1" x14ac:dyDescent="0.25">
      <c r="A36" s="555" t="s">
        <v>895</v>
      </c>
      <c r="B36" s="591" t="s">
        <v>1352</v>
      </c>
      <c r="C36" s="590"/>
      <c r="D36" s="552" t="s">
        <v>897</v>
      </c>
      <c r="E36" s="642">
        <f>'P&amp;L'!D39</f>
        <v>0</v>
      </c>
      <c r="F36" s="589">
        <f>'P&amp;L'!E39</f>
        <v>0</v>
      </c>
    </row>
    <row r="37" spans="1:6" ht="30" customHeight="1" x14ac:dyDescent="0.25">
      <c r="A37" s="555" t="s">
        <v>898</v>
      </c>
      <c r="B37" s="591" t="s">
        <v>1351</v>
      </c>
      <c r="C37" s="590"/>
      <c r="D37" s="552" t="s">
        <v>900</v>
      </c>
      <c r="E37" s="642">
        <f>'P&amp;L'!D40</f>
        <v>0</v>
      </c>
      <c r="F37" s="589">
        <f>'P&amp;L'!E40</f>
        <v>0</v>
      </c>
    </row>
    <row r="38" spans="1:6" ht="26.25" customHeight="1" x14ac:dyDescent="0.25">
      <c r="A38" s="555" t="s">
        <v>901</v>
      </c>
      <c r="B38" s="591" t="s">
        <v>1350</v>
      </c>
      <c r="C38" s="590"/>
      <c r="D38" s="552" t="s">
        <v>903</v>
      </c>
      <c r="E38" s="642">
        <f>'P&amp;L'!D41</f>
        <v>0</v>
      </c>
      <c r="F38" s="589">
        <f>'P&amp;L'!E41</f>
        <v>0</v>
      </c>
    </row>
    <row r="39" spans="1:6" ht="22.5" customHeight="1" x14ac:dyDescent="0.25">
      <c r="A39" s="555" t="s">
        <v>904</v>
      </c>
      <c r="B39" s="591" t="s">
        <v>1349</v>
      </c>
      <c r="C39" s="590"/>
      <c r="D39" s="552" t="s">
        <v>906</v>
      </c>
      <c r="E39" s="642">
        <f>'P&amp;L'!D42</f>
        <v>0</v>
      </c>
      <c r="F39" s="589">
        <f>'P&amp;L'!E42</f>
        <v>0</v>
      </c>
    </row>
    <row r="40" spans="1:6" ht="30.75" customHeight="1" x14ac:dyDescent="0.25">
      <c r="A40" s="555" t="s">
        <v>907</v>
      </c>
      <c r="B40" s="591" t="s">
        <v>1348</v>
      </c>
      <c r="C40" s="590"/>
      <c r="D40" s="552" t="s">
        <v>909</v>
      </c>
      <c r="E40" s="642">
        <f>'P&amp;L'!D43</f>
        <v>0</v>
      </c>
      <c r="F40" s="589">
        <f>'P&amp;L'!E43</f>
        <v>0</v>
      </c>
    </row>
    <row r="41" spans="1:6" ht="30" customHeight="1" x14ac:dyDescent="0.25">
      <c r="A41" s="555" t="s">
        <v>910</v>
      </c>
      <c r="B41" s="591" t="s">
        <v>1347</v>
      </c>
      <c r="C41" s="590"/>
      <c r="D41" s="552" t="s">
        <v>912</v>
      </c>
      <c r="E41" s="642">
        <f>'P&amp;L'!D44</f>
        <v>0</v>
      </c>
      <c r="F41" s="589">
        <f>'P&amp;L'!E44</f>
        <v>0</v>
      </c>
    </row>
    <row r="42" spans="1:6" ht="32.25" customHeight="1" x14ac:dyDescent="0.25">
      <c r="A42" s="555" t="s">
        <v>913</v>
      </c>
      <c r="B42" s="591" t="s">
        <v>1346</v>
      </c>
      <c r="C42" s="590"/>
      <c r="D42" s="552" t="s">
        <v>915</v>
      </c>
      <c r="E42" s="642">
        <f>'P&amp;L'!D45</f>
        <v>0</v>
      </c>
      <c r="F42" s="589">
        <f>'P&amp;L'!E45</f>
        <v>0</v>
      </c>
    </row>
    <row r="43" spans="1:6" ht="24" customHeight="1" x14ac:dyDescent="0.25">
      <c r="A43" s="555" t="s">
        <v>916</v>
      </c>
      <c r="B43" s="591" t="s">
        <v>1345</v>
      </c>
      <c r="C43" s="590"/>
      <c r="D43" s="552" t="s">
        <v>918</v>
      </c>
      <c r="E43" s="642">
        <f>'P&amp;L'!D46</f>
        <v>70</v>
      </c>
      <c r="F43" s="589">
        <f>'P&amp;L'!E46</f>
        <v>3749</v>
      </c>
    </row>
    <row r="44" spans="1:6" ht="26.25" customHeight="1" x14ac:dyDescent="0.25">
      <c r="A44" s="555" t="s">
        <v>919</v>
      </c>
      <c r="B44" s="591" t="s">
        <v>1344</v>
      </c>
      <c r="C44" s="590"/>
      <c r="D44" s="552" t="s">
        <v>921</v>
      </c>
      <c r="E44" s="642">
        <f>'P&amp;L'!D47</f>
        <v>433</v>
      </c>
      <c r="F44" s="589">
        <f>'P&amp;L'!E47</f>
        <v>619</v>
      </c>
    </row>
    <row r="45" spans="1:6" ht="24.75" customHeight="1" x14ac:dyDescent="0.25">
      <c r="A45" s="555" t="s">
        <v>922</v>
      </c>
      <c r="B45" s="591" t="s">
        <v>1343</v>
      </c>
      <c r="C45" s="590"/>
      <c r="D45" s="552" t="s">
        <v>924</v>
      </c>
      <c r="E45" s="642">
        <f>'P&amp;L'!D48</f>
        <v>369</v>
      </c>
      <c r="F45" s="589">
        <f>'P&amp;L'!E48</f>
        <v>99</v>
      </c>
    </row>
    <row r="46" spans="1:6" ht="27" customHeight="1" x14ac:dyDescent="0.25">
      <c r="A46" s="555" t="s">
        <v>925</v>
      </c>
      <c r="B46" s="591" t="s">
        <v>1342</v>
      </c>
      <c r="C46" s="590"/>
      <c r="D46" s="552" t="s">
        <v>927</v>
      </c>
      <c r="E46" s="642">
        <f>'P&amp;L'!D49</f>
        <v>1704</v>
      </c>
      <c r="F46" s="589">
        <f>'P&amp;L'!E49</f>
        <v>2014</v>
      </c>
    </row>
    <row r="47" spans="1:6" ht="29.25" customHeight="1" x14ac:dyDescent="0.25">
      <c r="A47" s="555" t="s">
        <v>928</v>
      </c>
      <c r="B47" s="591" t="s">
        <v>1341</v>
      </c>
      <c r="C47" s="590"/>
      <c r="D47" s="552" t="s">
        <v>930</v>
      </c>
      <c r="E47" s="642">
        <f>'P&amp;L'!D50</f>
        <v>0</v>
      </c>
      <c r="F47" s="589">
        <f>'P&amp;L'!E50</f>
        <v>0</v>
      </c>
    </row>
    <row r="48" spans="1:6" ht="27.75" customHeight="1" x14ac:dyDescent="0.25">
      <c r="A48" s="555" t="s">
        <v>931</v>
      </c>
      <c r="B48" s="591" t="s">
        <v>1340</v>
      </c>
      <c r="C48" s="590"/>
      <c r="D48" s="552" t="s">
        <v>933</v>
      </c>
      <c r="E48" s="642">
        <f>'P&amp;L'!D51</f>
        <v>7572</v>
      </c>
      <c r="F48" s="589">
        <f>'P&amp;L'!E51</f>
        <v>10091</v>
      </c>
    </row>
    <row r="49" spans="1:6" ht="27.75" customHeight="1" x14ac:dyDescent="0.25">
      <c r="A49" s="555" t="s">
        <v>934</v>
      </c>
      <c r="B49" s="591" t="s">
        <v>1339</v>
      </c>
      <c r="C49" s="590"/>
      <c r="D49" s="552" t="s">
        <v>936</v>
      </c>
      <c r="E49" s="642">
        <f>'P&amp;L'!D52</f>
        <v>0</v>
      </c>
      <c r="F49" s="589">
        <f>'P&amp;L'!E52</f>
        <v>0</v>
      </c>
    </row>
    <row r="50" spans="1:6" ht="27.75" customHeight="1" x14ac:dyDescent="0.25">
      <c r="A50" s="555" t="s">
        <v>937</v>
      </c>
      <c r="B50" s="591" t="s">
        <v>1338</v>
      </c>
      <c r="C50" s="590"/>
      <c r="D50" s="552" t="s">
        <v>939</v>
      </c>
      <c r="E50" s="642">
        <f>'P&amp;L'!D53</f>
        <v>0</v>
      </c>
      <c r="F50" s="589">
        <f>'P&amp;L'!E53</f>
        <v>0</v>
      </c>
    </row>
    <row r="51" spans="1:6" s="586" customFormat="1" ht="44.25" customHeight="1" x14ac:dyDescent="0.25">
      <c r="A51" s="605" t="s">
        <v>880</v>
      </c>
      <c r="B51" s="607" t="s">
        <v>1337</v>
      </c>
      <c r="C51" s="606"/>
      <c r="D51" s="562" t="s">
        <v>941</v>
      </c>
      <c r="E51" s="642">
        <f>'P&amp;L'!D54</f>
        <v>-9270</v>
      </c>
      <c r="F51" s="589">
        <f>'P&amp;L'!E54</f>
        <v>-8876</v>
      </c>
    </row>
    <row r="52" spans="1:6" s="586" customFormat="1" ht="29.25" customHeight="1" x14ac:dyDescent="0.25">
      <c r="A52" s="605" t="s">
        <v>942</v>
      </c>
      <c r="B52" s="604" t="s">
        <v>1336</v>
      </c>
      <c r="C52" s="603"/>
      <c r="D52" s="562" t="s">
        <v>944</v>
      </c>
      <c r="E52" s="642">
        <f>'P&amp;L'!D55</f>
        <v>790539</v>
      </c>
      <c r="F52" s="589">
        <f>'P&amp;L'!E55</f>
        <v>783307</v>
      </c>
    </row>
    <row r="53" spans="1:6" ht="30.75" customHeight="1" x14ac:dyDescent="0.25">
      <c r="A53" s="555" t="s">
        <v>945</v>
      </c>
      <c r="B53" s="591" t="s">
        <v>1335</v>
      </c>
      <c r="C53" s="590"/>
      <c r="D53" s="552" t="s">
        <v>947</v>
      </c>
      <c r="E53" s="642">
        <f>'P&amp;L'!D56</f>
        <v>188035</v>
      </c>
      <c r="F53" s="589">
        <f>'P&amp;L'!E56</f>
        <v>151714</v>
      </c>
    </row>
    <row r="54" spans="1:6" ht="28.5" customHeight="1" x14ac:dyDescent="0.25">
      <c r="A54" s="598" t="s">
        <v>948</v>
      </c>
      <c r="B54" s="591" t="s">
        <v>1334</v>
      </c>
      <c r="C54" s="590"/>
      <c r="D54" s="552" t="s">
        <v>950</v>
      </c>
      <c r="E54" s="642">
        <f>'P&amp;L'!D57</f>
        <v>179297</v>
      </c>
      <c r="F54" s="589">
        <f>'P&amp;L'!E57</f>
        <v>146331</v>
      </c>
    </row>
    <row r="55" spans="1:6" ht="28.5" customHeight="1" x14ac:dyDescent="0.25">
      <c r="A55" s="555" t="s">
        <v>836</v>
      </c>
      <c r="B55" s="591" t="s">
        <v>1333</v>
      </c>
      <c r="C55" s="590"/>
      <c r="D55" s="552" t="s">
        <v>952</v>
      </c>
      <c r="E55" s="642">
        <f>'P&amp;L'!D58</f>
        <v>8738</v>
      </c>
      <c r="F55" s="589">
        <f>'P&amp;L'!E58</f>
        <v>5383</v>
      </c>
    </row>
    <row r="56" spans="1:6" s="586" customFormat="1" ht="31.5" customHeight="1" x14ac:dyDescent="0.25">
      <c r="A56" s="605" t="s">
        <v>942</v>
      </c>
      <c r="B56" s="604" t="s">
        <v>1332</v>
      </c>
      <c r="C56" s="603"/>
      <c r="D56" s="562" t="s">
        <v>954</v>
      </c>
      <c r="E56" s="642">
        <f>'P&amp;L'!D59</f>
        <v>602504</v>
      </c>
      <c r="F56" s="589">
        <f>'P&amp;L'!E59</f>
        <v>631593</v>
      </c>
    </row>
    <row r="57" spans="1:6" ht="29.25" customHeight="1" x14ac:dyDescent="0.25">
      <c r="A57" s="555" t="s">
        <v>955</v>
      </c>
      <c r="B57" s="591" t="s">
        <v>1331</v>
      </c>
      <c r="C57" s="590"/>
      <c r="D57" s="552" t="s">
        <v>957</v>
      </c>
      <c r="E57" s="642">
        <f>'P&amp;L'!D60</f>
        <v>0</v>
      </c>
      <c r="F57" s="589">
        <f>'P&amp;L'!E60</f>
        <v>0</v>
      </c>
    </row>
    <row r="58" spans="1:6" ht="28.5" customHeight="1" x14ac:dyDescent="0.25">
      <c r="A58" s="555" t="s">
        <v>958</v>
      </c>
      <c r="B58" s="591" t="s">
        <v>1330</v>
      </c>
      <c r="C58" s="590"/>
      <c r="D58" s="552" t="s">
        <v>960</v>
      </c>
      <c r="E58" s="642">
        <f>'P&amp;L'!D61</f>
        <v>0</v>
      </c>
      <c r="F58" s="589">
        <f>'P&amp;L'!E61</f>
        <v>0</v>
      </c>
    </row>
    <row r="59" spans="1:6" ht="30.75" customHeight="1" thickBot="1" x14ac:dyDescent="0.3">
      <c r="A59" s="561" t="s">
        <v>880</v>
      </c>
      <c r="B59" s="588" t="s">
        <v>1329</v>
      </c>
      <c r="C59" s="587"/>
      <c r="D59" s="560" t="s">
        <v>962</v>
      </c>
      <c r="E59" s="642">
        <f>'P&amp;L'!D62</f>
        <v>0</v>
      </c>
      <c r="F59" s="589">
        <f>'P&amp;L'!E62</f>
        <v>0</v>
      </c>
    </row>
    <row r="60" spans="1:6" ht="27.75" customHeight="1" x14ac:dyDescent="0.25">
      <c r="A60" s="602" t="s">
        <v>963</v>
      </c>
      <c r="B60" s="601" t="s">
        <v>1328</v>
      </c>
      <c r="C60" s="600"/>
      <c r="D60" s="599" t="s">
        <v>965</v>
      </c>
      <c r="E60" s="642">
        <f>'P&amp;L'!D63</f>
        <v>0</v>
      </c>
      <c r="F60" s="589">
        <f>'P&amp;L'!E63</f>
        <v>0</v>
      </c>
    </row>
    <row r="61" spans="1:6" ht="27.75" customHeight="1" x14ac:dyDescent="0.25">
      <c r="A61" s="598" t="s">
        <v>966</v>
      </c>
      <c r="B61" s="591" t="s">
        <v>1327</v>
      </c>
      <c r="C61" s="590"/>
      <c r="D61" s="552" t="s">
        <v>968</v>
      </c>
      <c r="E61" s="642">
        <f>'P&amp;L'!D64</f>
        <v>0</v>
      </c>
      <c r="F61" s="589">
        <f>'P&amp;L'!E64</f>
        <v>0</v>
      </c>
    </row>
    <row r="62" spans="1:6" ht="27.75" customHeight="1" x14ac:dyDescent="0.25">
      <c r="A62" s="555" t="s">
        <v>836</v>
      </c>
      <c r="B62" s="591" t="s">
        <v>1326</v>
      </c>
      <c r="C62" s="590"/>
      <c r="D62" s="552" t="s">
        <v>970</v>
      </c>
      <c r="E62" s="642">
        <f>'P&amp;L'!D65</f>
        <v>0</v>
      </c>
      <c r="F62" s="589">
        <f>'P&amp;L'!E65</f>
        <v>0</v>
      </c>
    </row>
    <row r="63" spans="1:6" s="586" customFormat="1" ht="27.75" customHeight="1" x14ac:dyDescent="0.25">
      <c r="A63" s="597" t="s">
        <v>880</v>
      </c>
      <c r="B63" s="596" t="s">
        <v>1325</v>
      </c>
      <c r="C63" s="595"/>
      <c r="D63" s="594" t="s">
        <v>972</v>
      </c>
      <c r="E63" s="642">
        <f>'P&amp;L'!D66</f>
        <v>0</v>
      </c>
      <c r="F63" s="589">
        <f>'P&amp;L'!E66</f>
        <v>0</v>
      </c>
    </row>
    <row r="64" spans="1:6" s="586" customFormat="1" ht="27.75" customHeight="1" x14ac:dyDescent="0.25">
      <c r="A64" s="556" t="s">
        <v>973</v>
      </c>
      <c r="B64" s="593" t="s">
        <v>1324</v>
      </c>
      <c r="C64" s="592"/>
      <c r="D64" s="562" t="s">
        <v>975</v>
      </c>
      <c r="E64" s="642">
        <f>'P&amp;L'!D67</f>
        <v>790539</v>
      </c>
      <c r="F64" s="589">
        <f>'P&amp;L'!E67</f>
        <v>783307</v>
      </c>
    </row>
    <row r="65" spans="1:6" ht="27.75" customHeight="1" x14ac:dyDescent="0.25">
      <c r="A65" s="555" t="s">
        <v>976</v>
      </c>
      <c r="B65" s="591" t="s">
        <v>1323</v>
      </c>
      <c r="C65" s="590"/>
      <c r="D65" s="552" t="s">
        <v>978</v>
      </c>
      <c r="E65" s="642">
        <f>'P&amp;L'!D68</f>
        <v>0</v>
      </c>
      <c r="F65" s="589">
        <f>'P&amp;L'!E68</f>
        <v>0</v>
      </c>
    </row>
    <row r="66" spans="1:6" s="586" customFormat="1" ht="27.75" customHeight="1" thickBot="1" x14ac:dyDescent="0.3">
      <c r="A66" s="561" t="s">
        <v>973</v>
      </c>
      <c r="B66" s="588" t="s">
        <v>1322</v>
      </c>
      <c r="C66" s="587"/>
      <c r="D66" s="560" t="s">
        <v>980</v>
      </c>
      <c r="E66" s="642">
        <f>'P&amp;L'!D69</f>
        <v>602504</v>
      </c>
      <c r="F66" s="589">
        <f>'P&amp;L'!E69</f>
        <v>631593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zoomScaleSheetLayoutView="100" workbookViewId="0">
      <selection activeCell="AM36" sqref="AM36"/>
    </sheetView>
  </sheetViews>
  <sheetFormatPr defaultRowHeight="12.75" x14ac:dyDescent="0.25"/>
  <cols>
    <col min="1" max="37" width="2.5703125" style="439" customWidth="1"/>
    <col min="38" max="38" width="0.140625" style="439" customWidth="1"/>
    <col min="39" max="41" width="2.5703125" style="439" customWidth="1"/>
    <col min="42" max="42" width="9.140625" style="439"/>
    <col min="43" max="45" width="2.5703125" style="439" customWidth="1"/>
    <col min="46" max="46" width="7.7109375" style="439" customWidth="1"/>
    <col min="47" max="61" width="2.5703125" style="439" customWidth="1"/>
    <col min="62" max="16384" width="9.140625" style="439"/>
  </cols>
  <sheetData>
    <row r="1" spans="1:37" s="549" customFormat="1" ht="10.5" customHeight="1" thickBot="1" x14ac:dyDescent="0.3">
      <c r="B1" s="819"/>
      <c r="C1" s="819" t="s">
        <v>1143</v>
      </c>
      <c r="N1" s="1622" t="s">
        <v>1545</v>
      </c>
      <c r="O1" s="1622"/>
      <c r="P1" s="1622"/>
      <c r="Q1" s="1622"/>
      <c r="R1" s="1622"/>
      <c r="S1" s="1622"/>
      <c r="T1" s="1622"/>
      <c r="U1" s="1622"/>
      <c r="V1" s="1622"/>
      <c r="W1" s="1622"/>
      <c r="X1" s="1625"/>
    </row>
    <row r="2" spans="1:37" s="446" customFormat="1" ht="21" customHeight="1" thickBot="1" x14ac:dyDescent="0.3">
      <c r="B2" s="821"/>
      <c r="C2" s="822" t="s">
        <v>1546</v>
      </c>
      <c r="D2" s="822"/>
      <c r="E2" s="822"/>
      <c r="F2" s="822"/>
      <c r="G2" s="822"/>
      <c r="H2" s="822"/>
      <c r="I2" s="822"/>
      <c r="J2" s="823"/>
      <c r="K2" s="822"/>
      <c r="L2" s="822"/>
      <c r="M2" s="824"/>
      <c r="N2" s="1622"/>
      <c r="O2" s="1622"/>
      <c r="P2" s="1622"/>
      <c r="Q2" s="1622" t="s">
        <v>1545</v>
      </c>
      <c r="R2" s="1622"/>
      <c r="S2" s="1622"/>
      <c r="T2" s="1622"/>
      <c r="U2" s="1622"/>
      <c r="V2" s="1622"/>
      <c r="W2" s="1622"/>
      <c r="X2" s="1625"/>
    </row>
    <row r="3" spans="1:37" ht="13.5" customHeight="1" thickBot="1" x14ac:dyDescent="0.3">
      <c r="N3" s="1626"/>
      <c r="O3" s="1626"/>
      <c r="P3" s="1626"/>
      <c r="Q3" s="1626"/>
      <c r="R3" s="1626"/>
      <c r="S3" s="1626"/>
      <c r="T3" s="1626"/>
      <c r="U3" s="1626"/>
      <c r="V3" s="1626"/>
      <c r="W3" s="1626"/>
      <c r="X3" s="1627"/>
    </row>
    <row r="4" spans="1:37" ht="28.5" customHeight="1" thickBot="1" x14ac:dyDescent="0.3">
      <c r="J4" s="1628" t="s">
        <v>1547</v>
      </c>
      <c r="K4" s="1629"/>
      <c r="L4" s="543" t="str">
        <f>+MID('Input data'!$B$11,1,1)</f>
        <v>3</v>
      </c>
      <c r="M4" s="543" t="str">
        <f>+MID('Input data'!$B$11,2,1)</f>
        <v>1</v>
      </c>
      <c r="N4" s="543" t="s">
        <v>1147</v>
      </c>
      <c r="O4" s="543" t="str">
        <f>LEFT('Input data'!B13,1)</f>
        <v>1</v>
      </c>
      <c r="P4" s="543" t="str">
        <f>RIGHT('Input data'!B13,1)</f>
        <v>2</v>
      </c>
      <c r="Q4" s="543" t="s">
        <v>1147</v>
      </c>
      <c r="R4" s="543" t="str">
        <f>+LEFT('Input data'!$B$14,1)</f>
        <v>2</v>
      </c>
      <c r="S4" s="543" t="str">
        <f>+MID('Input data'!$B$14,2,1)</f>
        <v>0</v>
      </c>
      <c r="T4" s="543" t="str">
        <f>+MID('Input data'!$B$14,3,1)</f>
        <v>1</v>
      </c>
      <c r="U4" s="543" t="str">
        <f>+MID('Input data'!$B$14,4,1)</f>
        <v>3</v>
      </c>
      <c r="V4" s="826"/>
      <c r="W4" s="541" t="s">
        <v>1548</v>
      </c>
      <c r="X4" s="541"/>
      <c r="Y4" s="541"/>
      <c r="Z4" s="541"/>
      <c r="AA4" s="540"/>
    </row>
    <row r="5" spans="1:37" ht="7.5" customHeight="1" thickBot="1" x14ac:dyDescent="0.3"/>
    <row r="6" spans="1:37" s="536" customFormat="1" ht="14.25" customHeight="1" x14ac:dyDescent="0.25">
      <c r="A6" s="539" t="s">
        <v>1549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7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7"/>
    </row>
    <row r="7" spans="1:37" s="440" customFormat="1" ht="15" customHeight="1" x14ac:dyDescent="0.25">
      <c r="A7" s="452" t="s">
        <v>1550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535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535"/>
    </row>
    <row r="8" spans="1:37" s="531" customFormat="1" ht="18" customHeight="1" thickBot="1" x14ac:dyDescent="0.3">
      <c r="A8" s="534" t="s">
        <v>1551</v>
      </c>
      <c r="B8" s="533"/>
      <c r="C8" s="533"/>
      <c r="D8" s="533"/>
      <c r="E8" s="534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2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532"/>
    </row>
    <row r="9" spans="1:37" s="511" customFormat="1" ht="3.75" customHeight="1" thickBot="1" x14ac:dyDescent="0.3">
      <c r="AF9" s="514"/>
      <c r="AG9" s="514"/>
    </row>
    <row r="10" spans="1:37" s="511" customFormat="1" ht="14.25" customHeight="1" x14ac:dyDescent="0.25">
      <c r="A10" s="513" t="s">
        <v>1552</v>
      </c>
      <c r="B10" s="512"/>
      <c r="C10" s="512"/>
      <c r="D10" s="512"/>
      <c r="E10" s="512"/>
      <c r="F10" s="512"/>
      <c r="G10" s="512"/>
      <c r="H10" s="512"/>
      <c r="I10" s="456"/>
      <c r="J10" s="455"/>
      <c r="K10" s="529" t="s">
        <v>1553</v>
      </c>
      <c r="L10" s="512"/>
      <c r="M10" s="530"/>
      <c r="N10" s="530"/>
      <c r="O10" s="530"/>
      <c r="P10" s="512"/>
      <c r="Q10" s="529" t="s">
        <v>1553</v>
      </c>
      <c r="R10" s="512"/>
      <c r="S10" s="456"/>
      <c r="T10" s="512"/>
      <c r="U10" s="512"/>
      <c r="V10" s="528"/>
      <c r="W10" s="512"/>
      <c r="X10" s="512"/>
      <c r="Y10" s="512"/>
      <c r="Z10" s="512"/>
      <c r="AA10" s="512"/>
      <c r="AB10" s="512"/>
      <c r="AC10" s="512"/>
      <c r="AD10" s="529" t="s">
        <v>1554</v>
      </c>
      <c r="AE10" s="529"/>
      <c r="AF10" s="529"/>
      <c r="AG10" s="529" t="s">
        <v>1555</v>
      </c>
      <c r="AH10" s="512"/>
      <c r="AI10" s="512"/>
      <c r="AJ10" s="512"/>
      <c r="AK10" s="528"/>
    </row>
    <row r="11" spans="1:37" s="511" customFormat="1" ht="19.5" customHeight="1" x14ac:dyDescent="0.2">
      <c r="A11" s="525" t="str">
        <f>LEFT('Input data'!C24,1)</f>
        <v>2</v>
      </c>
      <c r="B11" s="490" t="str">
        <f>MID('Input data'!$C$24,2,1)</f>
        <v>0</v>
      </c>
      <c r="C11" s="490" t="str">
        <f>MID('Input data'!$C$24,3,1)</f>
        <v>2</v>
      </c>
      <c r="D11" s="490" t="str">
        <f>MID('Input data'!$C$24,4,1)</f>
        <v>2</v>
      </c>
      <c r="E11" s="490" t="str">
        <f>MID('Input data'!$C$24,5,1)</f>
        <v>3</v>
      </c>
      <c r="F11" s="490" t="str">
        <f>MID('Input data'!$C$24,6,1)</f>
        <v>0</v>
      </c>
      <c r="G11" s="490" t="str">
        <f>MID('Input data'!$C$24,7,1)</f>
        <v>4</v>
      </c>
      <c r="H11" s="490" t="str">
        <f>MID('Input data'!$C$24,8,1)</f>
        <v>1</v>
      </c>
      <c r="I11" s="490" t="str">
        <f>MID('Input data'!$C$24,9,1)</f>
        <v>5</v>
      </c>
      <c r="J11" s="497" t="str">
        <f>MID('Input data'!$C$24,10,1)</f>
        <v>2</v>
      </c>
      <c r="K11" s="448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520"/>
      <c r="W11" s="519" t="s">
        <v>1556</v>
      </c>
      <c r="X11" s="514"/>
      <c r="Y11" s="514"/>
      <c r="Z11" s="514"/>
      <c r="AA11" s="514"/>
      <c r="AB11" s="519" t="s">
        <v>1557</v>
      </c>
      <c r="AC11" s="514"/>
      <c r="AD11" s="490" t="str">
        <f>MID('Input data'!$B$8,1,1)</f>
        <v>0</v>
      </c>
      <c r="AE11" s="490" t="str">
        <f>MID('Input data'!$B$8,2,1)</f>
        <v>1</v>
      </c>
      <c r="AF11" s="490"/>
      <c r="AG11" s="490" t="str">
        <f>MID('Input data'!$B$9,1,1)</f>
        <v>2</v>
      </c>
      <c r="AH11" s="490" t="str">
        <f>MID('Input data'!$B$9,2,1)</f>
        <v>0</v>
      </c>
      <c r="AI11" s="490" t="str">
        <f>MID('Input data'!$B$9,3,1)</f>
        <v>1</v>
      </c>
      <c r="AJ11" s="490" t="str">
        <f>MID('Input data'!$B$9,4,1)</f>
        <v>3</v>
      </c>
      <c r="AK11" s="520"/>
    </row>
    <row r="12" spans="1:37" s="511" customFormat="1" ht="19.5" customHeight="1" x14ac:dyDescent="0.25">
      <c r="A12" s="452" t="s">
        <v>1558</v>
      </c>
      <c r="B12" s="514"/>
      <c r="C12" s="514"/>
      <c r="D12" s="514"/>
      <c r="E12" s="514"/>
      <c r="F12" s="514"/>
      <c r="G12" s="514"/>
      <c r="H12" s="448"/>
      <c r="I12" s="448"/>
      <c r="J12" s="447"/>
      <c r="K12" s="448"/>
      <c r="L12" s="527" t="str">
        <f>IF('Input data'!D7="x","x"," ")</f>
        <v>x</v>
      </c>
      <c r="M12" s="519" t="s">
        <v>1559</v>
      </c>
      <c r="N12" s="521"/>
      <c r="O12" s="521"/>
      <c r="P12" s="521"/>
      <c r="Q12" s="521"/>
      <c r="R12" s="527" t="str">
        <f>IF('Input data'!D16="x","x"," ")</f>
        <v>x</v>
      </c>
      <c r="S12" s="519" t="s">
        <v>1560</v>
      </c>
      <c r="T12" s="514"/>
      <c r="U12" s="514"/>
      <c r="V12" s="520"/>
      <c r="W12" s="827"/>
      <c r="X12" s="828"/>
      <c r="Y12" s="828"/>
      <c r="Z12" s="828"/>
      <c r="AA12" s="828"/>
      <c r="AB12" s="829" t="s">
        <v>1561</v>
      </c>
      <c r="AC12" s="828"/>
      <c r="AD12" s="830" t="str">
        <f>MID('Input data'!$B$13,1,1)</f>
        <v>1</v>
      </c>
      <c r="AE12" s="830" t="str">
        <f>MID('Input data'!$B$13,2,1)</f>
        <v>2</v>
      </c>
      <c r="AF12" s="830"/>
      <c r="AG12" s="830" t="str">
        <f>MID('Input data'!$B$14,1,1)</f>
        <v>2</v>
      </c>
      <c r="AH12" s="830" t="str">
        <f>MID('Input data'!$B$14,2,1)</f>
        <v>0</v>
      </c>
      <c r="AI12" s="830" t="str">
        <f>MID('Input data'!$B$14,3,1)</f>
        <v>1</v>
      </c>
      <c r="AJ12" s="830" t="str">
        <f>MID('Input data'!$B$14,4,1)</f>
        <v>3</v>
      </c>
      <c r="AK12" s="831"/>
    </row>
    <row r="13" spans="1:37" s="511" customFormat="1" ht="19.5" customHeight="1" x14ac:dyDescent="0.2">
      <c r="A13" s="525" t="str">
        <f>LEFT('Input data'!C26,1)</f>
        <v>3</v>
      </c>
      <c r="B13" s="490" t="str">
        <f>MID('Input data'!$C$26,2,1)</f>
        <v>6</v>
      </c>
      <c r="C13" s="490" t="str">
        <f>MID('Input data'!$C$26,3,1)</f>
        <v>7</v>
      </c>
      <c r="D13" s="490" t="str">
        <f>MID('Input data'!$C$26,4,1)</f>
        <v>2</v>
      </c>
      <c r="E13" s="490" t="str">
        <f>MID('Input data'!$C$26,5,1)</f>
        <v>5</v>
      </c>
      <c r="F13" s="490" t="str">
        <f>MID('Input data'!$C$26,6,1)</f>
        <v>8</v>
      </c>
      <c r="G13" s="490" t="str">
        <f>MID('Input data'!$C$26,7,1)</f>
        <v>3</v>
      </c>
      <c r="H13" s="490" t="str">
        <f>MID('Input data'!$C$26,8,1)</f>
        <v>8</v>
      </c>
      <c r="I13" s="448"/>
      <c r="J13" s="447"/>
      <c r="K13" s="448"/>
      <c r="L13" s="523" t="str">
        <f>IF('Input data'!D8="x","x", "")</f>
        <v/>
      </c>
      <c r="M13" s="519" t="s">
        <v>1562</v>
      </c>
      <c r="N13" s="521"/>
      <c r="O13" s="521"/>
      <c r="P13" s="521"/>
      <c r="Q13" s="521"/>
      <c r="R13" s="524" t="str">
        <f>IF('Input data'!D17="x","x"," ")</f>
        <v xml:space="preserve"> </v>
      </c>
      <c r="S13" s="519" t="s">
        <v>1563</v>
      </c>
      <c r="T13" s="514"/>
      <c r="U13" s="514"/>
      <c r="V13" s="520"/>
      <c r="W13" s="1630" t="s">
        <v>1564</v>
      </c>
      <c r="X13" s="1631"/>
      <c r="Y13" s="1631"/>
      <c r="Z13" s="1631"/>
      <c r="AA13" s="1631"/>
      <c r="AB13" s="521"/>
      <c r="AC13" s="448"/>
      <c r="AD13" s="523"/>
      <c r="AE13" s="523"/>
      <c r="AF13" s="523"/>
      <c r="AG13" s="523"/>
      <c r="AH13" s="523"/>
      <c r="AI13" s="523"/>
      <c r="AJ13" s="523"/>
      <c r="AK13" s="447"/>
    </row>
    <row r="14" spans="1:37" s="511" customFormat="1" ht="19.5" customHeight="1" x14ac:dyDescent="0.2">
      <c r="A14" s="452" t="s">
        <v>1165</v>
      </c>
      <c r="B14" s="514"/>
      <c r="C14" s="514"/>
      <c r="D14" s="514"/>
      <c r="E14" s="514"/>
      <c r="F14" s="514"/>
      <c r="G14" s="514"/>
      <c r="H14" s="514"/>
      <c r="I14" s="448"/>
      <c r="J14" s="447"/>
      <c r="K14" s="448"/>
      <c r="L14" s="448"/>
      <c r="M14" s="519"/>
      <c r="N14" s="521"/>
      <c r="O14" s="521"/>
      <c r="P14" s="521"/>
      <c r="Q14" s="521"/>
      <c r="R14" s="522" t="s">
        <v>1565</v>
      </c>
      <c r="S14" s="521"/>
      <c r="T14" s="514"/>
      <c r="U14" s="514"/>
      <c r="V14" s="520"/>
      <c r="W14" s="1632"/>
      <c r="X14" s="1633"/>
      <c r="Y14" s="1633"/>
      <c r="Z14" s="1633"/>
      <c r="AA14" s="1633"/>
      <c r="AB14" s="519" t="s">
        <v>1557</v>
      </c>
      <c r="AC14" s="448"/>
      <c r="AD14" s="490" t="str">
        <f>MID('Input data'!$B$18,1,1)</f>
        <v>0</v>
      </c>
      <c r="AE14" s="490" t="str">
        <f>MID('Input data'!$B$18,2,1)</f>
        <v>1</v>
      </c>
      <c r="AF14" s="490"/>
      <c r="AG14" s="490" t="str">
        <f>MID('Input data'!$B$19,1,1)</f>
        <v>2</v>
      </c>
      <c r="AH14" s="490" t="str">
        <f>MID('Input data'!$B$19,2,1)</f>
        <v>0</v>
      </c>
      <c r="AI14" s="490" t="str">
        <f>MID('Input data'!$B$19,3,1)</f>
        <v>1</v>
      </c>
      <c r="AJ14" s="490" t="str">
        <f>MID('Input data'!$B$19,4,1)</f>
        <v>2</v>
      </c>
      <c r="AK14" s="447"/>
    </row>
    <row r="15" spans="1:37" s="511" customFormat="1" ht="19.5" customHeight="1" thickBot="1" x14ac:dyDescent="0.25">
      <c r="A15" s="518" t="str">
        <f>'BS-SK Cover sheet'!A15</f>
        <v>7</v>
      </c>
      <c r="B15" s="443" t="str">
        <f>'BS-SK Cover sheet'!B15</f>
        <v>3</v>
      </c>
      <c r="C15" s="516" t="s">
        <v>1147</v>
      </c>
      <c r="D15" s="443">
        <f>'BS-SK Cover sheet'!D15</f>
        <v>1</v>
      </c>
      <c r="E15" s="443" t="str">
        <f>'BS-SK Cover sheet'!E15</f>
        <v>1</v>
      </c>
      <c r="F15" s="516" t="s">
        <v>1147</v>
      </c>
      <c r="G15" s="443">
        <f>'BS-SK Cover sheet'!G15</f>
        <v>0</v>
      </c>
      <c r="H15" s="443"/>
      <c r="I15" s="443"/>
      <c r="J15" s="442"/>
      <c r="K15" s="443"/>
      <c r="L15" s="443"/>
      <c r="M15" s="443"/>
      <c r="N15" s="443"/>
      <c r="O15" s="443"/>
      <c r="P15" s="443"/>
      <c r="Q15" s="443"/>
      <c r="R15" s="443"/>
      <c r="S15" s="443"/>
      <c r="T15" s="516"/>
      <c r="U15" s="516"/>
      <c r="V15" s="517"/>
      <c r="W15" s="1634"/>
      <c r="X15" s="1635"/>
      <c r="Y15" s="1635"/>
      <c r="Z15" s="1635"/>
      <c r="AA15" s="1635"/>
      <c r="AB15" s="515" t="s">
        <v>1561</v>
      </c>
      <c r="AC15" s="443"/>
      <c r="AD15" s="488" t="str">
        <f>MID('Input data'!$B$21,1,1)</f>
        <v>1</v>
      </c>
      <c r="AE15" s="488" t="str">
        <f>MID('Input data'!$B$21,2,1)</f>
        <v>2</v>
      </c>
      <c r="AF15" s="488"/>
      <c r="AG15" s="488" t="str">
        <f>MID('Input data'!$B$22,1,1)</f>
        <v>2</v>
      </c>
      <c r="AH15" s="488" t="str">
        <f>MID('Input data'!$B$22,2,1)</f>
        <v>0</v>
      </c>
      <c r="AI15" s="488" t="str">
        <f>MID('Input data'!$B$22,3,1)</f>
        <v>1</v>
      </c>
      <c r="AJ15" s="488" t="str">
        <f>MID('Input data'!$B$22,4,1)</f>
        <v>2</v>
      </c>
      <c r="AK15" s="442"/>
    </row>
    <row r="16" spans="1:37" s="511" customFormat="1" ht="4.5" customHeight="1" x14ac:dyDescent="0.25">
      <c r="A16" s="514"/>
      <c r="B16" s="514"/>
      <c r="C16" s="514"/>
      <c r="D16" s="514"/>
      <c r="E16" s="514"/>
      <c r="F16" s="514"/>
      <c r="G16" s="514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514"/>
      <c r="U16" s="514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</row>
    <row r="17" spans="1:50" s="511" customFormat="1" ht="3" customHeight="1" thickBot="1" x14ac:dyDescent="0.3"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1:50" s="511" customFormat="1" ht="16.5" x14ac:dyDescent="0.25">
      <c r="A18" s="513" t="s">
        <v>1566</v>
      </c>
      <c r="B18" s="512"/>
      <c r="C18" s="512"/>
      <c r="D18" s="512"/>
      <c r="E18" s="512"/>
      <c r="F18" s="512"/>
      <c r="G18" s="512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6"/>
      <c r="T18" s="512"/>
      <c r="U18" s="512"/>
      <c r="V18" s="512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5"/>
    </row>
    <row r="19" spans="1:50" s="441" customFormat="1" ht="19.5" customHeight="1" x14ac:dyDescent="0.25">
      <c r="A19" s="498" t="str">
        <f>+LEFT('Input data'!$F$3,1)</f>
        <v>A</v>
      </c>
      <c r="B19" s="490" t="str">
        <f>+MID('Input data'!$F$3,2,1)</f>
        <v>e</v>
      </c>
      <c r="C19" s="490" t="str">
        <f>+MID('Input data'!$F$3,3,1)</f>
        <v>g</v>
      </c>
      <c r="D19" s="490" t="str">
        <f>+MID('Input data'!$F$3,4,1)</f>
        <v>i</v>
      </c>
      <c r="E19" s="490" t="str">
        <f>+MID('Input data'!$F$3,5,1)</f>
        <v>s</v>
      </c>
      <c r="F19" s="490" t="str">
        <f>+MID('Input data'!$F$3,6,1)</f>
        <v xml:space="preserve"> </v>
      </c>
      <c r="G19" s="490" t="str">
        <f>+MID('Input data'!$F$3,7,1)</f>
        <v>M</v>
      </c>
      <c r="H19" s="490" t="str">
        <f>+MID('Input data'!$F$3,8,1)</f>
        <v>e</v>
      </c>
      <c r="I19" s="490" t="str">
        <f>+MID('Input data'!$F$3,9,1)</f>
        <v>d</v>
      </c>
      <c r="J19" s="490" t="str">
        <f>+MID('Input data'!$F$3,10,1)</f>
        <v>i</v>
      </c>
      <c r="K19" s="490" t="str">
        <f>+MID('Input data'!$F$3,11,1)</f>
        <v>a</v>
      </c>
      <c r="L19" s="490" t="str">
        <f>+MID('Input data'!$F$3,12,1)</f>
        <v xml:space="preserve"> </v>
      </c>
      <c r="M19" s="490" t="str">
        <f>+MID('Input data'!$F$3,13,1)</f>
        <v>S</v>
      </c>
      <c r="N19" s="490" t="str">
        <f>+MID('Input data'!$F$3,14,1)</f>
        <v>l</v>
      </c>
      <c r="O19" s="490" t="str">
        <f>+MID('Input data'!$F$3,15,1)</f>
        <v>o</v>
      </c>
      <c r="P19" s="490" t="str">
        <f>+MID('Input data'!$F$3,16,1)</f>
        <v>v</v>
      </c>
      <c r="Q19" s="490" t="str">
        <f>+MID('Input data'!$F$3,17,1)</f>
        <v>a</v>
      </c>
      <c r="R19" s="490" t="str">
        <f>+MID('Input data'!$F$3,18,1)</f>
        <v>k</v>
      </c>
      <c r="S19" s="490" t="str">
        <f>+MID('Input data'!$F$3,19,1)</f>
        <v>i</v>
      </c>
      <c r="T19" s="490" t="str">
        <f>+MID('Input data'!$F$3,20,1)</f>
        <v>a</v>
      </c>
      <c r="U19" s="490" t="str">
        <f>+MID('Input data'!$F$3,21,1)</f>
        <v xml:space="preserve"> </v>
      </c>
      <c r="V19" s="490" t="str">
        <f>+MID('Input data'!$F$3,22,1)</f>
        <v>C</v>
      </c>
      <c r="W19" s="490" t="str">
        <f>+MID('Input data'!$F$3,23,1)</f>
        <v>e</v>
      </c>
      <c r="X19" s="490" t="str">
        <f>+MID('Input data'!$F$3,24,1)</f>
        <v>n</v>
      </c>
      <c r="Y19" s="490" t="str">
        <f>+MID('Input data'!$F$3,25,1)</f>
        <v>t</v>
      </c>
      <c r="Z19" s="490" t="str">
        <f>+MID('Input data'!$F$3,26,1)</f>
        <v>r</v>
      </c>
      <c r="AA19" s="490" t="str">
        <f>+MID('Input data'!$F$3,27,1)</f>
        <v>a</v>
      </c>
      <c r="AB19" s="490" t="str">
        <f>+MID('Input data'!$F$3,28,1)</f>
        <v>l</v>
      </c>
      <c r="AC19" s="490" t="str">
        <f>+MID('Input data'!$F$3,29,1)</f>
        <v xml:space="preserve"> </v>
      </c>
      <c r="AD19" s="490" t="str">
        <f>+MID('Input data'!$F$3,30,1)</f>
        <v>S</v>
      </c>
      <c r="AE19" s="490" t="str">
        <f>+MID('Input data'!$F$3,31,1)</f>
        <v>e</v>
      </c>
      <c r="AF19" s="490" t="str">
        <f>+MID('Input data'!$F$3,32,1)</f>
        <v>r</v>
      </c>
      <c r="AG19" s="490" t="str">
        <f>+MID('Input data'!$F$3,33,1)</f>
        <v>v</v>
      </c>
      <c r="AH19" s="490" t="str">
        <f>+MID('Input data'!$E$3,34,1)</f>
        <v/>
      </c>
      <c r="AI19" s="490" t="str">
        <f>+MID('Input data'!$E$3,35,1)</f>
        <v/>
      </c>
      <c r="AJ19" s="490" t="str">
        <f>+MID('Input data'!$E$3,36,1)</f>
        <v/>
      </c>
      <c r="AK19" s="497" t="str">
        <f>+MID('Input data'!$E$3,37,1)</f>
        <v/>
      </c>
      <c r="AL19" s="511"/>
      <c r="AM19" s="511"/>
      <c r="AN19" s="511"/>
    </row>
    <row r="20" spans="1:50" s="581" customFormat="1" ht="19.5" customHeight="1" x14ac:dyDescent="0.25">
      <c r="A20" s="832" t="str">
        <f>+MID('Input data'!$E$3,38,1)</f>
        <v/>
      </c>
      <c r="B20" s="523" t="str">
        <f>+MID('Input data'!$E$3,39,1)</f>
        <v/>
      </c>
      <c r="C20" s="523" t="str">
        <f>+MID('Input data'!$E$3,40,1)</f>
        <v/>
      </c>
      <c r="D20" s="523" t="str">
        <f>+MID('Input data'!$E$3,41,1)</f>
        <v/>
      </c>
      <c r="E20" s="523" t="str">
        <f>+MID('Input data'!$E$3,42,1)</f>
        <v/>
      </c>
      <c r="F20" s="523" t="str">
        <f>+MID('Input data'!$E$3,43,1)</f>
        <v/>
      </c>
      <c r="G20" s="523" t="str">
        <f>+MID('Input data'!$E$3,44,1)</f>
        <v/>
      </c>
      <c r="H20" s="523" t="str">
        <f>+MID('Input data'!$E$3,45,1)</f>
        <v/>
      </c>
      <c r="I20" s="523" t="str">
        <f>+MID('Input data'!$E$3,46,1)</f>
        <v/>
      </c>
      <c r="J20" s="523" t="str">
        <f>+MID('Input data'!$E$3,47,1)</f>
        <v/>
      </c>
      <c r="K20" s="523" t="str">
        <f>+MID('Input data'!$E$3,48,1)</f>
        <v/>
      </c>
      <c r="L20" s="523" t="str">
        <f>+MID('Input data'!$E$3,49,1)</f>
        <v/>
      </c>
      <c r="M20" s="523" t="str">
        <f>+MID('Input data'!$E$3,50,1)</f>
        <v/>
      </c>
      <c r="N20" s="523" t="str">
        <f>+MID('Input data'!$E$3,51,1)</f>
        <v/>
      </c>
      <c r="O20" s="523" t="str">
        <f>+MID('Input data'!$E$3,52,1)</f>
        <v/>
      </c>
      <c r="P20" s="523" t="str">
        <f>+MID('Input data'!$E$3,53,1)</f>
        <v/>
      </c>
      <c r="Q20" s="523" t="str">
        <f>+MID('Input data'!$E$3,54,1)</f>
        <v/>
      </c>
      <c r="R20" s="523" t="str">
        <f>+MID('Input data'!$E$3,55,1)</f>
        <v/>
      </c>
      <c r="S20" s="523" t="str">
        <f>+MID('Input data'!$E$3,56,1)</f>
        <v/>
      </c>
      <c r="T20" s="523" t="str">
        <f>+MID('Input data'!$E$3,57,1)</f>
        <v/>
      </c>
      <c r="U20" s="523" t="str">
        <f>+MID('Input data'!$E$3,58,1)</f>
        <v/>
      </c>
      <c r="V20" s="523" t="str">
        <f>+MID('Input data'!$E$3,59,1)</f>
        <v/>
      </c>
      <c r="W20" s="523" t="str">
        <f>+MID('Input data'!$E$3,60,1)</f>
        <v/>
      </c>
      <c r="X20" s="523" t="str">
        <f>+MID('Input data'!$E$3,61,1)</f>
        <v/>
      </c>
      <c r="Y20" s="523" t="str">
        <f>+MID('Input data'!$E$3,62,1)</f>
        <v/>
      </c>
      <c r="Z20" s="523" t="str">
        <f>+MID('Input data'!$E$3,63,1)</f>
        <v/>
      </c>
      <c r="AA20" s="523" t="str">
        <f>+MID('Input data'!$E$3,64,1)</f>
        <v/>
      </c>
      <c r="AB20" s="523" t="str">
        <f>+MID('Input data'!$E$3,65,1)</f>
        <v/>
      </c>
      <c r="AC20" s="523" t="str">
        <f>+MID('Input data'!$E$3,66,1)</f>
        <v/>
      </c>
      <c r="AD20" s="523" t="str">
        <f>+MID('Input data'!$E$3,67,1)</f>
        <v/>
      </c>
      <c r="AE20" s="523" t="str">
        <f>+MID('Input data'!$E$3,68,1)</f>
        <v/>
      </c>
      <c r="AF20" s="523" t="str">
        <f>+MID('Input data'!$E$3,69,1)</f>
        <v/>
      </c>
      <c r="AG20" s="523" t="str">
        <f>+MID('Input data'!$E$3,70,1)</f>
        <v/>
      </c>
      <c r="AH20" s="523" t="str">
        <f>+MID('Input data'!$E$3,71,1)</f>
        <v/>
      </c>
      <c r="AI20" s="523" t="str">
        <f>+MID('Input data'!$E$3,72,1)</f>
        <v/>
      </c>
      <c r="AJ20" s="523" t="str">
        <f>+MID('Input data'!$E$3,73,1)</f>
        <v/>
      </c>
      <c r="AK20" s="833" t="str">
        <f>+MID('Input data'!$E$3,74,1)</f>
        <v/>
      </c>
      <c r="AL20" s="439"/>
      <c r="AM20" s="439"/>
      <c r="AN20" s="439"/>
    </row>
    <row r="21" spans="1:50" s="499" customFormat="1" ht="14.25" customHeight="1" x14ac:dyDescent="0.25">
      <c r="A21" s="503" t="s">
        <v>1567</v>
      </c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2"/>
      <c r="R21" s="502"/>
      <c r="S21" s="502"/>
      <c r="T21" s="502"/>
      <c r="U21" s="502"/>
      <c r="V21" s="502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0"/>
    </row>
    <row r="22" spans="1:50" x14ac:dyDescent="0.25">
      <c r="A22" s="495" t="s">
        <v>1568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48"/>
      <c r="X22" s="448"/>
      <c r="Y22" s="448"/>
      <c r="Z22" s="448"/>
      <c r="AA22" s="448"/>
      <c r="AB22" s="453"/>
      <c r="AC22" s="448"/>
      <c r="AD22" s="451" t="s">
        <v>1569</v>
      </c>
      <c r="AE22" s="448"/>
      <c r="AF22" s="448"/>
      <c r="AG22" s="448"/>
      <c r="AH22" s="448"/>
      <c r="AI22" s="448"/>
      <c r="AJ22" s="448"/>
      <c r="AK22" s="447"/>
    </row>
    <row r="23" spans="1:50" s="580" customFormat="1" ht="19.5" customHeight="1" x14ac:dyDescent="0.25">
      <c r="A23" s="498" t="str">
        <f>+LEFT('Input data'!$C$28,1)</f>
        <v>T</v>
      </c>
      <c r="B23" s="490" t="str">
        <f>+MID('Input data'!$C$28,2,1)</f>
        <v>e</v>
      </c>
      <c r="C23" s="490" t="str">
        <f>+MID('Input data'!$C$28,3,1)</f>
        <v>s</v>
      </c>
      <c r="D23" s="490" t="str">
        <f>+MID('Input data'!$C$28,4,1)</f>
        <v>l</v>
      </c>
      <c r="E23" s="490" t="str">
        <f>+MID('Input data'!$C$28,5,1)</f>
        <v>o</v>
      </c>
      <c r="F23" s="490" t="str">
        <f>+MID('Input data'!$C$28,6,1)</f>
        <v>v</v>
      </c>
      <c r="G23" s="490" t="str">
        <f>+MID('Input data'!$C$28,7,1)</f>
        <v>a</v>
      </c>
      <c r="H23" s="490" t="str">
        <f>+MID('Input data'!$C$28,8,1)</f>
        <v/>
      </c>
      <c r="I23" s="490" t="str">
        <f>+MID('Input data'!$C$28,9,1)</f>
        <v/>
      </c>
      <c r="J23" s="490" t="str">
        <f>+MID('Input data'!$C$28,10,1)</f>
        <v/>
      </c>
      <c r="K23" s="490" t="str">
        <f>+MID('Input data'!$C$28,11,1)</f>
        <v/>
      </c>
      <c r="L23" s="490" t="str">
        <f>+MID('Input data'!$C$28,12,1)</f>
        <v/>
      </c>
      <c r="M23" s="490" t="str">
        <f>+MID('Input data'!$C$28,13,1)</f>
        <v/>
      </c>
      <c r="N23" s="490" t="str">
        <f>+MID('Input data'!$C$28,14,1)</f>
        <v/>
      </c>
      <c r="O23" s="490" t="str">
        <f>+MID('Input data'!$C$28,15,1)</f>
        <v/>
      </c>
      <c r="P23" s="490" t="str">
        <f>+MID('Input data'!$C$28,16,1)</f>
        <v/>
      </c>
      <c r="Q23" s="490" t="str">
        <f>+MID('Input data'!$C$28,17,1)</f>
        <v/>
      </c>
      <c r="R23" s="490" t="str">
        <f>+MID('Input data'!$C$28,18,1)</f>
        <v/>
      </c>
      <c r="S23" s="490" t="str">
        <f>+MID('Input data'!$C$28,19,1)</f>
        <v/>
      </c>
      <c r="T23" s="490" t="str">
        <f>+MID('Input data'!$C$28,20,1)</f>
        <v/>
      </c>
      <c r="U23" s="490" t="str">
        <f>+MID('Input data'!$C$28,21,1)</f>
        <v/>
      </c>
      <c r="V23" s="490" t="str">
        <f>+MID('Input data'!$C$28,22,1)</f>
        <v/>
      </c>
      <c r="W23" s="490" t="str">
        <f>+MID('Input data'!$C$28,23,1)</f>
        <v/>
      </c>
      <c r="X23" s="490" t="str">
        <f>+MID('Input data'!$C$28,24,1)</f>
        <v/>
      </c>
      <c r="Y23" s="490" t="str">
        <f>+MID('Input data'!$C$28,25,1)</f>
        <v/>
      </c>
      <c r="Z23" s="490" t="str">
        <f>+MID('Input data'!$C$28,26,1)</f>
        <v/>
      </c>
      <c r="AA23" s="490" t="str">
        <f>+MID('Input data'!$C$28,27,1)</f>
        <v/>
      </c>
      <c r="AB23" s="490" t="str">
        <f>+MID('Input data'!$C$28,28,1)</f>
        <v/>
      </c>
      <c r="AC23" s="492"/>
      <c r="AD23" s="490" t="str">
        <f>+LEFT('Input data'!$C$30,1)</f>
        <v>2</v>
      </c>
      <c r="AE23" s="490" t="str">
        <f>+MID('Input data'!$C$30,2,1)</f>
        <v>0</v>
      </c>
      <c r="AF23" s="490" t="str">
        <f>+MID('Input data'!$C$30,3,1)</f>
        <v/>
      </c>
      <c r="AG23" s="490" t="str">
        <f>+MID('Input data'!$C$30,4,1)</f>
        <v/>
      </c>
      <c r="AH23" s="490" t="str">
        <f>+MID('Input data'!$C$30,5,1)</f>
        <v/>
      </c>
      <c r="AI23" s="490" t="str">
        <f>+MID('Input data'!$C$30,6,1)</f>
        <v/>
      </c>
      <c r="AJ23" s="490" t="str">
        <f>+MID('Input data'!$C$30,7,1)</f>
        <v/>
      </c>
      <c r="AK23" s="497" t="str">
        <f>+MID('Input data'!$C$30,8,1)</f>
        <v/>
      </c>
    </row>
    <row r="24" spans="1:50" x14ac:dyDescent="0.25">
      <c r="A24" s="495" t="s">
        <v>1570</v>
      </c>
      <c r="B24" s="453"/>
      <c r="C24" s="453"/>
      <c r="D24" s="453"/>
      <c r="E24" s="453"/>
      <c r="F24" s="453"/>
      <c r="G24" s="494" t="s">
        <v>1571</v>
      </c>
      <c r="H24" s="494"/>
      <c r="I24" s="494"/>
      <c r="J24" s="494"/>
      <c r="K24" s="494"/>
      <c r="L24" s="494"/>
      <c r="M24" s="494"/>
      <c r="N24" s="494"/>
      <c r="O24" s="494"/>
      <c r="P24" s="494"/>
      <c r="Q24" s="494"/>
      <c r="R24" s="494"/>
      <c r="S24" s="494"/>
      <c r="T24" s="494"/>
      <c r="U24" s="494"/>
      <c r="V24" s="494"/>
      <c r="W24" s="494"/>
      <c r="X24" s="494"/>
      <c r="Y24" s="494"/>
      <c r="Z24" s="494"/>
      <c r="AA24" s="494"/>
      <c r="AB24" s="494"/>
      <c r="AC24" s="494"/>
      <c r="AD24" s="494"/>
      <c r="AE24" s="448"/>
      <c r="AF24" s="448"/>
      <c r="AG24" s="448"/>
      <c r="AH24" s="448"/>
      <c r="AI24" s="448"/>
      <c r="AJ24" s="448"/>
      <c r="AK24" s="447"/>
    </row>
    <row r="25" spans="1:50" s="580" customFormat="1" ht="19.5" customHeight="1" x14ac:dyDescent="0.25">
      <c r="A25" s="498" t="str">
        <f>+LEFT('Input data'!$C$32,1)</f>
        <v>8</v>
      </c>
      <c r="B25" s="490" t="str">
        <f>+MID('Input data'!$C$32,2,1)</f>
        <v>2</v>
      </c>
      <c r="C25" s="490" t="str">
        <f>+MID('Input data'!$C$32,3,1)</f>
        <v>0</v>
      </c>
      <c r="D25" s="490" t="str">
        <f>+MID('Input data'!$C$32,4,1)</f>
        <v>0</v>
      </c>
      <c r="E25" s="490" t="str">
        <f>+MID('Input data'!$C$32,5,1)</f>
        <v>5</v>
      </c>
      <c r="F25" s="490"/>
      <c r="G25" s="490" t="str">
        <f>+LEFT('Input data'!$C$34,1)</f>
        <v>B</v>
      </c>
      <c r="H25" s="490" t="str">
        <f>+MID('Input data'!$C$34,2,1)</f>
        <v>r</v>
      </c>
      <c r="I25" s="490" t="str">
        <f>+MID('Input data'!$C$34,3,1)</f>
        <v>a</v>
      </c>
      <c r="J25" s="490" t="str">
        <f>+MID('Input data'!$C$34,4,1)</f>
        <v>t</v>
      </c>
      <c r="K25" s="490" t="str">
        <f>+MID('Input data'!$C$34,5,1)</f>
        <v>i</v>
      </c>
      <c r="L25" s="490" t="str">
        <f>+MID('Input data'!$C$34,6,1)</f>
        <v>s</v>
      </c>
      <c r="M25" s="490" t="str">
        <f>+MID('Input data'!$C$34,7,1)</f>
        <v>l</v>
      </c>
      <c r="N25" s="490" t="str">
        <f>+MID('Input data'!$C$34,8,1)</f>
        <v>a</v>
      </c>
      <c r="O25" s="490" t="str">
        <f>+MID('Input data'!$C$34,9,1)</f>
        <v>v</v>
      </c>
      <c r="P25" s="490" t="str">
        <f>+MID('Input data'!$C$34,10,1)</f>
        <v>a</v>
      </c>
      <c r="Q25" s="490" t="str">
        <f>+MID('Input data'!$C$34,11,1)</f>
        <v/>
      </c>
      <c r="R25" s="490" t="str">
        <f>+MID('Input data'!$C$34,12,1)</f>
        <v/>
      </c>
      <c r="S25" s="490" t="str">
        <f>+MID('Input data'!$C$34,13,1)</f>
        <v/>
      </c>
      <c r="T25" s="490" t="str">
        <f>+MID('Input data'!$C$34,14,1)</f>
        <v/>
      </c>
      <c r="U25" s="490" t="str">
        <f>+MID('Input data'!$C$34,15,1)</f>
        <v/>
      </c>
      <c r="V25" s="490" t="str">
        <f>+MID('Input data'!$C$34,16,1)</f>
        <v/>
      </c>
      <c r="W25" s="490" t="str">
        <f>+MID('Input data'!$C$34,17,1)</f>
        <v/>
      </c>
      <c r="X25" s="490" t="str">
        <f>+MID('Input data'!$C$34,18,1)</f>
        <v/>
      </c>
      <c r="Y25" s="490" t="str">
        <f>+MID('Input data'!$C$34,19,1)</f>
        <v/>
      </c>
      <c r="Z25" s="490" t="str">
        <f>+MID('Input data'!$C$34,20,1)</f>
        <v/>
      </c>
      <c r="AA25" s="490" t="str">
        <f>+MID('Input data'!$C$34,21,1)</f>
        <v/>
      </c>
      <c r="AB25" s="490" t="str">
        <f>+MID('Input data'!$C$34,22,1)</f>
        <v/>
      </c>
      <c r="AC25" s="490" t="str">
        <f>+MID('Input data'!$C$34,23,1)</f>
        <v/>
      </c>
      <c r="AD25" s="490" t="str">
        <f>+MID('Input data'!$C$34,24,1)</f>
        <v/>
      </c>
      <c r="AE25" s="490" t="str">
        <f>+MID('Input data'!$C$34,25,1)</f>
        <v/>
      </c>
      <c r="AF25" s="490" t="str">
        <f>+MID('Input data'!$C$34,26,1)</f>
        <v/>
      </c>
      <c r="AG25" s="490" t="str">
        <f>+MID('Input data'!$C$34,27,1)</f>
        <v/>
      </c>
      <c r="AH25" s="490" t="str">
        <f>+MID('Input data'!$C$34,28,1)</f>
        <v/>
      </c>
      <c r="AI25" s="490" t="str">
        <f>+MID('Input data'!$C$34,29,1)</f>
        <v/>
      </c>
      <c r="AJ25" s="490" t="str">
        <f>+MID('Input data'!$C$34,30,1)</f>
        <v/>
      </c>
      <c r="AK25" s="497" t="str">
        <f>+MID('Input data'!$C$34,31,1)</f>
        <v/>
      </c>
    </row>
    <row r="26" spans="1:50" x14ac:dyDescent="0.25">
      <c r="A26" s="495" t="s">
        <v>1572</v>
      </c>
      <c r="B26" s="453"/>
      <c r="C26" s="453"/>
      <c r="D26" s="453"/>
      <c r="E26" s="453"/>
      <c r="F26" s="453"/>
      <c r="G26" s="494"/>
      <c r="H26" s="494"/>
      <c r="I26" s="494"/>
      <c r="J26" s="494"/>
      <c r="K26" s="494"/>
      <c r="L26" s="494"/>
      <c r="M26" s="494"/>
      <c r="N26" s="453"/>
      <c r="O26" s="494" t="s">
        <v>1573</v>
      </c>
      <c r="P26" s="494"/>
      <c r="Q26" s="494"/>
      <c r="R26" s="494"/>
      <c r="S26" s="494"/>
      <c r="T26" s="494"/>
      <c r="U26" s="494"/>
      <c r="V26" s="494"/>
      <c r="W26" s="494"/>
      <c r="X26" s="494"/>
      <c r="Y26" s="494"/>
      <c r="Z26" s="494"/>
      <c r="AA26" s="494"/>
      <c r="AB26" s="494"/>
      <c r="AC26" s="494"/>
      <c r="AD26" s="494"/>
      <c r="AE26" s="448"/>
      <c r="AF26" s="448"/>
      <c r="AG26" s="448"/>
      <c r="AH26" s="448"/>
      <c r="AI26" s="448"/>
      <c r="AJ26" s="448"/>
      <c r="AK26" s="447"/>
    </row>
    <row r="27" spans="1:50" s="580" customFormat="1" ht="19.5" customHeight="1" x14ac:dyDescent="0.25">
      <c r="A27" s="493">
        <v>0</v>
      </c>
      <c r="B27" s="490" t="str">
        <f>+LEFT('Input data'!$C$36,1)</f>
        <v>2</v>
      </c>
      <c r="C27" s="490" t="str">
        <f>+MID('Input data'!$C$36,2,1)</f>
        <v/>
      </c>
      <c r="D27" s="490" t="str">
        <f>+MID('Input data'!$C$36,3,1)</f>
        <v/>
      </c>
      <c r="E27" s="490" t="s">
        <v>1176</v>
      </c>
      <c r="F27" s="490" t="str">
        <f>+LEFT('Input data'!$C$38,1)</f>
        <v>4</v>
      </c>
      <c r="G27" s="490" t="str">
        <f>+MID('Input data'!$C$38,2,1)</f>
        <v>9</v>
      </c>
      <c r="H27" s="490" t="str">
        <f>+MID('Input data'!$C$38,3,1)</f>
        <v>3</v>
      </c>
      <c r="I27" s="490" t="str">
        <f>+MID('Input data'!$C$38,4,1)</f>
        <v>0</v>
      </c>
      <c r="J27" s="490" t="str">
        <f>+MID('Input data'!$C$38,5,1)</f>
        <v>0</v>
      </c>
      <c r="K27" s="490" t="str">
        <f>+MID('Input data'!$C$38,6,1)</f>
        <v>5</v>
      </c>
      <c r="L27" s="490" t="str">
        <f>+MID('Input data'!$C$38,7,1)</f>
        <v>1</v>
      </c>
      <c r="M27" s="490" t="str">
        <f>+MID('Input data'!$C$38,8,1)</f>
        <v>3</v>
      </c>
      <c r="N27" s="492"/>
      <c r="O27" s="491">
        <v>0</v>
      </c>
      <c r="P27" s="490" t="str">
        <f>+LEFT('Input data'!$C$36,1)</f>
        <v>2</v>
      </c>
      <c r="Q27" s="490" t="str">
        <f>+MID('Input data'!$C$36,2,1)</f>
        <v/>
      </c>
      <c r="R27" s="490" t="str">
        <f>+MID('Input data'!$C$36,3,1)</f>
        <v/>
      </c>
      <c r="S27" s="490" t="s">
        <v>1176</v>
      </c>
      <c r="T27" s="490" t="str">
        <f>+LEFT('Input data'!$C$40,1)</f>
        <v>4</v>
      </c>
      <c r="U27" s="490" t="str">
        <f>+MID('Input data'!$C$40,2,1)</f>
        <v>9</v>
      </c>
      <c r="V27" s="490" t="str">
        <f>+MID('Input data'!$C$40,3,1)</f>
        <v>3</v>
      </c>
      <c r="W27" s="490" t="str">
        <f>+MID('Input data'!$C$40,4,1)</f>
        <v>0</v>
      </c>
      <c r="X27" s="490" t="str">
        <f>+MID('Input data'!$C$40,5,1)</f>
        <v>0</v>
      </c>
      <c r="Y27" s="490" t="str">
        <f>+MID('Input data'!$C$40,6,1)</f>
        <v>5</v>
      </c>
      <c r="Z27" s="490" t="str">
        <f>+MID('Input data'!$C$40,7,1)</f>
        <v>5</v>
      </c>
      <c r="AA27" s="490" t="str">
        <f>+MID('Input data'!$C$40,8,1)</f>
        <v>0</v>
      </c>
      <c r="AB27" s="490"/>
      <c r="AC27" s="490"/>
      <c r="AD27" s="490"/>
      <c r="AE27" s="448"/>
      <c r="AF27" s="448"/>
      <c r="AG27" s="448"/>
      <c r="AH27" s="448"/>
      <c r="AI27" s="448"/>
      <c r="AJ27" s="448"/>
      <c r="AK27" s="447"/>
    </row>
    <row r="28" spans="1:50" s="440" customFormat="1" x14ac:dyDescent="0.25">
      <c r="A28" s="452" t="s">
        <v>1574</v>
      </c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7"/>
    </row>
    <row r="29" spans="1:50" s="580" customFormat="1" ht="19.5" customHeight="1" thickBot="1" x14ac:dyDescent="0.3">
      <c r="A29" s="489" t="str">
        <f>+LEFT('Input data'!$B$42,1)</f>
        <v/>
      </c>
      <c r="B29" s="488" t="str">
        <f>+MID('Input data'!$B$42,2,1)</f>
        <v/>
      </c>
      <c r="C29" s="488" t="str">
        <f>+MID('Input data'!$B$42,3,1)</f>
        <v/>
      </c>
      <c r="D29" s="488" t="str">
        <f>+MID('Input data'!$B$42,4,1)</f>
        <v/>
      </c>
      <c r="E29" s="488" t="str">
        <f>+MID('Input data'!$B$42,5,1)</f>
        <v/>
      </c>
      <c r="F29" s="488" t="str">
        <f>+MID('Input data'!$B$42,6,1)</f>
        <v/>
      </c>
      <c r="G29" s="488" t="str">
        <f>+MID('Input data'!$B$42,7,1)</f>
        <v/>
      </c>
      <c r="H29" s="488" t="str">
        <f>+MID('Input data'!$B$42,8,1)</f>
        <v/>
      </c>
      <c r="I29" s="488" t="str">
        <f>+MID('Input data'!$B$42,9,1)</f>
        <v/>
      </c>
      <c r="J29" s="488" t="str">
        <f>+MID('Input data'!$B$42,10,1)</f>
        <v/>
      </c>
      <c r="K29" s="488" t="str">
        <f>+MID('Input data'!$B$42,11,1)</f>
        <v/>
      </c>
      <c r="L29" s="488" t="str">
        <f>+MID('Input data'!$B$42,12,1)</f>
        <v/>
      </c>
      <c r="M29" s="488" t="str">
        <f>+MID('Input data'!$B$42,13,1)</f>
        <v/>
      </c>
      <c r="N29" s="488" t="str">
        <f>+MID('Input data'!$B$42,14,1)</f>
        <v/>
      </c>
      <c r="O29" s="488" t="str">
        <f>+MID('Input data'!$B$42,15,1)</f>
        <v/>
      </c>
      <c r="P29" s="488" t="str">
        <f>+MID('Input data'!$B$42,16,1)</f>
        <v/>
      </c>
      <c r="Q29" s="488" t="str">
        <f>+MID('Input data'!$B$42,17,1)</f>
        <v/>
      </c>
      <c r="R29" s="488" t="str">
        <f>+MID('Input data'!$B$42,18,1)</f>
        <v/>
      </c>
      <c r="S29" s="488" t="str">
        <f>+MID('Input data'!$B$42,19,1)</f>
        <v/>
      </c>
      <c r="T29" s="488" t="str">
        <f>+MID('Input data'!$B$42,20,1)</f>
        <v/>
      </c>
      <c r="U29" s="488" t="str">
        <f>+MID('Input data'!$B$42,21,1)</f>
        <v/>
      </c>
      <c r="V29" s="488" t="str">
        <f>+MID('Input data'!$B$42,22,1)</f>
        <v/>
      </c>
      <c r="W29" s="488" t="str">
        <f>+MID('Input data'!$B$42,23,1)</f>
        <v/>
      </c>
      <c r="X29" s="488" t="str">
        <f>+MID('Input data'!$B$42,24,1)</f>
        <v/>
      </c>
      <c r="Y29" s="488" t="str">
        <f>+MID('Input data'!$B$42,25,1)</f>
        <v/>
      </c>
      <c r="Z29" s="488" t="str">
        <f>+MID('Input data'!$B$42,26,1)</f>
        <v/>
      </c>
      <c r="AA29" s="488" t="str">
        <f>+MID('Input data'!$B$42,27,1)</f>
        <v/>
      </c>
      <c r="AB29" s="488" t="str">
        <f>+MID('Input data'!$B$42,28,1)</f>
        <v/>
      </c>
      <c r="AC29" s="488" t="str">
        <f>+MID('Input data'!$B$42,29,1)</f>
        <v/>
      </c>
      <c r="AD29" s="488" t="str">
        <f>+MID('Input data'!$B$42,30,1)</f>
        <v/>
      </c>
      <c r="AE29" s="488" t="str">
        <f>+MID('Input data'!$B$42,31,1)</f>
        <v/>
      </c>
      <c r="AF29" s="488" t="str">
        <f>+MID('Input data'!$B$42,32,1)</f>
        <v/>
      </c>
      <c r="AG29" s="488" t="str">
        <f>+MID('Input data'!$B$42,33,1)</f>
        <v/>
      </c>
      <c r="AH29" s="488" t="str">
        <f>+MID('Input data'!$B$42,34,1)</f>
        <v/>
      </c>
      <c r="AI29" s="488" t="str">
        <f>+MID('Input data'!$B$42,35,1)</f>
        <v/>
      </c>
      <c r="AJ29" s="488" t="str">
        <f>+MID('Input data'!$B$42,36,1)</f>
        <v/>
      </c>
      <c r="AK29" s="487" t="str">
        <f>+MID('Input data'!$B$42,37,1)</f>
        <v/>
      </c>
    </row>
    <row r="30" spans="1:50" s="440" customFormat="1" ht="4.5" customHeight="1" thickBot="1" x14ac:dyDescent="0.3">
      <c r="W30" s="441"/>
      <c r="X30" s="441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</row>
    <row r="31" spans="1:50" s="483" customFormat="1" ht="12.75" customHeight="1" x14ac:dyDescent="0.25">
      <c r="A31" s="486" t="s">
        <v>1403</v>
      </c>
      <c r="B31" s="485"/>
      <c r="C31" s="485"/>
      <c r="D31" s="485"/>
      <c r="E31" s="485"/>
      <c r="F31" s="485"/>
      <c r="G31" s="485"/>
      <c r="H31" s="485"/>
      <c r="I31" s="485"/>
      <c r="J31" s="485"/>
      <c r="K31" s="834"/>
      <c r="L31" s="834"/>
      <c r="M31" s="1543" t="s">
        <v>1575</v>
      </c>
      <c r="N31" s="1544"/>
      <c r="O31" s="1544"/>
      <c r="P31" s="1544"/>
      <c r="Q31" s="1544"/>
      <c r="R31" s="1544"/>
      <c r="S31" s="1544"/>
      <c r="T31" s="1544"/>
      <c r="U31" s="1549"/>
      <c r="V31" s="1543" t="s">
        <v>1576</v>
      </c>
      <c r="W31" s="1544"/>
      <c r="X31" s="1544"/>
      <c r="Y31" s="1544"/>
      <c r="Z31" s="1544"/>
      <c r="AA31" s="1544"/>
      <c r="AB31" s="1544"/>
      <c r="AC31" s="1549"/>
      <c r="AD31" s="1543" t="s">
        <v>1577</v>
      </c>
      <c r="AE31" s="1544"/>
      <c r="AF31" s="1544"/>
      <c r="AG31" s="1544"/>
      <c r="AH31" s="1544"/>
      <c r="AI31" s="1544"/>
      <c r="AJ31" s="1544"/>
      <c r="AK31" s="1544"/>
      <c r="AL31" s="1545"/>
    </row>
    <row r="32" spans="1:50" s="440" customFormat="1" ht="19.5" customHeight="1" x14ac:dyDescent="0.25">
      <c r="A32" s="469" t="str">
        <f>LEFT(TEXT('Input data'!F25,"dd.m.yyyy"),1)</f>
        <v>1</v>
      </c>
      <c r="B32" s="468" t="str">
        <f>MID(TEXT('Input data'!$F$25,"dd.mm.yyyy"),2,1)</f>
        <v>3</v>
      </c>
      <c r="C32" s="467" t="s">
        <v>1147</v>
      </c>
      <c r="D32" s="468" t="str">
        <f>MID(TEXT('Input data'!$F$25,"dd.mm.yyyy"),4,1)</f>
        <v>0</v>
      </c>
      <c r="E32" s="468" t="str">
        <f>MID(TEXT('Input data'!$F$25,"dd.mm.yyyy"),5,1)</f>
        <v>6</v>
      </c>
      <c r="F32" s="467" t="s">
        <v>1147</v>
      </c>
      <c r="G32" s="468" t="str">
        <f>MID(TEXT('Input data'!$F$25,"dd.mm.yyyy"),7,1)</f>
        <v>2</v>
      </c>
      <c r="H32" s="468" t="str">
        <f>MID(TEXT('Input data'!$F$25,"dd.mm.yyyy"),8,1)</f>
        <v>0</v>
      </c>
      <c r="I32" s="468" t="str">
        <f>MID(TEXT('Input data'!$F$25,"dd.mm.yyyy"),9,1)</f>
        <v>1</v>
      </c>
      <c r="J32" s="468" t="str">
        <f>MID(TEXT('Input data'!$F$25,"dd.mm.yyyy"),10,1)</f>
        <v>4</v>
      </c>
      <c r="K32" s="835"/>
      <c r="L32" s="475"/>
      <c r="M32" s="1546"/>
      <c r="N32" s="1547"/>
      <c r="O32" s="1547"/>
      <c r="P32" s="1547"/>
      <c r="Q32" s="1547"/>
      <c r="R32" s="1547"/>
      <c r="S32" s="1547"/>
      <c r="T32" s="1547"/>
      <c r="U32" s="1550"/>
      <c r="V32" s="1546"/>
      <c r="W32" s="1547"/>
      <c r="X32" s="1547"/>
      <c r="Y32" s="1547"/>
      <c r="Z32" s="1547"/>
      <c r="AA32" s="1547"/>
      <c r="AB32" s="1547"/>
      <c r="AC32" s="1550"/>
      <c r="AD32" s="1546"/>
      <c r="AE32" s="1547"/>
      <c r="AF32" s="1547"/>
      <c r="AG32" s="1547"/>
      <c r="AH32" s="1547"/>
      <c r="AI32" s="1547"/>
      <c r="AJ32" s="1547"/>
      <c r="AK32" s="1547"/>
      <c r="AL32" s="1548"/>
      <c r="AP32" s="579"/>
      <c r="AX32" s="440" t="s">
        <v>1177</v>
      </c>
    </row>
    <row r="33" spans="1:38" s="440" customFormat="1" ht="12.75" customHeight="1" x14ac:dyDescent="0.25">
      <c r="A33" s="481"/>
      <c r="B33" s="480"/>
      <c r="C33" s="480"/>
      <c r="D33" s="480"/>
      <c r="E33" s="480"/>
      <c r="F33" s="480"/>
      <c r="G33" s="480"/>
      <c r="H33" s="480"/>
      <c r="I33" s="480"/>
      <c r="J33" s="480"/>
      <c r="K33" s="836"/>
      <c r="L33" s="836"/>
      <c r="M33" s="1546"/>
      <c r="N33" s="1547"/>
      <c r="O33" s="1547"/>
      <c r="P33" s="1547"/>
      <c r="Q33" s="1547"/>
      <c r="R33" s="1547"/>
      <c r="S33" s="1547"/>
      <c r="T33" s="1547"/>
      <c r="U33" s="1550"/>
      <c r="V33" s="1546"/>
      <c r="W33" s="1547"/>
      <c r="X33" s="1547"/>
      <c r="Y33" s="1547"/>
      <c r="Z33" s="1547"/>
      <c r="AA33" s="1547"/>
      <c r="AB33" s="1547"/>
      <c r="AC33" s="1550"/>
      <c r="AD33" s="1546"/>
      <c r="AE33" s="1547"/>
      <c r="AF33" s="1547"/>
      <c r="AG33" s="1547"/>
      <c r="AH33" s="1547"/>
      <c r="AI33" s="1547"/>
      <c r="AJ33" s="1547"/>
      <c r="AK33" s="1547"/>
      <c r="AL33" s="1548"/>
    </row>
    <row r="34" spans="1:38" s="440" customFormat="1" x14ac:dyDescent="0.2">
      <c r="A34" s="452" t="s">
        <v>1401</v>
      </c>
      <c r="B34" s="451"/>
      <c r="C34" s="451"/>
      <c r="D34" s="451"/>
      <c r="E34" s="451"/>
      <c r="F34" s="451"/>
      <c r="G34" s="451"/>
      <c r="H34" s="451"/>
      <c r="I34" s="451"/>
      <c r="J34" s="451"/>
      <c r="K34" s="475"/>
      <c r="L34" s="837"/>
      <c r="M34" s="475"/>
      <c r="N34" s="475"/>
      <c r="O34" s="475"/>
      <c r="P34" s="475"/>
      <c r="Q34" s="475"/>
      <c r="R34" s="475"/>
      <c r="S34" s="475"/>
      <c r="T34" s="451"/>
      <c r="U34" s="473"/>
      <c r="V34" s="474"/>
      <c r="W34" s="474"/>
      <c r="X34" s="474"/>
      <c r="Y34" s="474"/>
      <c r="Z34" s="474"/>
      <c r="AA34" s="448"/>
      <c r="AB34" s="474"/>
      <c r="AC34" s="473"/>
      <c r="AD34" s="472"/>
      <c r="AE34" s="471"/>
      <c r="AF34" s="471"/>
      <c r="AG34" s="471"/>
      <c r="AH34" s="471"/>
      <c r="AI34" s="471"/>
      <c r="AJ34" s="471"/>
      <c r="AK34" s="471"/>
      <c r="AL34" s="470"/>
    </row>
    <row r="35" spans="1:38" s="440" customFormat="1" ht="19.5" customHeight="1" x14ac:dyDescent="0.25">
      <c r="A35" s="469" t="str">
        <f>IF('Input data'!$F$27="","",LEFT(TEXT('Input data'!$F$27,"dd.mm.yyyy"),1))</f>
        <v/>
      </c>
      <c r="B35" s="468" t="str">
        <f>IF('Input data'!$F$27="","",MID(TEXT('Input data'!$F$27,"dd.mm.yyyy"),2,1))</f>
        <v/>
      </c>
      <c r="C35" s="467" t="s">
        <v>1147</v>
      </c>
      <c r="D35" s="468" t="str">
        <f>IF('Input data'!$F$27="","",MID(TEXT('Input data'!$F$27,"dd.mm.yyyy"),4,1))</f>
        <v/>
      </c>
      <c r="E35" s="468" t="str">
        <f>IF('Input data'!$F$27="","",MID(TEXT('Input data'!$F$27,"dd.mm.yyyy"),5,1))</f>
        <v/>
      </c>
      <c r="F35" s="467" t="s">
        <v>1147</v>
      </c>
      <c r="G35" s="466" t="str">
        <f>IF('Input data'!$F$27="","",MID(TEXT('Input data'!$F$27,"dd.mm.yyyy"),7,1))</f>
        <v/>
      </c>
      <c r="H35" s="466" t="str">
        <f>IF('Input data'!$F$27="","",MID(TEXT('Input data'!$F$27,"dd.mm.yyyy"),8,1))</f>
        <v/>
      </c>
      <c r="I35" s="466" t="str">
        <f>IF('Input data'!$F$27="","",MID(TEXT('Input data'!$F$27,"dd.mm.yyyy"),9,1))</f>
        <v/>
      </c>
      <c r="J35" s="466" t="str">
        <f>IF('Input data'!$F$27="","",MID(TEXT('Input data'!$F$27,"dd.mm.yyyy"),10,1))</f>
        <v/>
      </c>
      <c r="K35" s="838"/>
      <c r="L35" s="578"/>
      <c r="M35" s="451"/>
      <c r="N35" s="451"/>
      <c r="O35" s="451"/>
      <c r="P35" s="451"/>
      <c r="Q35" s="451"/>
      <c r="R35" s="451"/>
      <c r="S35" s="451"/>
      <c r="T35" s="451"/>
      <c r="U35" s="578"/>
      <c r="V35" s="451"/>
      <c r="W35" s="448"/>
      <c r="X35" s="448"/>
      <c r="Y35" s="448"/>
      <c r="Z35" s="448"/>
      <c r="AA35" s="448"/>
      <c r="AB35" s="448"/>
      <c r="AC35" s="577"/>
      <c r="AD35" s="448"/>
      <c r="AE35" s="448"/>
      <c r="AF35" s="448"/>
      <c r="AG35" s="448"/>
      <c r="AH35" s="448"/>
      <c r="AI35" s="448"/>
      <c r="AJ35" s="448"/>
      <c r="AK35" s="448"/>
      <c r="AL35" s="447"/>
    </row>
    <row r="36" spans="1:38" s="446" customFormat="1" thickBot="1" x14ac:dyDescent="0.3">
      <c r="A36" s="461"/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59"/>
      <c r="M36" s="1038">
        <f>'Input data'!F31</f>
        <v>0</v>
      </c>
      <c r="N36" s="1039"/>
      <c r="O36" s="1039"/>
      <c r="P36" s="1039"/>
      <c r="Q36" s="1039"/>
      <c r="R36" s="1039"/>
      <c r="S36" s="1039"/>
      <c r="T36" s="1039"/>
      <c r="U36" s="1040"/>
      <c r="V36" s="1038">
        <f>'Input data'!F35</f>
        <v>0</v>
      </c>
      <c r="W36" s="1039"/>
      <c r="X36" s="1039"/>
      <c r="Y36" s="1039"/>
      <c r="Z36" s="1039"/>
      <c r="AA36" s="1039"/>
      <c r="AB36" s="1039"/>
      <c r="AC36" s="1040"/>
      <c r="AD36" s="1041">
        <f>'Input data'!F39</f>
        <v>0</v>
      </c>
      <c r="AE36" s="1039"/>
      <c r="AF36" s="1039"/>
      <c r="AG36" s="1039"/>
      <c r="AH36" s="1039"/>
      <c r="AI36" s="1039"/>
      <c r="AJ36" s="1039"/>
      <c r="AK36" s="1039"/>
      <c r="AL36" s="1042"/>
    </row>
    <row r="37" spans="1:38" s="446" customFormat="1" x14ac:dyDescent="0.25">
      <c r="W37" s="441"/>
      <c r="X37" s="441"/>
      <c r="Y37" s="441"/>
      <c r="Z37" s="441"/>
      <c r="AA37" s="441"/>
      <c r="AB37" s="441"/>
      <c r="AC37" s="441"/>
      <c r="AD37" s="441"/>
      <c r="AE37" s="441"/>
      <c r="AF37" s="441"/>
      <c r="AG37" s="441"/>
      <c r="AH37" s="441"/>
      <c r="AI37" s="441"/>
      <c r="AJ37" s="441"/>
      <c r="AK37" s="441"/>
    </row>
    <row r="38" spans="1:38" s="446" customFormat="1" x14ac:dyDescent="0.25"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8" s="446" customFormat="1" x14ac:dyDescent="0.25"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</row>
    <row r="40" spans="1:38" ht="13.5" thickBot="1" x14ac:dyDescent="0.3"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</row>
    <row r="41" spans="1:38" s="446" customFormat="1" x14ac:dyDescent="0.25">
      <c r="B41" s="458" t="s">
        <v>1578</v>
      </c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M41" s="457"/>
      <c r="N41" s="457"/>
      <c r="O41" s="457"/>
      <c r="P41" s="457"/>
      <c r="Q41" s="457"/>
      <c r="R41" s="457"/>
      <c r="S41" s="457"/>
      <c r="T41" s="457"/>
      <c r="U41" s="457"/>
      <c r="V41" s="457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6"/>
      <c r="AI41" s="456"/>
      <c r="AJ41" s="455"/>
      <c r="AK41" s="441"/>
    </row>
    <row r="42" spans="1:38" s="446" customFormat="1" x14ac:dyDescent="0.25">
      <c r="B42" s="450"/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49"/>
      <c r="O42" s="449"/>
      <c r="P42" s="449"/>
      <c r="Q42" s="449"/>
      <c r="R42" s="449"/>
      <c r="S42" s="449"/>
      <c r="T42" s="449"/>
      <c r="U42" s="449"/>
      <c r="V42" s="449"/>
      <c r="W42" s="448"/>
      <c r="X42" s="448"/>
      <c r="Y42" s="448"/>
      <c r="Z42" s="448"/>
      <c r="AA42" s="448"/>
      <c r="AB42" s="448"/>
      <c r="AC42" s="448"/>
      <c r="AD42" s="448"/>
      <c r="AE42" s="448"/>
      <c r="AF42" s="448"/>
      <c r="AG42" s="448"/>
      <c r="AH42" s="448"/>
      <c r="AI42" s="448"/>
      <c r="AJ42" s="447"/>
      <c r="AK42" s="441"/>
    </row>
    <row r="43" spans="1:38" x14ac:dyDescent="0.25">
      <c r="B43" s="454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48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7"/>
      <c r="AK43" s="441"/>
    </row>
    <row r="44" spans="1:38" s="446" customFormat="1" x14ac:dyDescent="0.25">
      <c r="B44" s="450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38" s="440" customFormat="1" x14ac:dyDescent="0.25">
      <c r="B45" s="452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38" s="440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38" s="446" customFormat="1" x14ac:dyDescent="0.25">
      <c r="B47" s="450"/>
      <c r="C47" s="449"/>
      <c r="D47" s="449"/>
      <c r="E47" s="449"/>
      <c r="F47" s="449"/>
      <c r="G47" s="449"/>
      <c r="H47" s="449"/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449"/>
      <c r="T47" s="449"/>
      <c r="U47" s="449"/>
      <c r="V47" s="449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38" s="446" customFormat="1" x14ac:dyDescent="0.25">
      <c r="B48" s="450"/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49"/>
      <c r="V48" s="449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2:37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2:37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2:37" s="440" customFormat="1" ht="13.5" thickBot="1" x14ac:dyDescent="0.3">
      <c r="B51" s="445"/>
      <c r="C51" s="444"/>
      <c r="D51" s="444"/>
      <c r="E51" s="444"/>
      <c r="F51" s="444"/>
      <c r="G51" s="444" t="s">
        <v>1579</v>
      </c>
      <c r="H51" s="444"/>
      <c r="I51" s="444"/>
      <c r="J51" s="444"/>
      <c r="K51" s="444"/>
      <c r="L51" s="444"/>
      <c r="M51" s="444"/>
      <c r="N51" s="444"/>
      <c r="O51" s="444"/>
      <c r="P51" s="444"/>
      <c r="Q51" s="444"/>
      <c r="R51" s="444"/>
      <c r="S51" s="444"/>
      <c r="T51" s="444"/>
      <c r="U51" s="444" t="s">
        <v>1580</v>
      </c>
      <c r="V51" s="444"/>
      <c r="W51" s="443"/>
      <c r="X51" s="443"/>
      <c r="Y51" s="443"/>
      <c r="Z51" s="443"/>
      <c r="AA51" s="443"/>
      <c r="AB51" s="443"/>
      <c r="AC51" s="443"/>
      <c r="AD51" s="443"/>
      <c r="AE51" s="443"/>
      <c r="AF51" s="443"/>
      <c r="AG51" s="443"/>
      <c r="AH51" s="443"/>
      <c r="AI51" s="443"/>
      <c r="AJ51" s="442"/>
      <c r="AK51" s="441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SheetLayoutView="100" workbookViewId="0">
      <selection activeCell="G2" sqref="G2:I2"/>
    </sheetView>
  </sheetViews>
  <sheetFormatPr defaultRowHeight="11.25" x14ac:dyDescent="0.25"/>
  <cols>
    <col min="1" max="1" width="5.5703125" style="551" customWidth="1"/>
    <col min="2" max="2" width="18.7109375" style="551" customWidth="1"/>
    <col min="3" max="3" width="3.7109375" style="551" customWidth="1"/>
    <col min="4" max="4" width="3.5703125" style="551" customWidth="1"/>
    <col min="5" max="5" width="12.42578125" style="551" customWidth="1"/>
    <col min="6" max="6" width="12.140625" style="551" customWidth="1"/>
    <col min="7" max="7" width="14.7109375" style="551" customWidth="1"/>
    <col min="8" max="8" width="3.5703125" style="551" customWidth="1"/>
    <col min="9" max="9" width="10.5703125" style="551" customWidth="1"/>
    <col min="10" max="10" width="14.42578125" style="551" customWidth="1"/>
    <col min="11" max="16384" width="9.140625" style="551"/>
  </cols>
  <sheetData>
    <row r="1" spans="1:13" ht="7.5" customHeight="1" x14ac:dyDescent="0.25">
      <c r="A1" s="550"/>
      <c r="F1" s="494"/>
      <c r="G1" s="494"/>
      <c r="H1" s="494"/>
      <c r="I1" s="494"/>
    </row>
    <row r="2" spans="1:13" ht="17.25" customHeight="1" x14ac:dyDescent="0.25">
      <c r="A2" s="550"/>
      <c r="B2" s="1683" t="s">
        <v>1546</v>
      </c>
      <c r="C2" s="1684"/>
      <c r="E2" s="494"/>
      <c r="F2" s="575" t="s">
        <v>1581</v>
      </c>
      <c r="G2" s="1685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2  0  2  2  3  0  4  1  5  2</v>
      </c>
      <c r="H2" s="1686"/>
      <c r="I2" s="1687"/>
    </row>
    <row r="3" spans="1:13" ht="7.5" customHeight="1" thickBot="1" x14ac:dyDescent="0.3">
      <c r="A3" s="550"/>
    </row>
    <row r="4" spans="1:13" s="569" customFormat="1" ht="11.25" customHeight="1" x14ac:dyDescent="0.25">
      <c r="A4" s="1688" t="s">
        <v>1582</v>
      </c>
      <c r="B4" s="1689" t="s">
        <v>1583</v>
      </c>
      <c r="C4" s="1690" t="s">
        <v>1584</v>
      </c>
      <c r="D4" s="1553" t="s">
        <v>1585</v>
      </c>
      <c r="E4" s="1619"/>
      <c r="F4" s="1619"/>
      <c r="G4" s="1619"/>
      <c r="H4" s="1558"/>
      <c r="I4" s="1617" t="s">
        <v>1586</v>
      </c>
      <c r="J4" s="1618"/>
    </row>
    <row r="5" spans="1:13" s="569" customFormat="1" ht="11.25" customHeight="1" x14ac:dyDescent="0.15">
      <c r="A5" s="1657"/>
      <c r="B5" s="1658"/>
      <c r="C5" s="1659"/>
      <c r="D5" s="1609">
        <v>1</v>
      </c>
      <c r="E5" s="1565" t="s">
        <v>1587</v>
      </c>
      <c r="F5" s="1661"/>
      <c r="G5" s="1620" t="s">
        <v>1588</v>
      </c>
      <c r="H5" s="1621"/>
      <c r="I5" s="1556"/>
      <c r="J5" s="1557"/>
    </row>
    <row r="6" spans="1:13" s="569" customFormat="1" ht="12" customHeight="1" x14ac:dyDescent="0.25">
      <c r="A6" s="1567"/>
      <c r="B6" s="1575"/>
      <c r="C6" s="1577"/>
      <c r="D6" s="1660"/>
      <c r="E6" s="1565" t="s">
        <v>1589</v>
      </c>
      <c r="F6" s="1661"/>
      <c r="G6" s="1556"/>
      <c r="H6" s="1559"/>
      <c r="I6" s="1565" t="s">
        <v>1590</v>
      </c>
      <c r="J6" s="1566"/>
    </row>
    <row r="7" spans="1:13" s="571" customFormat="1" ht="27.95" customHeight="1" x14ac:dyDescent="0.25">
      <c r="A7" s="1680"/>
      <c r="B7" s="1682" t="s">
        <v>1591</v>
      </c>
      <c r="C7" s="1585" t="s">
        <v>522</v>
      </c>
      <c r="D7" s="1579">
        <f>BS!D10</f>
        <v>4718463</v>
      </c>
      <c r="E7" s="1579"/>
      <c r="F7" s="1579"/>
      <c r="G7" s="1551">
        <f>BS!F10</f>
        <v>4583761</v>
      </c>
      <c r="H7" s="1560"/>
      <c r="I7" s="1555"/>
      <c r="J7" s="570"/>
    </row>
    <row r="8" spans="1:13" s="571" customFormat="1" ht="27.95" customHeight="1" x14ac:dyDescent="0.25">
      <c r="A8" s="1681"/>
      <c r="B8" s="1584"/>
      <c r="C8" s="1585"/>
      <c r="D8" s="1579">
        <f>BS!E10</f>
        <v>134702</v>
      </c>
      <c r="E8" s="1579"/>
      <c r="F8" s="1579"/>
      <c r="G8" s="797"/>
      <c r="H8" s="1551">
        <f>BS!G10</f>
        <v>4160554</v>
      </c>
      <c r="I8" s="1560"/>
      <c r="J8" s="1552"/>
      <c r="M8" s="571" t="s">
        <v>1177</v>
      </c>
    </row>
    <row r="9" spans="1:13" s="571" customFormat="1" ht="27.95" customHeight="1" x14ac:dyDescent="0.25">
      <c r="A9" s="1655" t="s">
        <v>523</v>
      </c>
      <c r="B9" s="1584" t="s">
        <v>1592</v>
      </c>
      <c r="C9" s="1585" t="s">
        <v>525</v>
      </c>
      <c r="D9" s="1579">
        <f>BS!D11</f>
        <v>212189</v>
      </c>
      <c r="E9" s="1579"/>
      <c r="F9" s="1579"/>
      <c r="G9" s="1551">
        <f>BS!F11</f>
        <v>95555</v>
      </c>
      <c r="H9" s="1560"/>
      <c r="I9" s="1555"/>
      <c r="J9" s="570"/>
    </row>
    <row r="10" spans="1:13" s="571" customFormat="1" ht="27.95" customHeight="1" x14ac:dyDescent="0.25">
      <c r="A10" s="1656"/>
      <c r="B10" s="1584"/>
      <c r="C10" s="1585"/>
      <c r="D10" s="1579">
        <f>BS!E11</f>
        <v>116634</v>
      </c>
      <c r="E10" s="1579"/>
      <c r="F10" s="1579"/>
      <c r="G10" s="797"/>
      <c r="H10" s="1551">
        <f>BS!G11</f>
        <v>114084</v>
      </c>
      <c r="I10" s="1560"/>
      <c r="J10" s="1552"/>
    </row>
    <row r="11" spans="1:13" s="571" customFormat="1" ht="27.95" customHeight="1" x14ac:dyDescent="0.25">
      <c r="A11" s="1655" t="s">
        <v>526</v>
      </c>
      <c r="B11" s="1584" t="s">
        <v>1593</v>
      </c>
      <c r="C11" s="1585" t="s">
        <v>528</v>
      </c>
      <c r="D11" s="1579">
        <f>BS!D12</f>
        <v>2068</v>
      </c>
      <c r="E11" s="1579"/>
      <c r="F11" s="1579"/>
      <c r="G11" s="1551">
        <f>BS!F12</f>
        <v>0</v>
      </c>
      <c r="H11" s="1560"/>
      <c r="I11" s="1555"/>
      <c r="J11" s="842"/>
    </row>
    <row r="12" spans="1:13" s="571" customFormat="1" ht="27.95" customHeight="1" x14ac:dyDescent="0.25">
      <c r="A12" s="1656"/>
      <c r="B12" s="1584"/>
      <c r="C12" s="1585"/>
      <c r="D12" s="1579">
        <f>BS!E12</f>
        <v>2068</v>
      </c>
      <c r="E12" s="1579"/>
      <c r="F12" s="1579"/>
      <c r="G12" s="797"/>
      <c r="H12" s="1551">
        <f>BS!G12</f>
        <v>0</v>
      </c>
      <c r="I12" s="1560"/>
      <c r="J12" s="1552"/>
    </row>
    <row r="13" spans="1:13" s="569" customFormat="1" ht="27.95" customHeight="1" x14ac:dyDescent="0.25">
      <c r="A13" s="1668" t="s">
        <v>529</v>
      </c>
      <c r="B13" s="1572" t="s">
        <v>1594</v>
      </c>
      <c r="C13" s="1600" t="s">
        <v>531</v>
      </c>
      <c r="D13" s="1579">
        <f>BS!D13</f>
        <v>0</v>
      </c>
      <c r="E13" s="1579"/>
      <c r="F13" s="1579"/>
      <c r="G13" s="1551">
        <f>BS!F13</f>
        <v>0</v>
      </c>
      <c r="H13" s="1560"/>
      <c r="I13" s="1555"/>
      <c r="J13" s="570"/>
    </row>
    <row r="14" spans="1:13" s="569" customFormat="1" ht="27.95" customHeight="1" x14ac:dyDescent="0.25">
      <c r="A14" s="1669"/>
      <c r="B14" s="1572"/>
      <c r="C14" s="1573"/>
      <c r="D14" s="1579">
        <f>BS!E13</f>
        <v>0</v>
      </c>
      <c r="E14" s="1579"/>
      <c r="F14" s="1579"/>
      <c r="G14" s="797"/>
      <c r="H14" s="1551">
        <f>BS!G13</f>
        <v>0</v>
      </c>
      <c r="I14" s="1560"/>
      <c r="J14" s="1552"/>
    </row>
    <row r="15" spans="1:13" s="569" customFormat="1" ht="27.95" customHeight="1" x14ac:dyDescent="0.25">
      <c r="A15" s="1651" t="s">
        <v>532</v>
      </c>
      <c r="B15" s="1572" t="s">
        <v>1595</v>
      </c>
      <c r="C15" s="1600" t="s">
        <v>534</v>
      </c>
      <c r="D15" s="1579">
        <f>BS!D14</f>
        <v>2068</v>
      </c>
      <c r="E15" s="1579"/>
      <c r="F15" s="1579"/>
      <c r="G15" s="1551">
        <f>BS!F14</f>
        <v>0</v>
      </c>
      <c r="H15" s="1560"/>
      <c r="I15" s="1555"/>
      <c r="J15" s="570"/>
    </row>
    <row r="16" spans="1:13" s="569" customFormat="1" ht="27.95" customHeight="1" x14ac:dyDescent="0.25">
      <c r="A16" s="1569"/>
      <c r="B16" s="1572"/>
      <c r="C16" s="1573"/>
      <c r="D16" s="1579">
        <f>BS!E14</f>
        <v>2068</v>
      </c>
      <c r="E16" s="1579"/>
      <c r="F16" s="1579"/>
      <c r="G16" s="797"/>
      <c r="H16" s="1551">
        <f>BS!G14</f>
        <v>0</v>
      </c>
      <c r="I16" s="1560"/>
      <c r="J16" s="1552"/>
    </row>
    <row r="17" spans="1:10" s="569" customFormat="1" ht="27.95" customHeight="1" x14ac:dyDescent="0.25">
      <c r="A17" s="1651" t="s">
        <v>535</v>
      </c>
      <c r="B17" s="1572" t="s">
        <v>1596</v>
      </c>
      <c r="C17" s="1600" t="s">
        <v>537</v>
      </c>
      <c r="D17" s="1579">
        <f>BS!D15</f>
        <v>0</v>
      </c>
      <c r="E17" s="1579"/>
      <c r="F17" s="1579"/>
      <c r="G17" s="1551">
        <f>BS!F15</f>
        <v>0</v>
      </c>
      <c r="H17" s="1560"/>
      <c r="I17" s="1555"/>
      <c r="J17" s="570"/>
    </row>
    <row r="18" spans="1:10" s="569" customFormat="1" ht="27.95" customHeight="1" x14ac:dyDescent="0.25">
      <c r="A18" s="1569"/>
      <c r="B18" s="1572"/>
      <c r="C18" s="1573"/>
      <c r="D18" s="1579">
        <f>BS!E15</f>
        <v>0</v>
      </c>
      <c r="E18" s="1579"/>
      <c r="F18" s="1579"/>
      <c r="G18" s="797"/>
      <c r="H18" s="1551">
        <f>BS!G15</f>
        <v>0</v>
      </c>
      <c r="I18" s="1560"/>
      <c r="J18" s="1552"/>
    </row>
    <row r="19" spans="1:10" s="569" customFormat="1" ht="27.95" customHeight="1" x14ac:dyDescent="0.25">
      <c r="A19" s="1651" t="s">
        <v>538</v>
      </c>
      <c r="B19" s="1572" t="s">
        <v>1311</v>
      </c>
      <c r="C19" s="1600" t="s">
        <v>540</v>
      </c>
      <c r="D19" s="1579">
        <f>BS!D16</f>
        <v>0</v>
      </c>
      <c r="E19" s="1579"/>
      <c r="F19" s="1579"/>
      <c r="G19" s="1551">
        <f>BS!F16</f>
        <v>0</v>
      </c>
      <c r="H19" s="1560"/>
      <c r="I19" s="1555"/>
      <c r="J19" s="570"/>
    </row>
    <row r="20" spans="1:10" s="569" customFormat="1" ht="27.95" customHeight="1" x14ac:dyDescent="0.25">
      <c r="A20" s="1569"/>
      <c r="B20" s="1572"/>
      <c r="C20" s="1573"/>
      <c r="D20" s="1579">
        <f>BS!E16</f>
        <v>0</v>
      </c>
      <c r="E20" s="1579"/>
      <c r="F20" s="1579"/>
      <c r="G20" s="797"/>
      <c r="H20" s="1551">
        <f>BS!G16</f>
        <v>0</v>
      </c>
      <c r="I20" s="1560"/>
      <c r="J20" s="1552"/>
    </row>
    <row r="21" spans="1:10" s="569" customFormat="1" ht="27.95" customHeight="1" x14ac:dyDescent="0.25">
      <c r="A21" s="1651" t="s">
        <v>541</v>
      </c>
      <c r="B21" s="1572" t="s">
        <v>1597</v>
      </c>
      <c r="C21" s="1600" t="s">
        <v>543</v>
      </c>
      <c r="D21" s="1579">
        <f>BS!D17</f>
        <v>0</v>
      </c>
      <c r="E21" s="1579"/>
      <c r="F21" s="1579"/>
      <c r="G21" s="1551">
        <f>BS!F17</f>
        <v>0</v>
      </c>
      <c r="H21" s="1560"/>
      <c r="I21" s="1555"/>
      <c r="J21" s="570"/>
    </row>
    <row r="22" spans="1:10" s="569" customFormat="1" ht="27.95" customHeight="1" x14ac:dyDescent="0.25">
      <c r="A22" s="1569"/>
      <c r="B22" s="1572"/>
      <c r="C22" s="1573"/>
      <c r="D22" s="1579">
        <f>BS!E17</f>
        <v>0</v>
      </c>
      <c r="E22" s="1579"/>
      <c r="F22" s="1579"/>
      <c r="G22" s="797"/>
      <c r="H22" s="1551">
        <f>BS!G17</f>
        <v>0</v>
      </c>
      <c r="I22" s="1560"/>
      <c r="J22" s="1552"/>
    </row>
    <row r="23" spans="1:10" s="569" customFormat="1" ht="27.95" customHeight="1" x14ac:dyDescent="0.25">
      <c r="A23" s="1651" t="s">
        <v>544</v>
      </c>
      <c r="B23" s="1572" t="s">
        <v>1598</v>
      </c>
      <c r="C23" s="1600" t="s">
        <v>546</v>
      </c>
      <c r="D23" s="1579">
        <f>BS!D18</f>
        <v>0</v>
      </c>
      <c r="E23" s="1579"/>
      <c r="F23" s="1579"/>
      <c r="G23" s="1551">
        <f>BS!F18</f>
        <v>0</v>
      </c>
      <c r="H23" s="1560"/>
      <c r="I23" s="1555"/>
      <c r="J23" s="570"/>
    </row>
    <row r="24" spans="1:10" s="569" customFormat="1" ht="27.95" customHeight="1" x14ac:dyDescent="0.25">
      <c r="A24" s="1569"/>
      <c r="B24" s="1572"/>
      <c r="C24" s="1573"/>
      <c r="D24" s="1579">
        <f>BS!E18</f>
        <v>0</v>
      </c>
      <c r="E24" s="1579"/>
      <c r="F24" s="1579"/>
      <c r="G24" s="797"/>
      <c r="H24" s="1551">
        <f>BS!G18</f>
        <v>0</v>
      </c>
      <c r="I24" s="1560"/>
      <c r="J24" s="1552"/>
    </row>
    <row r="25" spans="1:10" s="569" customFormat="1" ht="27.95" customHeight="1" x14ac:dyDescent="0.25">
      <c r="A25" s="1651" t="s">
        <v>547</v>
      </c>
      <c r="B25" s="1572" t="s">
        <v>1599</v>
      </c>
      <c r="C25" s="1600" t="s">
        <v>549</v>
      </c>
      <c r="D25" s="1579">
        <f>BS!D19</f>
        <v>0</v>
      </c>
      <c r="E25" s="1579"/>
      <c r="F25" s="1579"/>
      <c r="G25" s="1551">
        <f>BS!F19</f>
        <v>0</v>
      </c>
      <c r="H25" s="1560"/>
      <c r="I25" s="1555"/>
      <c r="J25" s="570"/>
    </row>
    <row r="26" spans="1:10" s="569" customFormat="1" ht="27.95" customHeight="1" x14ac:dyDescent="0.25">
      <c r="A26" s="1569"/>
      <c r="B26" s="1572"/>
      <c r="C26" s="1573"/>
      <c r="D26" s="1579">
        <f>BS!E19</f>
        <v>0</v>
      </c>
      <c r="E26" s="1579"/>
      <c r="F26" s="1579"/>
      <c r="G26" s="797"/>
      <c r="H26" s="1551">
        <f>BS!G19</f>
        <v>0</v>
      </c>
      <c r="I26" s="1560"/>
      <c r="J26" s="1552"/>
    </row>
    <row r="27" spans="1:10" s="571" customFormat="1" ht="27.95" customHeight="1" x14ac:dyDescent="0.25">
      <c r="A27" s="1670" t="s">
        <v>550</v>
      </c>
      <c r="B27" s="1584" t="s">
        <v>551</v>
      </c>
      <c r="C27" s="1601" t="s">
        <v>552</v>
      </c>
      <c r="D27" s="1579">
        <f>BS!D20</f>
        <v>210121</v>
      </c>
      <c r="E27" s="1579"/>
      <c r="F27" s="1579"/>
      <c r="G27" s="1551">
        <f>BS!F20</f>
        <v>95555</v>
      </c>
      <c r="H27" s="1560"/>
      <c r="I27" s="1555"/>
      <c r="J27" s="570"/>
    </row>
    <row r="28" spans="1:10" s="571" customFormat="1" ht="27.95" customHeight="1" x14ac:dyDescent="0.25">
      <c r="A28" s="1671"/>
      <c r="B28" s="1584"/>
      <c r="C28" s="1602"/>
      <c r="D28" s="1579">
        <f>BS!E20</f>
        <v>114566</v>
      </c>
      <c r="E28" s="1579"/>
      <c r="F28" s="1579"/>
      <c r="G28" s="797"/>
      <c r="H28" s="1551">
        <f>BS!G20</f>
        <v>114084</v>
      </c>
      <c r="I28" s="1560"/>
      <c r="J28" s="1552"/>
    </row>
    <row r="29" spans="1:10" s="569" customFormat="1" ht="27.95" customHeight="1" x14ac:dyDescent="0.25">
      <c r="A29" s="1668" t="s">
        <v>553</v>
      </c>
      <c r="B29" s="1572" t="s">
        <v>1600</v>
      </c>
      <c r="C29" s="1600" t="s">
        <v>555</v>
      </c>
      <c r="D29" s="1579">
        <f>BS!D21</f>
        <v>0</v>
      </c>
      <c r="E29" s="1579"/>
      <c r="F29" s="1579"/>
      <c r="G29" s="1551">
        <f>BS!F21</f>
        <v>0</v>
      </c>
      <c r="H29" s="1560"/>
      <c r="I29" s="1555"/>
      <c r="J29" s="570"/>
    </row>
    <row r="30" spans="1:10" s="569" customFormat="1" ht="27.95" customHeight="1" x14ac:dyDescent="0.25">
      <c r="A30" s="1669"/>
      <c r="B30" s="1572"/>
      <c r="C30" s="1573"/>
      <c r="D30" s="1579">
        <f>BS!E21</f>
        <v>0</v>
      </c>
      <c r="E30" s="1579"/>
      <c r="F30" s="1579"/>
      <c r="G30" s="797"/>
      <c r="H30" s="1551">
        <f>BS!G21</f>
        <v>0</v>
      </c>
      <c r="I30" s="1560"/>
      <c r="J30" s="1552"/>
    </row>
    <row r="31" spans="1:10" s="569" customFormat="1" ht="27.95" customHeight="1" x14ac:dyDescent="0.25">
      <c r="A31" s="1651" t="s">
        <v>532</v>
      </c>
      <c r="B31" s="1572" t="s">
        <v>1601</v>
      </c>
      <c r="C31" s="1600" t="s">
        <v>557</v>
      </c>
      <c r="D31" s="1579">
        <f>BS!D22</f>
        <v>18949</v>
      </c>
      <c r="E31" s="1579"/>
      <c r="F31" s="1579"/>
      <c r="G31" s="1677">
        <f>BS!F22</f>
        <v>15613</v>
      </c>
      <c r="H31" s="1678"/>
      <c r="I31" s="1679"/>
      <c r="J31" s="570"/>
    </row>
    <row r="32" spans="1:10" s="569" customFormat="1" ht="27.95" customHeight="1" x14ac:dyDescent="0.25">
      <c r="A32" s="1569"/>
      <c r="B32" s="1572"/>
      <c r="C32" s="1573"/>
      <c r="D32" s="1579">
        <f>BS!E22</f>
        <v>3336</v>
      </c>
      <c r="E32" s="1579"/>
      <c r="F32" s="1579"/>
      <c r="G32" s="797"/>
      <c r="H32" s="1551">
        <f>BS!G22</f>
        <v>16993</v>
      </c>
      <c r="I32" s="1560"/>
      <c r="J32" s="1552"/>
    </row>
    <row r="33" spans="1:10" s="569" customFormat="1" ht="11.25" customHeight="1" x14ac:dyDescent="0.25">
      <c r="A33" s="1657" t="s">
        <v>1582</v>
      </c>
      <c r="B33" s="1658" t="s">
        <v>1583</v>
      </c>
      <c r="C33" s="1659" t="s">
        <v>1584</v>
      </c>
      <c r="D33" s="1556" t="s">
        <v>2</v>
      </c>
      <c r="E33" s="1587"/>
      <c r="F33" s="1587"/>
      <c r="G33" s="1587"/>
      <c r="H33" s="1559"/>
      <c r="I33" s="1561" t="s">
        <v>1264</v>
      </c>
      <c r="J33" s="1562"/>
    </row>
    <row r="34" spans="1:10" s="569" customFormat="1" ht="11.25" customHeight="1" x14ac:dyDescent="0.15">
      <c r="A34" s="1657"/>
      <c r="B34" s="1658"/>
      <c r="C34" s="1659"/>
      <c r="D34" s="1609">
        <v>1</v>
      </c>
      <c r="E34" s="1565" t="s">
        <v>1680</v>
      </c>
      <c r="F34" s="1661"/>
      <c r="G34" s="1620" t="s">
        <v>1262</v>
      </c>
      <c r="H34" s="1621"/>
      <c r="I34" s="1556"/>
      <c r="J34" s="1557"/>
    </row>
    <row r="35" spans="1:10" s="569" customFormat="1" ht="12" customHeight="1" x14ac:dyDescent="0.25">
      <c r="A35" s="1567"/>
      <c r="B35" s="1575"/>
      <c r="C35" s="1577"/>
      <c r="D35" s="1660"/>
      <c r="E35" s="1565" t="s">
        <v>1681</v>
      </c>
      <c r="F35" s="1661"/>
      <c r="G35" s="1556"/>
      <c r="H35" s="1559"/>
      <c r="I35" s="1565" t="s">
        <v>1260</v>
      </c>
      <c r="J35" s="1566"/>
    </row>
    <row r="36" spans="1:10" ht="27.95" customHeight="1" x14ac:dyDescent="0.25">
      <c r="A36" s="1651" t="s">
        <v>535</v>
      </c>
      <c r="B36" s="1571" t="s">
        <v>1602</v>
      </c>
      <c r="C36" s="1573" t="s">
        <v>559</v>
      </c>
      <c r="D36" s="1663">
        <f>BS!D23</f>
        <v>191172</v>
      </c>
      <c r="E36" s="1663"/>
      <c r="F36" s="1663"/>
      <c r="G36" s="1674">
        <f>BS!F23</f>
        <v>79942</v>
      </c>
      <c r="H36" s="1675"/>
      <c r="I36" s="1676"/>
      <c r="J36" s="843"/>
    </row>
    <row r="37" spans="1:10" ht="27.95" customHeight="1" x14ac:dyDescent="0.25">
      <c r="A37" s="1569"/>
      <c r="B37" s="1572"/>
      <c r="C37" s="1574"/>
      <c r="D37" s="1579">
        <f>BS!E23</f>
        <v>111230</v>
      </c>
      <c r="E37" s="1579"/>
      <c r="F37" s="1579"/>
      <c r="G37" s="844"/>
      <c r="H37" s="1551">
        <f>BS!G23</f>
        <v>49017</v>
      </c>
      <c r="I37" s="1560"/>
      <c r="J37" s="1552"/>
    </row>
    <row r="38" spans="1:10" ht="27.95" customHeight="1" x14ac:dyDescent="0.25">
      <c r="A38" s="1651" t="s">
        <v>538</v>
      </c>
      <c r="B38" s="1572" t="s">
        <v>1603</v>
      </c>
      <c r="C38" s="1574" t="s">
        <v>561</v>
      </c>
      <c r="D38" s="1579">
        <f>BS!D24</f>
        <v>0</v>
      </c>
      <c r="E38" s="1579"/>
      <c r="F38" s="1579"/>
      <c r="G38" s="1551">
        <f>BS!F24</f>
        <v>0</v>
      </c>
      <c r="H38" s="1560"/>
      <c r="I38" s="1555"/>
      <c r="J38" s="843"/>
    </row>
    <row r="39" spans="1:10" ht="27.95" customHeight="1" x14ac:dyDescent="0.25">
      <c r="A39" s="1569"/>
      <c r="B39" s="1572"/>
      <c r="C39" s="1574"/>
      <c r="D39" s="1579">
        <f>BS!E24</f>
        <v>0</v>
      </c>
      <c r="E39" s="1579"/>
      <c r="F39" s="1579"/>
      <c r="G39" s="844"/>
      <c r="H39" s="1551">
        <f>BS!G24</f>
        <v>0</v>
      </c>
      <c r="I39" s="1560"/>
      <c r="J39" s="1552"/>
    </row>
    <row r="40" spans="1:10" ht="27.95" customHeight="1" x14ac:dyDescent="0.25">
      <c r="A40" s="1651" t="s">
        <v>541</v>
      </c>
      <c r="B40" s="1572" t="s">
        <v>1604</v>
      </c>
      <c r="C40" s="1573" t="s">
        <v>563</v>
      </c>
      <c r="D40" s="1579">
        <f>BS!D25</f>
        <v>0</v>
      </c>
      <c r="E40" s="1579"/>
      <c r="F40" s="1579"/>
      <c r="G40" s="1551">
        <f>BS!F25</f>
        <v>0</v>
      </c>
      <c r="H40" s="1560"/>
      <c r="I40" s="1555"/>
      <c r="J40" s="843"/>
    </row>
    <row r="41" spans="1:10" ht="27.95" customHeight="1" x14ac:dyDescent="0.25">
      <c r="A41" s="1569"/>
      <c r="B41" s="1572"/>
      <c r="C41" s="1574"/>
      <c r="D41" s="1579">
        <f>BS!E25</f>
        <v>0</v>
      </c>
      <c r="E41" s="1579"/>
      <c r="F41" s="1579"/>
      <c r="G41" s="844"/>
      <c r="H41" s="1551">
        <f>BS!G25</f>
        <v>0</v>
      </c>
      <c r="I41" s="1560"/>
      <c r="J41" s="1552"/>
    </row>
    <row r="42" spans="1:10" ht="27.95" customHeight="1" x14ac:dyDescent="0.25">
      <c r="A42" s="1651" t="s">
        <v>544</v>
      </c>
      <c r="B42" s="1572" t="s">
        <v>1605</v>
      </c>
      <c r="C42" s="1574" t="s">
        <v>565</v>
      </c>
      <c r="D42" s="1579">
        <f>BS!D26</f>
        <v>0</v>
      </c>
      <c r="E42" s="1579"/>
      <c r="F42" s="1579"/>
      <c r="G42" s="1551">
        <f>BS!F26</f>
        <v>0</v>
      </c>
      <c r="H42" s="1560"/>
      <c r="I42" s="1555"/>
      <c r="J42" s="843"/>
    </row>
    <row r="43" spans="1:10" ht="27.95" customHeight="1" x14ac:dyDescent="0.25">
      <c r="A43" s="1569"/>
      <c r="B43" s="1572"/>
      <c r="C43" s="1574"/>
      <c r="D43" s="1579">
        <f>BS!E26</f>
        <v>0</v>
      </c>
      <c r="E43" s="1579"/>
      <c r="F43" s="1579"/>
      <c r="G43" s="844"/>
      <c r="H43" s="1551">
        <f>BS!G26</f>
        <v>0</v>
      </c>
      <c r="I43" s="1560"/>
      <c r="J43" s="1552"/>
    </row>
    <row r="44" spans="1:10" ht="27.95" customHeight="1" x14ac:dyDescent="0.25">
      <c r="A44" s="1651" t="s">
        <v>547</v>
      </c>
      <c r="B44" s="1572" t="s">
        <v>1606</v>
      </c>
      <c r="C44" s="1573" t="s">
        <v>567</v>
      </c>
      <c r="D44" s="1579">
        <f>BS!D27</f>
        <v>0</v>
      </c>
      <c r="E44" s="1579"/>
      <c r="F44" s="1579"/>
      <c r="G44" s="1551">
        <f>BS!F27</f>
        <v>0</v>
      </c>
      <c r="H44" s="1560"/>
      <c r="I44" s="1555"/>
      <c r="J44" s="843"/>
    </row>
    <row r="45" spans="1:10" ht="27.95" customHeight="1" x14ac:dyDescent="0.25">
      <c r="A45" s="1569"/>
      <c r="B45" s="1572"/>
      <c r="C45" s="1574"/>
      <c r="D45" s="1579">
        <f>BS!E27</f>
        <v>0</v>
      </c>
      <c r="E45" s="1579"/>
      <c r="F45" s="1579"/>
      <c r="G45" s="844"/>
      <c r="H45" s="1551">
        <f>BS!G27</f>
        <v>48074</v>
      </c>
      <c r="I45" s="1560"/>
      <c r="J45" s="1552"/>
    </row>
    <row r="46" spans="1:10" ht="27.95" customHeight="1" x14ac:dyDescent="0.25">
      <c r="A46" s="1651" t="s">
        <v>568</v>
      </c>
      <c r="B46" s="1572" t="s">
        <v>1607</v>
      </c>
      <c r="C46" s="1574" t="s">
        <v>570</v>
      </c>
      <c r="D46" s="1579">
        <f>BS!D28</f>
        <v>0</v>
      </c>
      <c r="E46" s="1579"/>
      <c r="F46" s="1579"/>
      <c r="G46" s="1551">
        <f>BS!F28</f>
        <v>0</v>
      </c>
      <c r="H46" s="1560"/>
      <c r="I46" s="1555"/>
      <c r="J46" s="843"/>
    </row>
    <row r="47" spans="1:10" ht="27.95" customHeight="1" x14ac:dyDescent="0.25">
      <c r="A47" s="1569"/>
      <c r="B47" s="1572"/>
      <c r="C47" s="1574"/>
      <c r="D47" s="1579">
        <f>BS!E28</f>
        <v>0</v>
      </c>
      <c r="E47" s="1579"/>
      <c r="F47" s="1579"/>
      <c r="G47" s="844"/>
      <c r="H47" s="1551">
        <f>BS!G28</f>
        <v>0</v>
      </c>
      <c r="I47" s="1560"/>
      <c r="J47" s="1552"/>
    </row>
    <row r="48" spans="1:10" ht="27.95" customHeight="1" x14ac:dyDescent="0.25">
      <c r="A48" s="1651" t="s">
        <v>571</v>
      </c>
      <c r="B48" s="1572" t="s">
        <v>1608</v>
      </c>
      <c r="C48" s="1573" t="s">
        <v>573</v>
      </c>
      <c r="D48" s="1579">
        <f>BS!D29</f>
        <v>0</v>
      </c>
      <c r="E48" s="1579"/>
      <c r="F48" s="1579"/>
      <c r="G48" s="1551">
        <f>BS!F29</f>
        <v>0</v>
      </c>
      <c r="H48" s="1560"/>
      <c r="I48" s="1555"/>
      <c r="J48" s="843"/>
    </row>
    <row r="49" spans="1:10" ht="27.95" customHeight="1" x14ac:dyDescent="0.25">
      <c r="A49" s="1569"/>
      <c r="B49" s="1572"/>
      <c r="C49" s="1574"/>
      <c r="D49" s="1579">
        <f>BS!E29</f>
        <v>0</v>
      </c>
      <c r="E49" s="1579"/>
      <c r="F49" s="1579"/>
      <c r="G49" s="845"/>
      <c r="H49" s="1551">
        <f>BS!G29</f>
        <v>0</v>
      </c>
      <c r="I49" s="1560"/>
      <c r="J49" s="1552"/>
    </row>
    <row r="50" spans="1:10" ht="27.95" customHeight="1" x14ac:dyDescent="0.25">
      <c r="A50" s="1670" t="s">
        <v>574</v>
      </c>
      <c r="B50" s="1584" t="s">
        <v>1609</v>
      </c>
      <c r="C50" s="1574" t="s">
        <v>576</v>
      </c>
      <c r="D50" s="1579">
        <f>BS!D30</f>
        <v>0</v>
      </c>
      <c r="E50" s="1579"/>
      <c r="F50" s="1579"/>
      <c r="G50" s="1551">
        <f>BS!F30</f>
        <v>0</v>
      </c>
      <c r="H50" s="1560"/>
      <c r="I50" s="1555"/>
      <c r="J50" s="843"/>
    </row>
    <row r="51" spans="1:10" ht="27.95" customHeight="1" x14ac:dyDescent="0.25">
      <c r="A51" s="1671"/>
      <c r="B51" s="1584"/>
      <c r="C51" s="1574"/>
      <c r="D51" s="1579">
        <f>BS!E30</f>
        <v>0</v>
      </c>
      <c r="E51" s="1579"/>
      <c r="F51" s="1579"/>
      <c r="G51" s="845"/>
      <c r="H51" s="1551">
        <f>BS!G30</f>
        <v>0</v>
      </c>
      <c r="I51" s="1560"/>
      <c r="J51" s="1552"/>
    </row>
    <row r="52" spans="1:10" s="499" customFormat="1" ht="27.95" customHeight="1" x14ac:dyDescent="0.25">
      <c r="A52" s="1672" t="s">
        <v>577</v>
      </c>
      <c r="B52" s="1572" t="s">
        <v>1610</v>
      </c>
      <c r="C52" s="1573" t="s">
        <v>579</v>
      </c>
      <c r="D52" s="1579">
        <f>BS!D31</f>
        <v>0</v>
      </c>
      <c r="E52" s="1579"/>
      <c r="F52" s="1579"/>
      <c r="G52" s="1551">
        <f>BS!F31</f>
        <v>0</v>
      </c>
      <c r="H52" s="1560"/>
      <c r="I52" s="1555"/>
      <c r="J52" s="843"/>
    </row>
    <row r="53" spans="1:10" s="499" customFormat="1" ht="27.95" customHeight="1" x14ac:dyDescent="0.25">
      <c r="A53" s="1673"/>
      <c r="B53" s="1572"/>
      <c r="C53" s="1574"/>
      <c r="D53" s="1579">
        <f>BS!E31</f>
        <v>0</v>
      </c>
      <c r="E53" s="1579"/>
      <c r="F53" s="1579"/>
      <c r="G53" s="845"/>
      <c r="H53" s="1551">
        <f>BS!G31</f>
        <v>0</v>
      </c>
      <c r="I53" s="1560"/>
      <c r="J53" s="1552"/>
    </row>
    <row r="54" spans="1:10" ht="27.95" customHeight="1" x14ac:dyDescent="0.25">
      <c r="A54" s="1651" t="s">
        <v>532</v>
      </c>
      <c r="B54" s="1572" t="s">
        <v>1611</v>
      </c>
      <c r="C54" s="1574" t="s">
        <v>581</v>
      </c>
      <c r="D54" s="1579">
        <f>BS!D32</f>
        <v>0</v>
      </c>
      <c r="E54" s="1579"/>
      <c r="F54" s="1579"/>
      <c r="G54" s="1551">
        <f>BS!F32</f>
        <v>0</v>
      </c>
      <c r="H54" s="1560"/>
      <c r="I54" s="1555"/>
      <c r="J54" s="843"/>
    </row>
    <row r="55" spans="1:10" ht="27.95" customHeight="1" x14ac:dyDescent="0.25">
      <c r="A55" s="1569"/>
      <c r="B55" s="1572"/>
      <c r="C55" s="1574"/>
      <c r="D55" s="1579">
        <f>BS!E32</f>
        <v>0</v>
      </c>
      <c r="E55" s="1579"/>
      <c r="F55" s="1579"/>
      <c r="G55" s="845"/>
      <c r="H55" s="1551">
        <f>BS!G32</f>
        <v>0</v>
      </c>
      <c r="I55" s="1560"/>
      <c r="J55" s="1552"/>
    </row>
    <row r="56" spans="1:10" ht="27.95" customHeight="1" x14ac:dyDescent="0.25">
      <c r="A56" s="1651" t="s">
        <v>535</v>
      </c>
      <c r="B56" s="1572" t="s">
        <v>1612</v>
      </c>
      <c r="C56" s="1573" t="s">
        <v>583</v>
      </c>
      <c r="D56" s="1579">
        <f>BS!D33</f>
        <v>0</v>
      </c>
      <c r="E56" s="1579"/>
      <c r="F56" s="1579"/>
      <c r="G56" s="1551">
        <f>BS!F33</f>
        <v>0</v>
      </c>
      <c r="H56" s="1560"/>
      <c r="I56" s="1555"/>
      <c r="J56" s="843"/>
    </row>
    <row r="57" spans="1:10" ht="27.95" customHeight="1" x14ac:dyDescent="0.25">
      <c r="A57" s="1569"/>
      <c r="B57" s="1572"/>
      <c r="C57" s="1574"/>
      <c r="D57" s="1579">
        <f>BS!E33</f>
        <v>0</v>
      </c>
      <c r="E57" s="1579"/>
      <c r="F57" s="1579"/>
      <c r="G57" s="845"/>
      <c r="H57" s="1551">
        <f>BS!G33</f>
        <v>0</v>
      </c>
      <c r="I57" s="1560"/>
      <c r="J57" s="1552"/>
    </row>
    <row r="58" spans="1:10" ht="27.95" customHeight="1" x14ac:dyDescent="0.25">
      <c r="A58" s="1651" t="s">
        <v>538</v>
      </c>
      <c r="B58" s="1572" t="s">
        <v>1613</v>
      </c>
      <c r="C58" s="1574" t="s">
        <v>585</v>
      </c>
      <c r="D58" s="1579">
        <f>BS!D34</f>
        <v>0</v>
      </c>
      <c r="E58" s="1579"/>
      <c r="F58" s="1579"/>
      <c r="G58" s="1551">
        <f>BS!F34</f>
        <v>0</v>
      </c>
      <c r="H58" s="1560"/>
      <c r="I58" s="1555"/>
      <c r="J58" s="843"/>
    </row>
    <row r="59" spans="1:10" ht="27.95" customHeight="1" x14ac:dyDescent="0.25">
      <c r="A59" s="1569"/>
      <c r="B59" s="1664"/>
      <c r="C59" s="1574"/>
      <c r="D59" s="1579">
        <f>BS!E34</f>
        <v>0</v>
      </c>
      <c r="E59" s="1579"/>
      <c r="F59" s="1579"/>
      <c r="G59" s="845"/>
      <c r="H59" s="1551">
        <f>BS!G34</f>
        <v>0</v>
      </c>
      <c r="I59" s="1560"/>
      <c r="J59" s="1552"/>
    </row>
    <row r="60" spans="1:10" ht="27.95" customHeight="1" x14ac:dyDescent="0.25">
      <c r="A60" s="1651" t="s">
        <v>541</v>
      </c>
      <c r="B60" s="1572" t="s">
        <v>1614</v>
      </c>
      <c r="C60" s="1573" t="s">
        <v>587</v>
      </c>
      <c r="D60" s="1579">
        <f>BS!D35</f>
        <v>0</v>
      </c>
      <c r="E60" s="1579"/>
      <c r="F60" s="1579"/>
      <c r="G60" s="1551">
        <f>BS!F35</f>
        <v>0</v>
      </c>
      <c r="H60" s="1560"/>
      <c r="I60" s="1555"/>
      <c r="J60" s="843"/>
    </row>
    <row r="61" spans="1:10" ht="27.95" customHeight="1" x14ac:dyDescent="0.25">
      <c r="A61" s="1569"/>
      <c r="B61" s="1572"/>
      <c r="C61" s="1574"/>
      <c r="D61" s="1579">
        <f>BS!E35</f>
        <v>0</v>
      </c>
      <c r="E61" s="1579"/>
      <c r="F61" s="1579"/>
      <c r="G61" s="845"/>
      <c r="H61" s="1551">
        <f>BS!G35</f>
        <v>0</v>
      </c>
      <c r="I61" s="1560"/>
      <c r="J61" s="1552"/>
    </row>
    <row r="62" spans="1:10" ht="27.95" customHeight="1" x14ac:dyDescent="0.25">
      <c r="A62" s="1651" t="s">
        <v>544</v>
      </c>
      <c r="B62" s="1572" t="s">
        <v>1615</v>
      </c>
      <c r="C62" s="1574" t="s">
        <v>589</v>
      </c>
      <c r="D62" s="1579">
        <f>BS!D36</f>
        <v>0</v>
      </c>
      <c r="E62" s="1579"/>
      <c r="F62" s="1579"/>
      <c r="G62" s="1551">
        <f>BS!F36</f>
        <v>0</v>
      </c>
      <c r="H62" s="1560"/>
      <c r="I62" s="1555"/>
      <c r="J62" s="843"/>
    </row>
    <row r="63" spans="1:10" ht="27.95" customHeight="1" x14ac:dyDescent="0.25">
      <c r="A63" s="1569"/>
      <c r="B63" s="1572"/>
      <c r="C63" s="1574"/>
      <c r="D63" s="1579">
        <f>BS!E36</f>
        <v>0</v>
      </c>
      <c r="E63" s="1579"/>
      <c r="F63" s="1579"/>
      <c r="G63" s="797"/>
      <c r="H63" s="1551">
        <f>BS!G36</f>
        <v>0</v>
      </c>
      <c r="I63" s="1560"/>
      <c r="J63" s="1552"/>
    </row>
    <row r="64" spans="1:10" ht="11.25" customHeight="1" x14ac:dyDescent="0.25">
      <c r="A64" s="1657" t="s">
        <v>1582</v>
      </c>
      <c r="B64" s="1658" t="s">
        <v>1583</v>
      </c>
      <c r="C64" s="1659" t="s">
        <v>1584</v>
      </c>
      <c r="D64" s="1556" t="s">
        <v>1585</v>
      </c>
      <c r="E64" s="1587"/>
      <c r="F64" s="1587"/>
      <c r="G64" s="1587"/>
      <c r="H64" s="1559"/>
      <c r="I64" s="1561" t="s">
        <v>1586</v>
      </c>
      <c r="J64" s="1562"/>
    </row>
    <row r="65" spans="1:10" ht="11.25" customHeight="1" x14ac:dyDescent="0.15">
      <c r="A65" s="1657"/>
      <c r="B65" s="1658"/>
      <c r="C65" s="1659"/>
      <c r="D65" s="1609">
        <v>1</v>
      </c>
      <c r="E65" s="1565" t="s">
        <v>1587</v>
      </c>
      <c r="F65" s="1661"/>
      <c r="G65" s="1620" t="s">
        <v>1588</v>
      </c>
      <c r="H65" s="1621"/>
      <c r="I65" s="1556"/>
      <c r="J65" s="1557"/>
    </row>
    <row r="66" spans="1:10" ht="11.25" customHeight="1" x14ac:dyDescent="0.25">
      <c r="A66" s="1567"/>
      <c r="B66" s="1575"/>
      <c r="C66" s="1577"/>
      <c r="D66" s="1660"/>
      <c r="E66" s="1565" t="s">
        <v>1589</v>
      </c>
      <c r="F66" s="1661"/>
      <c r="G66" s="1556"/>
      <c r="H66" s="1559"/>
      <c r="I66" s="1565" t="s">
        <v>1590</v>
      </c>
      <c r="J66" s="1566"/>
    </row>
    <row r="67" spans="1:10" ht="27.95" customHeight="1" x14ac:dyDescent="0.25">
      <c r="A67" s="1651" t="s">
        <v>547</v>
      </c>
      <c r="B67" s="1571" t="s">
        <v>1616</v>
      </c>
      <c r="C67" s="1574" t="s">
        <v>888</v>
      </c>
      <c r="D67" s="1579">
        <f>BS!D37</f>
        <v>0</v>
      </c>
      <c r="E67" s="1579"/>
      <c r="F67" s="1551"/>
      <c r="G67" s="1551">
        <f>BS!F37</f>
        <v>0</v>
      </c>
      <c r="H67" s="1560"/>
      <c r="I67" s="1555"/>
      <c r="J67" s="843"/>
    </row>
    <row r="68" spans="1:10" ht="27.95" customHeight="1" x14ac:dyDescent="0.25">
      <c r="A68" s="1569"/>
      <c r="B68" s="1572"/>
      <c r="C68" s="1574"/>
      <c r="D68" s="1579">
        <f>BS!E37</f>
        <v>0</v>
      </c>
      <c r="E68" s="1579"/>
      <c r="F68" s="1579"/>
      <c r="G68" s="846"/>
      <c r="H68" s="1551">
        <f>BS!G37</f>
        <v>0</v>
      </c>
      <c r="I68" s="1560"/>
      <c r="J68" s="1552"/>
    </row>
    <row r="69" spans="1:10" ht="27.95" customHeight="1" x14ac:dyDescent="0.25">
      <c r="A69" s="1651" t="s">
        <v>568</v>
      </c>
      <c r="B69" s="1572" t="s">
        <v>1617</v>
      </c>
      <c r="C69" s="1574" t="s">
        <v>891</v>
      </c>
      <c r="D69" s="1579">
        <f>BS!D38</f>
        <v>0</v>
      </c>
      <c r="E69" s="1579"/>
      <c r="F69" s="1551"/>
      <c r="G69" s="1551">
        <f>BS!F38</f>
        <v>0</v>
      </c>
      <c r="H69" s="1560"/>
      <c r="I69" s="1555"/>
      <c r="J69" s="843"/>
    </row>
    <row r="70" spans="1:10" ht="27.95" customHeight="1" x14ac:dyDescent="0.25">
      <c r="A70" s="1569"/>
      <c r="B70" s="1572"/>
      <c r="C70" s="1574"/>
      <c r="D70" s="1579">
        <f>BS!E38</f>
        <v>0</v>
      </c>
      <c r="E70" s="1579"/>
      <c r="F70" s="1579"/>
      <c r="G70" s="846"/>
      <c r="H70" s="1551">
        <f>BS!G38</f>
        <v>0</v>
      </c>
      <c r="I70" s="1560"/>
      <c r="J70" s="1552"/>
    </row>
    <row r="71" spans="1:10" ht="27.95" customHeight="1" x14ac:dyDescent="0.25">
      <c r="A71" s="1655" t="s">
        <v>594</v>
      </c>
      <c r="B71" s="1584" t="s">
        <v>1618</v>
      </c>
      <c r="C71" s="1574" t="s">
        <v>894</v>
      </c>
      <c r="D71" s="1579">
        <f>BS!D39</f>
        <v>4504723</v>
      </c>
      <c r="E71" s="1579"/>
      <c r="F71" s="1551"/>
      <c r="G71" s="1551">
        <f>BS!F39</f>
        <v>4486655</v>
      </c>
      <c r="H71" s="1560"/>
      <c r="I71" s="1555"/>
      <c r="J71" s="843"/>
    </row>
    <row r="72" spans="1:10" ht="27.95" customHeight="1" x14ac:dyDescent="0.25">
      <c r="A72" s="1656"/>
      <c r="B72" s="1584"/>
      <c r="C72" s="1574"/>
      <c r="D72" s="1579">
        <f>BS!E39</f>
        <v>18068</v>
      </c>
      <c r="E72" s="1579"/>
      <c r="F72" s="1579"/>
      <c r="G72" s="846"/>
      <c r="H72" s="1551">
        <f>BS!G39</f>
        <v>4040245</v>
      </c>
      <c r="I72" s="1560"/>
      <c r="J72" s="1552"/>
    </row>
    <row r="73" spans="1:10" s="499" customFormat="1" ht="27.95" customHeight="1" x14ac:dyDescent="0.25">
      <c r="A73" s="1670" t="s">
        <v>597</v>
      </c>
      <c r="B73" s="1584" t="s">
        <v>598</v>
      </c>
      <c r="C73" s="1574" t="s">
        <v>897</v>
      </c>
      <c r="D73" s="1579">
        <f>BS!D40</f>
        <v>0</v>
      </c>
      <c r="E73" s="1579"/>
      <c r="F73" s="1551"/>
      <c r="G73" s="1551">
        <f>BS!F40</f>
        <v>0</v>
      </c>
      <c r="H73" s="1560"/>
      <c r="I73" s="1555"/>
      <c r="J73" s="843"/>
    </row>
    <row r="74" spans="1:10" s="499" customFormat="1" ht="27.95" customHeight="1" x14ac:dyDescent="0.25">
      <c r="A74" s="1671"/>
      <c r="B74" s="1584"/>
      <c r="C74" s="1574"/>
      <c r="D74" s="1579">
        <f>BS!E40</f>
        <v>0</v>
      </c>
      <c r="E74" s="1579"/>
      <c r="F74" s="1579"/>
      <c r="G74" s="846"/>
      <c r="H74" s="1551">
        <f>BS!G40</f>
        <v>0</v>
      </c>
      <c r="I74" s="1560"/>
      <c r="J74" s="1552"/>
    </row>
    <row r="75" spans="1:10" s="499" customFormat="1" ht="27.95" customHeight="1" x14ac:dyDescent="0.25">
      <c r="A75" s="1668" t="s">
        <v>600</v>
      </c>
      <c r="B75" s="1572" t="s">
        <v>1619</v>
      </c>
      <c r="C75" s="1574" t="s">
        <v>900</v>
      </c>
      <c r="D75" s="1579">
        <f>BS!D41</f>
        <v>0</v>
      </c>
      <c r="E75" s="1579"/>
      <c r="F75" s="1551"/>
      <c r="G75" s="1551">
        <f>BS!F41</f>
        <v>0</v>
      </c>
      <c r="H75" s="1560"/>
      <c r="I75" s="1555"/>
      <c r="J75" s="843"/>
    </row>
    <row r="76" spans="1:10" s="499" customFormat="1" ht="27.95" customHeight="1" x14ac:dyDescent="0.25">
      <c r="A76" s="1669"/>
      <c r="B76" s="1572"/>
      <c r="C76" s="1574"/>
      <c r="D76" s="1579">
        <f>BS!E41</f>
        <v>0</v>
      </c>
      <c r="E76" s="1579"/>
      <c r="F76" s="1579"/>
      <c r="G76" s="846"/>
      <c r="H76" s="1551">
        <f>BS!G41</f>
        <v>0</v>
      </c>
      <c r="I76" s="1560"/>
      <c r="J76" s="1552"/>
    </row>
    <row r="77" spans="1:10" ht="27.95" customHeight="1" x14ac:dyDescent="0.25">
      <c r="A77" s="1651" t="s">
        <v>532</v>
      </c>
      <c r="B77" s="1572" t="s">
        <v>1620</v>
      </c>
      <c r="C77" s="1574" t="s">
        <v>903</v>
      </c>
      <c r="D77" s="1579">
        <f>BS!D42</f>
        <v>0</v>
      </c>
      <c r="E77" s="1579"/>
      <c r="F77" s="1551"/>
      <c r="G77" s="1551">
        <f>BS!F42</f>
        <v>0</v>
      </c>
      <c r="H77" s="1560"/>
      <c r="I77" s="1555"/>
      <c r="J77" s="843"/>
    </row>
    <row r="78" spans="1:10" ht="27.95" customHeight="1" x14ac:dyDescent="0.25">
      <c r="A78" s="1569"/>
      <c r="B78" s="1572"/>
      <c r="C78" s="1574"/>
      <c r="D78" s="1579">
        <f>BS!E42</f>
        <v>0</v>
      </c>
      <c r="E78" s="1579"/>
      <c r="F78" s="1579"/>
      <c r="G78" s="846"/>
      <c r="H78" s="1551">
        <f>BS!G42</f>
        <v>0</v>
      </c>
      <c r="I78" s="1560"/>
      <c r="J78" s="1552"/>
    </row>
    <row r="79" spans="1:10" ht="27.95" customHeight="1" x14ac:dyDescent="0.25">
      <c r="A79" s="1651" t="s">
        <v>535</v>
      </c>
      <c r="B79" s="1572" t="s">
        <v>1621</v>
      </c>
      <c r="C79" s="1574" t="s">
        <v>906</v>
      </c>
      <c r="D79" s="1579">
        <f>BS!D43</f>
        <v>0</v>
      </c>
      <c r="E79" s="1579"/>
      <c r="F79" s="1551"/>
      <c r="G79" s="1551">
        <f>BS!F43</f>
        <v>0</v>
      </c>
      <c r="H79" s="1560"/>
      <c r="I79" s="1555"/>
      <c r="J79" s="843"/>
    </row>
    <row r="80" spans="1:10" ht="27.95" customHeight="1" x14ac:dyDescent="0.25">
      <c r="A80" s="1569"/>
      <c r="B80" s="1572"/>
      <c r="C80" s="1574"/>
      <c r="D80" s="1579">
        <f>BS!E43</f>
        <v>0</v>
      </c>
      <c r="E80" s="1579"/>
      <c r="F80" s="1579"/>
      <c r="G80" s="846"/>
      <c r="H80" s="1551">
        <f>BS!G43</f>
        <v>0</v>
      </c>
      <c r="I80" s="1560"/>
      <c r="J80" s="1552"/>
    </row>
    <row r="81" spans="1:10" ht="27.95" customHeight="1" x14ac:dyDescent="0.25">
      <c r="A81" s="1651" t="s">
        <v>538</v>
      </c>
      <c r="B81" s="1572" t="s">
        <v>1622</v>
      </c>
      <c r="C81" s="1574" t="s">
        <v>909</v>
      </c>
      <c r="D81" s="1579">
        <f>BS!D44</f>
        <v>0</v>
      </c>
      <c r="E81" s="1579"/>
      <c r="F81" s="1551"/>
      <c r="G81" s="1551">
        <f>BS!F44</f>
        <v>0</v>
      </c>
      <c r="H81" s="1560"/>
      <c r="I81" s="1555"/>
      <c r="J81" s="843"/>
    </row>
    <row r="82" spans="1:10" ht="27.95" customHeight="1" x14ac:dyDescent="0.25">
      <c r="A82" s="1569"/>
      <c r="B82" s="1572"/>
      <c r="C82" s="1574"/>
      <c r="D82" s="1579">
        <f>BS!E44</f>
        <v>0</v>
      </c>
      <c r="E82" s="1579"/>
      <c r="F82" s="1579"/>
      <c r="G82" s="846"/>
      <c r="H82" s="1551">
        <f>BS!G44</f>
        <v>0</v>
      </c>
      <c r="I82" s="1560"/>
      <c r="J82" s="1552"/>
    </row>
    <row r="83" spans="1:10" ht="27.95" customHeight="1" x14ac:dyDescent="0.25">
      <c r="A83" s="1651" t="s">
        <v>541</v>
      </c>
      <c r="B83" s="1572" t="s">
        <v>1623</v>
      </c>
      <c r="C83" s="1574" t="s">
        <v>912</v>
      </c>
      <c r="D83" s="1579">
        <f>BS!D45</f>
        <v>0</v>
      </c>
      <c r="E83" s="1579"/>
      <c r="F83" s="1551"/>
      <c r="G83" s="1551">
        <f>BS!F45</f>
        <v>0</v>
      </c>
      <c r="H83" s="1560"/>
      <c r="I83" s="1555"/>
      <c r="J83" s="843"/>
    </row>
    <row r="84" spans="1:10" ht="27.95" customHeight="1" x14ac:dyDescent="0.25">
      <c r="A84" s="1569"/>
      <c r="B84" s="1572"/>
      <c r="C84" s="1574"/>
      <c r="D84" s="1579">
        <f>BS!E45</f>
        <v>0</v>
      </c>
      <c r="E84" s="1579"/>
      <c r="F84" s="1579"/>
      <c r="G84" s="846"/>
      <c r="H84" s="1551">
        <f>BS!G45</f>
        <v>0</v>
      </c>
      <c r="I84" s="1560"/>
      <c r="J84" s="1552"/>
    </row>
    <row r="85" spans="1:10" ht="27.95" customHeight="1" x14ac:dyDescent="0.25">
      <c r="A85" s="1651" t="s">
        <v>544</v>
      </c>
      <c r="B85" s="1572" t="s">
        <v>1624</v>
      </c>
      <c r="C85" s="1574" t="s">
        <v>915</v>
      </c>
      <c r="D85" s="1579">
        <f>BS!D46</f>
        <v>0</v>
      </c>
      <c r="E85" s="1579"/>
      <c r="F85" s="1551"/>
      <c r="G85" s="1551">
        <f>BS!F46</f>
        <v>0</v>
      </c>
      <c r="H85" s="1560"/>
      <c r="I85" s="1555"/>
      <c r="J85" s="843"/>
    </row>
    <row r="86" spans="1:10" ht="27.95" customHeight="1" x14ac:dyDescent="0.25">
      <c r="A86" s="1569"/>
      <c r="B86" s="1572"/>
      <c r="C86" s="1574"/>
      <c r="D86" s="1579">
        <f>BS!E46</f>
        <v>0</v>
      </c>
      <c r="E86" s="1579"/>
      <c r="F86" s="1579"/>
      <c r="G86" s="846"/>
      <c r="H86" s="1551">
        <f>BS!G46</f>
        <v>0</v>
      </c>
      <c r="I86" s="1560"/>
      <c r="J86" s="1552"/>
    </row>
    <row r="87" spans="1:10" ht="27.95" customHeight="1" x14ac:dyDescent="0.25">
      <c r="A87" s="1670" t="s">
        <v>613</v>
      </c>
      <c r="B87" s="1584" t="s">
        <v>614</v>
      </c>
      <c r="C87" s="1574" t="s">
        <v>918</v>
      </c>
      <c r="D87" s="1579">
        <f>BS!D47</f>
        <v>114485</v>
      </c>
      <c r="E87" s="1579"/>
      <c r="F87" s="1551"/>
      <c r="G87" s="1551">
        <f>BS!F47</f>
        <v>11485</v>
      </c>
      <c r="H87" s="1560"/>
      <c r="I87" s="1555"/>
      <c r="J87" s="843"/>
    </row>
    <row r="88" spans="1:10" ht="27.95" customHeight="1" x14ac:dyDescent="0.25">
      <c r="A88" s="1671"/>
      <c r="B88" s="1584"/>
      <c r="C88" s="1574"/>
      <c r="D88" s="1579">
        <f>BS!E47</f>
        <v>0</v>
      </c>
      <c r="E88" s="1579"/>
      <c r="F88" s="1579"/>
      <c r="G88" s="846"/>
      <c r="H88" s="1551">
        <f>BS!G47</f>
        <v>20223</v>
      </c>
      <c r="I88" s="1560"/>
      <c r="J88" s="1552"/>
    </row>
    <row r="89" spans="1:10" s="499" customFormat="1" ht="27.95" customHeight="1" x14ac:dyDescent="0.25">
      <c r="A89" s="1668" t="s">
        <v>616</v>
      </c>
      <c r="B89" s="1572" t="s">
        <v>1625</v>
      </c>
      <c r="C89" s="1574" t="s">
        <v>921</v>
      </c>
      <c r="D89" s="1579">
        <f>BS!D48</f>
        <v>0</v>
      </c>
      <c r="E89" s="1579"/>
      <c r="F89" s="1551"/>
      <c r="G89" s="1551">
        <f>BS!F48</f>
        <v>0</v>
      </c>
      <c r="H89" s="1560"/>
      <c r="I89" s="1555"/>
      <c r="J89" s="843"/>
    </row>
    <row r="90" spans="1:10" s="499" customFormat="1" ht="27.95" customHeight="1" x14ac:dyDescent="0.25">
      <c r="A90" s="1669"/>
      <c r="B90" s="1664"/>
      <c r="C90" s="1574"/>
      <c r="D90" s="1579">
        <f>BS!E48</f>
        <v>0</v>
      </c>
      <c r="E90" s="1579"/>
      <c r="F90" s="1579"/>
      <c r="G90" s="846"/>
      <c r="H90" s="1551">
        <f>BS!G48</f>
        <v>0</v>
      </c>
      <c r="I90" s="1560"/>
      <c r="J90" s="1552"/>
    </row>
    <row r="91" spans="1:10" s="499" customFormat="1" ht="27.95" customHeight="1" x14ac:dyDescent="0.25">
      <c r="A91" s="1651" t="s">
        <v>532</v>
      </c>
      <c r="B91" s="1664" t="s">
        <v>619</v>
      </c>
      <c r="C91" s="1574" t="s">
        <v>924</v>
      </c>
      <c r="D91" s="1579">
        <f>BS!D49</f>
        <v>0</v>
      </c>
      <c r="E91" s="1579"/>
      <c r="F91" s="1551"/>
      <c r="G91" s="1551">
        <f>BS!F49</f>
        <v>0</v>
      </c>
      <c r="H91" s="1560"/>
      <c r="I91" s="1555"/>
      <c r="J91" s="843"/>
    </row>
    <row r="92" spans="1:10" s="499" customFormat="1" ht="27.95" customHeight="1" x14ac:dyDescent="0.25">
      <c r="A92" s="1569"/>
      <c r="B92" s="1571"/>
      <c r="C92" s="1574"/>
      <c r="D92" s="1579">
        <f>BS!E49</f>
        <v>0</v>
      </c>
      <c r="E92" s="1579"/>
      <c r="F92" s="1579"/>
      <c r="G92" s="846"/>
      <c r="H92" s="1551">
        <f>BS!G49</f>
        <v>0</v>
      </c>
      <c r="I92" s="1560"/>
      <c r="J92" s="1552"/>
    </row>
    <row r="93" spans="1:10" ht="27.95" customHeight="1" x14ac:dyDescent="0.25">
      <c r="A93" s="1651" t="s">
        <v>535</v>
      </c>
      <c r="B93" s="1664" t="s">
        <v>1626</v>
      </c>
      <c r="C93" s="1574" t="s">
        <v>927</v>
      </c>
      <c r="D93" s="1579">
        <f>BS!D50</f>
        <v>0</v>
      </c>
      <c r="E93" s="1579"/>
      <c r="F93" s="1551"/>
      <c r="G93" s="1551">
        <f>BS!F50</f>
        <v>0</v>
      </c>
      <c r="H93" s="1560"/>
      <c r="I93" s="1555"/>
      <c r="J93" s="843"/>
    </row>
    <row r="94" spans="1:10" ht="27.95" customHeight="1" x14ac:dyDescent="0.25">
      <c r="A94" s="1569"/>
      <c r="B94" s="1571"/>
      <c r="C94" s="1574"/>
      <c r="D94" s="1579">
        <f>BS!E50</f>
        <v>0</v>
      </c>
      <c r="E94" s="1579"/>
      <c r="F94" s="1579"/>
      <c r="G94" s="787"/>
      <c r="H94" s="1551">
        <f>BS!G50</f>
        <v>0</v>
      </c>
      <c r="I94" s="1560"/>
      <c r="J94" s="1552"/>
    </row>
    <row r="95" spans="1:10" ht="11.25" customHeight="1" x14ac:dyDescent="0.25">
      <c r="A95" s="1657" t="s">
        <v>1582</v>
      </c>
      <c r="B95" s="1658" t="s">
        <v>1583</v>
      </c>
      <c r="C95" s="1659" t="s">
        <v>1584</v>
      </c>
      <c r="D95" s="1556" t="s">
        <v>1585</v>
      </c>
      <c r="E95" s="1587"/>
      <c r="F95" s="1587"/>
      <c r="G95" s="1587"/>
      <c r="H95" s="1559"/>
      <c r="I95" s="1561" t="s">
        <v>1586</v>
      </c>
      <c r="J95" s="1562"/>
    </row>
    <row r="96" spans="1:10" ht="11.25" customHeight="1" x14ac:dyDescent="0.15">
      <c r="A96" s="1657"/>
      <c r="B96" s="1658"/>
      <c r="C96" s="1659"/>
      <c r="D96" s="1609">
        <v>1</v>
      </c>
      <c r="E96" s="1565" t="s">
        <v>1587</v>
      </c>
      <c r="F96" s="1661"/>
      <c r="G96" s="1620" t="s">
        <v>1588</v>
      </c>
      <c r="H96" s="1621"/>
      <c r="I96" s="1556"/>
      <c r="J96" s="1557"/>
    </row>
    <row r="97" spans="1:12" ht="12" customHeight="1" x14ac:dyDescent="0.25">
      <c r="A97" s="1567"/>
      <c r="B97" s="1575"/>
      <c r="C97" s="1577"/>
      <c r="D97" s="1660"/>
      <c r="E97" s="1565" t="s">
        <v>1589</v>
      </c>
      <c r="F97" s="1661"/>
      <c r="G97" s="1556"/>
      <c r="H97" s="1559"/>
      <c r="I97" s="1565" t="s">
        <v>1590</v>
      </c>
      <c r="J97" s="1566"/>
    </row>
    <row r="98" spans="1:12" ht="27.95" customHeight="1" x14ac:dyDescent="0.25">
      <c r="A98" s="1651" t="s">
        <v>538</v>
      </c>
      <c r="B98" s="1667" t="s">
        <v>1627</v>
      </c>
      <c r="C98" s="1573" t="s">
        <v>930</v>
      </c>
      <c r="D98" s="1579">
        <f>BS!D51</f>
        <v>0</v>
      </c>
      <c r="E98" s="1579"/>
      <c r="F98" s="1579"/>
      <c r="G98" s="1551">
        <f>BS!F51</f>
        <v>0</v>
      </c>
      <c r="H98" s="1560"/>
      <c r="I98" s="1555"/>
      <c r="J98" s="843"/>
      <c r="L98" s="551" t="s">
        <v>1177</v>
      </c>
    </row>
    <row r="99" spans="1:12" ht="27.95" customHeight="1" x14ac:dyDescent="0.25">
      <c r="A99" s="1569"/>
      <c r="B99" s="1571"/>
      <c r="C99" s="1574"/>
      <c r="D99" s="1579">
        <f>BS!E51</f>
        <v>0</v>
      </c>
      <c r="E99" s="1579"/>
      <c r="F99" s="1579"/>
      <c r="G99" s="844"/>
      <c r="H99" s="1551">
        <f>BS!G51</f>
        <v>0</v>
      </c>
      <c r="I99" s="1560"/>
      <c r="J99" s="1552"/>
    </row>
    <row r="100" spans="1:12" ht="27.95" customHeight="1" x14ac:dyDescent="0.25">
      <c r="A100" s="1651" t="s">
        <v>541</v>
      </c>
      <c r="B100" s="1572" t="s">
        <v>1628</v>
      </c>
      <c r="C100" s="1574" t="s">
        <v>933</v>
      </c>
      <c r="D100" s="1579">
        <f>BS!D52</f>
        <v>0</v>
      </c>
      <c r="E100" s="1579"/>
      <c r="F100" s="1579"/>
      <c r="G100" s="1551">
        <f>BS!F52</f>
        <v>0</v>
      </c>
      <c r="H100" s="1560"/>
      <c r="I100" s="1555"/>
      <c r="J100" s="843"/>
    </row>
    <row r="101" spans="1:12" ht="27.95" customHeight="1" x14ac:dyDescent="0.25">
      <c r="A101" s="1569"/>
      <c r="B101" s="1572"/>
      <c r="C101" s="1574"/>
      <c r="D101" s="1579">
        <f>BS!E52</f>
        <v>0</v>
      </c>
      <c r="E101" s="1579"/>
      <c r="F101" s="1579"/>
      <c r="G101" s="844"/>
      <c r="H101" s="1551">
        <f>BS!G52</f>
        <v>0</v>
      </c>
      <c r="I101" s="1560"/>
      <c r="J101" s="1552"/>
    </row>
    <row r="102" spans="1:12" ht="27.95" customHeight="1" x14ac:dyDescent="0.25">
      <c r="A102" s="1651" t="s">
        <v>544</v>
      </c>
      <c r="B102" s="1572" t="s">
        <v>1629</v>
      </c>
      <c r="C102" s="1573" t="s">
        <v>936</v>
      </c>
      <c r="D102" s="1579">
        <f>BS!D53</f>
        <v>0</v>
      </c>
      <c r="E102" s="1579"/>
      <c r="F102" s="1579"/>
      <c r="G102" s="1551">
        <f>BS!F53</f>
        <v>0</v>
      </c>
      <c r="H102" s="1560"/>
      <c r="I102" s="1555"/>
      <c r="J102" s="843"/>
    </row>
    <row r="103" spans="1:12" ht="27.95" customHeight="1" x14ac:dyDescent="0.25">
      <c r="A103" s="1569"/>
      <c r="B103" s="1572"/>
      <c r="C103" s="1574"/>
      <c r="D103" s="1579">
        <f>BS!E53</f>
        <v>0</v>
      </c>
      <c r="E103" s="1579"/>
      <c r="F103" s="1579"/>
      <c r="G103" s="844"/>
      <c r="H103" s="1551">
        <f>BS!G53</f>
        <v>0</v>
      </c>
      <c r="I103" s="1560"/>
      <c r="J103" s="1552"/>
    </row>
    <row r="104" spans="1:12" ht="27.95" customHeight="1" x14ac:dyDescent="0.25">
      <c r="A104" s="1651" t="s">
        <v>547</v>
      </c>
      <c r="B104" s="1572" t="s">
        <v>1630</v>
      </c>
      <c r="C104" s="1574" t="s">
        <v>939</v>
      </c>
      <c r="D104" s="1579">
        <f>BS!D54</f>
        <v>11485</v>
      </c>
      <c r="E104" s="1579"/>
      <c r="F104" s="1579"/>
      <c r="G104" s="1551">
        <f>BS!F54</f>
        <v>11485</v>
      </c>
      <c r="H104" s="1560"/>
      <c r="I104" s="1555"/>
      <c r="J104" s="843"/>
    </row>
    <row r="105" spans="1:12" ht="27.95" customHeight="1" x14ac:dyDescent="0.25">
      <c r="A105" s="1569"/>
      <c r="B105" s="1572"/>
      <c r="C105" s="1574"/>
      <c r="D105" s="1579">
        <f>BS!E54</f>
        <v>0</v>
      </c>
      <c r="E105" s="1579"/>
      <c r="F105" s="1579"/>
      <c r="G105" s="844"/>
      <c r="H105" s="1551">
        <f>BS!G54</f>
        <v>20223</v>
      </c>
      <c r="I105" s="1560"/>
      <c r="J105" s="1552"/>
    </row>
    <row r="106" spans="1:12" ht="27.95" customHeight="1" x14ac:dyDescent="0.25">
      <c r="A106" s="1662" t="s">
        <v>631</v>
      </c>
      <c r="B106" s="1584" t="s">
        <v>632</v>
      </c>
      <c r="C106" s="1573" t="s">
        <v>941</v>
      </c>
      <c r="D106" s="1579">
        <f>BS!D55</f>
        <v>4027190</v>
      </c>
      <c r="E106" s="1579"/>
      <c r="F106" s="1579"/>
      <c r="G106" s="1551">
        <f>BS!F55</f>
        <v>4009122</v>
      </c>
      <c r="H106" s="1560"/>
      <c r="I106" s="1555"/>
      <c r="J106" s="843"/>
    </row>
    <row r="107" spans="1:12" ht="27.95" customHeight="1" x14ac:dyDescent="0.25">
      <c r="A107" s="1582"/>
      <c r="B107" s="1584"/>
      <c r="C107" s="1574"/>
      <c r="D107" s="1579">
        <f>BS!E55</f>
        <v>18068</v>
      </c>
      <c r="E107" s="1579"/>
      <c r="F107" s="1579"/>
      <c r="G107" s="844"/>
      <c r="H107" s="1551">
        <f>BS!G55</f>
        <v>3332620</v>
      </c>
      <c r="I107" s="1560"/>
      <c r="J107" s="1552"/>
    </row>
    <row r="108" spans="1:12" s="499" customFormat="1" ht="27.95" customHeight="1" x14ac:dyDescent="0.25">
      <c r="A108" s="1665" t="s">
        <v>634</v>
      </c>
      <c r="B108" s="1572" t="s">
        <v>1631</v>
      </c>
      <c r="C108" s="1574" t="s">
        <v>944</v>
      </c>
      <c r="D108" s="1579">
        <f>BS!D56</f>
        <v>3787096</v>
      </c>
      <c r="E108" s="1579"/>
      <c r="F108" s="1579"/>
      <c r="G108" s="1551">
        <f>BS!F56</f>
        <v>3769028</v>
      </c>
      <c r="H108" s="1560"/>
      <c r="I108" s="1555"/>
      <c r="J108" s="843"/>
    </row>
    <row r="109" spans="1:12" s="499" customFormat="1" ht="27.95" customHeight="1" x14ac:dyDescent="0.25">
      <c r="A109" s="1666"/>
      <c r="B109" s="1572"/>
      <c r="C109" s="1574"/>
      <c r="D109" s="1579">
        <f>BS!E56</f>
        <v>18068</v>
      </c>
      <c r="E109" s="1579"/>
      <c r="F109" s="1579"/>
      <c r="G109" s="844"/>
      <c r="H109" s="1551">
        <f>BS!G56</f>
        <v>3140060</v>
      </c>
      <c r="I109" s="1560"/>
      <c r="J109" s="1552"/>
    </row>
    <row r="110" spans="1:12" s="499" customFormat="1" ht="27.95" customHeight="1" x14ac:dyDescent="0.25">
      <c r="A110" s="1651" t="s">
        <v>532</v>
      </c>
      <c r="B110" s="1572" t="s">
        <v>619</v>
      </c>
      <c r="C110" s="1573" t="s">
        <v>947</v>
      </c>
      <c r="D110" s="1579">
        <f>BS!D57</f>
        <v>0</v>
      </c>
      <c r="E110" s="1579"/>
      <c r="F110" s="1579"/>
      <c r="G110" s="1551">
        <f>BS!F57</f>
        <v>0</v>
      </c>
      <c r="H110" s="1560"/>
      <c r="I110" s="1555"/>
      <c r="J110" s="843"/>
    </row>
    <row r="111" spans="1:12" s="499" customFormat="1" ht="27.95" customHeight="1" x14ac:dyDescent="0.25">
      <c r="A111" s="1569"/>
      <c r="B111" s="1572"/>
      <c r="C111" s="1574"/>
      <c r="D111" s="1579">
        <f>BS!E57</f>
        <v>0</v>
      </c>
      <c r="E111" s="1579"/>
      <c r="F111" s="1579"/>
      <c r="G111" s="844"/>
      <c r="H111" s="1551">
        <f>BS!G57</f>
        <v>0</v>
      </c>
      <c r="I111" s="1560"/>
      <c r="J111" s="1552"/>
    </row>
    <row r="112" spans="1:12" ht="27.95" customHeight="1" x14ac:dyDescent="0.25">
      <c r="A112" s="1651" t="s">
        <v>535</v>
      </c>
      <c r="B112" s="1572" t="s">
        <v>1632</v>
      </c>
      <c r="C112" s="1574" t="s">
        <v>950</v>
      </c>
      <c r="D112" s="1579">
        <f>BS!D58</f>
        <v>100000</v>
      </c>
      <c r="E112" s="1579"/>
      <c r="F112" s="1579"/>
      <c r="G112" s="1551">
        <f>BS!F58</f>
        <v>100000</v>
      </c>
      <c r="H112" s="1560"/>
      <c r="I112" s="1555"/>
      <c r="J112" s="843"/>
    </row>
    <row r="113" spans="1:10" ht="27.95" customHeight="1" x14ac:dyDescent="0.25">
      <c r="A113" s="1569"/>
      <c r="B113" s="1572"/>
      <c r="C113" s="1574"/>
      <c r="D113" s="1579">
        <f>BS!E58</f>
        <v>0</v>
      </c>
      <c r="E113" s="1579"/>
      <c r="F113" s="1579"/>
      <c r="G113" s="844"/>
      <c r="H113" s="1551">
        <f>BS!G58</f>
        <v>0</v>
      </c>
      <c r="I113" s="1560"/>
      <c r="J113" s="1552"/>
    </row>
    <row r="114" spans="1:10" ht="27.95" customHeight="1" x14ac:dyDescent="0.25">
      <c r="A114" s="1651" t="s">
        <v>538</v>
      </c>
      <c r="B114" s="1572" t="s">
        <v>1627</v>
      </c>
      <c r="C114" s="1573" t="s">
        <v>952</v>
      </c>
      <c r="D114" s="1579">
        <f>BS!D59</f>
        <v>0</v>
      </c>
      <c r="E114" s="1579"/>
      <c r="F114" s="1579"/>
      <c r="G114" s="1551">
        <f>BS!F59</f>
        <v>0</v>
      </c>
      <c r="H114" s="1560"/>
      <c r="I114" s="1555"/>
      <c r="J114" s="843"/>
    </row>
    <row r="115" spans="1:10" ht="27.95" customHeight="1" x14ac:dyDescent="0.25">
      <c r="A115" s="1569"/>
      <c r="B115" s="1572"/>
      <c r="C115" s="1574"/>
      <c r="D115" s="1579">
        <f>BS!E59</f>
        <v>0</v>
      </c>
      <c r="E115" s="1579"/>
      <c r="F115" s="1579"/>
      <c r="G115" s="844"/>
      <c r="H115" s="1551">
        <f>BS!G59</f>
        <v>0</v>
      </c>
      <c r="I115" s="1560"/>
      <c r="J115" s="1552"/>
    </row>
    <row r="116" spans="1:10" ht="27.95" customHeight="1" x14ac:dyDescent="0.25">
      <c r="A116" s="1651" t="s">
        <v>541</v>
      </c>
      <c r="B116" s="1572" t="s">
        <v>1633</v>
      </c>
      <c r="C116" s="1574" t="s">
        <v>954</v>
      </c>
      <c r="D116" s="1579">
        <f>BS!D60</f>
        <v>0</v>
      </c>
      <c r="E116" s="1579"/>
      <c r="F116" s="1579"/>
      <c r="G116" s="1551">
        <f>BS!F60</f>
        <v>0</v>
      </c>
      <c r="H116" s="1560"/>
      <c r="I116" s="1555"/>
      <c r="J116" s="843"/>
    </row>
    <row r="117" spans="1:10" ht="27.95" customHeight="1" x14ac:dyDescent="0.25">
      <c r="A117" s="1569"/>
      <c r="B117" s="1572"/>
      <c r="C117" s="1574"/>
      <c r="D117" s="1579">
        <f>BS!E60</f>
        <v>0</v>
      </c>
      <c r="E117" s="1579"/>
      <c r="F117" s="1579"/>
      <c r="G117" s="844"/>
      <c r="H117" s="1551">
        <f>BS!G60</f>
        <v>0</v>
      </c>
      <c r="I117" s="1560"/>
      <c r="J117" s="1552"/>
    </row>
    <row r="118" spans="1:10" ht="27.95" customHeight="1" x14ac:dyDescent="0.25">
      <c r="A118" s="1651" t="s">
        <v>544</v>
      </c>
      <c r="B118" s="1572" t="s">
        <v>1634</v>
      </c>
      <c r="C118" s="1573" t="s">
        <v>957</v>
      </c>
      <c r="D118" s="1579">
        <f>BS!D61</f>
        <v>0</v>
      </c>
      <c r="E118" s="1579"/>
      <c r="F118" s="1579"/>
      <c r="G118" s="1551">
        <f>BS!F61</f>
        <v>0</v>
      </c>
      <c r="H118" s="1560"/>
      <c r="I118" s="1555"/>
      <c r="J118" s="843"/>
    </row>
    <row r="119" spans="1:10" ht="27.95" customHeight="1" x14ac:dyDescent="0.25">
      <c r="A119" s="1569"/>
      <c r="B119" s="1572"/>
      <c r="C119" s="1574"/>
      <c r="D119" s="1579">
        <f>BS!E61</f>
        <v>0</v>
      </c>
      <c r="E119" s="1579"/>
      <c r="F119" s="1579"/>
      <c r="G119" s="844"/>
      <c r="H119" s="1551">
        <f>BS!G61</f>
        <v>0</v>
      </c>
      <c r="I119" s="1560"/>
      <c r="J119" s="1552"/>
    </row>
    <row r="120" spans="1:10" ht="27.95" customHeight="1" x14ac:dyDescent="0.25">
      <c r="A120" s="1651" t="s">
        <v>547</v>
      </c>
      <c r="B120" s="1572" t="s">
        <v>1635</v>
      </c>
      <c r="C120" s="1574" t="s">
        <v>960</v>
      </c>
      <c r="D120" s="1579">
        <f>BS!D62</f>
        <v>139836</v>
      </c>
      <c r="E120" s="1579"/>
      <c r="F120" s="1579"/>
      <c r="G120" s="1551">
        <f>BS!F62</f>
        <v>139836</v>
      </c>
      <c r="H120" s="1560"/>
      <c r="I120" s="1555"/>
      <c r="J120" s="843"/>
    </row>
    <row r="121" spans="1:10" ht="27.95" customHeight="1" x14ac:dyDescent="0.25">
      <c r="A121" s="1569"/>
      <c r="B121" s="1572"/>
      <c r="C121" s="1574"/>
      <c r="D121" s="1579">
        <f>BS!E62</f>
        <v>0</v>
      </c>
      <c r="E121" s="1579"/>
      <c r="F121" s="1579"/>
      <c r="G121" s="844"/>
      <c r="H121" s="1551">
        <f>BS!G62</f>
        <v>192532</v>
      </c>
      <c r="I121" s="1560"/>
      <c r="J121" s="1552"/>
    </row>
    <row r="122" spans="1:10" ht="27.95" customHeight="1" x14ac:dyDescent="0.25">
      <c r="A122" s="1651" t="s">
        <v>568</v>
      </c>
      <c r="B122" s="1572" t="s">
        <v>1629</v>
      </c>
      <c r="C122" s="1573" t="s">
        <v>962</v>
      </c>
      <c r="D122" s="1579">
        <f>BS!D63</f>
        <v>258</v>
      </c>
      <c r="E122" s="1579"/>
      <c r="F122" s="1579"/>
      <c r="G122" s="1551">
        <f>BS!F63</f>
        <v>258</v>
      </c>
      <c r="H122" s="1560"/>
      <c r="I122" s="1555"/>
      <c r="J122" s="843"/>
    </row>
    <row r="123" spans="1:10" ht="27.95" customHeight="1" x14ac:dyDescent="0.25">
      <c r="A123" s="1569"/>
      <c r="B123" s="1664"/>
      <c r="C123" s="1574"/>
      <c r="D123" s="1579">
        <f>BS!E63</f>
        <v>0</v>
      </c>
      <c r="E123" s="1579"/>
      <c r="F123" s="1579"/>
      <c r="G123" s="844"/>
      <c r="H123" s="1551">
        <f>BS!G63</f>
        <v>28</v>
      </c>
      <c r="I123" s="1560"/>
      <c r="J123" s="1552"/>
    </row>
    <row r="124" spans="1:10" ht="27.95" customHeight="1" x14ac:dyDescent="0.25">
      <c r="A124" s="1662" t="s">
        <v>649</v>
      </c>
      <c r="B124" s="1584" t="s">
        <v>650</v>
      </c>
      <c r="C124" s="1574" t="s">
        <v>965</v>
      </c>
      <c r="D124" s="1663">
        <f>BS!D64</f>
        <v>466048</v>
      </c>
      <c r="E124" s="1663"/>
      <c r="F124" s="1663"/>
      <c r="G124" s="1551">
        <f>BS!F64</f>
        <v>466048</v>
      </c>
      <c r="H124" s="1560"/>
      <c r="I124" s="1555"/>
      <c r="J124" s="843"/>
    </row>
    <row r="125" spans="1:10" ht="27.95" customHeight="1" x14ac:dyDescent="0.25">
      <c r="A125" s="1582"/>
      <c r="B125" s="1584"/>
      <c r="C125" s="1574"/>
      <c r="D125" s="1579">
        <f>BS!E64</f>
        <v>0</v>
      </c>
      <c r="E125" s="1579"/>
      <c r="F125" s="1579"/>
      <c r="G125" s="844"/>
      <c r="H125" s="1551">
        <f>BS!G64</f>
        <v>687402</v>
      </c>
      <c r="I125" s="1560"/>
      <c r="J125" s="1552"/>
    </row>
    <row r="126" spans="1:10" s="499" customFormat="1" ht="27.95" customHeight="1" x14ac:dyDescent="0.25">
      <c r="A126" s="1653" t="s">
        <v>652</v>
      </c>
      <c r="B126" s="1572" t="s">
        <v>1636</v>
      </c>
      <c r="C126" s="1573" t="s">
        <v>968</v>
      </c>
      <c r="D126" s="1579">
        <f>BS!D65</f>
        <v>2698</v>
      </c>
      <c r="E126" s="1579"/>
      <c r="F126" s="1579"/>
      <c r="G126" s="1551">
        <f>BS!F65</f>
        <v>2698</v>
      </c>
      <c r="H126" s="1560"/>
      <c r="I126" s="1555"/>
      <c r="J126" s="843"/>
    </row>
    <row r="127" spans="1:10" s="499" customFormat="1" ht="27.95" customHeight="1" x14ac:dyDescent="0.25">
      <c r="A127" s="1654"/>
      <c r="B127" s="1572"/>
      <c r="C127" s="1574"/>
      <c r="D127" s="1579">
        <f>BS!E65</f>
        <v>0</v>
      </c>
      <c r="E127" s="1579"/>
      <c r="F127" s="1579"/>
      <c r="G127" s="797"/>
      <c r="H127" s="1551">
        <f>BS!G65</f>
        <v>820</v>
      </c>
      <c r="I127" s="1560"/>
      <c r="J127" s="1552"/>
    </row>
    <row r="128" spans="1:10" ht="11.25" customHeight="1" x14ac:dyDescent="0.25">
      <c r="A128" s="1657" t="s">
        <v>1582</v>
      </c>
      <c r="B128" s="1658" t="s">
        <v>1583</v>
      </c>
      <c r="C128" s="1659" t="s">
        <v>1584</v>
      </c>
      <c r="D128" s="1556" t="s">
        <v>1585</v>
      </c>
      <c r="E128" s="1587"/>
      <c r="F128" s="1587"/>
      <c r="G128" s="1587"/>
      <c r="H128" s="1559"/>
      <c r="I128" s="1561" t="s">
        <v>1586</v>
      </c>
      <c r="J128" s="1562"/>
    </row>
    <row r="129" spans="1:10" ht="11.25" customHeight="1" x14ac:dyDescent="0.15">
      <c r="A129" s="1657"/>
      <c r="B129" s="1658"/>
      <c r="C129" s="1659"/>
      <c r="D129" s="1609">
        <v>1</v>
      </c>
      <c r="E129" s="1565" t="s">
        <v>1587</v>
      </c>
      <c r="F129" s="1661"/>
      <c r="G129" s="1620" t="s">
        <v>1588</v>
      </c>
      <c r="H129" s="1621"/>
      <c r="I129" s="1556"/>
      <c r="J129" s="1557"/>
    </row>
    <row r="130" spans="1:10" ht="11.25" customHeight="1" x14ac:dyDescent="0.25">
      <c r="A130" s="1567"/>
      <c r="B130" s="1575"/>
      <c r="C130" s="1577"/>
      <c r="D130" s="1660"/>
      <c r="E130" s="1565" t="s">
        <v>1589</v>
      </c>
      <c r="F130" s="1661"/>
      <c r="G130" s="1556"/>
      <c r="H130" s="1559"/>
      <c r="I130" s="1565" t="s">
        <v>1590</v>
      </c>
      <c r="J130" s="1566"/>
    </row>
    <row r="131" spans="1:10" s="569" customFormat="1" ht="27.95" customHeight="1" x14ac:dyDescent="0.25">
      <c r="A131" s="1651" t="s">
        <v>532</v>
      </c>
      <c r="B131" s="1571" t="s">
        <v>1637</v>
      </c>
      <c r="C131" s="1574" t="s">
        <v>656</v>
      </c>
      <c r="D131" s="1579">
        <f>BS!D66</f>
        <v>463350</v>
      </c>
      <c r="E131" s="1579"/>
      <c r="F131" s="1579"/>
      <c r="G131" s="1551">
        <f>BS!F66</f>
        <v>463350</v>
      </c>
      <c r="H131" s="1560"/>
      <c r="I131" s="1555"/>
      <c r="J131" s="570"/>
    </row>
    <row r="132" spans="1:10" s="569" customFormat="1" ht="27.95" customHeight="1" x14ac:dyDescent="0.25">
      <c r="A132" s="1569"/>
      <c r="B132" s="1572"/>
      <c r="C132" s="1574"/>
      <c r="D132" s="1579">
        <f>BS!E66</f>
        <v>0</v>
      </c>
      <c r="E132" s="1579"/>
      <c r="F132" s="1579"/>
      <c r="G132" s="845"/>
      <c r="H132" s="1551">
        <f>BS!G66</f>
        <v>686582</v>
      </c>
      <c r="I132" s="1560"/>
      <c r="J132" s="1552"/>
    </row>
    <row r="133" spans="1:10" s="569" customFormat="1" ht="27.95" customHeight="1" x14ac:dyDescent="0.25">
      <c r="A133" s="1651" t="s">
        <v>535</v>
      </c>
      <c r="B133" s="1572" t="s">
        <v>1638</v>
      </c>
      <c r="C133" s="1574" t="s">
        <v>658</v>
      </c>
      <c r="D133" s="1579">
        <f>BS!D67</f>
        <v>0</v>
      </c>
      <c r="E133" s="1579"/>
      <c r="F133" s="1579"/>
      <c r="G133" s="1551">
        <f>BS!F67</f>
        <v>0</v>
      </c>
      <c r="H133" s="1560"/>
      <c r="I133" s="1555"/>
      <c r="J133" s="570"/>
    </row>
    <row r="134" spans="1:10" ht="27.95" customHeight="1" x14ac:dyDescent="0.25">
      <c r="A134" s="1569"/>
      <c r="B134" s="1572"/>
      <c r="C134" s="1574"/>
      <c r="D134" s="1579">
        <f>BS!E67</f>
        <v>0</v>
      </c>
      <c r="E134" s="1579"/>
      <c r="F134" s="1579"/>
      <c r="G134" s="845"/>
      <c r="H134" s="1551">
        <f>BS!G67</f>
        <v>0</v>
      </c>
      <c r="I134" s="1560"/>
      <c r="J134" s="1552"/>
    </row>
    <row r="135" spans="1:10" ht="27.95" customHeight="1" x14ac:dyDescent="0.25">
      <c r="A135" s="1651" t="s">
        <v>538</v>
      </c>
      <c r="B135" s="1572" t="s">
        <v>1639</v>
      </c>
      <c r="C135" s="1574" t="s">
        <v>660</v>
      </c>
      <c r="D135" s="1579">
        <f>BS!D68</f>
        <v>0</v>
      </c>
      <c r="E135" s="1579"/>
      <c r="F135" s="1579"/>
      <c r="G135" s="1551">
        <f>BS!F68</f>
        <v>0</v>
      </c>
      <c r="H135" s="1560"/>
      <c r="I135" s="1555"/>
      <c r="J135" s="843"/>
    </row>
    <row r="136" spans="1:10" ht="27.95" customHeight="1" x14ac:dyDescent="0.25">
      <c r="A136" s="1569"/>
      <c r="B136" s="1572"/>
      <c r="C136" s="1574"/>
      <c r="D136" s="1579">
        <f>BS!E68</f>
        <v>0</v>
      </c>
      <c r="E136" s="1579"/>
      <c r="F136" s="1579"/>
      <c r="G136" s="845"/>
      <c r="H136" s="1551">
        <f>BS!G68</f>
        <v>0</v>
      </c>
      <c r="I136" s="1560"/>
      <c r="J136" s="1552"/>
    </row>
    <row r="137" spans="1:10" ht="27.95" customHeight="1" x14ac:dyDescent="0.25">
      <c r="A137" s="1651" t="s">
        <v>541</v>
      </c>
      <c r="B137" s="1572" t="s">
        <v>1640</v>
      </c>
      <c r="C137" s="1574" t="s">
        <v>662</v>
      </c>
      <c r="D137" s="1579">
        <f>BS!D69</f>
        <v>0</v>
      </c>
      <c r="E137" s="1579"/>
      <c r="F137" s="1579"/>
      <c r="G137" s="1551">
        <f>BS!F69</f>
        <v>0</v>
      </c>
      <c r="H137" s="1560"/>
      <c r="I137" s="1555"/>
      <c r="J137" s="843"/>
    </row>
    <row r="138" spans="1:10" ht="27.95" customHeight="1" x14ac:dyDescent="0.25">
      <c r="A138" s="1569"/>
      <c r="B138" s="1572"/>
      <c r="C138" s="1574"/>
      <c r="D138" s="1579">
        <f>BS!E69</f>
        <v>0</v>
      </c>
      <c r="E138" s="1579"/>
      <c r="F138" s="1579"/>
      <c r="G138" s="845"/>
      <c r="H138" s="1551">
        <f>BS!G69</f>
        <v>0</v>
      </c>
      <c r="I138" s="1560"/>
      <c r="J138" s="1552"/>
    </row>
    <row r="139" spans="1:10" ht="27.95" customHeight="1" x14ac:dyDescent="0.25">
      <c r="A139" s="1655" t="s">
        <v>663</v>
      </c>
      <c r="B139" s="1584" t="s">
        <v>1641</v>
      </c>
      <c r="C139" s="1585" t="s">
        <v>665</v>
      </c>
      <c r="D139" s="1579">
        <f>BS!D70</f>
        <v>1551</v>
      </c>
      <c r="E139" s="1579"/>
      <c r="F139" s="1579"/>
      <c r="G139" s="1551">
        <f>BS!F70</f>
        <v>1551</v>
      </c>
      <c r="H139" s="1560"/>
      <c r="I139" s="1555"/>
      <c r="J139" s="843"/>
    </row>
    <row r="140" spans="1:10" ht="27.95" customHeight="1" x14ac:dyDescent="0.25">
      <c r="A140" s="1656"/>
      <c r="B140" s="1584"/>
      <c r="C140" s="1585"/>
      <c r="D140" s="1579">
        <f>BS!E70</f>
        <v>0</v>
      </c>
      <c r="E140" s="1579"/>
      <c r="F140" s="1579"/>
      <c r="G140" s="845"/>
      <c r="H140" s="1551">
        <f>BS!G70</f>
        <v>6225</v>
      </c>
      <c r="I140" s="1560"/>
      <c r="J140" s="1552"/>
    </row>
    <row r="141" spans="1:10" ht="27.95" customHeight="1" x14ac:dyDescent="0.25">
      <c r="A141" s="1653" t="s">
        <v>666</v>
      </c>
      <c r="B141" s="1652" t="s">
        <v>1642</v>
      </c>
      <c r="C141" s="1574" t="s">
        <v>668</v>
      </c>
      <c r="D141" s="1579">
        <f>BS!D71</f>
        <v>0</v>
      </c>
      <c r="E141" s="1579"/>
      <c r="F141" s="1579"/>
      <c r="G141" s="1551">
        <f>BS!F71</f>
        <v>0</v>
      </c>
      <c r="H141" s="1560"/>
      <c r="I141" s="1555"/>
      <c r="J141" s="843"/>
    </row>
    <row r="142" spans="1:10" ht="27.95" customHeight="1" x14ac:dyDescent="0.25">
      <c r="A142" s="1654"/>
      <c r="B142" s="1572"/>
      <c r="C142" s="1574"/>
      <c r="D142" s="1579">
        <f>BS!E71</f>
        <v>0</v>
      </c>
      <c r="E142" s="1579"/>
      <c r="F142" s="1579"/>
      <c r="G142" s="845"/>
      <c r="H142" s="1551">
        <f>BS!G71</f>
        <v>0</v>
      </c>
      <c r="I142" s="1560"/>
      <c r="J142" s="1552"/>
    </row>
    <row r="143" spans="1:10" ht="27.95" customHeight="1" x14ac:dyDescent="0.25">
      <c r="A143" s="1651" t="s">
        <v>532</v>
      </c>
      <c r="B143" s="1652" t="s">
        <v>1643</v>
      </c>
      <c r="C143" s="1574" t="s">
        <v>670</v>
      </c>
      <c r="D143" s="1579">
        <f>BS!D72</f>
        <v>1526</v>
      </c>
      <c r="E143" s="1579"/>
      <c r="F143" s="1579"/>
      <c r="G143" s="1551">
        <f>BS!F72</f>
        <v>1526</v>
      </c>
      <c r="H143" s="1560"/>
      <c r="I143" s="1555"/>
      <c r="J143" s="843"/>
    </row>
    <row r="144" spans="1:10" s="499" customFormat="1" ht="27.95" customHeight="1" x14ac:dyDescent="0.25">
      <c r="A144" s="1569"/>
      <c r="B144" s="1572"/>
      <c r="C144" s="1574"/>
      <c r="D144" s="1579">
        <f>BS!E72</f>
        <v>0</v>
      </c>
      <c r="E144" s="1579"/>
      <c r="F144" s="1579"/>
      <c r="G144" s="845"/>
      <c r="H144" s="1551">
        <f>BS!G72</f>
        <v>1889</v>
      </c>
      <c r="I144" s="1560"/>
      <c r="J144" s="1552"/>
    </row>
    <row r="145" spans="1:10" s="499" customFormat="1" ht="27.95" customHeight="1" x14ac:dyDescent="0.25">
      <c r="A145" s="1651" t="s">
        <v>535</v>
      </c>
      <c r="B145" s="1652" t="s">
        <v>1644</v>
      </c>
      <c r="C145" s="1574" t="s">
        <v>672</v>
      </c>
      <c r="D145" s="1579">
        <f>BS!D73</f>
        <v>0</v>
      </c>
      <c r="E145" s="1579"/>
      <c r="F145" s="1579"/>
      <c r="G145" s="1551">
        <f>BS!F73</f>
        <v>0</v>
      </c>
      <c r="H145" s="1560"/>
      <c r="I145" s="1555"/>
      <c r="J145" s="843"/>
    </row>
    <row r="146" spans="1:10" ht="27.95" customHeight="1" x14ac:dyDescent="0.25">
      <c r="A146" s="1569"/>
      <c r="B146" s="1572"/>
      <c r="C146" s="1574"/>
      <c r="D146" s="1579">
        <f>BS!E73</f>
        <v>0</v>
      </c>
      <c r="E146" s="1579"/>
      <c r="F146" s="1579"/>
      <c r="G146" s="845"/>
      <c r="H146" s="1551">
        <f>BS!G73</f>
        <v>0</v>
      </c>
      <c r="I146" s="1560"/>
      <c r="J146" s="1552"/>
    </row>
    <row r="147" spans="1:10" ht="27.95" customHeight="1" x14ac:dyDescent="0.25">
      <c r="A147" s="1651" t="s">
        <v>538</v>
      </c>
      <c r="B147" s="1652" t="s">
        <v>1645</v>
      </c>
      <c r="C147" s="1574" t="s">
        <v>674</v>
      </c>
      <c r="D147" s="1579">
        <f>BS!D74</f>
        <v>25</v>
      </c>
      <c r="E147" s="1579"/>
      <c r="F147" s="1579"/>
      <c r="G147" s="1551">
        <f>BS!F74</f>
        <v>25</v>
      </c>
      <c r="H147" s="1560"/>
      <c r="I147" s="1555"/>
      <c r="J147" s="843"/>
    </row>
    <row r="148" spans="1:10" s="564" customFormat="1" ht="27.95" customHeight="1" x14ac:dyDescent="0.2">
      <c r="A148" s="1569"/>
      <c r="B148" s="1572"/>
      <c r="C148" s="1574"/>
      <c r="D148" s="1579">
        <f>BS!E74</f>
        <v>0</v>
      </c>
      <c r="E148" s="1579"/>
      <c r="F148" s="1579"/>
      <c r="G148" s="797"/>
      <c r="H148" s="1551">
        <f>BS!G74</f>
        <v>4336</v>
      </c>
      <c r="I148" s="1560"/>
      <c r="J148" s="1552"/>
    </row>
    <row r="149" spans="1:10" s="564" customFormat="1" ht="30" customHeight="1" x14ac:dyDescent="0.2">
      <c r="A149" s="789" t="s">
        <v>1582</v>
      </c>
      <c r="B149" s="1648" t="s">
        <v>1646</v>
      </c>
      <c r="C149" s="1649"/>
      <c r="D149" s="1649"/>
      <c r="E149" s="1650"/>
      <c r="F149" s="795" t="s">
        <v>1584</v>
      </c>
      <c r="G149" s="1556" t="s">
        <v>1647</v>
      </c>
      <c r="H149" s="1559"/>
      <c r="I149" s="1556" t="s">
        <v>1648</v>
      </c>
      <c r="J149" s="1557"/>
    </row>
    <row r="150" spans="1:10" s="564" customFormat="1" ht="27.75" customHeight="1" x14ac:dyDescent="0.2">
      <c r="A150" s="565"/>
      <c r="B150" s="1645" t="s">
        <v>1649</v>
      </c>
      <c r="C150" s="1646"/>
      <c r="D150" s="1646"/>
      <c r="E150" s="1647"/>
      <c r="F150" s="799" t="s">
        <v>681</v>
      </c>
      <c r="G150" s="1551">
        <f>BS!D81</f>
        <v>4583761</v>
      </c>
      <c r="H150" s="1555"/>
      <c r="I150" s="1551">
        <f>BS!E81</f>
        <v>4160554</v>
      </c>
      <c r="J150" s="1552"/>
    </row>
    <row r="151" spans="1:10" s="564" customFormat="1" ht="27.75" customHeight="1" x14ac:dyDescent="0.2">
      <c r="A151" s="800" t="s">
        <v>523</v>
      </c>
      <c r="B151" s="1645" t="s">
        <v>1650</v>
      </c>
      <c r="C151" s="1646"/>
      <c r="D151" s="1646"/>
      <c r="E151" s="1647"/>
      <c r="F151" s="799" t="s">
        <v>683</v>
      </c>
      <c r="G151" s="1551">
        <f>BS!D82</f>
        <v>609783</v>
      </c>
      <c r="H151" s="1555"/>
      <c r="I151" s="1551">
        <f>BS!E82</f>
        <v>1317264</v>
      </c>
      <c r="J151" s="1552"/>
    </row>
    <row r="152" spans="1:10" ht="27.75" customHeight="1" x14ac:dyDescent="0.25">
      <c r="A152" s="800" t="s">
        <v>526</v>
      </c>
      <c r="B152" s="1645" t="s">
        <v>684</v>
      </c>
      <c r="C152" s="1646"/>
      <c r="D152" s="1646"/>
      <c r="E152" s="1647"/>
      <c r="F152" s="799" t="s">
        <v>685</v>
      </c>
      <c r="G152" s="1551">
        <f>BS!D83</f>
        <v>6639</v>
      </c>
      <c r="H152" s="1555"/>
      <c r="I152" s="1551">
        <f>BS!E83</f>
        <v>6639</v>
      </c>
      <c r="J152" s="1552"/>
    </row>
    <row r="153" spans="1:10" s="499" customFormat="1" ht="27.75" customHeight="1" x14ac:dyDescent="0.25">
      <c r="A153" s="798" t="s">
        <v>529</v>
      </c>
      <c r="B153" s="1636" t="s">
        <v>686</v>
      </c>
      <c r="C153" s="1637"/>
      <c r="D153" s="1637"/>
      <c r="E153" s="1638"/>
      <c r="F153" s="793" t="s">
        <v>687</v>
      </c>
      <c r="G153" s="1551">
        <f>BS!D84</f>
        <v>6639</v>
      </c>
      <c r="H153" s="1555"/>
      <c r="I153" s="1551">
        <f>BS!E84</f>
        <v>6639</v>
      </c>
      <c r="J153" s="1552"/>
    </row>
    <row r="154" spans="1:10" s="499" customFormat="1" ht="27.75" customHeight="1" x14ac:dyDescent="0.25">
      <c r="A154" s="791" t="s">
        <v>532</v>
      </c>
      <c r="B154" s="1636" t="s">
        <v>688</v>
      </c>
      <c r="C154" s="1637"/>
      <c r="D154" s="1637"/>
      <c r="E154" s="1638"/>
      <c r="F154" s="793" t="s">
        <v>689</v>
      </c>
      <c r="G154" s="1551">
        <f>BS!D85</f>
        <v>0</v>
      </c>
      <c r="H154" s="1555"/>
      <c r="I154" s="1551">
        <f>BS!E85</f>
        <v>0</v>
      </c>
      <c r="J154" s="1552"/>
    </row>
    <row r="155" spans="1:10" s="499" customFormat="1" ht="27.75" customHeight="1" x14ac:dyDescent="0.25">
      <c r="A155" s="791" t="s">
        <v>535</v>
      </c>
      <c r="B155" s="1636" t="s">
        <v>690</v>
      </c>
      <c r="C155" s="1637"/>
      <c r="D155" s="1637"/>
      <c r="E155" s="1638"/>
      <c r="F155" s="793" t="s">
        <v>691</v>
      </c>
      <c r="G155" s="1551">
        <f>BS!D86</f>
        <v>0</v>
      </c>
      <c r="H155" s="1555"/>
      <c r="I155" s="1551">
        <f>BS!E86</f>
        <v>0</v>
      </c>
      <c r="J155" s="1552"/>
    </row>
    <row r="156" spans="1:10" ht="27.75" customHeight="1" x14ac:dyDescent="0.25">
      <c r="A156" s="791" t="s">
        <v>538</v>
      </c>
      <c r="B156" s="1636" t="s">
        <v>692</v>
      </c>
      <c r="C156" s="1637"/>
      <c r="D156" s="1637"/>
      <c r="E156" s="1638"/>
      <c r="F156" s="793" t="s">
        <v>693</v>
      </c>
      <c r="G156" s="1551">
        <f>BS!D87</f>
        <v>0</v>
      </c>
      <c r="H156" s="1555"/>
      <c r="I156" s="1551">
        <f>BS!E87</f>
        <v>0</v>
      </c>
      <c r="J156" s="1552"/>
    </row>
    <row r="157" spans="1:10" ht="27.75" customHeight="1" x14ac:dyDescent="0.25">
      <c r="A157" s="800" t="s">
        <v>550</v>
      </c>
      <c r="B157" s="1645" t="s">
        <v>694</v>
      </c>
      <c r="C157" s="1646"/>
      <c r="D157" s="1646"/>
      <c r="E157" s="1647"/>
      <c r="F157" s="799" t="s">
        <v>695</v>
      </c>
      <c r="G157" s="1551">
        <f>BS!D88</f>
        <v>0</v>
      </c>
      <c r="H157" s="1555"/>
      <c r="I157" s="1551">
        <f>BS!E88</f>
        <v>0</v>
      </c>
      <c r="J157" s="1552"/>
    </row>
    <row r="158" spans="1:10" ht="27.75" customHeight="1" x14ac:dyDescent="0.25">
      <c r="A158" s="798" t="s">
        <v>553</v>
      </c>
      <c r="B158" s="1636" t="s">
        <v>696</v>
      </c>
      <c r="C158" s="1637"/>
      <c r="D158" s="1637"/>
      <c r="E158" s="1638"/>
      <c r="F158" s="793" t="s">
        <v>697</v>
      </c>
      <c r="G158" s="1551">
        <f>BS!D89</f>
        <v>0</v>
      </c>
      <c r="H158" s="1555"/>
      <c r="I158" s="1551">
        <f>BS!E89</f>
        <v>0</v>
      </c>
      <c r="J158" s="1552"/>
    </row>
    <row r="159" spans="1:10" ht="27.75" customHeight="1" x14ac:dyDescent="0.25">
      <c r="A159" s="791" t="s">
        <v>532</v>
      </c>
      <c r="B159" s="1636" t="s">
        <v>698</v>
      </c>
      <c r="C159" s="1637"/>
      <c r="D159" s="1637"/>
      <c r="E159" s="1638"/>
      <c r="F159" s="793" t="s">
        <v>699</v>
      </c>
      <c r="G159" s="1551">
        <f>BS!D90</f>
        <v>0</v>
      </c>
      <c r="H159" s="1555"/>
      <c r="I159" s="1551">
        <f>BS!E90</f>
        <v>0</v>
      </c>
      <c r="J159" s="1552"/>
    </row>
    <row r="160" spans="1:10" s="499" customFormat="1" ht="27.75" customHeight="1" x14ac:dyDescent="0.25">
      <c r="A160" s="791" t="s">
        <v>535</v>
      </c>
      <c r="B160" s="1636" t="s">
        <v>700</v>
      </c>
      <c r="C160" s="1637"/>
      <c r="D160" s="1637"/>
      <c r="E160" s="1638"/>
      <c r="F160" s="793" t="s">
        <v>701</v>
      </c>
      <c r="G160" s="1551">
        <f>BS!D91</f>
        <v>0</v>
      </c>
      <c r="H160" s="1555"/>
      <c r="I160" s="1551">
        <f>BS!E91</f>
        <v>0</v>
      </c>
      <c r="J160" s="1552"/>
    </row>
    <row r="161" spans="1:10" ht="27.75" customHeight="1" x14ac:dyDescent="0.25">
      <c r="A161" s="791" t="s">
        <v>538</v>
      </c>
      <c r="B161" s="1636" t="s">
        <v>1651</v>
      </c>
      <c r="C161" s="1637"/>
      <c r="D161" s="1637"/>
      <c r="E161" s="1638"/>
      <c r="F161" s="793" t="s">
        <v>703</v>
      </c>
      <c r="G161" s="1551">
        <f>BS!D92</f>
        <v>0</v>
      </c>
      <c r="H161" s="1555"/>
      <c r="I161" s="1551">
        <f>BS!E92</f>
        <v>0</v>
      </c>
      <c r="J161" s="1552"/>
    </row>
    <row r="162" spans="1:10" ht="27.75" customHeight="1" x14ac:dyDescent="0.25">
      <c r="A162" s="791" t="s">
        <v>541</v>
      </c>
      <c r="B162" s="1636" t="s">
        <v>704</v>
      </c>
      <c r="C162" s="1637"/>
      <c r="D162" s="1637"/>
      <c r="E162" s="1638"/>
      <c r="F162" s="793" t="s">
        <v>705</v>
      </c>
      <c r="G162" s="1551">
        <f>BS!D93</f>
        <v>0</v>
      </c>
      <c r="H162" s="1555"/>
      <c r="I162" s="1551">
        <f>BS!E93</f>
        <v>0</v>
      </c>
      <c r="J162" s="1552"/>
    </row>
    <row r="163" spans="1:10" ht="27.75" customHeight="1" x14ac:dyDescent="0.25">
      <c r="A163" s="791" t="s">
        <v>544</v>
      </c>
      <c r="B163" s="1636" t="s">
        <v>706</v>
      </c>
      <c r="C163" s="1637"/>
      <c r="D163" s="1637"/>
      <c r="E163" s="1638"/>
      <c r="F163" s="793" t="s">
        <v>707</v>
      </c>
      <c r="G163" s="1551">
        <f>BS!D94</f>
        <v>0</v>
      </c>
      <c r="H163" s="1555"/>
      <c r="I163" s="1551">
        <f>BS!E94</f>
        <v>0</v>
      </c>
      <c r="J163" s="1552"/>
    </row>
    <row r="164" spans="1:10" ht="27.75" customHeight="1" x14ac:dyDescent="0.25">
      <c r="A164" s="800" t="s">
        <v>574</v>
      </c>
      <c r="B164" s="1645" t="s">
        <v>708</v>
      </c>
      <c r="C164" s="1646"/>
      <c r="D164" s="1646"/>
      <c r="E164" s="1647"/>
      <c r="F164" s="799" t="s">
        <v>709</v>
      </c>
      <c r="G164" s="1551">
        <f>BS!D95</f>
        <v>664</v>
      </c>
      <c r="H164" s="1555"/>
      <c r="I164" s="1551">
        <f>BS!E95</f>
        <v>332</v>
      </c>
      <c r="J164" s="1552"/>
    </row>
    <row r="165" spans="1:10" ht="27.75" customHeight="1" x14ac:dyDescent="0.25">
      <c r="A165" s="791" t="s">
        <v>577</v>
      </c>
      <c r="B165" s="1636" t="s">
        <v>710</v>
      </c>
      <c r="C165" s="1637"/>
      <c r="D165" s="1637"/>
      <c r="E165" s="1638"/>
      <c r="F165" s="793" t="s">
        <v>711</v>
      </c>
      <c r="G165" s="1551">
        <f>BS!D96</f>
        <v>664</v>
      </c>
      <c r="H165" s="1555"/>
      <c r="I165" s="1551">
        <f>BS!E96</f>
        <v>332</v>
      </c>
      <c r="J165" s="1552"/>
    </row>
    <row r="166" spans="1:10" ht="27.75" customHeight="1" x14ac:dyDescent="0.25">
      <c r="A166" s="791" t="s">
        <v>532</v>
      </c>
      <c r="B166" s="1636" t="s">
        <v>712</v>
      </c>
      <c r="C166" s="1637"/>
      <c r="D166" s="1637"/>
      <c r="E166" s="1638"/>
      <c r="F166" s="793" t="s">
        <v>713</v>
      </c>
      <c r="G166" s="1551">
        <f>BS!D97</f>
        <v>0</v>
      </c>
      <c r="H166" s="1555"/>
      <c r="I166" s="1551">
        <f>BS!E97</f>
        <v>0</v>
      </c>
      <c r="J166" s="1552"/>
    </row>
    <row r="167" spans="1:10" s="499" customFormat="1" ht="27.75" customHeight="1" x14ac:dyDescent="0.25">
      <c r="A167" s="791" t="s">
        <v>535</v>
      </c>
      <c r="B167" s="1636" t="s">
        <v>714</v>
      </c>
      <c r="C167" s="1637"/>
      <c r="D167" s="1637"/>
      <c r="E167" s="1638"/>
      <c r="F167" s="793" t="s">
        <v>715</v>
      </c>
      <c r="G167" s="1551">
        <f>BS!D98</f>
        <v>0</v>
      </c>
      <c r="H167" s="1555"/>
      <c r="I167" s="1551">
        <f>BS!E98</f>
        <v>0</v>
      </c>
      <c r="J167" s="1552"/>
    </row>
    <row r="168" spans="1:10" ht="27.75" customHeight="1" x14ac:dyDescent="0.25">
      <c r="A168" s="800" t="s">
        <v>716</v>
      </c>
      <c r="B168" s="1645" t="s">
        <v>717</v>
      </c>
      <c r="C168" s="1646"/>
      <c r="D168" s="1646"/>
      <c r="E168" s="1647"/>
      <c r="F168" s="799" t="s">
        <v>718</v>
      </c>
      <c r="G168" s="1551">
        <f>BS!D99</f>
        <v>0</v>
      </c>
      <c r="H168" s="1555"/>
      <c r="I168" s="1551">
        <f>BS!E99</f>
        <v>0</v>
      </c>
      <c r="J168" s="1552"/>
    </row>
    <row r="169" spans="1:10" ht="27.75" customHeight="1" x14ac:dyDescent="0.25">
      <c r="A169" s="563" t="s">
        <v>719</v>
      </c>
      <c r="B169" s="1636" t="s">
        <v>720</v>
      </c>
      <c r="C169" s="1637"/>
      <c r="D169" s="1637"/>
      <c r="E169" s="1638"/>
      <c r="F169" s="793" t="s">
        <v>721</v>
      </c>
      <c r="G169" s="1551">
        <f>BS!D100</f>
        <v>0</v>
      </c>
      <c r="H169" s="1555"/>
      <c r="I169" s="1551">
        <f>BS!E100</f>
        <v>678700</v>
      </c>
      <c r="J169" s="1552"/>
    </row>
    <row r="170" spans="1:10" ht="27.75" customHeight="1" x14ac:dyDescent="0.25">
      <c r="A170" s="791" t="s">
        <v>532</v>
      </c>
      <c r="B170" s="1636" t="s">
        <v>722</v>
      </c>
      <c r="C170" s="1637"/>
      <c r="D170" s="1637"/>
      <c r="E170" s="1638"/>
      <c r="F170" s="793" t="s">
        <v>723</v>
      </c>
      <c r="G170" s="1551">
        <f>BS!D101</f>
        <v>0</v>
      </c>
      <c r="H170" s="1555"/>
      <c r="I170" s="1551">
        <f>BS!E101</f>
        <v>0</v>
      </c>
      <c r="J170" s="1552"/>
    </row>
    <row r="171" spans="1:10" s="499" customFormat="1" ht="31.5" customHeight="1" x14ac:dyDescent="0.25">
      <c r="A171" s="800" t="s">
        <v>724</v>
      </c>
      <c r="B171" s="1645" t="s">
        <v>1652</v>
      </c>
      <c r="C171" s="1646"/>
      <c r="D171" s="1646"/>
      <c r="E171" s="1647"/>
      <c r="F171" s="799" t="s">
        <v>726</v>
      </c>
      <c r="G171" s="1551">
        <f>BS!D102</f>
        <v>602504</v>
      </c>
      <c r="H171" s="1555"/>
      <c r="I171" s="1551">
        <f>BS!E102</f>
        <v>631593</v>
      </c>
      <c r="J171" s="1552"/>
    </row>
    <row r="172" spans="1:10" ht="27.75" customHeight="1" x14ac:dyDescent="0.25">
      <c r="A172" s="800" t="s">
        <v>594</v>
      </c>
      <c r="B172" s="1645" t="s">
        <v>727</v>
      </c>
      <c r="C172" s="1646"/>
      <c r="D172" s="1646"/>
      <c r="E172" s="1647"/>
      <c r="F172" s="799" t="s">
        <v>728</v>
      </c>
      <c r="G172" s="1551">
        <f>BS!D103</f>
        <v>3973954</v>
      </c>
      <c r="H172" s="1555"/>
      <c r="I172" s="1551">
        <f>BS!E103</f>
        <v>2843290</v>
      </c>
      <c r="J172" s="1552"/>
    </row>
    <row r="173" spans="1:10" ht="27.75" customHeight="1" x14ac:dyDescent="0.25">
      <c r="A173" s="800" t="s">
        <v>597</v>
      </c>
      <c r="B173" s="1645" t="s">
        <v>729</v>
      </c>
      <c r="C173" s="1646"/>
      <c r="D173" s="1646"/>
      <c r="E173" s="1647"/>
      <c r="F173" s="799" t="s">
        <v>730</v>
      </c>
      <c r="G173" s="1551">
        <f>BS!D104</f>
        <v>100876</v>
      </c>
      <c r="H173" s="1555"/>
      <c r="I173" s="1551">
        <f>BS!E104</f>
        <v>131269</v>
      </c>
      <c r="J173" s="1552"/>
    </row>
    <row r="174" spans="1:10" s="499" customFormat="1" ht="27.75" customHeight="1" x14ac:dyDescent="0.25">
      <c r="A174" s="798" t="s">
        <v>600</v>
      </c>
      <c r="B174" s="1636" t="s">
        <v>731</v>
      </c>
      <c r="C174" s="1637"/>
      <c r="D174" s="1637"/>
      <c r="E174" s="1638"/>
      <c r="F174" s="793" t="s">
        <v>732</v>
      </c>
      <c r="G174" s="1551">
        <f>BS!D105</f>
        <v>0</v>
      </c>
      <c r="H174" s="1555"/>
      <c r="I174" s="1551">
        <f>BS!E105</f>
        <v>0</v>
      </c>
      <c r="J174" s="1552"/>
    </row>
    <row r="175" spans="1:10" s="499" customFormat="1" ht="27.75" customHeight="1" x14ac:dyDescent="0.25">
      <c r="A175" s="791" t="s">
        <v>532</v>
      </c>
      <c r="B175" s="1636" t="s">
        <v>733</v>
      </c>
      <c r="C175" s="1637"/>
      <c r="D175" s="1637"/>
      <c r="E175" s="1638"/>
      <c r="F175" s="793" t="s">
        <v>734</v>
      </c>
      <c r="G175" s="1551">
        <f>BS!D106</f>
        <v>62550</v>
      </c>
      <c r="H175" s="1555"/>
      <c r="I175" s="1551">
        <f>BS!E106</f>
        <v>34586</v>
      </c>
      <c r="J175" s="1552"/>
    </row>
    <row r="176" spans="1:10" s="499" customFormat="1" ht="27.75" customHeight="1" x14ac:dyDescent="0.25">
      <c r="A176" s="791" t="s">
        <v>535</v>
      </c>
      <c r="B176" s="1636" t="s">
        <v>735</v>
      </c>
      <c r="C176" s="1637"/>
      <c r="D176" s="1637"/>
      <c r="E176" s="1638"/>
      <c r="F176" s="793" t="s">
        <v>736</v>
      </c>
      <c r="G176" s="1551">
        <f>BS!D107</f>
        <v>0</v>
      </c>
      <c r="H176" s="1555"/>
      <c r="I176" s="1551">
        <f>BS!E107</f>
        <v>0</v>
      </c>
      <c r="J176" s="1552"/>
    </row>
    <row r="177" spans="1:10" ht="27.75" customHeight="1" x14ac:dyDescent="0.25">
      <c r="A177" s="791" t="s">
        <v>538</v>
      </c>
      <c r="B177" s="1636" t="s">
        <v>737</v>
      </c>
      <c r="C177" s="1637"/>
      <c r="D177" s="1637"/>
      <c r="E177" s="1638"/>
      <c r="F177" s="793" t="s">
        <v>738</v>
      </c>
      <c r="G177" s="1551">
        <f>BS!D108</f>
        <v>38326</v>
      </c>
      <c r="H177" s="1555"/>
      <c r="I177" s="1551">
        <f>BS!E108</f>
        <v>96683</v>
      </c>
      <c r="J177" s="1552"/>
    </row>
    <row r="178" spans="1:10" ht="25.5" customHeight="1" thickBot="1" x14ac:dyDescent="0.3">
      <c r="A178" s="561" t="s">
        <v>613</v>
      </c>
      <c r="B178" s="1645" t="s">
        <v>739</v>
      </c>
      <c r="C178" s="1646"/>
      <c r="D178" s="1646"/>
      <c r="E178" s="1647"/>
      <c r="F178" s="560" t="s">
        <v>740</v>
      </c>
      <c r="G178" s="1642">
        <f>BS!D109</f>
        <v>2814</v>
      </c>
      <c r="H178" s="1643"/>
      <c r="I178" s="1642">
        <f>BS!E109</f>
        <v>10823</v>
      </c>
      <c r="J178" s="1644"/>
    </row>
    <row r="179" spans="1:10" ht="30" customHeight="1" x14ac:dyDescent="0.25">
      <c r="A179" s="789" t="s">
        <v>1582</v>
      </c>
      <c r="B179" s="1648" t="s">
        <v>1646</v>
      </c>
      <c r="C179" s="1649"/>
      <c r="D179" s="1649"/>
      <c r="E179" s="1650"/>
      <c r="F179" s="795" t="s">
        <v>1584</v>
      </c>
      <c r="G179" s="1556" t="s">
        <v>1647</v>
      </c>
      <c r="H179" s="1559"/>
      <c r="I179" s="1556" t="s">
        <v>1648</v>
      </c>
      <c r="J179" s="1557"/>
    </row>
    <row r="180" spans="1:10" ht="27.75" customHeight="1" x14ac:dyDescent="0.25">
      <c r="A180" s="798" t="s">
        <v>616</v>
      </c>
      <c r="B180" s="1645" t="s">
        <v>741</v>
      </c>
      <c r="C180" s="1646"/>
      <c r="D180" s="1646"/>
      <c r="E180" s="1647"/>
      <c r="F180" s="793" t="s">
        <v>742</v>
      </c>
      <c r="G180" s="1551">
        <f>BS!D110</f>
        <v>0</v>
      </c>
      <c r="H180" s="1555"/>
      <c r="I180" s="1551">
        <f>BS!E110</f>
        <v>0</v>
      </c>
      <c r="J180" s="1552"/>
    </row>
    <row r="181" spans="1:10" ht="27.75" customHeight="1" x14ac:dyDescent="0.25">
      <c r="A181" s="791" t="s">
        <v>532</v>
      </c>
      <c r="B181" s="1636" t="s">
        <v>619</v>
      </c>
      <c r="C181" s="1637"/>
      <c r="D181" s="1637"/>
      <c r="E181" s="1638"/>
      <c r="F181" s="793" t="s">
        <v>743</v>
      </c>
      <c r="G181" s="1551">
        <f>BS!D111</f>
        <v>0</v>
      </c>
      <c r="H181" s="1555"/>
      <c r="I181" s="1551">
        <f>BS!E111</f>
        <v>0</v>
      </c>
      <c r="J181" s="1552"/>
    </row>
    <row r="182" spans="1:10" s="499" customFormat="1" ht="27.75" customHeight="1" x14ac:dyDescent="0.25">
      <c r="A182" s="791" t="s">
        <v>535</v>
      </c>
      <c r="B182" s="1636" t="s">
        <v>744</v>
      </c>
      <c r="C182" s="1637"/>
      <c r="D182" s="1637"/>
      <c r="E182" s="1638"/>
      <c r="F182" s="793" t="s">
        <v>745</v>
      </c>
      <c r="G182" s="1551">
        <f>BS!D112</f>
        <v>0</v>
      </c>
      <c r="H182" s="1555"/>
      <c r="I182" s="1551">
        <f>BS!E112</f>
        <v>0</v>
      </c>
      <c r="J182" s="1552"/>
    </row>
    <row r="183" spans="1:10" ht="27.75" customHeight="1" x14ac:dyDescent="0.25">
      <c r="A183" s="791" t="s">
        <v>538</v>
      </c>
      <c r="B183" s="1636" t="s">
        <v>746</v>
      </c>
      <c r="C183" s="1637"/>
      <c r="D183" s="1637"/>
      <c r="E183" s="1638"/>
      <c r="F183" s="793" t="s">
        <v>747</v>
      </c>
      <c r="G183" s="1551">
        <f>BS!D113</f>
        <v>0</v>
      </c>
      <c r="H183" s="1555"/>
      <c r="I183" s="1551">
        <f>BS!E113</f>
        <v>0</v>
      </c>
      <c r="J183" s="1552"/>
    </row>
    <row r="184" spans="1:10" ht="27.75" customHeight="1" x14ac:dyDescent="0.25">
      <c r="A184" s="791" t="s">
        <v>541</v>
      </c>
      <c r="B184" s="1636" t="s">
        <v>748</v>
      </c>
      <c r="C184" s="1637"/>
      <c r="D184" s="1637"/>
      <c r="E184" s="1638"/>
      <c r="F184" s="793" t="s">
        <v>749</v>
      </c>
      <c r="G184" s="1551">
        <f>BS!D114</f>
        <v>0</v>
      </c>
      <c r="H184" s="1555"/>
      <c r="I184" s="1551">
        <f>BS!E114</f>
        <v>0</v>
      </c>
      <c r="J184" s="1552"/>
    </row>
    <row r="185" spans="1:10" ht="27.75" customHeight="1" x14ac:dyDescent="0.25">
      <c r="A185" s="791" t="s">
        <v>544</v>
      </c>
      <c r="B185" s="1636" t="s">
        <v>750</v>
      </c>
      <c r="C185" s="1637"/>
      <c r="D185" s="1637"/>
      <c r="E185" s="1638"/>
      <c r="F185" s="793" t="s">
        <v>751</v>
      </c>
      <c r="G185" s="1551">
        <f>BS!D115</f>
        <v>0</v>
      </c>
      <c r="H185" s="1555"/>
      <c r="I185" s="1551">
        <f>BS!E115</f>
        <v>0</v>
      </c>
      <c r="J185" s="1552"/>
    </row>
    <row r="186" spans="1:10" ht="27.75" customHeight="1" x14ac:dyDescent="0.25">
      <c r="A186" s="791" t="s">
        <v>547</v>
      </c>
      <c r="B186" s="1636" t="s">
        <v>752</v>
      </c>
      <c r="C186" s="1637"/>
      <c r="D186" s="1637"/>
      <c r="E186" s="1638"/>
      <c r="F186" s="793" t="s">
        <v>753</v>
      </c>
      <c r="G186" s="1551">
        <f>BS!D116</f>
        <v>0</v>
      </c>
      <c r="H186" s="1555"/>
      <c r="I186" s="1551">
        <f>BS!E116</f>
        <v>0</v>
      </c>
      <c r="J186" s="1552"/>
    </row>
    <row r="187" spans="1:10" ht="27.75" customHeight="1" x14ac:dyDescent="0.25">
      <c r="A187" s="791" t="s">
        <v>568</v>
      </c>
      <c r="B187" s="1636" t="s">
        <v>754</v>
      </c>
      <c r="C187" s="1637"/>
      <c r="D187" s="1637"/>
      <c r="E187" s="1638"/>
      <c r="F187" s="793" t="s">
        <v>755</v>
      </c>
      <c r="G187" s="1551">
        <f>BS!D117</f>
        <v>0</v>
      </c>
      <c r="H187" s="1555"/>
      <c r="I187" s="1551">
        <f>BS!E117</f>
        <v>0</v>
      </c>
      <c r="J187" s="1552"/>
    </row>
    <row r="188" spans="1:10" ht="27.75" customHeight="1" x14ac:dyDescent="0.25">
      <c r="A188" s="791" t="s">
        <v>571</v>
      </c>
      <c r="B188" s="1636" t="s">
        <v>756</v>
      </c>
      <c r="C188" s="1637"/>
      <c r="D188" s="1637"/>
      <c r="E188" s="1638"/>
      <c r="F188" s="793" t="s">
        <v>757</v>
      </c>
      <c r="G188" s="1551">
        <f>BS!D118</f>
        <v>77</v>
      </c>
      <c r="H188" s="1555"/>
      <c r="I188" s="1551">
        <f>BS!E118</f>
        <v>28</v>
      </c>
      <c r="J188" s="1552"/>
    </row>
    <row r="189" spans="1:10" ht="27.75" customHeight="1" x14ac:dyDescent="0.25">
      <c r="A189" s="791" t="s">
        <v>758</v>
      </c>
      <c r="B189" s="1636" t="s">
        <v>1653</v>
      </c>
      <c r="C189" s="1637"/>
      <c r="D189" s="1637"/>
      <c r="E189" s="1638"/>
      <c r="F189" s="793" t="s">
        <v>760</v>
      </c>
      <c r="G189" s="1551">
        <f>BS!D119</f>
        <v>2737</v>
      </c>
      <c r="H189" s="1555"/>
      <c r="I189" s="1551">
        <f>BS!E119</f>
        <v>10795</v>
      </c>
      <c r="J189" s="1552"/>
    </row>
    <row r="190" spans="1:10" ht="27.75" customHeight="1" x14ac:dyDescent="0.25">
      <c r="A190" s="791" t="s">
        <v>761</v>
      </c>
      <c r="B190" s="1636" t="s">
        <v>762</v>
      </c>
      <c r="C190" s="1637"/>
      <c r="D190" s="1637"/>
      <c r="E190" s="1638"/>
      <c r="F190" s="793" t="s">
        <v>763</v>
      </c>
      <c r="G190" s="1551">
        <f>BS!D120</f>
        <v>0</v>
      </c>
      <c r="H190" s="1555"/>
      <c r="I190" s="1551">
        <f>BS!E120</f>
        <v>0</v>
      </c>
      <c r="J190" s="1552"/>
    </row>
    <row r="191" spans="1:10" ht="27.75" customHeight="1" x14ac:dyDescent="0.25">
      <c r="A191" s="800" t="s">
        <v>631</v>
      </c>
      <c r="B191" s="1645" t="s">
        <v>764</v>
      </c>
      <c r="C191" s="1646"/>
      <c r="D191" s="1646"/>
      <c r="E191" s="1647"/>
      <c r="F191" s="793" t="s">
        <v>765</v>
      </c>
      <c r="G191" s="1551">
        <f>BS!D121</f>
        <v>3870264</v>
      </c>
      <c r="H191" s="1555"/>
      <c r="I191" s="1551">
        <f>BS!E121</f>
        <v>2701198</v>
      </c>
      <c r="J191" s="1552"/>
    </row>
    <row r="192" spans="1:10" ht="27.75" customHeight="1" x14ac:dyDescent="0.25">
      <c r="A192" s="791" t="s">
        <v>634</v>
      </c>
      <c r="B192" s="1636" t="s">
        <v>1654</v>
      </c>
      <c r="C192" s="1637"/>
      <c r="D192" s="1637"/>
      <c r="E192" s="1638"/>
      <c r="F192" s="793" t="s">
        <v>767</v>
      </c>
      <c r="G192" s="1551">
        <f>BS!D122</f>
        <v>2440560</v>
      </c>
      <c r="H192" s="1555"/>
      <c r="I192" s="1551">
        <f>BS!E122</f>
        <v>2158603</v>
      </c>
      <c r="J192" s="1552"/>
    </row>
    <row r="193" spans="1:10" ht="27.75" customHeight="1" x14ac:dyDescent="0.25">
      <c r="A193" s="791" t="s">
        <v>532</v>
      </c>
      <c r="B193" s="1636" t="s">
        <v>619</v>
      </c>
      <c r="C193" s="1637"/>
      <c r="D193" s="1637"/>
      <c r="E193" s="1638"/>
      <c r="F193" s="793" t="s">
        <v>768</v>
      </c>
      <c r="G193" s="1551">
        <f>BS!D123</f>
        <v>0</v>
      </c>
      <c r="H193" s="1555"/>
      <c r="I193" s="1551">
        <f>BS!E123</f>
        <v>0</v>
      </c>
      <c r="J193" s="1552"/>
    </row>
    <row r="194" spans="1:10" ht="27.75" customHeight="1" x14ac:dyDescent="0.25">
      <c r="A194" s="791" t="s">
        <v>535</v>
      </c>
      <c r="B194" s="1636" t="s">
        <v>769</v>
      </c>
      <c r="C194" s="1637"/>
      <c r="D194" s="1637"/>
      <c r="E194" s="1638"/>
      <c r="F194" s="793" t="s">
        <v>770</v>
      </c>
      <c r="G194" s="1551">
        <f>BS!D124</f>
        <v>-27836</v>
      </c>
      <c r="H194" s="1555"/>
      <c r="I194" s="1551">
        <f>BS!E124</f>
        <v>-61063</v>
      </c>
      <c r="J194" s="1552"/>
    </row>
    <row r="195" spans="1:10" s="499" customFormat="1" ht="27.75" customHeight="1" x14ac:dyDescent="0.25">
      <c r="A195" s="791" t="s">
        <v>538</v>
      </c>
      <c r="B195" s="1636" t="s">
        <v>771</v>
      </c>
      <c r="C195" s="1637"/>
      <c r="D195" s="1637"/>
      <c r="E195" s="1638"/>
      <c r="F195" s="793" t="s">
        <v>772</v>
      </c>
      <c r="G195" s="1551">
        <f>BS!D125</f>
        <v>0</v>
      </c>
      <c r="H195" s="1555"/>
      <c r="I195" s="1551">
        <f>BS!E125</f>
        <v>0</v>
      </c>
      <c r="J195" s="1552"/>
    </row>
    <row r="196" spans="1:10" ht="27.75" customHeight="1" x14ac:dyDescent="0.25">
      <c r="A196" s="791" t="s">
        <v>541</v>
      </c>
      <c r="B196" s="1636" t="s">
        <v>1655</v>
      </c>
      <c r="C196" s="1637"/>
      <c r="D196" s="1637"/>
      <c r="E196" s="1638"/>
      <c r="F196" s="793" t="s">
        <v>774</v>
      </c>
      <c r="G196" s="1551">
        <f>BS!D126</f>
        <v>0</v>
      </c>
      <c r="H196" s="1555"/>
      <c r="I196" s="1551">
        <f>BS!E126</f>
        <v>0</v>
      </c>
      <c r="J196" s="1552"/>
    </row>
    <row r="197" spans="1:10" ht="27.75" customHeight="1" x14ac:dyDescent="0.25">
      <c r="A197" s="791" t="s">
        <v>544</v>
      </c>
      <c r="B197" s="1636" t="s">
        <v>775</v>
      </c>
      <c r="C197" s="1637"/>
      <c r="D197" s="1637"/>
      <c r="E197" s="1638"/>
      <c r="F197" s="793" t="s">
        <v>776</v>
      </c>
      <c r="G197" s="1551">
        <f>BS!D127</f>
        <v>1410651</v>
      </c>
      <c r="H197" s="1555"/>
      <c r="I197" s="1551">
        <f>BS!E127</f>
        <v>550689</v>
      </c>
      <c r="J197" s="1552"/>
    </row>
    <row r="198" spans="1:10" ht="27.75" customHeight="1" x14ac:dyDescent="0.25">
      <c r="A198" s="791" t="s">
        <v>547</v>
      </c>
      <c r="B198" s="1636" t="s">
        <v>777</v>
      </c>
      <c r="C198" s="1637"/>
      <c r="D198" s="1637"/>
      <c r="E198" s="1638"/>
      <c r="F198" s="793" t="s">
        <v>778</v>
      </c>
      <c r="G198" s="1551">
        <f>BS!D128</f>
        <v>21827</v>
      </c>
      <c r="H198" s="1555"/>
      <c r="I198" s="1551">
        <f>BS!E128</f>
        <v>23985</v>
      </c>
      <c r="J198" s="1552"/>
    </row>
    <row r="199" spans="1:10" ht="27.75" customHeight="1" x14ac:dyDescent="0.25">
      <c r="A199" s="791" t="s">
        <v>568</v>
      </c>
      <c r="B199" s="1636" t="s">
        <v>779</v>
      </c>
      <c r="C199" s="1637"/>
      <c r="D199" s="1637"/>
      <c r="E199" s="1638"/>
      <c r="F199" s="793" t="s">
        <v>780</v>
      </c>
      <c r="G199" s="1551">
        <f>BS!D129</f>
        <v>11108</v>
      </c>
      <c r="H199" s="1555"/>
      <c r="I199" s="1551">
        <f>BS!E129</f>
        <v>13969</v>
      </c>
      <c r="J199" s="1552"/>
    </row>
    <row r="200" spans="1:10" ht="27.75" customHeight="1" x14ac:dyDescent="0.25">
      <c r="A200" s="791" t="s">
        <v>571</v>
      </c>
      <c r="B200" s="1636" t="s">
        <v>1656</v>
      </c>
      <c r="C200" s="1637"/>
      <c r="D200" s="1637"/>
      <c r="E200" s="1638"/>
      <c r="F200" s="793" t="s">
        <v>782</v>
      </c>
      <c r="G200" s="1551">
        <f>BS!D130</f>
        <v>5571</v>
      </c>
      <c r="H200" s="1555"/>
      <c r="I200" s="1551">
        <f>BS!E130</f>
        <v>5166</v>
      </c>
      <c r="J200" s="1552"/>
    </row>
    <row r="201" spans="1:10" ht="27.75" customHeight="1" x14ac:dyDescent="0.25">
      <c r="A201" s="791" t="s">
        <v>758</v>
      </c>
      <c r="B201" s="1636" t="s">
        <v>1657</v>
      </c>
      <c r="C201" s="1637"/>
      <c r="D201" s="1637"/>
      <c r="E201" s="1638"/>
      <c r="F201" s="793" t="s">
        <v>784</v>
      </c>
      <c r="G201" s="1551">
        <f>BS!D131</f>
        <v>8383</v>
      </c>
      <c r="H201" s="1555"/>
      <c r="I201" s="1551">
        <f>BS!E131</f>
        <v>9849</v>
      </c>
      <c r="J201" s="1552"/>
    </row>
    <row r="202" spans="1:10" ht="27.75" customHeight="1" x14ac:dyDescent="0.25">
      <c r="A202" s="800" t="s">
        <v>649</v>
      </c>
      <c r="B202" s="1645" t="s">
        <v>785</v>
      </c>
      <c r="C202" s="1646"/>
      <c r="D202" s="1646"/>
      <c r="E202" s="1647"/>
      <c r="F202" s="793" t="s">
        <v>786</v>
      </c>
      <c r="G202" s="1551">
        <f>BS!D132</f>
        <v>0</v>
      </c>
      <c r="H202" s="1555"/>
      <c r="I202" s="1551">
        <f>BS!E132</f>
        <v>0</v>
      </c>
      <c r="J202" s="1552"/>
    </row>
    <row r="203" spans="1:10" ht="27.75" customHeight="1" x14ac:dyDescent="0.25">
      <c r="A203" s="802" t="s">
        <v>787</v>
      </c>
      <c r="B203" s="1645" t="s">
        <v>788</v>
      </c>
      <c r="C203" s="1646"/>
      <c r="D203" s="1646"/>
      <c r="E203" s="1647"/>
      <c r="F203" s="793" t="s">
        <v>789</v>
      </c>
      <c r="G203" s="1551">
        <f>BS!D133</f>
        <v>0</v>
      </c>
      <c r="H203" s="1555"/>
      <c r="I203" s="1551">
        <f>BS!E133</f>
        <v>0</v>
      </c>
      <c r="J203" s="1552"/>
    </row>
    <row r="204" spans="1:10" ht="27.75" customHeight="1" x14ac:dyDescent="0.25">
      <c r="A204" s="791" t="s">
        <v>790</v>
      </c>
      <c r="B204" s="1636" t="s">
        <v>791</v>
      </c>
      <c r="C204" s="1637"/>
      <c r="D204" s="1637"/>
      <c r="E204" s="1638"/>
      <c r="F204" s="793" t="s">
        <v>792</v>
      </c>
      <c r="G204" s="1551">
        <f>BS!D134</f>
        <v>0</v>
      </c>
      <c r="H204" s="1555"/>
      <c r="I204" s="1551">
        <f>BS!E134</f>
        <v>0</v>
      </c>
      <c r="J204" s="1552"/>
    </row>
    <row r="205" spans="1:10" s="499" customFormat="1" ht="27.75" customHeight="1" x14ac:dyDescent="0.25">
      <c r="A205" s="791" t="s">
        <v>532</v>
      </c>
      <c r="B205" s="1636" t="s">
        <v>793</v>
      </c>
      <c r="C205" s="1637"/>
      <c r="D205" s="1637"/>
      <c r="E205" s="1638"/>
      <c r="F205" s="793" t="s">
        <v>794</v>
      </c>
      <c r="G205" s="1551">
        <f>BS!D135</f>
        <v>0</v>
      </c>
      <c r="H205" s="1555"/>
      <c r="I205" s="1551">
        <f>BS!E135</f>
        <v>0</v>
      </c>
      <c r="J205" s="1552"/>
    </row>
    <row r="206" spans="1:10" ht="27.75" customHeight="1" x14ac:dyDescent="0.25">
      <c r="A206" s="800" t="s">
        <v>663</v>
      </c>
      <c r="B206" s="1645" t="s">
        <v>795</v>
      </c>
      <c r="C206" s="1646"/>
      <c r="D206" s="1646"/>
      <c r="E206" s="1647"/>
      <c r="F206" s="793" t="s">
        <v>796</v>
      </c>
      <c r="G206" s="1551">
        <f>BS!D136</f>
        <v>0</v>
      </c>
      <c r="H206" s="1555"/>
      <c r="I206" s="1551">
        <f>BS!E136</f>
        <v>0</v>
      </c>
      <c r="J206" s="1552"/>
    </row>
    <row r="207" spans="1:10" ht="27.75" customHeight="1" x14ac:dyDescent="0.25">
      <c r="A207" s="798" t="s">
        <v>666</v>
      </c>
      <c r="B207" s="1636" t="s">
        <v>797</v>
      </c>
      <c r="C207" s="1637"/>
      <c r="D207" s="1637"/>
      <c r="E207" s="1638"/>
      <c r="F207" s="793" t="s">
        <v>798</v>
      </c>
      <c r="G207" s="1551">
        <f>BS!D137</f>
        <v>0</v>
      </c>
      <c r="H207" s="1555"/>
      <c r="I207" s="1551">
        <f>BS!E137</f>
        <v>0</v>
      </c>
      <c r="J207" s="1552"/>
    </row>
    <row r="208" spans="1:10" ht="27.75" customHeight="1" x14ac:dyDescent="0.25">
      <c r="A208" s="791" t="s">
        <v>532</v>
      </c>
      <c r="B208" s="1636" t="s">
        <v>799</v>
      </c>
      <c r="C208" s="1637"/>
      <c r="D208" s="1637"/>
      <c r="E208" s="1638"/>
      <c r="F208" s="793" t="s">
        <v>800</v>
      </c>
      <c r="G208" s="1551">
        <f>BS!D138</f>
        <v>0</v>
      </c>
      <c r="H208" s="1555"/>
      <c r="I208" s="1551">
        <f>BS!E138</f>
        <v>0</v>
      </c>
      <c r="J208" s="1552"/>
    </row>
    <row r="209" spans="1:10" s="499" customFormat="1" ht="27.75" customHeight="1" x14ac:dyDescent="0.25">
      <c r="A209" s="791" t="s">
        <v>535</v>
      </c>
      <c r="B209" s="1636" t="s">
        <v>801</v>
      </c>
      <c r="C209" s="1637"/>
      <c r="D209" s="1637"/>
      <c r="E209" s="1638"/>
      <c r="F209" s="793" t="s">
        <v>802</v>
      </c>
      <c r="G209" s="1551">
        <f>BS!D139</f>
        <v>0</v>
      </c>
      <c r="H209" s="1555"/>
      <c r="I209" s="1551">
        <f>BS!E139</f>
        <v>0</v>
      </c>
      <c r="J209" s="1552"/>
    </row>
    <row r="210" spans="1:10" ht="27.75" customHeight="1" thickBot="1" x14ac:dyDescent="0.3">
      <c r="A210" s="553" t="s">
        <v>538</v>
      </c>
      <c r="B210" s="1639" t="s">
        <v>803</v>
      </c>
      <c r="C210" s="1640"/>
      <c r="D210" s="1640"/>
      <c r="E210" s="1641"/>
      <c r="F210" s="793" t="s">
        <v>804</v>
      </c>
      <c r="G210" s="1642">
        <f>BS!D140</f>
        <v>0</v>
      </c>
      <c r="H210" s="1643"/>
      <c r="I210" s="1642">
        <f>BS!E140</f>
        <v>0</v>
      </c>
      <c r="J210" s="1644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SheetLayoutView="100" workbookViewId="0"/>
  </sheetViews>
  <sheetFormatPr defaultRowHeight="12.75" x14ac:dyDescent="0.25"/>
  <cols>
    <col min="1" max="37" width="2.5703125" style="439" customWidth="1"/>
    <col min="38" max="38" width="0.140625" style="439" customWidth="1"/>
    <col min="39" max="41" width="2.5703125" style="439" customWidth="1"/>
    <col min="42" max="42" width="9.140625" style="439"/>
    <col min="43" max="45" width="2.5703125" style="439" customWidth="1"/>
    <col min="46" max="46" width="7.7109375" style="439" customWidth="1"/>
    <col min="47" max="61" width="2.5703125" style="439" customWidth="1"/>
    <col min="62" max="16384" width="9.140625" style="439"/>
  </cols>
  <sheetData>
    <row r="1" spans="1:37" s="549" customFormat="1" ht="10.5" customHeight="1" thickBot="1" x14ac:dyDescent="0.3">
      <c r="B1" s="819" t="s">
        <v>1321</v>
      </c>
      <c r="N1" s="1622" t="s">
        <v>1658</v>
      </c>
      <c r="O1" s="1622"/>
      <c r="P1" s="1622"/>
      <c r="Q1" s="1622"/>
      <c r="R1" s="1622"/>
      <c r="S1" s="1622"/>
      <c r="T1" s="1622"/>
      <c r="U1" s="1622"/>
      <c r="V1" s="1622"/>
      <c r="W1" s="1622"/>
      <c r="X1" s="1625"/>
    </row>
    <row r="2" spans="1:37" s="446" customFormat="1" ht="21" customHeight="1" thickBot="1" x14ac:dyDescent="0.3">
      <c r="B2" s="821" t="s">
        <v>1659</v>
      </c>
      <c r="C2" s="822"/>
      <c r="D2" s="822"/>
      <c r="E2" s="822"/>
      <c r="F2" s="822"/>
      <c r="G2" s="822"/>
      <c r="H2" s="822"/>
      <c r="I2" s="822"/>
      <c r="J2" s="823"/>
      <c r="K2" s="822"/>
      <c r="L2" s="822"/>
      <c r="M2" s="824"/>
      <c r="N2" s="1622"/>
      <c r="O2" s="1622"/>
      <c r="P2" s="1622"/>
      <c r="Q2" s="1622"/>
      <c r="R2" s="1622"/>
      <c r="S2" s="1622"/>
      <c r="T2" s="1622"/>
      <c r="U2" s="1622"/>
      <c r="V2" s="1622"/>
      <c r="W2" s="1622"/>
      <c r="X2" s="1625"/>
    </row>
    <row r="3" spans="1:37" ht="13.5" customHeight="1" thickBot="1" x14ac:dyDescent="0.3">
      <c r="N3" s="1623"/>
      <c r="O3" s="1623"/>
      <c r="P3" s="1623"/>
      <c r="Q3" s="1623"/>
      <c r="R3" s="1623"/>
      <c r="S3" s="1623"/>
      <c r="T3" s="1623"/>
      <c r="U3" s="1623"/>
      <c r="V3" s="1623"/>
      <c r="W3" s="1623"/>
      <c r="X3" s="1691"/>
    </row>
    <row r="4" spans="1:37" ht="28.5" customHeight="1" thickBot="1" x14ac:dyDescent="0.3">
      <c r="J4" s="1628" t="s">
        <v>1547</v>
      </c>
      <c r="K4" s="1692" t="s">
        <v>1660</v>
      </c>
      <c r="L4" s="543" t="str">
        <f>+MID('Input data'!$B$11,1,1)</f>
        <v>3</v>
      </c>
      <c r="M4" s="543" t="str">
        <f>+MID('Input data'!$B$11,2,1)</f>
        <v>1</v>
      </c>
      <c r="N4" s="543" t="s">
        <v>1147</v>
      </c>
      <c r="O4" s="543" t="str">
        <f>LEFT('Input data'!B13,1)</f>
        <v>1</v>
      </c>
      <c r="P4" s="543" t="str">
        <f>RIGHT('Input data'!B13,1)</f>
        <v>2</v>
      </c>
      <c r="Q4" s="543" t="s">
        <v>1147</v>
      </c>
      <c r="R4" s="543" t="str">
        <f>+LEFT('Input data'!$B$14,1)</f>
        <v>2</v>
      </c>
      <c r="S4" s="543" t="str">
        <f>+MID('Input data'!$B$14,2,1)</f>
        <v>0</v>
      </c>
      <c r="T4" s="543" t="str">
        <f>+MID('Input data'!$B$14,3,1)</f>
        <v>1</v>
      </c>
      <c r="U4" s="543" t="str">
        <f>+MID('Input data'!$B$14,4,1)</f>
        <v>3</v>
      </c>
      <c r="V4" s="826"/>
      <c r="W4" s="541" t="s">
        <v>1548</v>
      </c>
      <c r="X4" s="541"/>
      <c r="Y4" s="541"/>
      <c r="Z4" s="541"/>
      <c r="AA4" s="540"/>
    </row>
    <row r="5" spans="1:37" ht="7.5" customHeight="1" thickBot="1" x14ac:dyDescent="0.3"/>
    <row r="6" spans="1:37" s="536" customFormat="1" ht="14.25" customHeight="1" x14ac:dyDescent="0.25">
      <c r="A6" s="539" t="s">
        <v>1661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7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7"/>
    </row>
    <row r="7" spans="1:37" s="440" customFormat="1" ht="15" customHeight="1" x14ac:dyDescent="0.25">
      <c r="A7" s="452" t="s">
        <v>1662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535"/>
    </row>
    <row r="8" spans="1:37" s="531" customFormat="1" ht="18" customHeight="1" thickBot="1" x14ac:dyDescent="0.3">
      <c r="A8" s="534" t="s">
        <v>1151</v>
      </c>
      <c r="B8" s="533"/>
      <c r="C8" s="533"/>
      <c r="D8" s="533"/>
      <c r="E8" s="534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2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532"/>
    </row>
    <row r="9" spans="1:37" s="511" customFormat="1" ht="3.75" customHeight="1" thickBot="1" x14ac:dyDescent="0.3">
      <c r="AF9" s="514"/>
      <c r="AG9" s="514"/>
    </row>
    <row r="10" spans="1:37" s="511" customFormat="1" ht="14.25" customHeight="1" x14ac:dyDescent="0.25">
      <c r="A10" s="513" t="s">
        <v>1552</v>
      </c>
      <c r="B10" s="512"/>
      <c r="C10" s="512"/>
      <c r="D10" s="512"/>
      <c r="E10" s="512"/>
      <c r="F10" s="512"/>
      <c r="G10" s="512"/>
      <c r="H10" s="512"/>
      <c r="I10" s="456"/>
      <c r="J10" s="854"/>
      <c r="K10" s="529" t="s">
        <v>1553</v>
      </c>
      <c r="L10" s="512"/>
      <c r="M10" s="530"/>
      <c r="N10" s="530"/>
      <c r="O10" s="530"/>
      <c r="P10" s="512"/>
      <c r="Q10" s="529" t="s">
        <v>1553</v>
      </c>
      <c r="R10" s="512"/>
      <c r="S10" s="456"/>
      <c r="T10" s="512"/>
      <c r="U10" s="512"/>
      <c r="V10" s="855"/>
      <c r="W10" s="512"/>
      <c r="X10" s="512"/>
      <c r="Y10" s="512"/>
      <c r="Z10" s="512"/>
      <c r="AA10" s="512"/>
      <c r="AB10" s="512"/>
      <c r="AC10" s="512"/>
      <c r="AD10" s="529" t="s">
        <v>1554</v>
      </c>
      <c r="AE10" s="529"/>
      <c r="AF10" s="529"/>
      <c r="AG10" s="529" t="s">
        <v>1555</v>
      </c>
      <c r="AH10" s="512"/>
      <c r="AI10" s="512"/>
      <c r="AJ10" s="512"/>
      <c r="AK10" s="528"/>
    </row>
    <row r="11" spans="1:37" s="511" customFormat="1" ht="19.5" customHeight="1" x14ac:dyDescent="0.2">
      <c r="A11" s="525" t="str">
        <f>LEFT('Input data'!C24,1)</f>
        <v>2</v>
      </c>
      <c r="B11" s="490" t="str">
        <f>MID('Input data'!$C$24,2,1)</f>
        <v>0</v>
      </c>
      <c r="C11" s="490" t="str">
        <f>MID('Input data'!$C$24,3,1)</f>
        <v>2</v>
      </c>
      <c r="D11" s="490" t="str">
        <f>MID('Input data'!$C$24,4,1)</f>
        <v>2</v>
      </c>
      <c r="E11" s="490" t="str">
        <f>MID('Input data'!$C$24,5,1)</f>
        <v>3</v>
      </c>
      <c r="F11" s="490" t="str">
        <f>MID('Input data'!$C$24,6,1)</f>
        <v>0</v>
      </c>
      <c r="G11" s="490" t="str">
        <f>MID('Input data'!$C$24,7,1)</f>
        <v>4</v>
      </c>
      <c r="H11" s="490" t="str">
        <f>MID('Input data'!$C$24,8,1)</f>
        <v>1</v>
      </c>
      <c r="I11" s="490" t="str">
        <f>MID('Input data'!$C$24,9,1)</f>
        <v>5</v>
      </c>
      <c r="J11" s="856" t="str">
        <f>MID('Input data'!$C$24,10,1)</f>
        <v>2</v>
      </c>
      <c r="K11" s="857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858"/>
      <c r="W11" s="519" t="s">
        <v>1556</v>
      </c>
      <c r="X11" s="514"/>
      <c r="Y11" s="514"/>
      <c r="Z11" s="514"/>
      <c r="AA11" s="514"/>
      <c r="AB11" s="519" t="s">
        <v>1557</v>
      </c>
      <c r="AC11" s="514"/>
      <c r="AD11" s="490" t="str">
        <f>MID('Input data'!$B$8,1,1)</f>
        <v>0</v>
      </c>
      <c r="AE11" s="490" t="str">
        <f>MID('Input data'!$B$8,2,1)</f>
        <v>1</v>
      </c>
      <c r="AF11" s="490"/>
      <c r="AG11" s="490" t="str">
        <f>MID('Input data'!$B$9,1,1)</f>
        <v>2</v>
      </c>
      <c r="AH11" s="490" t="str">
        <f>MID('Input data'!$B$9,2,1)</f>
        <v>0</v>
      </c>
      <c r="AI11" s="490" t="str">
        <f>MID('Input data'!$B$9,3,1)</f>
        <v>1</v>
      </c>
      <c r="AJ11" s="490" t="str">
        <f>MID('Input data'!$B$9,4,1)</f>
        <v>3</v>
      </c>
      <c r="AK11" s="520"/>
    </row>
    <row r="12" spans="1:37" s="511" customFormat="1" ht="19.5" customHeight="1" x14ac:dyDescent="0.25">
      <c r="A12" s="452" t="s">
        <v>1558</v>
      </c>
      <c r="B12" s="514"/>
      <c r="C12" s="514"/>
      <c r="D12" s="514"/>
      <c r="E12" s="514"/>
      <c r="F12" s="514"/>
      <c r="G12" s="514"/>
      <c r="H12" s="448"/>
      <c r="I12" s="448"/>
      <c r="J12" s="577"/>
      <c r="K12" s="857"/>
      <c r="L12" s="527" t="str">
        <f>IF('Input data'!D7="x","x"," ")</f>
        <v>x</v>
      </c>
      <c r="M12" s="519" t="s">
        <v>1418</v>
      </c>
      <c r="N12" s="521"/>
      <c r="O12" s="521"/>
      <c r="P12" s="521"/>
      <c r="Q12" s="521"/>
      <c r="R12" s="527" t="str">
        <f>IF('Input data'!D16="x","x"," ")</f>
        <v>x</v>
      </c>
      <c r="S12" s="519" t="s">
        <v>1411</v>
      </c>
      <c r="T12" s="514"/>
      <c r="U12" s="514"/>
      <c r="V12" s="858"/>
      <c r="W12" s="827"/>
      <c r="X12" s="828"/>
      <c r="Y12" s="828"/>
      <c r="Z12" s="828"/>
      <c r="AA12" s="828"/>
      <c r="AB12" s="829" t="s">
        <v>1561</v>
      </c>
      <c r="AC12" s="828"/>
      <c r="AD12" s="830" t="str">
        <f>MID('Input data'!$B$13,1,1)</f>
        <v>1</v>
      </c>
      <c r="AE12" s="830" t="str">
        <f>MID('Input data'!$B$13,2,1)</f>
        <v>2</v>
      </c>
      <c r="AF12" s="830"/>
      <c r="AG12" s="830" t="str">
        <f>MID('Input data'!$B$14,1,1)</f>
        <v>2</v>
      </c>
      <c r="AH12" s="830" t="str">
        <f>MID('Input data'!$B$14,2,1)</f>
        <v>0</v>
      </c>
      <c r="AI12" s="830" t="str">
        <f>MID('Input data'!$B$14,3,1)</f>
        <v>1</v>
      </c>
      <c r="AJ12" s="830" t="str">
        <f>MID('Input data'!$B$14,4,1)</f>
        <v>3</v>
      </c>
      <c r="AK12" s="831"/>
    </row>
    <row r="13" spans="1:37" s="511" customFormat="1" ht="19.5" customHeight="1" x14ac:dyDescent="0.2">
      <c r="A13" s="525" t="str">
        <f>LEFT('Input data'!C26,1)</f>
        <v>3</v>
      </c>
      <c r="B13" s="490" t="str">
        <f>MID('Input data'!$C$26,2,1)</f>
        <v>6</v>
      </c>
      <c r="C13" s="490" t="str">
        <f>MID('Input data'!$C$26,3,1)</f>
        <v>7</v>
      </c>
      <c r="D13" s="490" t="str">
        <f>MID('Input data'!$C$26,4,1)</f>
        <v>2</v>
      </c>
      <c r="E13" s="490" t="str">
        <f>MID('Input data'!$C$26,5,1)</f>
        <v>5</v>
      </c>
      <c r="F13" s="490" t="str">
        <f>MID('Input data'!$C$26,6,1)</f>
        <v>8</v>
      </c>
      <c r="G13" s="490" t="str">
        <f>MID('Input data'!$C$26,7,1)</f>
        <v>3</v>
      </c>
      <c r="H13" s="490" t="str">
        <f>MID('Input data'!$C$26,8,1)</f>
        <v>8</v>
      </c>
      <c r="I13" s="448"/>
      <c r="J13" s="577"/>
      <c r="K13" s="857"/>
      <c r="L13" s="448" t="str">
        <f>IF('Input data'!D8="x","x", "")</f>
        <v/>
      </c>
      <c r="M13" s="519" t="s">
        <v>1417</v>
      </c>
      <c r="N13" s="521"/>
      <c r="O13" s="521"/>
      <c r="P13" s="521"/>
      <c r="Q13" s="521"/>
      <c r="R13" s="521" t="str">
        <f>IF('Input data'!D17="x","x"," ")</f>
        <v xml:space="preserve"> </v>
      </c>
      <c r="S13" s="519" t="s">
        <v>1409</v>
      </c>
      <c r="T13" s="514"/>
      <c r="U13" s="514"/>
      <c r="V13" s="858"/>
      <c r="W13" s="1693" t="s">
        <v>1564</v>
      </c>
      <c r="X13" s="1631"/>
      <c r="Y13" s="1631"/>
      <c r="Z13" s="1631"/>
      <c r="AA13" s="1631"/>
      <c r="AB13" s="521"/>
      <c r="AC13" s="448"/>
      <c r="AD13" s="523"/>
      <c r="AE13" s="523"/>
      <c r="AF13" s="523"/>
      <c r="AG13" s="523"/>
      <c r="AH13" s="523"/>
      <c r="AI13" s="523"/>
      <c r="AJ13" s="523"/>
      <c r="AK13" s="447"/>
    </row>
    <row r="14" spans="1:37" s="511" customFormat="1" ht="19.5" customHeight="1" x14ac:dyDescent="0.2">
      <c r="A14" s="452" t="s">
        <v>1165</v>
      </c>
      <c r="B14" s="514"/>
      <c r="C14" s="514"/>
      <c r="D14" s="514"/>
      <c r="E14" s="514"/>
      <c r="F14" s="514"/>
      <c r="G14" s="514"/>
      <c r="H14" s="514"/>
      <c r="I14" s="448"/>
      <c r="J14" s="577"/>
      <c r="K14" s="857"/>
      <c r="L14" s="448"/>
      <c r="M14" s="519"/>
      <c r="N14" s="521"/>
      <c r="O14" s="521"/>
      <c r="P14" s="521"/>
      <c r="Q14" s="521"/>
      <c r="R14" s="522" t="s">
        <v>1663</v>
      </c>
      <c r="S14" s="521"/>
      <c r="T14" s="514"/>
      <c r="U14" s="514"/>
      <c r="V14" s="858"/>
      <c r="W14" s="1694"/>
      <c r="X14" s="1633"/>
      <c r="Y14" s="1633"/>
      <c r="Z14" s="1633"/>
      <c r="AA14" s="1633"/>
      <c r="AB14" s="519" t="s">
        <v>1557</v>
      </c>
      <c r="AC14" s="448"/>
      <c r="AD14" s="490" t="str">
        <f>MID('Input data'!$B$18,1,1)</f>
        <v>0</v>
      </c>
      <c r="AE14" s="490" t="str">
        <f>MID('Input data'!$B$18,2,1)</f>
        <v>1</v>
      </c>
      <c r="AF14" s="490"/>
      <c r="AG14" s="490" t="str">
        <f>MID('Input data'!$B$19,1,1)</f>
        <v>2</v>
      </c>
      <c r="AH14" s="490" t="str">
        <f>MID('Input data'!$B$19,2,1)</f>
        <v>0</v>
      </c>
      <c r="AI14" s="490" t="str">
        <f>MID('Input data'!$B$19,3,1)</f>
        <v>1</v>
      </c>
      <c r="AJ14" s="490" t="str">
        <f>MID('Input data'!$B$19,4,1)</f>
        <v>2</v>
      </c>
      <c r="AK14" s="447"/>
    </row>
    <row r="15" spans="1:37" s="511" customFormat="1" ht="19.5" customHeight="1" thickBot="1" x14ac:dyDescent="0.25">
      <c r="A15" s="518" t="str">
        <f>'BS-E Cover sheet'!A15</f>
        <v>7</v>
      </c>
      <c r="B15" s="443" t="str">
        <f>'BS-E Cover sheet'!B15</f>
        <v>3</v>
      </c>
      <c r="C15" s="516" t="str">
        <f>'BS-E Cover sheet'!C15</f>
        <v>.</v>
      </c>
      <c r="D15" s="443">
        <f>'BS-E Cover sheet'!D15</f>
        <v>1</v>
      </c>
      <c r="E15" s="443" t="str">
        <f>'BS-E Cover sheet'!E15</f>
        <v>1</v>
      </c>
      <c r="F15" s="859" t="str">
        <f>'BS-E Cover sheet'!F15</f>
        <v>.</v>
      </c>
      <c r="G15" s="443">
        <f>'BS-E Cover sheet'!G15</f>
        <v>0</v>
      </c>
      <c r="H15" s="443"/>
      <c r="I15" s="443"/>
      <c r="J15" s="860"/>
      <c r="K15" s="861"/>
      <c r="L15" s="443"/>
      <c r="M15" s="443"/>
      <c r="N15" s="443"/>
      <c r="O15" s="443"/>
      <c r="P15" s="443"/>
      <c r="Q15" s="443"/>
      <c r="R15" s="443"/>
      <c r="S15" s="443"/>
      <c r="T15" s="516"/>
      <c r="U15" s="516"/>
      <c r="V15" s="862"/>
      <c r="W15" s="1695"/>
      <c r="X15" s="1635"/>
      <c r="Y15" s="1635"/>
      <c r="Z15" s="1635"/>
      <c r="AA15" s="1635"/>
      <c r="AB15" s="515" t="s">
        <v>1561</v>
      </c>
      <c r="AC15" s="443"/>
      <c r="AD15" s="488" t="str">
        <f>MID('Input data'!$B$21,1,1)</f>
        <v>1</v>
      </c>
      <c r="AE15" s="488" t="str">
        <f>MID('Input data'!$B$21,2,1)</f>
        <v>2</v>
      </c>
      <c r="AF15" s="488"/>
      <c r="AG15" s="488" t="str">
        <f>MID('Input data'!$B$22,1,1)</f>
        <v>2</v>
      </c>
      <c r="AH15" s="488" t="str">
        <f>MID('Input data'!$B$22,2,1)</f>
        <v>0</v>
      </c>
      <c r="AI15" s="488" t="str">
        <f>MID('Input data'!$B$22,3,1)</f>
        <v>1</v>
      </c>
      <c r="AJ15" s="488" t="str">
        <f>MID('Input data'!$B$22,4,1)</f>
        <v>2</v>
      </c>
      <c r="AK15" s="442"/>
    </row>
    <row r="16" spans="1:37" s="511" customFormat="1" ht="4.5" customHeight="1" x14ac:dyDescent="0.25">
      <c r="A16" s="514"/>
      <c r="B16" s="514"/>
      <c r="C16" s="514"/>
      <c r="D16" s="514"/>
      <c r="E16" s="514"/>
      <c r="F16" s="514"/>
      <c r="G16" s="514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514"/>
      <c r="U16" s="514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</row>
    <row r="17" spans="1:43" s="511" customFormat="1" ht="3" customHeight="1" thickBot="1" x14ac:dyDescent="0.3"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1:43" s="511" customFormat="1" ht="16.5" x14ac:dyDescent="0.25">
      <c r="A18" s="513" t="s">
        <v>1566</v>
      </c>
      <c r="B18" s="512"/>
      <c r="C18" s="512"/>
      <c r="D18" s="512"/>
      <c r="E18" s="512"/>
      <c r="F18" s="512"/>
      <c r="G18" s="512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6"/>
      <c r="T18" s="512"/>
      <c r="U18" s="512"/>
      <c r="V18" s="512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5"/>
    </row>
    <row r="19" spans="1:43" s="441" customFormat="1" ht="19.5" customHeight="1" x14ac:dyDescent="0.25">
      <c r="A19" s="498" t="str">
        <f>+LEFT('Input data'!$F$3,1)</f>
        <v>A</v>
      </c>
      <c r="B19" s="490" t="str">
        <f>+MID('Input data'!$F$3,2,1)</f>
        <v>e</v>
      </c>
      <c r="C19" s="490" t="str">
        <f>+MID('Input data'!$F$3,3,1)</f>
        <v>g</v>
      </c>
      <c r="D19" s="490" t="str">
        <f>+MID('Input data'!$F$3,4,1)</f>
        <v>i</v>
      </c>
      <c r="E19" s="490" t="str">
        <f>+MID('Input data'!$F$3,5,1)</f>
        <v>s</v>
      </c>
      <c r="F19" s="490" t="str">
        <f>+MID('Input data'!$F$3,6,1)</f>
        <v xml:space="preserve"> </v>
      </c>
      <c r="G19" s="490" t="str">
        <f>+MID('Input data'!$F$3,7,1)</f>
        <v>M</v>
      </c>
      <c r="H19" s="490" t="str">
        <f>+MID('Input data'!$F$3,8,1)</f>
        <v>e</v>
      </c>
      <c r="I19" s="490" t="str">
        <f>+MID('Input data'!$F$3,9,1)</f>
        <v>d</v>
      </c>
      <c r="J19" s="490" t="str">
        <f>+MID('Input data'!$F$3,10,1)</f>
        <v>i</v>
      </c>
      <c r="K19" s="490" t="str">
        <f>+MID('Input data'!$F$3,11,1)</f>
        <v>a</v>
      </c>
      <c r="L19" s="490" t="str">
        <f>+MID('Input data'!$F$3,12,1)</f>
        <v xml:space="preserve"> </v>
      </c>
      <c r="M19" s="490" t="str">
        <f>+MID('Input data'!$F$3,13,1)</f>
        <v>S</v>
      </c>
      <c r="N19" s="490" t="str">
        <f>+MID('Input data'!$F$3,14,1)</f>
        <v>l</v>
      </c>
      <c r="O19" s="490" t="str">
        <f>+MID('Input data'!$F$3,15,1)</f>
        <v>o</v>
      </c>
      <c r="P19" s="490" t="str">
        <f>+MID('Input data'!$F$3,16,1)</f>
        <v>v</v>
      </c>
      <c r="Q19" s="490" t="str">
        <f>+MID('Input data'!$F$3,17,1)</f>
        <v>a</v>
      </c>
      <c r="R19" s="490" t="str">
        <f>+MID('Input data'!$F$3,18,1)</f>
        <v>k</v>
      </c>
      <c r="S19" s="490" t="str">
        <f>+MID('Input data'!$F$3,19,1)</f>
        <v>i</v>
      </c>
      <c r="T19" s="490" t="str">
        <f>+MID('Input data'!$F$3,20,1)</f>
        <v>a</v>
      </c>
      <c r="U19" s="490" t="str">
        <f>+MID('Input data'!$F$3,21,1)</f>
        <v xml:space="preserve"> </v>
      </c>
      <c r="V19" s="490" t="str">
        <f>+MID('Input data'!$F$3,22,1)</f>
        <v>C</v>
      </c>
      <c r="W19" s="490" t="str">
        <f>+MID('Input data'!$F$3,23,1)</f>
        <v>e</v>
      </c>
      <c r="X19" s="490" t="str">
        <f>+MID('Input data'!$F$3,24,1)</f>
        <v>n</v>
      </c>
      <c r="Y19" s="490" t="str">
        <f>+MID('Input data'!$F$3,25,1)</f>
        <v>t</v>
      </c>
      <c r="Z19" s="490" t="str">
        <f>+MID('Input data'!$F$3,26,1)</f>
        <v>r</v>
      </c>
      <c r="AA19" s="490" t="str">
        <f>+MID('Input data'!$F$3,27,1)</f>
        <v>a</v>
      </c>
      <c r="AB19" s="490" t="str">
        <f>+MID('Input data'!$F$3,28,1)</f>
        <v>l</v>
      </c>
      <c r="AC19" s="490" t="str">
        <f>+MID('Input data'!$F$3,29,1)</f>
        <v xml:space="preserve"> </v>
      </c>
      <c r="AD19" s="490" t="str">
        <f>+MID('Input data'!$F$3,30,1)</f>
        <v>S</v>
      </c>
      <c r="AE19" s="490" t="str">
        <f>+MID('Input data'!$F$3,31,1)</f>
        <v>e</v>
      </c>
      <c r="AF19" s="490" t="str">
        <f>+MID('Input data'!$F$3,32,1)</f>
        <v>r</v>
      </c>
      <c r="AG19" s="490" t="str">
        <f>+MID('Input data'!$F$3,33,1)</f>
        <v>v</v>
      </c>
      <c r="AH19" s="490" t="str">
        <f>+MID('Input data'!$E$3,34,1)</f>
        <v/>
      </c>
      <c r="AI19" s="490" t="str">
        <f>+MID('Input data'!$E$3,35,1)</f>
        <v/>
      </c>
      <c r="AJ19" s="490" t="str">
        <f>+MID('Input data'!$E$3,36,1)</f>
        <v/>
      </c>
      <c r="AK19" s="497" t="str">
        <f>+MID('Input data'!$E$3,37,1)</f>
        <v/>
      </c>
      <c r="AL19" s="511"/>
      <c r="AM19" s="511"/>
      <c r="AN19" s="511"/>
    </row>
    <row r="20" spans="1:43" s="581" customFormat="1" ht="19.5" customHeight="1" x14ac:dyDescent="0.25">
      <c r="A20" s="832" t="str">
        <f>+MID('Input data'!$E$3,38,1)</f>
        <v/>
      </c>
      <c r="B20" s="523" t="str">
        <f>+MID('Input data'!$E$3,39,1)</f>
        <v/>
      </c>
      <c r="C20" s="523" t="str">
        <f>+MID('Input data'!$E$3,40,1)</f>
        <v/>
      </c>
      <c r="D20" s="523" t="str">
        <f>+MID('Input data'!$E$3,41,1)</f>
        <v/>
      </c>
      <c r="E20" s="523" t="str">
        <f>+MID('Input data'!$E$3,42,1)</f>
        <v/>
      </c>
      <c r="F20" s="523" t="str">
        <f>+MID('Input data'!$E$3,43,1)</f>
        <v/>
      </c>
      <c r="G20" s="523" t="str">
        <f>+MID('Input data'!$E$3,44,1)</f>
        <v/>
      </c>
      <c r="H20" s="523" t="str">
        <f>+MID('Input data'!$E$3,45,1)</f>
        <v/>
      </c>
      <c r="I20" s="523" t="str">
        <f>+MID('Input data'!$E$3,46,1)</f>
        <v/>
      </c>
      <c r="J20" s="523" t="str">
        <f>+MID('Input data'!$E$3,47,1)</f>
        <v/>
      </c>
      <c r="K20" s="523" t="str">
        <f>+MID('Input data'!$E$3,48,1)</f>
        <v/>
      </c>
      <c r="L20" s="523" t="str">
        <f>+MID('Input data'!$E$3,49,1)</f>
        <v/>
      </c>
      <c r="M20" s="523" t="str">
        <f>+MID('Input data'!$E$3,50,1)</f>
        <v/>
      </c>
      <c r="N20" s="523" t="str">
        <f>+MID('Input data'!$E$3,51,1)</f>
        <v/>
      </c>
      <c r="O20" s="523" t="str">
        <f>+MID('Input data'!$E$3,52,1)</f>
        <v/>
      </c>
      <c r="P20" s="523" t="str">
        <f>+MID('Input data'!$E$3,53,1)</f>
        <v/>
      </c>
      <c r="Q20" s="523" t="str">
        <f>+MID('Input data'!$E$3,54,1)</f>
        <v/>
      </c>
      <c r="R20" s="523" t="str">
        <f>+MID('Input data'!$E$3,55,1)</f>
        <v/>
      </c>
      <c r="S20" s="523" t="str">
        <f>+MID('Input data'!$E$3,56,1)</f>
        <v/>
      </c>
      <c r="T20" s="523" t="str">
        <f>+MID('Input data'!$E$3,57,1)</f>
        <v/>
      </c>
      <c r="U20" s="523" t="str">
        <f>+MID('Input data'!$E$3,58,1)</f>
        <v/>
      </c>
      <c r="V20" s="523" t="str">
        <f>+MID('Input data'!$E$3,59,1)</f>
        <v/>
      </c>
      <c r="W20" s="523" t="str">
        <f>+MID('Input data'!$E$3,60,1)</f>
        <v/>
      </c>
      <c r="X20" s="523" t="str">
        <f>+MID('Input data'!$E$3,61,1)</f>
        <v/>
      </c>
      <c r="Y20" s="523" t="str">
        <f>+MID('Input data'!$E$3,62,1)</f>
        <v/>
      </c>
      <c r="Z20" s="523" t="str">
        <f>+MID('Input data'!$E$3,63,1)</f>
        <v/>
      </c>
      <c r="AA20" s="523" t="str">
        <f>+MID('Input data'!$E$3,64,1)</f>
        <v/>
      </c>
      <c r="AB20" s="523" t="str">
        <f>+MID('Input data'!$E$3,65,1)</f>
        <v/>
      </c>
      <c r="AC20" s="523" t="str">
        <f>+MID('Input data'!$E$3,66,1)</f>
        <v/>
      </c>
      <c r="AD20" s="523" t="str">
        <f>+MID('Input data'!$E$3,67,1)</f>
        <v/>
      </c>
      <c r="AE20" s="523" t="str">
        <f>+MID('Input data'!$E$3,68,1)</f>
        <v/>
      </c>
      <c r="AF20" s="523" t="str">
        <f>+MID('Input data'!$E$3,69,1)</f>
        <v/>
      </c>
      <c r="AG20" s="523" t="str">
        <f>+MID('Input data'!$E$3,70,1)</f>
        <v/>
      </c>
      <c r="AH20" s="523" t="str">
        <f>+MID('Input data'!$E$3,71,1)</f>
        <v/>
      </c>
      <c r="AI20" s="523" t="str">
        <f>+MID('Input data'!$E$3,72,1)</f>
        <v/>
      </c>
      <c r="AJ20" s="523" t="str">
        <f>+MID('Input data'!$E$3,73,1)</f>
        <v/>
      </c>
      <c r="AK20" s="833" t="str">
        <f>+MID('Input data'!$E$3,74,1)</f>
        <v/>
      </c>
      <c r="AL20" s="439"/>
      <c r="AM20" s="439"/>
      <c r="AN20" s="439"/>
    </row>
    <row r="21" spans="1:43" s="499" customFormat="1" ht="14.25" customHeight="1" x14ac:dyDescent="0.25">
      <c r="A21" s="503" t="s">
        <v>1567</v>
      </c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2"/>
      <c r="R21" s="502"/>
      <c r="S21" s="502"/>
      <c r="T21" s="502"/>
      <c r="U21" s="502"/>
      <c r="V21" s="502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0"/>
    </row>
    <row r="22" spans="1:43" x14ac:dyDescent="0.25">
      <c r="A22" s="495" t="s">
        <v>1568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48"/>
      <c r="X22" s="448"/>
      <c r="Y22" s="448"/>
      <c r="Z22" s="448"/>
      <c r="AA22" s="448"/>
      <c r="AB22" s="453"/>
      <c r="AC22" s="448"/>
      <c r="AD22" s="451" t="s">
        <v>1569</v>
      </c>
      <c r="AE22" s="448"/>
      <c r="AF22" s="448"/>
      <c r="AG22" s="448"/>
      <c r="AH22" s="448"/>
      <c r="AI22" s="448"/>
      <c r="AJ22" s="448"/>
      <c r="AK22" s="447"/>
    </row>
    <row r="23" spans="1:43" s="580" customFormat="1" ht="19.5" customHeight="1" x14ac:dyDescent="0.25">
      <c r="A23" s="498" t="str">
        <f>+LEFT('Input data'!$C$28,1)</f>
        <v>T</v>
      </c>
      <c r="B23" s="490" t="str">
        <f>+MID('Input data'!$C$28,2,1)</f>
        <v>e</v>
      </c>
      <c r="C23" s="490" t="str">
        <f>+MID('Input data'!$C$28,3,1)</f>
        <v>s</v>
      </c>
      <c r="D23" s="490" t="str">
        <f>+MID('Input data'!$C$28,4,1)</f>
        <v>l</v>
      </c>
      <c r="E23" s="490" t="str">
        <f>+MID('Input data'!$C$28,5,1)</f>
        <v>o</v>
      </c>
      <c r="F23" s="490" t="str">
        <f>+MID('Input data'!$C$28,6,1)</f>
        <v>v</v>
      </c>
      <c r="G23" s="490" t="str">
        <f>+MID('Input data'!$C$28,7,1)</f>
        <v>a</v>
      </c>
      <c r="H23" s="490" t="str">
        <f>+MID('Input data'!$C$28,8,1)</f>
        <v/>
      </c>
      <c r="I23" s="490" t="str">
        <f>+MID('Input data'!$C$28,9,1)</f>
        <v/>
      </c>
      <c r="J23" s="490" t="str">
        <f>+MID('Input data'!$C$28,10,1)</f>
        <v/>
      </c>
      <c r="K23" s="490" t="str">
        <f>+MID('Input data'!$C$28,11,1)</f>
        <v/>
      </c>
      <c r="L23" s="490" t="str">
        <f>+MID('Input data'!$C$28,12,1)</f>
        <v/>
      </c>
      <c r="M23" s="490" t="str">
        <f>+MID('Input data'!$C$28,13,1)</f>
        <v/>
      </c>
      <c r="N23" s="490" t="str">
        <f>+MID('Input data'!$C$28,14,1)</f>
        <v/>
      </c>
      <c r="O23" s="490" t="str">
        <f>+MID('Input data'!$C$28,15,1)</f>
        <v/>
      </c>
      <c r="P23" s="490" t="str">
        <f>+MID('Input data'!$C$28,16,1)</f>
        <v/>
      </c>
      <c r="Q23" s="490" t="str">
        <f>+MID('Input data'!$C$28,17,1)</f>
        <v/>
      </c>
      <c r="R23" s="490" t="str">
        <f>+MID('Input data'!$C$28,18,1)</f>
        <v/>
      </c>
      <c r="S23" s="490" t="str">
        <f>+MID('Input data'!$C$28,19,1)</f>
        <v/>
      </c>
      <c r="T23" s="490" t="str">
        <f>+MID('Input data'!$C$28,20,1)</f>
        <v/>
      </c>
      <c r="U23" s="490" t="str">
        <f>+MID('Input data'!$C$28,21,1)</f>
        <v/>
      </c>
      <c r="V23" s="490" t="str">
        <f>+MID('Input data'!$C$28,22,1)</f>
        <v/>
      </c>
      <c r="W23" s="490" t="str">
        <f>+MID('Input data'!$C$28,23,1)</f>
        <v/>
      </c>
      <c r="X23" s="490" t="str">
        <f>+MID('Input data'!$C$28,24,1)</f>
        <v/>
      </c>
      <c r="Y23" s="490" t="str">
        <f>+MID('Input data'!$C$28,25,1)</f>
        <v/>
      </c>
      <c r="Z23" s="490" t="str">
        <f>+MID('Input data'!$C$28,26,1)</f>
        <v/>
      </c>
      <c r="AA23" s="490" t="str">
        <f>+MID('Input data'!$C$28,27,1)</f>
        <v/>
      </c>
      <c r="AB23" s="490" t="str">
        <f>+MID('Input data'!$C$28,28,1)</f>
        <v/>
      </c>
      <c r="AC23" s="492"/>
      <c r="AD23" s="490" t="str">
        <f>+LEFT('Input data'!$C$30,1)</f>
        <v>2</v>
      </c>
      <c r="AE23" s="490" t="str">
        <f>+MID('Input data'!$C$30,2,1)</f>
        <v>0</v>
      </c>
      <c r="AF23" s="490" t="str">
        <f>+MID('Input data'!$C$30,3,1)</f>
        <v/>
      </c>
      <c r="AG23" s="490" t="str">
        <f>+MID('Input data'!$C$30,4,1)</f>
        <v/>
      </c>
      <c r="AH23" s="490" t="str">
        <f>+MID('Input data'!$C$30,5,1)</f>
        <v/>
      </c>
      <c r="AI23" s="490" t="str">
        <f>+MID('Input data'!$C$30,6,1)</f>
        <v/>
      </c>
      <c r="AJ23" s="490" t="str">
        <f>+MID('Input data'!$C$30,7,1)</f>
        <v/>
      </c>
      <c r="AK23" s="497" t="str">
        <f>+MID('Input data'!$C$30,8,1)</f>
        <v/>
      </c>
    </row>
    <row r="24" spans="1:43" x14ac:dyDescent="0.25">
      <c r="A24" s="495" t="s">
        <v>1570</v>
      </c>
      <c r="B24" s="453"/>
      <c r="C24" s="453"/>
      <c r="D24" s="453"/>
      <c r="E24" s="453"/>
      <c r="F24" s="453"/>
      <c r="G24" s="494" t="s">
        <v>1571</v>
      </c>
      <c r="H24" s="494"/>
      <c r="I24" s="494"/>
      <c r="J24" s="494"/>
      <c r="K24" s="494"/>
      <c r="L24" s="494"/>
      <c r="M24" s="494"/>
      <c r="N24" s="494"/>
      <c r="O24" s="494"/>
      <c r="P24" s="494"/>
      <c r="Q24" s="494"/>
      <c r="R24" s="494"/>
      <c r="S24" s="494"/>
      <c r="T24" s="494"/>
      <c r="U24" s="494"/>
      <c r="V24" s="494"/>
      <c r="W24" s="494"/>
      <c r="X24" s="494"/>
      <c r="Y24" s="494"/>
      <c r="Z24" s="494"/>
      <c r="AA24" s="494"/>
      <c r="AB24" s="494"/>
      <c r="AC24" s="494"/>
      <c r="AD24" s="494"/>
      <c r="AE24" s="448"/>
      <c r="AF24" s="448"/>
      <c r="AG24" s="448"/>
      <c r="AH24" s="448"/>
      <c r="AI24" s="448"/>
      <c r="AJ24" s="448"/>
      <c r="AK24" s="447"/>
    </row>
    <row r="25" spans="1:43" s="580" customFormat="1" ht="19.5" customHeight="1" x14ac:dyDescent="0.25">
      <c r="A25" s="498" t="str">
        <f>+LEFT('Input data'!$C$32,1)</f>
        <v>8</v>
      </c>
      <c r="B25" s="490" t="str">
        <f>+MID('Input data'!$C$32,2,1)</f>
        <v>2</v>
      </c>
      <c r="C25" s="490" t="str">
        <f>+MID('Input data'!$C$32,3,1)</f>
        <v>0</v>
      </c>
      <c r="D25" s="490" t="str">
        <f>+MID('Input data'!$C$32,4,1)</f>
        <v>0</v>
      </c>
      <c r="E25" s="490" t="str">
        <f>+MID('Input data'!$C$32,5,1)</f>
        <v>5</v>
      </c>
      <c r="F25" s="490"/>
      <c r="G25" s="490" t="str">
        <f>+LEFT('Input data'!$C$34,1)</f>
        <v>B</v>
      </c>
      <c r="H25" s="490" t="str">
        <f>+MID('Input data'!$C$34,2,1)</f>
        <v>r</v>
      </c>
      <c r="I25" s="490" t="str">
        <f>+MID('Input data'!$C$34,3,1)</f>
        <v>a</v>
      </c>
      <c r="J25" s="490" t="str">
        <f>+MID('Input data'!$C$34,4,1)</f>
        <v>t</v>
      </c>
      <c r="K25" s="490" t="str">
        <f>+MID('Input data'!$C$34,5,1)</f>
        <v>i</v>
      </c>
      <c r="L25" s="490" t="str">
        <f>+MID('Input data'!$C$34,6,1)</f>
        <v>s</v>
      </c>
      <c r="M25" s="490" t="str">
        <f>+MID('Input data'!$C$34,7,1)</f>
        <v>l</v>
      </c>
      <c r="N25" s="490" t="str">
        <f>+MID('Input data'!$C$34,8,1)</f>
        <v>a</v>
      </c>
      <c r="O25" s="490" t="str">
        <f>+MID('Input data'!$C$34,9,1)</f>
        <v>v</v>
      </c>
      <c r="P25" s="490" t="str">
        <f>+MID('Input data'!$C$34,10,1)</f>
        <v>a</v>
      </c>
      <c r="Q25" s="490" t="str">
        <f>+MID('Input data'!$C$34,11,1)</f>
        <v/>
      </c>
      <c r="R25" s="490" t="str">
        <f>+MID('Input data'!$C$34,12,1)</f>
        <v/>
      </c>
      <c r="S25" s="490" t="str">
        <f>+MID('Input data'!$C$34,13,1)</f>
        <v/>
      </c>
      <c r="T25" s="490" t="str">
        <f>+MID('Input data'!$C$34,14,1)</f>
        <v/>
      </c>
      <c r="U25" s="490" t="str">
        <f>+MID('Input data'!$C$34,15,1)</f>
        <v/>
      </c>
      <c r="V25" s="490" t="str">
        <f>+MID('Input data'!$C$34,16,1)</f>
        <v/>
      </c>
      <c r="W25" s="490" t="str">
        <f>+MID('Input data'!$C$34,17,1)</f>
        <v/>
      </c>
      <c r="X25" s="490" t="str">
        <f>+MID('Input data'!$C$34,18,1)</f>
        <v/>
      </c>
      <c r="Y25" s="490" t="str">
        <f>+MID('Input data'!$C$34,19,1)</f>
        <v/>
      </c>
      <c r="Z25" s="490" t="str">
        <f>+MID('Input data'!$C$34,20,1)</f>
        <v/>
      </c>
      <c r="AA25" s="490" t="str">
        <f>+MID('Input data'!$C$34,21,1)</f>
        <v/>
      </c>
      <c r="AB25" s="490" t="str">
        <f>+MID('Input data'!$C$34,22,1)</f>
        <v/>
      </c>
      <c r="AC25" s="490" t="str">
        <f>+MID('Input data'!$C$34,23,1)</f>
        <v/>
      </c>
      <c r="AD25" s="490" t="str">
        <f>+MID('Input data'!$C$34,24,1)</f>
        <v/>
      </c>
      <c r="AE25" s="490" t="str">
        <f>+MID('Input data'!$C$34,25,1)</f>
        <v/>
      </c>
      <c r="AF25" s="490" t="str">
        <f>+MID('Input data'!$C$34,26,1)</f>
        <v/>
      </c>
      <c r="AG25" s="490" t="str">
        <f>+MID('Input data'!$C$34,27,1)</f>
        <v/>
      </c>
      <c r="AH25" s="490" t="str">
        <f>+MID('Input data'!$C$34,28,1)</f>
        <v/>
      </c>
      <c r="AI25" s="490" t="str">
        <f>+MID('Input data'!$C$34,29,1)</f>
        <v/>
      </c>
      <c r="AJ25" s="490" t="str">
        <f>+MID('Input data'!$C$34,30,1)</f>
        <v/>
      </c>
      <c r="AK25" s="497" t="str">
        <f>+MID('Input data'!$C$34,31,1)</f>
        <v/>
      </c>
    </row>
    <row r="26" spans="1:43" x14ac:dyDescent="0.25">
      <c r="A26" s="495" t="s">
        <v>1572</v>
      </c>
      <c r="B26" s="453"/>
      <c r="C26" s="453"/>
      <c r="D26" s="453"/>
      <c r="E26" s="453"/>
      <c r="F26" s="453"/>
      <c r="G26" s="494"/>
      <c r="H26" s="494"/>
      <c r="I26" s="494"/>
      <c r="J26" s="494"/>
      <c r="K26" s="494"/>
      <c r="L26" s="494"/>
      <c r="M26" s="494"/>
      <c r="N26" s="453"/>
      <c r="O26" s="494" t="s">
        <v>1573</v>
      </c>
      <c r="P26" s="494"/>
      <c r="Q26" s="494"/>
      <c r="R26" s="494"/>
      <c r="S26" s="494"/>
      <c r="T26" s="494"/>
      <c r="U26" s="494"/>
      <c r="V26" s="494"/>
      <c r="W26" s="494"/>
      <c r="X26" s="494"/>
      <c r="Y26" s="494"/>
      <c r="Z26" s="494"/>
      <c r="AA26" s="494"/>
      <c r="AB26" s="494"/>
      <c r="AC26" s="494"/>
      <c r="AD26" s="494"/>
      <c r="AE26" s="448"/>
      <c r="AF26" s="448"/>
      <c r="AG26" s="448"/>
      <c r="AH26" s="448"/>
      <c r="AI26" s="448"/>
      <c r="AJ26" s="448"/>
      <c r="AK26" s="447"/>
    </row>
    <row r="27" spans="1:43" s="580" customFormat="1" ht="19.5" customHeight="1" x14ac:dyDescent="0.25">
      <c r="A27" s="493">
        <v>0</v>
      </c>
      <c r="B27" s="490" t="str">
        <f>+LEFT('Input data'!$C$36,1)</f>
        <v>2</v>
      </c>
      <c r="C27" s="490" t="str">
        <f>+MID('Input data'!$C$36,2,1)</f>
        <v/>
      </c>
      <c r="D27" s="490" t="str">
        <f>+MID('Input data'!$C$36,3,1)</f>
        <v/>
      </c>
      <c r="E27" s="490" t="s">
        <v>1176</v>
      </c>
      <c r="F27" s="490" t="str">
        <f>+LEFT('Input data'!$C$38,1)</f>
        <v>4</v>
      </c>
      <c r="G27" s="490" t="str">
        <f>+MID('Input data'!$C$38,2,1)</f>
        <v>9</v>
      </c>
      <c r="H27" s="490" t="str">
        <f>+MID('Input data'!$C$38,3,1)</f>
        <v>3</v>
      </c>
      <c r="I27" s="490" t="str">
        <f>+MID('Input data'!$C$38,4,1)</f>
        <v>0</v>
      </c>
      <c r="J27" s="490" t="str">
        <f>+MID('Input data'!$C$38,5,1)</f>
        <v>0</v>
      </c>
      <c r="K27" s="490" t="str">
        <f>+MID('Input data'!$C$38,6,1)</f>
        <v>5</v>
      </c>
      <c r="L27" s="490" t="str">
        <f>+MID('Input data'!$C$38,7,1)</f>
        <v>1</v>
      </c>
      <c r="M27" s="490" t="str">
        <f>+MID('Input data'!$C$38,8,1)</f>
        <v>3</v>
      </c>
      <c r="N27" s="492"/>
      <c r="O27" s="491">
        <v>0</v>
      </c>
      <c r="P27" s="490" t="str">
        <f>+LEFT('Input data'!$C$36,1)</f>
        <v>2</v>
      </c>
      <c r="Q27" s="490" t="str">
        <f>+MID('Input data'!$C$36,2,1)</f>
        <v/>
      </c>
      <c r="R27" s="490" t="str">
        <f>+MID('Input data'!$C$36,3,1)</f>
        <v/>
      </c>
      <c r="S27" s="490" t="s">
        <v>1176</v>
      </c>
      <c r="T27" s="490" t="str">
        <f>+LEFT('Input data'!$C$40,1)</f>
        <v>4</v>
      </c>
      <c r="U27" s="490" t="str">
        <f>+MID('Input data'!$C$40,2,1)</f>
        <v>9</v>
      </c>
      <c r="V27" s="490" t="str">
        <f>+MID('Input data'!$C$40,3,1)</f>
        <v>3</v>
      </c>
      <c r="W27" s="490" t="str">
        <f>+MID('Input data'!$C$40,4,1)</f>
        <v>0</v>
      </c>
      <c r="X27" s="490" t="str">
        <f>+MID('Input data'!$C$40,5,1)</f>
        <v>0</v>
      </c>
      <c r="Y27" s="490" t="str">
        <f>+MID('Input data'!$C$40,6,1)</f>
        <v>5</v>
      </c>
      <c r="Z27" s="490" t="str">
        <f>+MID('Input data'!$C$40,7,1)</f>
        <v>5</v>
      </c>
      <c r="AA27" s="490" t="str">
        <f>+MID('Input data'!$C$40,8,1)</f>
        <v>0</v>
      </c>
      <c r="AB27" s="490"/>
      <c r="AC27" s="490"/>
      <c r="AD27" s="490"/>
      <c r="AE27" s="448"/>
      <c r="AF27" s="448"/>
      <c r="AG27" s="448"/>
      <c r="AH27" s="448"/>
      <c r="AI27" s="448"/>
      <c r="AJ27" s="448"/>
      <c r="AK27" s="447"/>
      <c r="AQ27" s="580" t="s">
        <v>1177</v>
      </c>
    </row>
    <row r="28" spans="1:43" s="440" customFormat="1" x14ac:dyDescent="0.25">
      <c r="A28" s="452" t="s">
        <v>1574</v>
      </c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7"/>
    </row>
    <row r="29" spans="1:43" s="580" customFormat="1" ht="19.5" customHeight="1" thickBot="1" x14ac:dyDescent="0.3">
      <c r="A29" s="489" t="str">
        <f>+LEFT('Input data'!$B$42,1)</f>
        <v/>
      </c>
      <c r="B29" s="488" t="str">
        <f>+MID('Input data'!$B$42,2,1)</f>
        <v/>
      </c>
      <c r="C29" s="488" t="str">
        <f>+MID('Input data'!$B$42,3,1)</f>
        <v/>
      </c>
      <c r="D29" s="488" t="str">
        <f>+MID('Input data'!$B$42,4,1)</f>
        <v/>
      </c>
      <c r="E29" s="488" t="str">
        <f>+MID('Input data'!$B$42,5,1)</f>
        <v/>
      </c>
      <c r="F29" s="488" t="str">
        <f>+MID('Input data'!$B$42,6,1)</f>
        <v/>
      </c>
      <c r="G29" s="488" t="str">
        <f>+MID('Input data'!$B$42,7,1)</f>
        <v/>
      </c>
      <c r="H29" s="488" t="str">
        <f>+MID('Input data'!$B$42,8,1)</f>
        <v/>
      </c>
      <c r="I29" s="488" t="str">
        <f>+MID('Input data'!$B$42,9,1)</f>
        <v/>
      </c>
      <c r="J29" s="488" t="str">
        <f>+MID('Input data'!$B$42,10,1)</f>
        <v/>
      </c>
      <c r="K29" s="488" t="str">
        <f>+MID('Input data'!$B$42,11,1)</f>
        <v/>
      </c>
      <c r="L29" s="488" t="str">
        <f>+MID('Input data'!$B$42,12,1)</f>
        <v/>
      </c>
      <c r="M29" s="488" t="str">
        <f>+MID('Input data'!$B$42,13,1)</f>
        <v/>
      </c>
      <c r="N29" s="488" t="str">
        <f>+MID('Input data'!$B$42,14,1)</f>
        <v/>
      </c>
      <c r="O29" s="488" t="str">
        <f>+MID('Input data'!$B$42,15,1)</f>
        <v/>
      </c>
      <c r="P29" s="488" t="str">
        <f>+MID('Input data'!$B$42,16,1)</f>
        <v/>
      </c>
      <c r="Q29" s="488" t="str">
        <f>+MID('Input data'!$B$42,17,1)</f>
        <v/>
      </c>
      <c r="R29" s="488" t="str">
        <f>+MID('Input data'!$B$42,18,1)</f>
        <v/>
      </c>
      <c r="S29" s="488" t="str">
        <f>+MID('Input data'!$B$42,19,1)</f>
        <v/>
      </c>
      <c r="T29" s="488" t="str">
        <f>+MID('Input data'!$B$42,20,1)</f>
        <v/>
      </c>
      <c r="U29" s="488" t="str">
        <f>+MID('Input data'!$B$42,21,1)</f>
        <v/>
      </c>
      <c r="V29" s="488" t="str">
        <f>+MID('Input data'!$B$42,22,1)</f>
        <v/>
      </c>
      <c r="W29" s="488" t="str">
        <f>+MID('Input data'!$B$42,23,1)</f>
        <v/>
      </c>
      <c r="X29" s="488" t="str">
        <f>+MID('Input data'!$B$42,24,1)</f>
        <v/>
      </c>
      <c r="Y29" s="488" t="str">
        <f>+MID('Input data'!$B$42,25,1)</f>
        <v/>
      </c>
      <c r="Z29" s="488" t="str">
        <f>+MID('Input data'!$B$42,26,1)</f>
        <v/>
      </c>
      <c r="AA29" s="488" t="str">
        <f>+MID('Input data'!$B$42,27,1)</f>
        <v/>
      </c>
      <c r="AB29" s="488" t="str">
        <f>+MID('Input data'!$B$42,28,1)</f>
        <v/>
      </c>
      <c r="AC29" s="488" t="str">
        <f>+MID('Input data'!$B$42,29,1)</f>
        <v/>
      </c>
      <c r="AD29" s="488" t="str">
        <f>+MID('Input data'!$B$42,30,1)</f>
        <v/>
      </c>
      <c r="AE29" s="488" t="str">
        <f>+MID('Input data'!$B$42,31,1)</f>
        <v/>
      </c>
      <c r="AF29" s="488" t="str">
        <f>+MID('Input data'!$B$42,32,1)</f>
        <v/>
      </c>
      <c r="AG29" s="488" t="str">
        <f>+MID('Input data'!$B$42,33,1)</f>
        <v/>
      </c>
      <c r="AH29" s="488" t="str">
        <f>+MID('Input data'!$B$42,34,1)</f>
        <v/>
      </c>
      <c r="AI29" s="488" t="str">
        <f>+MID('Input data'!$B$42,35,1)</f>
        <v/>
      </c>
      <c r="AJ29" s="488" t="str">
        <f>+MID('Input data'!$B$42,36,1)</f>
        <v/>
      </c>
      <c r="AK29" s="487" t="str">
        <f>+MID('Input data'!$B$42,37,1)</f>
        <v/>
      </c>
    </row>
    <row r="30" spans="1:43" s="440" customFormat="1" ht="4.5" customHeight="1" thickBot="1" x14ac:dyDescent="0.3">
      <c r="W30" s="441"/>
      <c r="X30" s="441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</row>
    <row r="31" spans="1:43" s="483" customFormat="1" ht="12.75" customHeight="1" x14ac:dyDescent="0.25">
      <c r="A31" s="486" t="s">
        <v>1403</v>
      </c>
      <c r="B31" s="485"/>
      <c r="C31" s="485"/>
      <c r="D31" s="485"/>
      <c r="E31" s="485"/>
      <c r="F31" s="485"/>
      <c r="G31" s="485"/>
      <c r="H31" s="485"/>
      <c r="I31" s="485"/>
      <c r="J31" s="485"/>
      <c r="K31" s="834"/>
      <c r="L31" s="834"/>
      <c r="M31" s="1543" t="s">
        <v>1575</v>
      </c>
      <c r="N31" s="1544"/>
      <c r="O31" s="1544"/>
      <c r="P31" s="1544"/>
      <c r="Q31" s="1544"/>
      <c r="R31" s="1544"/>
      <c r="S31" s="1544"/>
      <c r="T31" s="1544"/>
      <c r="U31" s="1549"/>
      <c r="V31" s="1031" t="s">
        <v>1576</v>
      </c>
      <c r="W31" s="1031"/>
      <c r="X31" s="1031"/>
      <c r="Y31" s="1031"/>
      <c r="Z31" s="1031"/>
      <c r="AA31" s="1031"/>
      <c r="AB31" s="1031"/>
      <c r="AC31" s="1032"/>
      <c r="AD31" s="1543" t="s">
        <v>1577</v>
      </c>
      <c r="AE31" s="1544"/>
      <c r="AF31" s="1544"/>
      <c r="AG31" s="1544"/>
      <c r="AH31" s="1544"/>
      <c r="AI31" s="1544"/>
      <c r="AJ31" s="1544"/>
      <c r="AK31" s="1544"/>
      <c r="AL31" s="1545"/>
    </row>
    <row r="32" spans="1:43" s="440" customFormat="1" ht="19.5" customHeight="1" x14ac:dyDescent="0.25">
      <c r="A32" s="469" t="str">
        <f>LEFT(TEXT('Input data'!F25,"dd.m.yyyy"),1)</f>
        <v>1</v>
      </c>
      <c r="B32" s="468" t="str">
        <f>MID(TEXT('Input data'!$F$25,"dd.mm.yyyy"),2,1)</f>
        <v>3</v>
      </c>
      <c r="C32" s="467" t="s">
        <v>1147</v>
      </c>
      <c r="D32" s="468" t="str">
        <f>MID(TEXT('Input data'!$F$25,"dd.mm.yyyy"),4,1)</f>
        <v>0</v>
      </c>
      <c r="E32" s="468" t="str">
        <f>MID(TEXT('Input data'!$F$25,"dd.mm.yyyy"),5,1)</f>
        <v>6</v>
      </c>
      <c r="F32" s="467" t="s">
        <v>1147</v>
      </c>
      <c r="G32" s="468" t="str">
        <f>MID(TEXT('Input data'!$F$25,"dd.mm.yyyy"),7,1)</f>
        <v>2</v>
      </c>
      <c r="H32" s="468" t="str">
        <f>MID(TEXT('Input data'!$F$25,"dd.mm.yyyy"),8,1)</f>
        <v>0</v>
      </c>
      <c r="I32" s="468" t="str">
        <f>MID(TEXT('Input data'!$F$25,"dd.mm.yyyy"),9,1)</f>
        <v>1</v>
      </c>
      <c r="J32" s="468" t="str">
        <f>MID(TEXT('Input data'!$F$25,"dd.mm.yyyy"),10,1)</f>
        <v>4</v>
      </c>
      <c r="K32" s="835"/>
      <c r="L32" s="475"/>
      <c r="M32" s="1546"/>
      <c r="N32" s="1547"/>
      <c r="O32" s="1547"/>
      <c r="P32" s="1547"/>
      <c r="Q32" s="1547"/>
      <c r="R32" s="1547"/>
      <c r="S32" s="1547"/>
      <c r="T32" s="1547"/>
      <c r="U32" s="1550"/>
      <c r="V32" s="1034"/>
      <c r="W32" s="1034"/>
      <c r="X32" s="1034"/>
      <c r="Y32" s="1034"/>
      <c r="Z32" s="1034"/>
      <c r="AA32" s="1034"/>
      <c r="AB32" s="1034"/>
      <c r="AC32" s="1035"/>
      <c r="AD32" s="1546"/>
      <c r="AE32" s="1547"/>
      <c r="AF32" s="1547"/>
      <c r="AG32" s="1547"/>
      <c r="AH32" s="1547"/>
      <c r="AI32" s="1547"/>
      <c r="AJ32" s="1547"/>
      <c r="AK32" s="1547"/>
      <c r="AL32" s="1548"/>
      <c r="AP32" s="579"/>
    </row>
    <row r="33" spans="1:38" s="440" customFormat="1" ht="12.75" customHeight="1" x14ac:dyDescent="0.25">
      <c r="A33" s="481"/>
      <c r="B33" s="480"/>
      <c r="C33" s="480"/>
      <c r="D33" s="480"/>
      <c r="E33" s="480"/>
      <c r="F33" s="480"/>
      <c r="G33" s="480"/>
      <c r="H33" s="480"/>
      <c r="I33" s="480"/>
      <c r="J33" s="480"/>
      <c r="K33" s="836"/>
      <c r="L33" s="836"/>
      <c r="M33" s="1546"/>
      <c r="N33" s="1547"/>
      <c r="O33" s="1547"/>
      <c r="P33" s="1547"/>
      <c r="Q33" s="1547"/>
      <c r="R33" s="1547"/>
      <c r="S33" s="1547"/>
      <c r="T33" s="1547"/>
      <c r="U33" s="1550"/>
      <c r="V33" s="1034"/>
      <c r="W33" s="1034"/>
      <c r="X33" s="1034"/>
      <c r="Y33" s="1034"/>
      <c r="Z33" s="1034"/>
      <c r="AA33" s="1034"/>
      <c r="AB33" s="1034"/>
      <c r="AC33" s="1035"/>
      <c r="AD33" s="1546"/>
      <c r="AE33" s="1547"/>
      <c r="AF33" s="1547"/>
      <c r="AG33" s="1547"/>
      <c r="AH33" s="1547"/>
      <c r="AI33" s="1547"/>
      <c r="AJ33" s="1547"/>
      <c r="AK33" s="1547"/>
      <c r="AL33" s="1548"/>
    </row>
    <row r="34" spans="1:38" s="440" customFormat="1" x14ac:dyDescent="0.2">
      <c r="A34" s="452" t="s">
        <v>1401</v>
      </c>
      <c r="B34" s="451"/>
      <c r="C34" s="451"/>
      <c r="D34" s="451"/>
      <c r="E34" s="451"/>
      <c r="F34" s="451"/>
      <c r="G34" s="451"/>
      <c r="H34" s="451"/>
      <c r="I34" s="451"/>
      <c r="J34" s="451"/>
      <c r="K34" s="475"/>
      <c r="L34" s="837"/>
      <c r="M34" s="475"/>
      <c r="N34" s="475"/>
      <c r="O34" s="475"/>
      <c r="P34" s="475"/>
      <c r="Q34" s="475"/>
      <c r="R34" s="475"/>
      <c r="S34" s="475"/>
      <c r="T34" s="451"/>
      <c r="U34" s="473"/>
      <c r="V34" s="474"/>
      <c r="W34" s="474"/>
      <c r="X34" s="474"/>
      <c r="Y34" s="474"/>
      <c r="Z34" s="474"/>
      <c r="AA34" s="448"/>
      <c r="AB34" s="474"/>
      <c r="AC34" s="473"/>
      <c r="AD34" s="472"/>
      <c r="AE34" s="471"/>
      <c r="AF34" s="471"/>
      <c r="AG34" s="471"/>
      <c r="AH34" s="471"/>
      <c r="AI34" s="471"/>
      <c r="AJ34" s="471"/>
      <c r="AK34" s="471"/>
      <c r="AL34" s="470"/>
    </row>
    <row r="35" spans="1:38" s="440" customFormat="1" ht="19.5" customHeight="1" x14ac:dyDescent="0.25">
      <c r="A35" s="469" t="str">
        <f>IF('Input data'!$F$27="","",LEFT(TEXT('Input data'!$F$27,"dd.mm.yyyy"),1))</f>
        <v/>
      </c>
      <c r="B35" s="468" t="str">
        <f>IF('Input data'!$F$27="","",MID(TEXT('Input data'!$F$27,"dd.mm.yyyy"),2,1))</f>
        <v/>
      </c>
      <c r="C35" s="467" t="s">
        <v>1147</v>
      </c>
      <c r="D35" s="468" t="str">
        <f>IF('Input data'!$F$27="","",MID(TEXT('Input data'!$F$27,"dd.mm.yyyy"),4,1))</f>
        <v/>
      </c>
      <c r="E35" s="468" t="str">
        <f>IF('Input data'!$F$27="","",MID(TEXT('Input data'!$F$27,"dd.mm.yyyy"),5,1))</f>
        <v/>
      </c>
      <c r="F35" s="467" t="s">
        <v>1147</v>
      </c>
      <c r="G35" s="466" t="str">
        <f>IF('Input data'!$F$27="","",MID(TEXT('Input data'!$F$27,"dd.mm.yyyy"),7,1))</f>
        <v/>
      </c>
      <c r="H35" s="466" t="str">
        <f>IF('Input data'!$F$27="","",MID(TEXT('Input data'!$F$27,"dd.mm.yyyy"),8,1))</f>
        <v/>
      </c>
      <c r="I35" s="466" t="str">
        <f>IF('Input data'!$F$27="","",MID(TEXT('Input data'!$F$27,"dd.mm.yyyy"),9,1))</f>
        <v/>
      </c>
      <c r="J35" s="466" t="str">
        <f>IF('Input data'!$F$27="","",MID(TEXT('Input data'!$F$27,"dd.mm.yyyy"),10,1))</f>
        <v/>
      </c>
      <c r="K35" s="838"/>
      <c r="L35" s="578"/>
      <c r="M35" s="451"/>
      <c r="N35" s="451"/>
      <c r="O35" s="451"/>
      <c r="P35" s="451"/>
      <c r="Q35" s="451"/>
      <c r="R35" s="451"/>
      <c r="S35" s="451"/>
      <c r="T35" s="451"/>
      <c r="U35" s="578"/>
      <c r="V35" s="451"/>
      <c r="W35" s="448"/>
      <c r="X35" s="448"/>
      <c r="Y35" s="448"/>
      <c r="Z35" s="448"/>
      <c r="AA35" s="448"/>
      <c r="AB35" s="448"/>
      <c r="AC35" s="577"/>
      <c r="AD35" s="448"/>
      <c r="AE35" s="448"/>
      <c r="AF35" s="448"/>
      <c r="AG35" s="448"/>
      <c r="AH35" s="448"/>
      <c r="AI35" s="448"/>
      <c r="AJ35" s="448"/>
      <c r="AK35" s="448"/>
      <c r="AL35" s="447"/>
    </row>
    <row r="36" spans="1:38" s="446" customFormat="1" thickBot="1" x14ac:dyDescent="0.3">
      <c r="A36" s="461"/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59"/>
      <c r="M36" s="1038">
        <f>'Input data'!F31</f>
        <v>0</v>
      </c>
      <c r="N36" s="1039"/>
      <c r="O36" s="1039"/>
      <c r="P36" s="1039"/>
      <c r="Q36" s="1039"/>
      <c r="R36" s="1039"/>
      <c r="S36" s="1039"/>
      <c r="T36" s="1039"/>
      <c r="U36" s="1040"/>
      <c r="V36" s="1038">
        <f>'Input data'!F35</f>
        <v>0</v>
      </c>
      <c r="W36" s="1039"/>
      <c r="X36" s="1039"/>
      <c r="Y36" s="1039"/>
      <c r="Z36" s="1039"/>
      <c r="AA36" s="1039"/>
      <c r="AB36" s="1039"/>
      <c r="AC36" s="1040"/>
      <c r="AD36" s="1041">
        <f>'Input data'!F39</f>
        <v>0</v>
      </c>
      <c r="AE36" s="1039"/>
      <c r="AF36" s="1039"/>
      <c r="AG36" s="1039"/>
      <c r="AH36" s="1039"/>
      <c r="AI36" s="1039"/>
      <c r="AJ36" s="1039"/>
      <c r="AK36" s="1039"/>
      <c r="AL36" s="1042"/>
    </row>
    <row r="37" spans="1:38" s="446" customFormat="1" x14ac:dyDescent="0.25">
      <c r="W37" s="441"/>
      <c r="X37" s="441"/>
      <c r="Y37" s="441"/>
      <c r="Z37" s="441"/>
      <c r="AA37" s="441"/>
      <c r="AB37" s="441"/>
      <c r="AC37" s="441"/>
      <c r="AD37" s="441"/>
      <c r="AE37" s="441"/>
      <c r="AF37" s="441"/>
      <c r="AG37" s="441"/>
      <c r="AH37" s="441"/>
      <c r="AI37" s="441"/>
      <c r="AJ37" s="441"/>
      <c r="AK37" s="441"/>
    </row>
    <row r="38" spans="1:38" s="446" customFormat="1" x14ac:dyDescent="0.25"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</row>
    <row r="39" spans="1:38" s="446" customFormat="1" x14ac:dyDescent="0.25"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</row>
    <row r="40" spans="1:38" ht="13.5" thickBot="1" x14ac:dyDescent="0.3"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</row>
    <row r="41" spans="1:38" s="446" customFormat="1" x14ac:dyDescent="0.25">
      <c r="B41" s="458" t="s">
        <v>1578</v>
      </c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M41" s="457"/>
      <c r="N41" s="457"/>
      <c r="O41" s="457"/>
      <c r="P41" s="457"/>
      <c r="Q41" s="457"/>
      <c r="R41" s="457"/>
      <c r="S41" s="457"/>
      <c r="T41" s="457"/>
      <c r="U41" s="457"/>
      <c r="V41" s="457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6"/>
      <c r="AI41" s="456"/>
      <c r="AJ41" s="455"/>
      <c r="AK41" s="441"/>
    </row>
    <row r="42" spans="1:38" s="446" customFormat="1" x14ac:dyDescent="0.25">
      <c r="B42" s="450"/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49"/>
      <c r="O42" s="449"/>
      <c r="P42" s="449"/>
      <c r="Q42" s="449"/>
      <c r="R42" s="449"/>
      <c r="S42" s="449"/>
      <c r="T42" s="449"/>
      <c r="U42" s="449"/>
      <c r="V42" s="449"/>
      <c r="W42" s="448"/>
      <c r="X42" s="448"/>
      <c r="Y42" s="448"/>
      <c r="Z42" s="448"/>
      <c r="AA42" s="448"/>
      <c r="AB42" s="448"/>
      <c r="AC42" s="448"/>
      <c r="AD42" s="448"/>
      <c r="AE42" s="448"/>
      <c r="AF42" s="448"/>
      <c r="AG42" s="448"/>
      <c r="AH42" s="448"/>
      <c r="AI42" s="448"/>
      <c r="AJ42" s="447"/>
      <c r="AK42" s="441"/>
    </row>
    <row r="43" spans="1:38" x14ac:dyDescent="0.25">
      <c r="B43" s="454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48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7"/>
      <c r="AK43" s="441"/>
    </row>
    <row r="44" spans="1:38" s="446" customFormat="1" x14ac:dyDescent="0.25">
      <c r="B44" s="450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38" s="440" customFormat="1" x14ac:dyDescent="0.25">
      <c r="B45" s="452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38" s="440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38" s="446" customFormat="1" x14ac:dyDescent="0.25">
      <c r="B47" s="450"/>
      <c r="C47" s="449"/>
      <c r="D47" s="449"/>
      <c r="E47" s="449"/>
      <c r="F47" s="449"/>
      <c r="G47" s="449"/>
      <c r="H47" s="449"/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449"/>
      <c r="T47" s="449"/>
      <c r="U47" s="449"/>
      <c r="V47" s="449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38" s="446" customFormat="1" x14ac:dyDescent="0.25">
      <c r="B48" s="450"/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49"/>
      <c r="V48" s="449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2:37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2:37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2:37" s="440" customFormat="1" ht="13.5" thickBot="1" x14ac:dyDescent="0.3">
      <c r="B51" s="445"/>
      <c r="C51" s="444"/>
      <c r="D51" s="444"/>
      <c r="E51" s="444"/>
      <c r="F51" s="444"/>
      <c r="G51" s="444" t="s">
        <v>1579</v>
      </c>
      <c r="H51" s="444"/>
      <c r="I51" s="444"/>
      <c r="J51" s="444"/>
      <c r="K51" s="444"/>
      <c r="L51" s="444"/>
      <c r="M51" s="444"/>
      <c r="N51" s="444"/>
      <c r="O51" s="444"/>
      <c r="P51" s="444"/>
      <c r="Q51" s="444"/>
      <c r="R51" s="444"/>
      <c r="S51" s="444"/>
      <c r="T51" s="444"/>
      <c r="U51" s="444" t="s">
        <v>1580</v>
      </c>
      <c r="V51" s="444"/>
      <c r="W51" s="443"/>
      <c r="X51" s="443"/>
      <c r="Y51" s="443"/>
      <c r="Z51" s="443"/>
      <c r="AA51" s="443"/>
      <c r="AB51" s="443"/>
      <c r="AC51" s="443"/>
      <c r="AD51" s="443"/>
      <c r="AE51" s="443"/>
      <c r="AF51" s="443"/>
      <c r="AG51" s="443"/>
      <c r="AH51" s="443"/>
      <c r="AI51" s="443"/>
      <c r="AJ51" s="442"/>
      <c r="AK51" s="441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SheetLayoutView="100" workbookViewId="0"/>
  </sheetViews>
  <sheetFormatPr defaultRowHeight="10.5" x14ac:dyDescent="0.25"/>
  <cols>
    <col min="1" max="1" width="4.42578125" style="585" customWidth="1"/>
    <col min="2" max="2" width="35" style="585" customWidth="1"/>
    <col min="3" max="3" width="3.5703125" style="585" customWidth="1"/>
    <col min="4" max="4" width="6.85546875" style="585" customWidth="1"/>
    <col min="5" max="6" width="29.5703125" style="585" customWidth="1"/>
    <col min="7" max="16384" width="9.140625" style="585"/>
  </cols>
  <sheetData>
    <row r="1" spans="1:10" s="551" customFormat="1" ht="7.5" customHeight="1" x14ac:dyDescent="0.25">
      <c r="A1" s="550"/>
      <c r="H1" s="494"/>
      <c r="I1" s="494"/>
    </row>
    <row r="2" spans="1:10" s="551" customFormat="1" ht="17.25" customHeight="1" x14ac:dyDescent="0.25">
      <c r="A2" s="550"/>
      <c r="B2" s="576" t="s">
        <v>1659</v>
      </c>
      <c r="C2" s="863"/>
      <c r="D2" s="864" t="s">
        <v>1581</v>
      </c>
      <c r="E2" s="865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2  0  2  2  3  0  4  1  5  2</v>
      </c>
    </row>
    <row r="3" spans="1:10" s="551" customFormat="1" ht="7.5" customHeight="1" thickBot="1" x14ac:dyDescent="0.3">
      <c r="A3" s="550"/>
      <c r="B3" s="630"/>
      <c r="C3" s="494"/>
      <c r="D3" s="494"/>
    </row>
    <row r="4" spans="1:10" s="610" customFormat="1" ht="11.25" customHeight="1" x14ac:dyDescent="0.25">
      <c r="A4" s="629"/>
      <c r="B4" s="628"/>
      <c r="C4" s="627"/>
      <c r="D4" s="626"/>
      <c r="E4" s="1605" t="s">
        <v>1664</v>
      </c>
      <c r="F4" s="1624"/>
    </row>
    <row r="5" spans="1:10" s="610" customFormat="1" ht="33.75" customHeight="1" x14ac:dyDescent="0.25">
      <c r="A5" s="790" t="s">
        <v>1582</v>
      </c>
      <c r="B5" s="788" t="s">
        <v>1385</v>
      </c>
      <c r="C5" s="623"/>
      <c r="D5" s="796" t="s">
        <v>1665</v>
      </c>
      <c r="E5" s="794" t="s">
        <v>1666</v>
      </c>
      <c r="F5" s="620" t="s">
        <v>1667</v>
      </c>
    </row>
    <row r="6" spans="1:10" s="610" customFormat="1" ht="29.65" customHeight="1" x14ac:dyDescent="0.25">
      <c r="A6" s="798" t="s">
        <v>813</v>
      </c>
      <c r="B6" s="591" t="s">
        <v>1668</v>
      </c>
      <c r="C6" s="590"/>
      <c r="D6" s="793" t="s">
        <v>814</v>
      </c>
      <c r="E6" s="797">
        <f>'P&amp;L'!D9</f>
        <v>0</v>
      </c>
      <c r="F6" s="589">
        <f>'P&amp;L'!E9</f>
        <v>0</v>
      </c>
    </row>
    <row r="7" spans="1:10" s="610" customFormat="1" ht="29.65" customHeight="1" x14ac:dyDescent="0.25">
      <c r="A7" s="798" t="s">
        <v>815</v>
      </c>
      <c r="B7" s="591" t="s">
        <v>1669</v>
      </c>
      <c r="C7" s="590"/>
      <c r="D7" s="793" t="s">
        <v>817</v>
      </c>
      <c r="E7" s="797">
        <f>'P&amp;L'!D10</f>
        <v>0</v>
      </c>
      <c r="F7" s="589">
        <f>'P&amp;L'!E10</f>
        <v>0</v>
      </c>
    </row>
    <row r="8" spans="1:10" s="615" customFormat="1" ht="29.65" customHeight="1" x14ac:dyDescent="0.25">
      <c r="A8" s="800" t="s">
        <v>818</v>
      </c>
      <c r="B8" s="593" t="s">
        <v>819</v>
      </c>
      <c r="C8" s="592"/>
      <c r="D8" s="799" t="s">
        <v>820</v>
      </c>
      <c r="E8" s="797">
        <f>'P&amp;L'!D11</f>
        <v>0</v>
      </c>
      <c r="F8" s="589">
        <f>'P&amp;L'!E11</f>
        <v>0</v>
      </c>
    </row>
    <row r="9" spans="1:10" s="615" customFormat="1" ht="29.65" customHeight="1" x14ac:dyDescent="0.25">
      <c r="A9" s="800" t="s">
        <v>821</v>
      </c>
      <c r="B9" s="593" t="s">
        <v>822</v>
      </c>
      <c r="C9" s="592"/>
      <c r="D9" s="799" t="s">
        <v>823</v>
      </c>
      <c r="E9" s="797">
        <f>'P&amp;L'!D12</f>
        <v>11330433</v>
      </c>
      <c r="F9" s="589">
        <f>'P&amp;L'!E12</f>
        <v>10716651</v>
      </c>
    </row>
    <row r="10" spans="1:10" s="610" customFormat="1" ht="29.65" customHeight="1" x14ac:dyDescent="0.25">
      <c r="A10" s="791" t="s">
        <v>824</v>
      </c>
      <c r="B10" s="591" t="s">
        <v>825</v>
      </c>
      <c r="C10" s="590"/>
      <c r="D10" s="793" t="s">
        <v>826</v>
      </c>
      <c r="E10" s="797">
        <f>'P&amp;L'!D13</f>
        <v>11330433</v>
      </c>
      <c r="F10" s="589">
        <f>'P&amp;L'!E13</f>
        <v>10716651</v>
      </c>
    </row>
    <row r="11" spans="1:10" s="610" customFormat="1" ht="29.65" customHeight="1" x14ac:dyDescent="0.25">
      <c r="A11" s="791" t="s">
        <v>532</v>
      </c>
      <c r="B11" s="591" t="s">
        <v>827</v>
      </c>
      <c r="C11" s="590"/>
      <c r="D11" s="793" t="s">
        <v>828</v>
      </c>
      <c r="E11" s="797">
        <f>'P&amp;L'!D14</f>
        <v>0</v>
      </c>
      <c r="F11" s="589">
        <f>'P&amp;L'!E14</f>
        <v>0</v>
      </c>
    </row>
    <row r="12" spans="1:10" s="610" customFormat="1" ht="29.65" customHeight="1" x14ac:dyDescent="0.25">
      <c r="A12" s="791" t="s">
        <v>535</v>
      </c>
      <c r="B12" s="591" t="s">
        <v>829</v>
      </c>
      <c r="C12" s="590"/>
      <c r="D12" s="793" t="s">
        <v>830</v>
      </c>
      <c r="E12" s="797">
        <f>'P&amp;L'!D15</f>
        <v>0</v>
      </c>
      <c r="F12" s="589">
        <f>'P&amp;L'!E15</f>
        <v>0</v>
      </c>
    </row>
    <row r="13" spans="1:10" s="615" customFormat="1" ht="29.65" customHeight="1" x14ac:dyDescent="0.25">
      <c r="A13" s="800" t="s">
        <v>594</v>
      </c>
      <c r="B13" s="593" t="s">
        <v>831</v>
      </c>
      <c r="C13" s="592"/>
      <c r="D13" s="799" t="s">
        <v>832</v>
      </c>
      <c r="E13" s="797">
        <f>'P&amp;L'!D16</f>
        <v>10076854</v>
      </c>
      <c r="F13" s="589">
        <f>'P&amp;L'!E16</f>
        <v>9642113</v>
      </c>
      <c r="J13" s="610"/>
    </row>
    <row r="14" spans="1:10" s="610" customFormat="1" ht="29.65" customHeight="1" x14ac:dyDescent="0.25">
      <c r="A14" s="798" t="s">
        <v>833</v>
      </c>
      <c r="B14" s="591" t="s">
        <v>834</v>
      </c>
      <c r="C14" s="590"/>
      <c r="D14" s="793" t="s">
        <v>835</v>
      </c>
      <c r="E14" s="797">
        <f>'P&amp;L'!D17</f>
        <v>38243</v>
      </c>
      <c r="F14" s="589">
        <f>'P&amp;L'!E17</f>
        <v>63661</v>
      </c>
    </row>
    <row r="15" spans="1:10" s="610" customFormat="1" ht="29.65" customHeight="1" x14ac:dyDescent="0.25">
      <c r="A15" s="798" t="s">
        <v>836</v>
      </c>
      <c r="B15" s="591" t="s">
        <v>837</v>
      </c>
      <c r="C15" s="590"/>
      <c r="D15" s="793" t="s">
        <v>838</v>
      </c>
      <c r="E15" s="797">
        <f>'P&amp;L'!D18</f>
        <v>10038611</v>
      </c>
      <c r="F15" s="589">
        <f>'P&amp;L'!E18</f>
        <v>9578452</v>
      </c>
    </row>
    <row r="16" spans="1:10" s="615" customFormat="1" ht="29.65" customHeight="1" x14ac:dyDescent="0.25">
      <c r="A16" s="800" t="s">
        <v>818</v>
      </c>
      <c r="B16" s="593" t="s">
        <v>839</v>
      </c>
      <c r="C16" s="592"/>
      <c r="D16" s="799" t="s">
        <v>840</v>
      </c>
      <c r="E16" s="797">
        <f>'P&amp;L'!D19</f>
        <v>1253579</v>
      </c>
      <c r="F16" s="589">
        <f>'P&amp;L'!E19</f>
        <v>1074538</v>
      </c>
    </row>
    <row r="17" spans="1:6" s="610" customFormat="1" ht="29.65" customHeight="1" x14ac:dyDescent="0.25">
      <c r="A17" s="798" t="s">
        <v>663</v>
      </c>
      <c r="B17" s="591" t="s">
        <v>841</v>
      </c>
      <c r="C17" s="590"/>
      <c r="D17" s="793" t="s">
        <v>842</v>
      </c>
      <c r="E17" s="797">
        <f>'P&amp;L'!D20</f>
        <v>409980</v>
      </c>
      <c r="F17" s="589">
        <f>'P&amp;L'!E20</f>
        <v>394269</v>
      </c>
    </row>
    <row r="18" spans="1:6" s="610" customFormat="1" ht="29.65" customHeight="1" x14ac:dyDescent="0.25">
      <c r="A18" s="798" t="s">
        <v>666</v>
      </c>
      <c r="B18" s="591" t="s">
        <v>843</v>
      </c>
      <c r="C18" s="590"/>
      <c r="D18" s="793" t="s">
        <v>844</v>
      </c>
      <c r="E18" s="797">
        <f>'P&amp;L'!D21</f>
        <v>296866</v>
      </c>
      <c r="F18" s="589">
        <f>'P&amp;L'!E21</f>
        <v>300410</v>
      </c>
    </row>
    <row r="19" spans="1:6" s="610" customFormat="1" ht="29.65" customHeight="1" x14ac:dyDescent="0.25">
      <c r="A19" s="798" t="s">
        <v>836</v>
      </c>
      <c r="B19" s="591" t="s">
        <v>845</v>
      </c>
      <c r="C19" s="590"/>
      <c r="D19" s="793" t="s">
        <v>846</v>
      </c>
      <c r="E19" s="797">
        <f>'P&amp;L'!D22</f>
        <v>0</v>
      </c>
      <c r="F19" s="589">
        <f>'P&amp;L'!E22</f>
        <v>0</v>
      </c>
    </row>
    <row r="20" spans="1:6" s="610" customFormat="1" ht="29.65" customHeight="1" x14ac:dyDescent="0.25">
      <c r="A20" s="798" t="s">
        <v>847</v>
      </c>
      <c r="B20" s="591" t="s">
        <v>848</v>
      </c>
      <c r="C20" s="590"/>
      <c r="D20" s="793" t="s">
        <v>849</v>
      </c>
      <c r="E20" s="797">
        <f>'P&amp;L'!D23</f>
        <v>106327</v>
      </c>
      <c r="F20" s="589">
        <f>'P&amp;L'!E23</f>
        <v>87584</v>
      </c>
    </row>
    <row r="21" spans="1:6" s="610" customFormat="1" ht="29.65" customHeight="1" x14ac:dyDescent="0.25">
      <c r="A21" s="798" t="s">
        <v>850</v>
      </c>
      <c r="B21" s="591" t="s">
        <v>851</v>
      </c>
      <c r="C21" s="590"/>
      <c r="D21" s="793" t="s">
        <v>852</v>
      </c>
      <c r="E21" s="797">
        <f>'P&amp;L'!D24</f>
        <v>6787</v>
      </c>
      <c r="F21" s="589">
        <f>'P&amp;L'!E24</f>
        <v>6275</v>
      </c>
    </row>
    <row r="22" spans="1:6" s="610" customFormat="1" ht="29.65" customHeight="1" x14ac:dyDescent="0.25">
      <c r="A22" s="798" t="s">
        <v>853</v>
      </c>
      <c r="B22" s="591" t="s">
        <v>854</v>
      </c>
      <c r="C22" s="590"/>
      <c r="D22" s="793" t="s">
        <v>855</v>
      </c>
      <c r="E22" s="797">
        <f>'P&amp;L'!D25</f>
        <v>921</v>
      </c>
      <c r="F22" s="589">
        <f>'P&amp;L'!E25</f>
        <v>1043</v>
      </c>
    </row>
    <row r="23" spans="1:6" s="610" customFormat="1" ht="29.65" customHeight="1" x14ac:dyDescent="0.25">
      <c r="A23" s="798" t="s">
        <v>856</v>
      </c>
      <c r="B23" s="591" t="s">
        <v>857</v>
      </c>
      <c r="C23" s="590"/>
      <c r="D23" s="793" t="s">
        <v>858</v>
      </c>
      <c r="E23" s="797">
        <f>'P&amp;L'!D26</f>
        <v>24621</v>
      </c>
      <c r="F23" s="589">
        <f>'P&amp;L'!E26</f>
        <v>17258</v>
      </c>
    </row>
    <row r="24" spans="1:6" s="610" customFormat="1" ht="29.65" customHeight="1" x14ac:dyDescent="0.25">
      <c r="A24" s="798" t="s">
        <v>859</v>
      </c>
      <c r="B24" s="591" t="s">
        <v>860</v>
      </c>
      <c r="C24" s="590"/>
      <c r="D24" s="793" t="s">
        <v>861</v>
      </c>
      <c r="E24" s="797">
        <f>'P&amp;L'!D27</f>
        <v>0</v>
      </c>
      <c r="F24" s="589">
        <f>'P&amp;L'!E27</f>
        <v>0</v>
      </c>
    </row>
    <row r="25" spans="1:6" s="610" customFormat="1" ht="29.65" customHeight="1" x14ac:dyDescent="0.25">
      <c r="A25" s="798" t="s">
        <v>862</v>
      </c>
      <c r="B25" s="591" t="s">
        <v>863</v>
      </c>
      <c r="C25" s="590"/>
      <c r="D25" s="793" t="s">
        <v>864</v>
      </c>
      <c r="E25" s="797">
        <f>'P&amp;L'!D28</f>
        <v>0</v>
      </c>
      <c r="F25" s="589">
        <f>'P&amp;L'!E28</f>
        <v>0</v>
      </c>
    </row>
    <row r="26" spans="1:6" s="610" customFormat="1" ht="29.65" customHeight="1" x14ac:dyDescent="0.25">
      <c r="A26" s="798" t="s">
        <v>865</v>
      </c>
      <c r="B26" s="619" t="s">
        <v>866</v>
      </c>
      <c r="C26" s="618"/>
      <c r="D26" s="793" t="s">
        <v>867</v>
      </c>
      <c r="E26" s="797">
        <f>'P&amp;L'!D29</f>
        <v>18068</v>
      </c>
      <c r="F26" s="589">
        <f>'P&amp;L'!E29</f>
        <v>0</v>
      </c>
    </row>
    <row r="27" spans="1:6" s="610" customFormat="1" ht="29.65" customHeight="1" x14ac:dyDescent="0.25">
      <c r="A27" s="798" t="s">
        <v>868</v>
      </c>
      <c r="B27" s="591" t="s">
        <v>1670</v>
      </c>
      <c r="C27" s="590"/>
      <c r="D27" s="793" t="s">
        <v>870</v>
      </c>
      <c r="E27" s="797">
        <f>'P&amp;L'!D30</f>
        <v>1082</v>
      </c>
      <c r="F27" s="589">
        <f>'P&amp;L'!E30</f>
        <v>132466</v>
      </c>
    </row>
    <row r="28" spans="1:6" s="610" customFormat="1" ht="29.65" customHeight="1" x14ac:dyDescent="0.25">
      <c r="A28" s="798" t="s">
        <v>871</v>
      </c>
      <c r="B28" s="619" t="s">
        <v>1671</v>
      </c>
      <c r="C28" s="618"/>
      <c r="D28" s="793" t="s">
        <v>873</v>
      </c>
      <c r="E28" s="797">
        <f>'P&amp;L'!D31</f>
        <v>1262</v>
      </c>
      <c r="F28" s="589">
        <f>'P&amp;L'!E31</f>
        <v>2251</v>
      </c>
    </row>
    <row r="29" spans="1:6" s="610" customFormat="1" ht="29.65" customHeight="1" x14ac:dyDescent="0.25">
      <c r="A29" s="798" t="s">
        <v>874</v>
      </c>
      <c r="B29" s="591" t="s">
        <v>875</v>
      </c>
      <c r="C29" s="590"/>
      <c r="D29" s="793" t="s">
        <v>876</v>
      </c>
      <c r="E29" s="797">
        <f>'P&amp;L'!D32</f>
        <v>0</v>
      </c>
      <c r="F29" s="589">
        <f>'P&amp;L'!E32</f>
        <v>0</v>
      </c>
    </row>
    <row r="30" spans="1:6" s="610" customFormat="1" ht="29.65" customHeight="1" x14ac:dyDescent="0.25">
      <c r="A30" s="798" t="s">
        <v>877</v>
      </c>
      <c r="B30" s="591" t="s">
        <v>878</v>
      </c>
      <c r="C30" s="590"/>
      <c r="D30" s="793" t="s">
        <v>879</v>
      </c>
      <c r="E30" s="797">
        <f>'P&amp;L'!D33</f>
        <v>0</v>
      </c>
      <c r="F30" s="589">
        <f>'P&amp;L'!E33</f>
        <v>0</v>
      </c>
    </row>
    <row r="31" spans="1:6" s="615" customFormat="1" ht="33.75" customHeight="1" x14ac:dyDescent="0.25">
      <c r="A31" s="800" t="s">
        <v>880</v>
      </c>
      <c r="B31" s="617" t="s">
        <v>881</v>
      </c>
      <c r="C31" s="616"/>
      <c r="D31" s="799" t="s">
        <v>882</v>
      </c>
      <c r="E31" s="797">
        <f>'P&amp;L'!D34</f>
        <v>799809</v>
      </c>
      <c r="F31" s="589">
        <f>'P&amp;L'!E34</f>
        <v>792183</v>
      </c>
    </row>
    <row r="32" spans="1:6" s="610" customFormat="1" ht="29.65" customHeight="1" thickBot="1" x14ac:dyDescent="0.3">
      <c r="A32" s="614" t="s">
        <v>883</v>
      </c>
      <c r="B32" s="613" t="s">
        <v>884</v>
      </c>
      <c r="C32" s="612"/>
      <c r="D32" s="611" t="s">
        <v>885</v>
      </c>
      <c r="E32" s="866">
        <f>'P&amp;L'!D35</f>
        <v>0</v>
      </c>
      <c r="F32" s="867">
        <f>'P&amp;L'!E35</f>
        <v>0</v>
      </c>
    </row>
    <row r="33" spans="1:6" ht="24.75" customHeight="1" x14ac:dyDescent="0.25">
      <c r="A33" s="602" t="s">
        <v>886</v>
      </c>
      <c r="B33" s="601" t="s">
        <v>887</v>
      </c>
      <c r="C33" s="600"/>
      <c r="D33" s="792" t="s">
        <v>888</v>
      </c>
      <c r="E33" s="845">
        <f>'P&amp;L'!D36</f>
        <v>0</v>
      </c>
      <c r="F33" s="868">
        <f>'P&amp;L'!E36</f>
        <v>0</v>
      </c>
    </row>
    <row r="34" spans="1:6" ht="30.75" customHeight="1" x14ac:dyDescent="0.25">
      <c r="A34" s="602" t="s">
        <v>889</v>
      </c>
      <c r="B34" s="609" t="s">
        <v>1672</v>
      </c>
      <c r="C34" s="608"/>
      <c r="D34" s="792" t="s">
        <v>891</v>
      </c>
      <c r="E34" s="845">
        <f>'P&amp;L'!D37</f>
        <v>0</v>
      </c>
      <c r="F34" s="868">
        <f>'P&amp;L'!E37</f>
        <v>0</v>
      </c>
    </row>
    <row r="35" spans="1:6" ht="36.75" customHeight="1" x14ac:dyDescent="0.25">
      <c r="A35" s="798" t="s">
        <v>892</v>
      </c>
      <c r="B35" s="591" t="s">
        <v>893</v>
      </c>
      <c r="C35" s="590"/>
      <c r="D35" s="793" t="s">
        <v>894</v>
      </c>
      <c r="E35" s="797">
        <f>'P&amp;L'!D38</f>
        <v>0</v>
      </c>
      <c r="F35" s="589">
        <f>'P&amp;L'!E38</f>
        <v>0</v>
      </c>
    </row>
    <row r="36" spans="1:6" ht="30.75" customHeight="1" x14ac:dyDescent="0.25">
      <c r="A36" s="798" t="s">
        <v>895</v>
      </c>
      <c r="B36" s="591" t="s">
        <v>896</v>
      </c>
      <c r="C36" s="590"/>
      <c r="D36" s="793" t="s">
        <v>897</v>
      </c>
      <c r="E36" s="797">
        <f>'P&amp;L'!D39</f>
        <v>0</v>
      </c>
      <c r="F36" s="589">
        <f>'P&amp;L'!E39</f>
        <v>0</v>
      </c>
    </row>
    <row r="37" spans="1:6" ht="30" customHeight="1" x14ac:dyDescent="0.25">
      <c r="A37" s="798" t="s">
        <v>898</v>
      </c>
      <c r="B37" s="591" t="s">
        <v>899</v>
      </c>
      <c r="C37" s="590"/>
      <c r="D37" s="793" t="s">
        <v>900</v>
      </c>
      <c r="E37" s="797">
        <f>'P&amp;L'!D40</f>
        <v>0</v>
      </c>
      <c r="F37" s="589">
        <f>'P&amp;L'!E40</f>
        <v>0</v>
      </c>
    </row>
    <row r="38" spans="1:6" ht="26.25" customHeight="1" x14ac:dyDescent="0.25">
      <c r="A38" s="798" t="s">
        <v>901</v>
      </c>
      <c r="B38" s="591" t="s">
        <v>902</v>
      </c>
      <c r="C38" s="590"/>
      <c r="D38" s="793" t="s">
        <v>903</v>
      </c>
      <c r="E38" s="797">
        <f>'P&amp;L'!D41</f>
        <v>0</v>
      </c>
      <c r="F38" s="589">
        <f>'P&amp;L'!E41</f>
        <v>0</v>
      </c>
    </row>
    <row r="39" spans="1:6" ht="22.5" customHeight="1" x14ac:dyDescent="0.25">
      <c r="A39" s="798" t="s">
        <v>904</v>
      </c>
      <c r="B39" s="591" t="s">
        <v>905</v>
      </c>
      <c r="C39" s="590"/>
      <c r="D39" s="793" t="s">
        <v>906</v>
      </c>
      <c r="E39" s="797">
        <f>'P&amp;L'!D42</f>
        <v>0</v>
      </c>
      <c r="F39" s="589">
        <f>'P&amp;L'!E42</f>
        <v>0</v>
      </c>
    </row>
    <row r="40" spans="1:6" ht="30.75" customHeight="1" x14ac:dyDescent="0.25">
      <c r="A40" s="798" t="s">
        <v>907</v>
      </c>
      <c r="B40" s="591" t="s">
        <v>908</v>
      </c>
      <c r="C40" s="590"/>
      <c r="D40" s="793" t="s">
        <v>909</v>
      </c>
      <c r="E40" s="797">
        <f>'P&amp;L'!D43</f>
        <v>0</v>
      </c>
      <c r="F40" s="589">
        <f>'P&amp;L'!E43</f>
        <v>0</v>
      </c>
    </row>
    <row r="41" spans="1:6" ht="30" customHeight="1" x14ac:dyDescent="0.25">
      <c r="A41" s="798" t="s">
        <v>910</v>
      </c>
      <c r="B41" s="591" t="s">
        <v>911</v>
      </c>
      <c r="C41" s="590"/>
      <c r="D41" s="793" t="s">
        <v>912</v>
      </c>
      <c r="E41" s="797">
        <f>'P&amp;L'!D44</f>
        <v>0</v>
      </c>
      <c r="F41" s="589">
        <f>'P&amp;L'!E44</f>
        <v>0</v>
      </c>
    </row>
    <row r="42" spans="1:6" ht="32.25" customHeight="1" x14ac:dyDescent="0.25">
      <c r="A42" s="798" t="s">
        <v>913</v>
      </c>
      <c r="B42" s="591" t="s">
        <v>914</v>
      </c>
      <c r="C42" s="590"/>
      <c r="D42" s="793" t="s">
        <v>915</v>
      </c>
      <c r="E42" s="797">
        <f>'P&amp;L'!D45</f>
        <v>0</v>
      </c>
      <c r="F42" s="589">
        <f>'P&amp;L'!E45</f>
        <v>0</v>
      </c>
    </row>
    <row r="43" spans="1:6" ht="24" customHeight="1" x14ac:dyDescent="0.25">
      <c r="A43" s="798" t="s">
        <v>916</v>
      </c>
      <c r="B43" s="591" t="s">
        <v>917</v>
      </c>
      <c r="C43" s="590"/>
      <c r="D43" s="793" t="s">
        <v>918</v>
      </c>
      <c r="E43" s="797">
        <f>'P&amp;L'!D46</f>
        <v>70</v>
      </c>
      <c r="F43" s="589">
        <f>'P&amp;L'!E46</f>
        <v>3749</v>
      </c>
    </row>
    <row r="44" spans="1:6" ht="26.25" customHeight="1" x14ac:dyDescent="0.25">
      <c r="A44" s="798" t="s">
        <v>919</v>
      </c>
      <c r="B44" s="591" t="s">
        <v>920</v>
      </c>
      <c r="C44" s="590"/>
      <c r="D44" s="793" t="s">
        <v>921</v>
      </c>
      <c r="E44" s="797">
        <f>'P&amp;L'!D47</f>
        <v>433</v>
      </c>
      <c r="F44" s="589">
        <f>'P&amp;L'!E47</f>
        <v>619</v>
      </c>
    </row>
    <row r="45" spans="1:6" ht="24.75" customHeight="1" x14ac:dyDescent="0.25">
      <c r="A45" s="798" t="s">
        <v>922</v>
      </c>
      <c r="B45" s="591" t="s">
        <v>923</v>
      </c>
      <c r="C45" s="590"/>
      <c r="D45" s="793" t="s">
        <v>924</v>
      </c>
      <c r="E45" s="797">
        <f>'P&amp;L'!D48</f>
        <v>369</v>
      </c>
      <c r="F45" s="589">
        <f>'P&amp;L'!E48</f>
        <v>99</v>
      </c>
    </row>
    <row r="46" spans="1:6" ht="27" customHeight="1" x14ac:dyDescent="0.25">
      <c r="A46" s="798" t="s">
        <v>925</v>
      </c>
      <c r="B46" s="591" t="s">
        <v>926</v>
      </c>
      <c r="C46" s="590"/>
      <c r="D46" s="793" t="s">
        <v>927</v>
      </c>
      <c r="E46" s="797">
        <f>'P&amp;L'!D49</f>
        <v>1704</v>
      </c>
      <c r="F46" s="589">
        <f>'P&amp;L'!E49</f>
        <v>2014</v>
      </c>
    </row>
    <row r="47" spans="1:6" ht="29.25" customHeight="1" x14ac:dyDescent="0.25">
      <c r="A47" s="798" t="s">
        <v>928</v>
      </c>
      <c r="B47" s="591" t="s">
        <v>929</v>
      </c>
      <c r="C47" s="590"/>
      <c r="D47" s="793" t="s">
        <v>930</v>
      </c>
      <c r="E47" s="797">
        <f>'P&amp;L'!D50</f>
        <v>0</v>
      </c>
      <c r="F47" s="589">
        <f>'P&amp;L'!E50</f>
        <v>0</v>
      </c>
    </row>
    <row r="48" spans="1:6" ht="27.75" customHeight="1" x14ac:dyDescent="0.25">
      <c r="A48" s="798" t="s">
        <v>931</v>
      </c>
      <c r="B48" s="591" t="s">
        <v>932</v>
      </c>
      <c r="C48" s="590"/>
      <c r="D48" s="793" t="s">
        <v>933</v>
      </c>
      <c r="E48" s="797">
        <f>'P&amp;L'!D51</f>
        <v>7572</v>
      </c>
      <c r="F48" s="589">
        <f>'P&amp;L'!E51</f>
        <v>10091</v>
      </c>
    </row>
    <row r="49" spans="1:6" ht="27.75" customHeight="1" x14ac:dyDescent="0.25">
      <c r="A49" s="798" t="s">
        <v>934</v>
      </c>
      <c r="B49" s="591" t="s">
        <v>935</v>
      </c>
      <c r="C49" s="590"/>
      <c r="D49" s="793" t="s">
        <v>936</v>
      </c>
      <c r="E49" s="797">
        <f>'P&amp;L'!D52</f>
        <v>0</v>
      </c>
      <c r="F49" s="589">
        <f>'P&amp;L'!E52</f>
        <v>0</v>
      </c>
    </row>
    <row r="50" spans="1:6" ht="27.75" customHeight="1" x14ac:dyDescent="0.25">
      <c r="A50" s="798" t="s">
        <v>937</v>
      </c>
      <c r="B50" s="591" t="s">
        <v>938</v>
      </c>
      <c r="C50" s="590"/>
      <c r="D50" s="793" t="s">
        <v>939</v>
      </c>
      <c r="E50" s="797">
        <f>'P&amp;L'!D53</f>
        <v>0</v>
      </c>
      <c r="F50" s="589">
        <f>'P&amp;L'!E53</f>
        <v>0</v>
      </c>
    </row>
    <row r="51" spans="1:6" s="586" customFormat="1" ht="44.25" customHeight="1" x14ac:dyDescent="0.25">
      <c r="A51" s="605" t="s">
        <v>880</v>
      </c>
      <c r="B51" s="607" t="s">
        <v>1673</v>
      </c>
      <c r="C51" s="606"/>
      <c r="D51" s="799" t="s">
        <v>941</v>
      </c>
      <c r="E51" s="797">
        <f>'P&amp;L'!D54</f>
        <v>-9270</v>
      </c>
      <c r="F51" s="589">
        <f>'P&amp;L'!E54</f>
        <v>-8876</v>
      </c>
    </row>
    <row r="52" spans="1:6" s="586" customFormat="1" ht="29.25" customHeight="1" x14ac:dyDescent="0.25">
      <c r="A52" s="605" t="s">
        <v>942</v>
      </c>
      <c r="B52" s="604" t="s">
        <v>943</v>
      </c>
      <c r="C52" s="603"/>
      <c r="D52" s="799" t="s">
        <v>944</v>
      </c>
      <c r="E52" s="797">
        <f>'P&amp;L'!D55</f>
        <v>790539</v>
      </c>
      <c r="F52" s="589">
        <f>'P&amp;L'!E55</f>
        <v>783307</v>
      </c>
    </row>
    <row r="53" spans="1:6" ht="30.75" customHeight="1" x14ac:dyDescent="0.25">
      <c r="A53" s="798" t="s">
        <v>945</v>
      </c>
      <c r="B53" s="591" t="s">
        <v>946</v>
      </c>
      <c r="C53" s="590"/>
      <c r="D53" s="793" t="s">
        <v>947</v>
      </c>
      <c r="E53" s="797">
        <f>'P&amp;L'!D56</f>
        <v>188035</v>
      </c>
      <c r="F53" s="589">
        <f>'P&amp;L'!E56</f>
        <v>151714</v>
      </c>
    </row>
    <row r="54" spans="1:6" ht="28.5" customHeight="1" x14ac:dyDescent="0.25">
      <c r="A54" s="801" t="s">
        <v>948</v>
      </c>
      <c r="B54" s="591" t="s">
        <v>1674</v>
      </c>
      <c r="C54" s="590"/>
      <c r="D54" s="793" t="s">
        <v>950</v>
      </c>
      <c r="E54" s="797">
        <f>'P&amp;L'!D57</f>
        <v>179297</v>
      </c>
      <c r="F54" s="589">
        <f>'P&amp;L'!E57</f>
        <v>146331</v>
      </c>
    </row>
    <row r="55" spans="1:6" ht="28.5" customHeight="1" x14ac:dyDescent="0.25">
      <c r="A55" s="798" t="s">
        <v>836</v>
      </c>
      <c r="B55" s="591" t="s">
        <v>1675</v>
      </c>
      <c r="C55" s="590"/>
      <c r="D55" s="793" t="s">
        <v>952</v>
      </c>
      <c r="E55" s="797">
        <f>'P&amp;L'!D58</f>
        <v>8738</v>
      </c>
      <c r="F55" s="589">
        <f>'P&amp;L'!E58</f>
        <v>5383</v>
      </c>
    </row>
    <row r="56" spans="1:6" s="586" customFormat="1" ht="31.5" customHeight="1" x14ac:dyDescent="0.25">
      <c r="A56" s="605" t="s">
        <v>942</v>
      </c>
      <c r="B56" s="604" t="s">
        <v>1676</v>
      </c>
      <c r="C56" s="603"/>
      <c r="D56" s="799" t="s">
        <v>954</v>
      </c>
      <c r="E56" s="797">
        <f>'P&amp;L'!D59</f>
        <v>602504</v>
      </c>
      <c r="F56" s="589">
        <f>'P&amp;L'!E59</f>
        <v>631593</v>
      </c>
    </row>
    <row r="57" spans="1:6" ht="29.25" customHeight="1" x14ac:dyDescent="0.25">
      <c r="A57" s="798" t="s">
        <v>955</v>
      </c>
      <c r="B57" s="591" t="s">
        <v>956</v>
      </c>
      <c r="C57" s="590"/>
      <c r="D57" s="793" t="s">
        <v>957</v>
      </c>
      <c r="E57" s="797">
        <f>'P&amp;L'!D60</f>
        <v>0</v>
      </c>
      <c r="F57" s="589">
        <f>'P&amp;L'!E60</f>
        <v>0</v>
      </c>
    </row>
    <row r="58" spans="1:6" ht="28.5" customHeight="1" x14ac:dyDescent="0.25">
      <c r="A58" s="798" t="s">
        <v>958</v>
      </c>
      <c r="B58" s="591" t="s">
        <v>959</v>
      </c>
      <c r="C58" s="590"/>
      <c r="D58" s="793" t="s">
        <v>960</v>
      </c>
      <c r="E58" s="797">
        <f>'P&amp;L'!D61</f>
        <v>0</v>
      </c>
      <c r="F58" s="589">
        <f>'P&amp;L'!E61</f>
        <v>0</v>
      </c>
    </row>
    <row r="59" spans="1:6" ht="30.75" customHeight="1" thickBot="1" x14ac:dyDescent="0.3">
      <c r="A59" s="561" t="s">
        <v>880</v>
      </c>
      <c r="B59" s="588" t="s">
        <v>961</v>
      </c>
      <c r="C59" s="587"/>
      <c r="D59" s="560" t="s">
        <v>962</v>
      </c>
      <c r="E59" s="866">
        <f>'P&amp;L'!D62</f>
        <v>0</v>
      </c>
      <c r="F59" s="867">
        <f>'P&amp;L'!E62</f>
        <v>0</v>
      </c>
    </row>
    <row r="60" spans="1:6" ht="27.75" customHeight="1" x14ac:dyDescent="0.25">
      <c r="A60" s="602" t="s">
        <v>963</v>
      </c>
      <c r="B60" s="601" t="s">
        <v>964</v>
      </c>
      <c r="C60" s="600"/>
      <c r="D60" s="792" t="s">
        <v>965</v>
      </c>
      <c r="E60" s="845">
        <f>'P&amp;L'!D63</f>
        <v>0</v>
      </c>
      <c r="F60" s="868">
        <f>'P&amp;L'!E63</f>
        <v>0</v>
      </c>
    </row>
    <row r="61" spans="1:6" ht="27.75" customHeight="1" x14ac:dyDescent="0.25">
      <c r="A61" s="801" t="s">
        <v>966</v>
      </c>
      <c r="B61" s="591" t="s">
        <v>1677</v>
      </c>
      <c r="C61" s="590"/>
      <c r="D61" s="793" t="s">
        <v>968</v>
      </c>
      <c r="E61" s="797">
        <f>'P&amp;L'!D64</f>
        <v>0</v>
      </c>
      <c r="F61" s="589">
        <f>'P&amp;L'!E64</f>
        <v>0</v>
      </c>
    </row>
    <row r="62" spans="1:6" ht="27.75" customHeight="1" x14ac:dyDescent="0.25">
      <c r="A62" s="798" t="s">
        <v>836</v>
      </c>
      <c r="B62" s="591" t="s">
        <v>1678</v>
      </c>
      <c r="C62" s="590"/>
      <c r="D62" s="793" t="s">
        <v>970</v>
      </c>
      <c r="E62" s="797">
        <f>'P&amp;L'!D65</f>
        <v>0</v>
      </c>
      <c r="F62" s="589">
        <f>'P&amp;L'!E65</f>
        <v>0</v>
      </c>
    </row>
    <row r="63" spans="1:6" s="586" customFormat="1" ht="27.75" customHeight="1" x14ac:dyDescent="0.25">
      <c r="A63" s="597" t="s">
        <v>880</v>
      </c>
      <c r="B63" s="596" t="s">
        <v>971</v>
      </c>
      <c r="C63" s="595"/>
      <c r="D63" s="803" t="s">
        <v>972</v>
      </c>
      <c r="E63" s="845">
        <f>'P&amp;L'!D66</f>
        <v>0</v>
      </c>
      <c r="F63" s="868">
        <f>'P&amp;L'!E66</f>
        <v>0</v>
      </c>
    </row>
    <row r="64" spans="1:6" s="586" customFormat="1" ht="27.75" customHeight="1" x14ac:dyDescent="0.25">
      <c r="A64" s="800" t="s">
        <v>973</v>
      </c>
      <c r="B64" s="593" t="s">
        <v>974</v>
      </c>
      <c r="C64" s="592"/>
      <c r="D64" s="799" t="s">
        <v>975</v>
      </c>
      <c r="E64" s="797">
        <f>'P&amp;L'!D67</f>
        <v>790539</v>
      </c>
      <c r="F64" s="589">
        <f>'P&amp;L'!E67</f>
        <v>783307</v>
      </c>
    </row>
    <row r="65" spans="1:6" ht="27.75" customHeight="1" x14ac:dyDescent="0.25">
      <c r="A65" s="798" t="s">
        <v>976</v>
      </c>
      <c r="B65" s="591" t="s">
        <v>1679</v>
      </c>
      <c r="C65" s="590"/>
      <c r="D65" s="793" t="s">
        <v>978</v>
      </c>
      <c r="E65" s="797">
        <f>'P&amp;L'!D68</f>
        <v>0</v>
      </c>
      <c r="F65" s="589">
        <f>'P&amp;L'!E68</f>
        <v>0</v>
      </c>
    </row>
    <row r="66" spans="1:6" s="586" customFormat="1" ht="27.75" customHeight="1" thickBot="1" x14ac:dyDescent="0.3">
      <c r="A66" s="561" t="s">
        <v>973</v>
      </c>
      <c r="B66" s="588" t="s">
        <v>979</v>
      </c>
      <c r="C66" s="587"/>
      <c r="D66" s="560" t="s">
        <v>980</v>
      </c>
      <c r="E66" s="866">
        <f>'P&amp;L'!D69</f>
        <v>602504</v>
      </c>
      <c r="F66" s="867">
        <f>'P&amp;L'!E69</f>
        <v>631593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zoomScaleSheetLayoutView="100" workbookViewId="0"/>
  </sheetViews>
  <sheetFormatPr defaultRowHeight="12.75" x14ac:dyDescent="0.25"/>
  <cols>
    <col min="1" max="10" width="2.5703125" style="820" customWidth="1"/>
    <col min="11" max="11" width="3.42578125" style="820" customWidth="1"/>
    <col min="12" max="36" width="2.5703125" style="820" customWidth="1"/>
    <col min="37" max="37" width="2.140625" style="820" customWidth="1"/>
    <col min="38" max="38" width="1.85546875" style="820" customWidth="1"/>
    <col min="39" max="39" width="2.140625" style="820" customWidth="1"/>
    <col min="40" max="45" width="2.5703125" style="820" customWidth="1"/>
    <col min="46" max="46" width="7.7109375" style="820" customWidth="1"/>
    <col min="47" max="61" width="2.5703125" style="820" customWidth="1"/>
    <col min="62" max="16384" width="9.140625" style="820"/>
  </cols>
  <sheetData>
    <row r="1" spans="1:38" s="549" customFormat="1" ht="10.5" thickBot="1" x14ac:dyDescent="0.3">
      <c r="C1" s="819" t="s">
        <v>1143</v>
      </c>
    </row>
    <row r="2" spans="1:38" s="446" customFormat="1" ht="21" customHeight="1" thickBot="1" x14ac:dyDescent="0.3">
      <c r="C2" s="821" t="s">
        <v>1682</v>
      </c>
      <c r="D2" s="822"/>
      <c r="E2" s="822"/>
      <c r="F2" s="822"/>
      <c r="G2" s="822"/>
      <c r="H2" s="822"/>
      <c r="I2" s="822"/>
      <c r="J2" s="823"/>
      <c r="Q2" s="545" t="s">
        <v>1683</v>
      </c>
    </row>
    <row r="3" spans="1:38" ht="13.5" thickBot="1" x14ac:dyDescent="0.3"/>
    <row r="4" spans="1:38" ht="28.5" customHeight="1" thickBot="1" x14ac:dyDescent="0.3">
      <c r="K4" s="869" t="s">
        <v>1684</v>
      </c>
      <c r="L4" s="543" t="str">
        <f>+MID('Input data'!$B$11,1,1)</f>
        <v>3</v>
      </c>
      <c r="M4" s="543" t="str">
        <f>+MID('Input data'!$B$11,2,1)</f>
        <v>1</v>
      </c>
      <c r="N4" s="543" t="s">
        <v>1147</v>
      </c>
      <c r="O4" s="543" t="str">
        <f>LEFT('Input data'!B13,1)</f>
        <v>1</v>
      </c>
      <c r="P4" s="543" t="str">
        <f>RIGHT('Input data'!B13,1)</f>
        <v>2</v>
      </c>
      <c r="Q4" s="543" t="s">
        <v>1147</v>
      </c>
      <c r="R4" s="543" t="str">
        <f>+LEFT('Input data'!$B$14,1)</f>
        <v>2</v>
      </c>
      <c r="S4" s="543" t="str">
        <f>+MID('Input data'!$B$14,2,1)</f>
        <v>0</v>
      </c>
      <c r="T4" s="543" t="str">
        <f>+MID('Input data'!$B$14,3,1)</f>
        <v>1</v>
      </c>
      <c r="U4" s="543" t="str">
        <f>+MID('Input data'!$B$14,4,1)</f>
        <v>3</v>
      </c>
      <c r="V4" s="1696" t="s">
        <v>1685</v>
      </c>
      <c r="W4" s="1697"/>
      <c r="X4" s="1697"/>
      <c r="Y4" s="1697"/>
      <c r="Z4" s="1697"/>
      <c r="AA4" s="1698"/>
    </row>
    <row r="5" spans="1:38" ht="7.5" customHeight="1" thickBot="1" x14ac:dyDescent="0.3"/>
    <row r="6" spans="1:38" s="536" customFormat="1" ht="14.25" customHeight="1" x14ac:dyDescent="0.25">
      <c r="A6" s="539" t="s">
        <v>1686</v>
      </c>
      <c r="B6" s="539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7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8"/>
      <c r="AL6" s="537"/>
    </row>
    <row r="7" spans="1:38" s="536" customFormat="1" ht="14.25" customHeight="1" x14ac:dyDescent="0.25">
      <c r="A7" s="870" t="s">
        <v>1687</v>
      </c>
      <c r="B7" s="870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1"/>
      <c r="Z7" s="871"/>
      <c r="AA7" s="871"/>
      <c r="AB7" s="871"/>
      <c r="AC7" s="871"/>
      <c r="AD7" s="871"/>
      <c r="AE7" s="871"/>
      <c r="AF7" s="871"/>
      <c r="AG7" s="871"/>
      <c r="AH7" s="871"/>
      <c r="AI7" s="871"/>
      <c r="AJ7" s="871"/>
      <c r="AK7" s="871"/>
      <c r="AL7" s="872"/>
    </row>
    <row r="8" spans="1:38" s="876" customFormat="1" ht="15" customHeight="1" x14ac:dyDescent="0.25">
      <c r="A8" s="873" t="s">
        <v>1688</v>
      </c>
      <c r="B8" s="873"/>
      <c r="C8" s="874"/>
      <c r="D8" s="874"/>
      <c r="E8" s="874"/>
      <c r="F8" s="874"/>
      <c r="G8" s="874"/>
      <c r="H8" s="874"/>
      <c r="I8" s="874"/>
      <c r="J8" s="874"/>
      <c r="K8" s="874"/>
      <c r="L8" s="874"/>
      <c r="M8" s="874"/>
      <c r="N8" s="874"/>
      <c r="O8" s="874"/>
      <c r="P8" s="874"/>
      <c r="Q8" s="874"/>
      <c r="R8" s="874"/>
      <c r="S8" s="875"/>
      <c r="T8" s="874"/>
      <c r="U8" s="874"/>
      <c r="V8" s="874"/>
      <c r="W8" s="874"/>
      <c r="X8" s="874"/>
      <c r="Y8" s="874"/>
      <c r="Z8" s="874"/>
      <c r="AA8" s="874"/>
      <c r="AB8" s="874"/>
      <c r="AC8" s="874"/>
      <c r="AD8" s="874"/>
      <c r="AE8" s="874"/>
      <c r="AF8" s="874"/>
      <c r="AG8" s="874"/>
      <c r="AH8" s="874"/>
      <c r="AI8" s="874"/>
      <c r="AJ8" s="874"/>
      <c r="AK8" s="874"/>
      <c r="AL8" s="872"/>
    </row>
    <row r="9" spans="1:38" s="531" customFormat="1" ht="18" customHeight="1" thickBot="1" x14ac:dyDescent="0.3">
      <c r="A9" s="534" t="s">
        <v>1689</v>
      </c>
      <c r="B9" s="534"/>
      <c r="C9" s="533"/>
      <c r="D9" s="533"/>
      <c r="E9" s="534"/>
      <c r="F9" s="533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2"/>
      <c r="T9" s="533"/>
      <c r="U9" s="533"/>
      <c r="V9" s="533"/>
      <c r="W9" s="533"/>
      <c r="X9" s="533"/>
      <c r="Y9" s="533"/>
      <c r="Z9" s="533"/>
      <c r="AA9" s="533"/>
      <c r="AB9" s="533"/>
      <c r="AC9" s="533"/>
      <c r="AD9" s="533"/>
      <c r="AE9" s="533"/>
      <c r="AF9" s="533"/>
      <c r="AG9" s="533"/>
      <c r="AH9" s="533"/>
      <c r="AI9" s="533"/>
      <c r="AJ9" s="533"/>
      <c r="AK9" s="533"/>
      <c r="AL9" s="532"/>
    </row>
    <row r="10" spans="1:38" s="511" customFormat="1" ht="3.75" customHeight="1" thickBot="1" x14ac:dyDescent="0.3"/>
    <row r="11" spans="1:38" s="511" customFormat="1" ht="14.25" customHeight="1" x14ac:dyDescent="0.25">
      <c r="A11" s="513" t="s">
        <v>1690</v>
      </c>
      <c r="B11" s="512"/>
      <c r="C11" s="512"/>
      <c r="D11" s="512"/>
      <c r="E11" s="512"/>
      <c r="F11" s="512"/>
      <c r="G11" s="512"/>
      <c r="H11" s="512"/>
      <c r="I11" s="456"/>
      <c r="J11" s="854"/>
      <c r="K11" s="529" t="s">
        <v>1691</v>
      </c>
      <c r="L11" s="512"/>
      <c r="M11" s="530"/>
      <c r="N11" s="530"/>
      <c r="O11" s="530"/>
      <c r="P11" s="512"/>
      <c r="Q11" s="529" t="s">
        <v>1691</v>
      </c>
      <c r="R11" s="512"/>
      <c r="S11" s="456"/>
      <c r="T11" s="512"/>
      <c r="U11" s="512"/>
      <c r="V11" s="855"/>
      <c r="W11" s="512"/>
      <c r="X11" s="512"/>
      <c r="Y11" s="512"/>
      <c r="Z11" s="512"/>
      <c r="AA11" s="512"/>
      <c r="AB11" s="512"/>
      <c r="AC11" s="512"/>
      <c r="AD11" s="529" t="s">
        <v>1692</v>
      </c>
      <c r="AE11" s="529"/>
      <c r="AF11" s="529"/>
      <c r="AG11" s="529" t="s">
        <v>1693</v>
      </c>
      <c r="AH11" s="512"/>
      <c r="AI11" s="512"/>
      <c r="AJ11" s="512"/>
      <c r="AK11" s="512"/>
      <c r="AL11" s="528"/>
    </row>
    <row r="12" spans="1:38" s="511" customFormat="1" ht="19.5" customHeight="1" x14ac:dyDescent="0.2">
      <c r="A12" s="525" t="str">
        <f>LEFT('Input data'!C24,1)</f>
        <v>2</v>
      </c>
      <c r="B12" s="490" t="str">
        <f>MID('Input data'!$C$24,2,1)</f>
        <v>0</v>
      </c>
      <c r="C12" s="490" t="str">
        <f>MID('Input data'!$C$24,3,1)</f>
        <v>2</v>
      </c>
      <c r="D12" s="490" t="str">
        <f>MID('Input data'!$C$24,4,1)</f>
        <v>2</v>
      </c>
      <c r="E12" s="490" t="str">
        <f>MID('Input data'!$C$24,5,1)</f>
        <v>3</v>
      </c>
      <c r="F12" s="490" t="str">
        <f>MID('Input data'!$C$24,6,1)</f>
        <v>0</v>
      </c>
      <c r="G12" s="490" t="str">
        <f>MID('Input data'!$C$24,7,1)</f>
        <v>4</v>
      </c>
      <c r="H12" s="490" t="str">
        <f>MID('Input data'!$C$24,8,1)</f>
        <v>1</v>
      </c>
      <c r="I12" s="490" t="str">
        <f>MID('Input data'!$C$24,9,1)</f>
        <v>5</v>
      </c>
      <c r="J12" s="856" t="str">
        <f>MID('Input data'!$C$24,10,1)</f>
        <v>2</v>
      </c>
      <c r="K12" s="857"/>
      <c r="L12" s="514"/>
      <c r="M12" s="514"/>
      <c r="N12" s="514"/>
      <c r="O12" s="514"/>
      <c r="P12" s="514"/>
      <c r="Q12" s="514"/>
      <c r="R12" s="514"/>
      <c r="S12" s="514"/>
      <c r="T12" s="514"/>
      <c r="U12" s="514"/>
      <c r="V12" s="858"/>
      <c r="W12" s="519" t="s">
        <v>1694</v>
      </c>
      <c r="X12" s="514"/>
      <c r="Y12" s="514"/>
      <c r="Z12" s="514"/>
      <c r="AA12" s="514"/>
      <c r="AB12" s="519" t="s">
        <v>1695</v>
      </c>
      <c r="AC12" s="514"/>
      <c r="AD12" s="490" t="str">
        <f>MID('Input data'!$B$8,1,1)</f>
        <v>0</v>
      </c>
      <c r="AE12" s="490" t="str">
        <f>MID('Input data'!$B$8,2,1)</f>
        <v>1</v>
      </c>
      <c r="AF12" s="490"/>
      <c r="AG12" s="490" t="str">
        <f>MID('Input data'!$B$9,1,1)</f>
        <v>2</v>
      </c>
      <c r="AH12" s="490" t="str">
        <f>MID('Input data'!$B$9,2,1)</f>
        <v>0</v>
      </c>
      <c r="AI12" s="490" t="str">
        <f>MID('Input data'!$B$9,3,1)</f>
        <v>1</v>
      </c>
      <c r="AJ12" s="490" t="str">
        <f>MID('Input data'!$B$9,4,1)</f>
        <v>3</v>
      </c>
      <c r="AK12" s="514"/>
      <c r="AL12" s="520"/>
    </row>
    <row r="13" spans="1:38" s="511" customFormat="1" ht="19.5" customHeight="1" x14ac:dyDescent="0.25">
      <c r="A13" s="452" t="s">
        <v>1696</v>
      </c>
      <c r="B13" s="514"/>
      <c r="C13" s="514"/>
      <c r="D13" s="514"/>
      <c r="E13" s="514"/>
      <c r="F13" s="514"/>
      <c r="G13" s="514"/>
      <c r="H13" s="448"/>
      <c r="I13" s="448"/>
      <c r="J13" s="577"/>
      <c r="K13" s="527" t="str">
        <f>IF('Input data'!D7="x","x"," ")</f>
        <v>x</v>
      </c>
      <c r="L13" s="519" t="s">
        <v>1697</v>
      </c>
      <c r="N13" s="521"/>
      <c r="O13" s="521"/>
      <c r="P13" s="521"/>
      <c r="Q13" s="521"/>
      <c r="R13" s="527" t="str">
        <f>IF('Input data'!D16="x","x"," ")</f>
        <v>x</v>
      </c>
      <c r="S13" s="519" t="s">
        <v>1698</v>
      </c>
      <c r="T13" s="514"/>
      <c r="U13" s="514"/>
      <c r="V13" s="858"/>
      <c r="W13" s="827"/>
      <c r="X13" s="828"/>
      <c r="Y13" s="828"/>
      <c r="Z13" s="828"/>
      <c r="AA13" s="828"/>
      <c r="AB13" s="829" t="s">
        <v>1699</v>
      </c>
      <c r="AC13" s="828"/>
      <c r="AD13" s="830" t="str">
        <f>MID('Input data'!$B$13,1,1)</f>
        <v>1</v>
      </c>
      <c r="AE13" s="830" t="str">
        <f>MID('Input data'!$B$13,2,1)</f>
        <v>2</v>
      </c>
      <c r="AF13" s="830"/>
      <c r="AG13" s="830" t="str">
        <f>MID('Input data'!$B$14,1,1)</f>
        <v>2</v>
      </c>
      <c r="AH13" s="830" t="str">
        <f>MID('Input data'!$B$14,2,1)</f>
        <v>0</v>
      </c>
      <c r="AI13" s="830" t="str">
        <f>MID('Input data'!$B$14,3,1)</f>
        <v>1</v>
      </c>
      <c r="AJ13" s="830" t="str">
        <f>MID('Input data'!$B$14,4,1)</f>
        <v>3</v>
      </c>
      <c r="AK13" s="828"/>
      <c r="AL13" s="831"/>
    </row>
    <row r="14" spans="1:38" s="511" customFormat="1" ht="19.5" customHeight="1" x14ac:dyDescent="0.2">
      <c r="A14" s="877" t="str">
        <f>LEFT('Input data'!C26,1)</f>
        <v>3</v>
      </c>
      <c r="B14" s="523" t="str">
        <f>MID('Input data'!$C$26,2,1)</f>
        <v>6</v>
      </c>
      <c r="C14" s="523" t="str">
        <f>MID('Input data'!$C$26,3,1)</f>
        <v>7</v>
      </c>
      <c r="D14" s="523" t="str">
        <f>MID('Input data'!$C$26,4,1)</f>
        <v>2</v>
      </c>
      <c r="E14" s="523" t="str">
        <f>MID('Input data'!$C$26,5,1)</f>
        <v>5</v>
      </c>
      <c r="F14" s="523" t="str">
        <f>MID('Input data'!$C$26,6,1)</f>
        <v>8</v>
      </c>
      <c r="G14" s="523" t="str">
        <f>MID('Input data'!$C$26,7,1)</f>
        <v>3</v>
      </c>
      <c r="H14" s="523" t="str">
        <f>MID('Input data'!$C$26,8,1)</f>
        <v>8</v>
      </c>
      <c r="I14" s="448"/>
      <c r="J14" s="577"/>
      <c r="K14" s="448" t="str">
        <f>IF('Input data'!D8="x","x", "")</f>
        <v/>
      </c>
      <c r="L14" s="519" t="s">
        <v>1700</v>
      </c>
      <c r="M14" s="519"/>
      <c r="N14" s="521"/>
      <c r="O14" s="521"/>
      <c r="P14" s="521"/>
      <c r="Q14" s="521"/>
      <c r="R14" s="521" t="str">
        <f>IF('Input data'!D17="x","x"," ")</f>
        <v xml:space="preserve"> </v>
      </c>
      <c r="S14" s="519" t="s">
        <v>1701</v>
      </c>
      <c r="T14" s="514"/>
      <c r="U14" s="514"/>
      <c r="V14" s="858"/>
      <c r="W14" s="519"/>
      <c r="X14" s="514"/>
      <c r="Y14" s="451"/>
      <c r="Z14" s="448"/>
      <c r="AA14" s="448"/>
      <c r="AB14" s="521"/>
      <c r="AC14" s="448"/>
      <c r="AD14" s="523"/>
      <c r="AE14" s="523"/>
      <c r="AF14" s="523"/>
      <c r="AG14" s="523"/>
      <c r="AH14" s="523"/>
      <c r="AI14" s="523"/>
      <c r="AJ14" s="523"/>
      <c r="AK14" s="448"/>
      <c r="AL14" s="520"/>
    </row>
    <row r="15" spans="1:38" s="511" customFormat="1" ht="19.5" customHeight="1" x14ac:dyDescent="0.2">
      <c r="A15" s="452" t="s">
        <v>1165</v>
      </c>
      <c r="B15" s="514"/>
      <c r="C15" s="514"/>
      <c r="D15" s="514"/>
      <c r="E15" s="514"/>
      <c r="F15" s="467"/>
      <c r="G15" s="514"/>
      <c r="H15" s="514"/>
      <c r="I15" s="448"/>
      <c r="J15" s="577"/>
      <c r="K15" s="857"/>
      <c r="L15" s="448"/>
      <c r="M15" s="519"/>
      <c r="N15" s="521"/>
      <c r="O15" s="521"/>
      <c r="P15" s="521"/>
      <c r="Q15" s="521"/>
      <c r="R15" s="878" t="s">
        <v>1702</v>
      </c>
      <c r="S15" s="521"/>
      <c r="T15" s="514"/>
      <c r="U15" s="514"/>
      <c r="V15" s="858"/>
      <c r="W15" s="519" t="s">
        <v>1703</v>
      </c>
      <c r="X15" s="514"/>
      <c r="Y15" s="451"/>
      <c r="Z15" s="448"/>
      <c r="AA15" s="448"/>
      <c r="AB15" s="519" t="s">
        <v>1695</v>
      </c>
      <c r="AC15" s="448"/>
      <c r="AD15" s="490" t="str">
        <f>MID('Input data'!$B$18,1,1)</f>
        <v>0</v>
      </c>
      <c r="AE15" s="490" t="str">
        <f>MID('Input data'!$B$18,2,1)</f>
        <v>1</v>
      </c>
      <c r="AF15" s="490"/>
      <c r="AG15" s="490" t="str">
        <f>MID('Input data'!$B$19,1,1)</f>
        <v>2</v>
      </c>
      <c r="AH15" s="490" t="str">
        <f>MID('Input data'!$B$19,2,1)</f>
        <v>0</v>
      </c>
      <c r="AI15" s="490" t="str">
        <f>MID('Input data'!$B$19,3,1)</f>
        <v>1</v>
      </c>
      <c r="AJ15" s="490" t="str">
        <f>MID('Input data'!$B$19,4,1)</f>
        <v>2</v>
      </c>
      <c r="AK15" s="448"/>
      <c r="AL15" s="520"/>
    </row>
    <row r="16" spans="1:38" s="511" customFormat="1" ht="19.5" customHeight="1" thickBot="1" x14ac:dyDescent="0.25">
      <c r="A16" s="518" t="str">
        <f>'BS-SK Cover sheet'!A15</f>
        <v>7</v>
      </c>
      <c r="B16" s="443" t="str">
        <f>'BS-SK Cover sheet'!B15</f>
        <v>3</v>
      </c>
      <c r="C16" s="516" t="s">
        <v>1147</v>
      </c>
      <c r="D16" s="443">
        <f>'BS-SK Cover sheet'!D15</f>
        <v>1</v>
      </c>
      <c r="E16" s="443" t="str">
        <f>'BS-SK Cover sheet'!E15</f>
        <v>1</v>
      </c>
      <c r="F16" s="516" t="s">
        <v>1147</v>
      </c>
      <c r="G16" s="443">
        <f>'BS-SK Cover sheet'!G15</f>
        <v>0</v>
      </c>
      <c r="H16" s="443"/>
      <c r="I16" s="443"/>
      <c r="J16" s="860"/>
      <c r="K16" s="861"/>
      <c r="L16" s="443"/>
      <c r="M16" s="443"/>
      <c r="N16" s="443"/>
      <c r="O16" s="443"/>
      <c r="P16" s="443"/>
      <c r="Q16" s="443"/>
      <c r="R16" s="443"/>
      <c r="S16" s="443"/>
      <c r="T16" s="516"/>
      <c r="U16" s="516"/>
      <c r="V16" s="862"/>
      <c r="W16" s="515"/>
      <c r="X16" s="516"/>
      <c r="Y16" s="444"/>
      <c r="Z16" s="443"/>
      <c r="AA16" s="443"/>
      <c r="AB16" s="515" t="s">
        <v>1699</v>
      </c>
      <c r="AC16" s="443"/>
      <c r="AD16" s="488" t="str">
        <f>MID('Input data'!$B$21,1,1)</f>
        <v>1</v>
      </c>
      <c r="AE16" s="488" t="str">
        <f>MID('Input data'!$B$21,2,1)</f>
        <v>2</v>
      </c>
      <c r="AF16" s="488"/>
      <c r="AG16" s="488" t="str">
        <f>MID('Input data'!$B$22,1,1)</f>
        <v>2</v>
      </c>
      <c r="AH16" s="488" t="str">
        <f>MID('Input data'!$B$22,2,1)</f>
        <v>0</v>
      </c>
      <c r="AI16" s="488" t="str">
        <f>MID('Input data'!$B$22,3,1)</f>
        <v>1</v>
      </c>
      <c r="AJ16" s="488" t="str">
        <f>MID('Input data'!$B$22,4,1)</f>
        <v>2</v>
      </c>
      <c r="AK16" s="443"/>
      <c r="AL16" s="517"/>
    </row>
    <row r="17" spans="1:39" s="511" customFormat="1" ht="4.5" customHeight="1" x14ac:dyDescent="0.25">
      <c r="A17" s="514"/>
      <c r="B17" s="514"/>
      <c r="C17" s="514"/>
      <c r="D17" s="514"/>
      <c r="E17" s="514"/>
      <c r="F17" s="514"/>
      <c r="G17" s="514"/>
      <c r="H17" s="448"/>
      <c r="I17" s="448"/>
      <c r="J17" s="448"/>
      <c r="K17" s="448"/>
      <c r="L17" s="448"/>
      <c r="M17" s="448"/>
      <c r="N17" s="448"/>
      <c r="O17" s="448"/>
      <c r="P17" s="448"/>
      <c r="Q17" s="448"/>
      <c r="R17" s="448"/>
      <c r="S17" s="448"/>
      <c r="T17" s="514"/>
      <c r="U17" s="514"/>
      <c r="V17" s="448"/>
      <c r="W17" s="448"/>
      <c r="X17" s="448"/>
      <c r="Y17" s="448"/>
      <c r="Z17" s="448"/>
      <c r="AA17" s="448"/>
      <c r="AB17" s="448"/>
      <c r="AC17" s="448"/>
      <c r="AD17" s="448"/>
      <c r="AE17" s="448"/>
      <c r="AF17" s="448"/>
      <c r="AG17" s="448"/>
      <c r="AH17" s="448"/>
      <c r="AI17" s="448"/>
      <c r="AJ17" s="448"/>
      <c r="AK17" s="448"/>
      <c r="AL17" s="514"/>
      <c r="AM17" s="514"/>
    </row>
    <row r="18" spans="1:39" s="511" customFormat="1" ht="3" customHeight="1" thickBot="1" x14ac:dyDescent="0.3">
      <c r="A18" s="879"/>
      <c r="B18" s="514"/>
      <c r="C18" s="514"/>
      <c r="D18" s="514"/>
      <c r="E18" s="514"/>
      <c r="F18" s="514"/>
      <c r="G18" s="514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514"/>
      <c r="U18" s="514"/>
      <c r="V18" s="514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514"/>
      <c r="AM18" s="514"/>
    </row>
    <row r="19" spans="1:39" s="511" customFormat="1" ht="16.5" x14ac:dyDescent="0.25">
      <c r="A19" s="513" t="s">
        <v>1704</v>
      </c>
      <c r="B19" s="512"/>
      <c r="C19" s="512"/>
      <c r="D19" s="512"/>
      <c r="E19" s="512"/>
      <c r="F19" s="512"/>
      <c r="G19" s="512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512"/>
      <c r="U19" s="512"/>
      <c r="V19" s="512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528"/>
    </row>
    <row r="20" spans="1:39" s="511" customFormat="1" ht="19.5" customHeight="1" x14ac:dyDescent="0.25">
      <c r="A20" s="498" t="str">
        <f>+LEFT('Input data'!$F$3,1)</f>
        <v>A</v>
      </c>
      <c r="B20" s="490" t="str">
        <f>+MID('Input data'!$F$3,2,1)</f>
        <v>e</v>
      </c>
      <c r="C20" s="490" t="str">
        <f>+MID('Input data'!$F$3,3,1)</f>
        <v>g</v>
      </c>
      <c r="D20" s="490" t="str">
        <f>+MID('Input data'!$F$3,4,1)</f>
        <v>i</v>
      </c>
      <c r="E20" s="490" t="str">
        <f>+MID('Input data'!$F$3,5,1)</f>
        <v>s</v>
      </c>
      <c r="F20" s="490" t="str">
        <f>+MID('Input data'!$F$3,6,1)</f>
        <v xml:space="preserve"> </v>
      </c>
      <c r="G20" s="490" t="str">
        <f>+MID('Input data'!$F$3,7,1)</f>
        <v>M</v>
      </c>
      <c r="H20" s="490" t="str">
        <f>+MID('Input data'!$F$3,8,1)</f>
        <v>e</v>
      </c>
      <c r="I20" s="490" t="str">
        <f>+MID('Input data'!$F$3,9,1)</f>
        <v>d</v>
      </c>
      <c r="J20" s="490" t="str">
        <f>+MID('Input data'!$F$3,10,1)</f>
        <v>i</v>
      </c>
      <c r="K20" s="490" t="str">
        <f>+MID('Input data'!$F$3,11,1)</f>
        <v>a</v>
      </c>
      <c r="L20" s="490" t="str">
        <f>+MID('Input data'!$F$3,12,1)</f>
        <v xml:space="preserve"> </v>
      </c>
      <c r="M20" s="490" t="str">
        <f>+MID('Input data'!$F$3,13,1)</f>
        <v>S</v>
      </c>
      <c r="N20" s="490" t="str">
        <f>+MID('Input data'!$F$3,14,1)</f>
        <v>l</v>
      </c>
      <c r="O20" s="490" t="str">
        <f>+MID('Input data'!$F$3,15,1)</f>
        <v>o</v>
      </c>
      <c r="P20" s="490" t="str">
        <f>+MID('Input data'!$F$3,16,1)</f>
        <v>v</v>
      </c>
      <c r="Q20" s="490" t="str">
        <f>+MID('Input data'!$F$3,17,1)</f>
        <v>a</v>
      </c>
      <c r="R20" s="490" t="str">
        <f>+MID('Input data'!$F$3,18,1)</f>
        <v>k</v>
      </c>
      <c r="S20" s="490" t="str">
        <f>+MID('Input data'!$F$3,19,1)</f>
        <v>i</v>
      </c>
      <c r="T20" s="490" t="str">
        <f>+MID('Input data'!$F$3,20,1)</f>
        <v>a</v>
      </c>
      <c r="U20" s="490" t="str">
        <f>+MID('Input data'!$F$3,21,1)</f>
        <v xml:space="preserve"> </v>
      </c>
      <c r="V20" s="490" t="str">
        <f>+MID('Input data'!$F$3,22,1)</f>
        <v>C</v>
      </c>
      <c r="W20" s="490" t="str">
        <f>+MID('Input data'!$F$3,23,1)</f>
        <v>e</v>
      </c>
      <c r="X20" s="490" t="str">
        <f>+MID('Input data'!$F$3,24,1)</f>
        <v>n</v>
      </c>
      <c r="Y20" s="490" t="str">
        <f>+MID('Input data'!$F$3,25,1)</f>
        <v>t</v>
      </c>
      <c r="Z20" s="490" t="str">
        <f>+MID('Input data'!$F$3,26,1)</f>
        <v>r</v>
      </c>
      <c r="AA20" s="490" t="str">
        <f>+MID('Input data'!$F$3,27,1)</f>
        <v>a</v>
      </c>
      <c r="AB20" s="490" t="str">
        <f>+MID('Input data'!$F$3,28,1)</f>
        <v>l</v>
      </c>
      <c r="AC20" s="490" t="str">
        <f>+MID('Input data'!$F$3,29,1)</f>
        <v xml:space="preserve"> </v>
      </c>
      <c r="AD20" s="490" t="str">
        <f>+MID('Input data'!$F$3,30,1)</f>
        <v>S</v>
      </c>
      <c r="AE20" s="490" t="str">
        <f>+MID('Input data'!$F$3,31,1)</f>
        <v>e</v>
      </c>
      <c r="AF20" s="490" t="str">
        <f>+MID('Input data'!$F$3,32,1)</f>
        <v>r</v>
      </c>
      <c r="AG20" s="490" t="str">
        <f>+MID('Input data'!$F$3,33,1)</f>
        <v>v</v>
      </c>
      <c r="AH20" s="490" t="str">
        <f>+MID('Input data'!$E$3,34,1)</f>
        <v/>
      </c>
      <c r="AI20" s="490" t="str">
        <f>+MID('Input data'!$E$3,35,1)</f>
        <v/>
      </c>
      <c r="AJ20" s="490" t="str">
        <f>+MID('Input data'!$E$3,36,1)</f>
        <v/>
      </c>
      <c r="AK20" s="490" t="str">
        <f>+MID('Input data'!$E$3,37,1)</f>
        <v/>
      </c>
      <c r="AL20" s="520"/>
    </row>
    <row r="21" spans="1:39" s="580" customFormat="1" ht="19.5" customHeight="1" x14ac:dyDescent="0.25">
      <c r="A21" s="498" t="str">
        <f>+MID('Input data'!$E$3,38,1)</f>
        <v/>
      </c>
      <c r="B21" s="490" t="str">
        <f>+MID('Input data'!$E$3,39,1)</f>
        <v/>
      </c>
      <c r="C21" s="490" t="str">
        <f>+MID('Input data'!$E$3,40,1)</f>
        <v/>
      </c>
      <c r="D21" s="490" t="str">
        <f>+MID('Input data'!$E$3,41,1)</f>
        <v/>
      </c>
      <c r="E21" s="490" t="str">
        <f>+MID('Input data'!$E$3,42,1)</f>
        <v/>
      </c>
      <c r="F21" s="490" t="str">
        <f>+MID('Input data'!$E$3,43,1)</f>
        <v/>
      </c>
      <c r="G21" s="490" t="str">
        <f>+MID('Input data'!$E$3,44,1)</f>
        <v/>
      </c>
      <c r="H21" s="490" t="str">
        <f>+MID('Input data'!$E$3,45,1)</f>
        <v/>
      </c>
      <c r="I21" s="490" t="str">
        <f>+MID('Input data'!$E$3,46,1)</f>
        <v/>
      </c>
      <c r="J21" s="490" t="str">
        <f>+MID('Input data'!$E$3,47,1)</f>
        <v/>
      </c>
      <c r="K21" s="490" t="str">
        <f>+MID('Input data'!$E$3,48,1)</f>
        <v/>
      </c>
      <c r="L21" s="490" t="str">
        <f>+MID('Input data'!$E$3,49,1)</f>
        <v/>
      </c>
      <c r="M21" s="490" t="str">
        <f>+MID('Input data'!$E$3,50,1)</f>
        <v/>
      </c>
      <c r="N21" s="490" t="str">
        <f>+MID('Input data'!$E$3,51,1)</f>
        <v/>
      </c>
      <c r="O21" s="490" t="str">
        <f>+MID('Input data'!$E$3,52,1)</f>
        <v/>
      </c>
      <c r="P21" s="490" t="str">
        <f>+MID('Input data'!$E$3,53,1)</f>
        <v/>
      </c>
      <c r="Q21" s="490" t="str">
        <f>+MID('Input data'!$E$3,54,1)</f>
        <v/>
      </c>
      <c r="R21" s="490" t="str">
        <f>+MID('Input data'!$E$3,55,1)</f>
        <v/>
      </c>
      <c r="S21" s="490" t="str">
        <f>+MID('Input data'!$E$3,56,1)</f>
        <v/>
      </c>
      <c r="T21" s="490" t="str">
        <f>+MID('Input data'!$E$3,57,1)</f>
        <v/>
      </c>
      <c r="U21" s="490" t="str">
        <f>+MID('Input data'!$E$3,58,1)</f>
        <v/>
      </c>
      <c r="V21" s="490" t="str">
        <f>+MID('Input data'!$E$3,59,1)</f>
        <v/>
      </c>
      <c r="W21" s="490" t="str">
        <f>+MID('Input data'!$E$3,60,1)</f>
        <v/>
      </c>
      <c r="X21" s="490" t="str">
        <f>+MID('Input data'!$E$3,61,1)</f>
        <v/>
      </c>
      <c r="Y21" s="490" t="str">
        <f>+MID('Input data'!$E$3,62,1)</f>
        <v/>
      </c>
      <c r="Z21" s="490" t="str">
        <f>+MID('Input data'!$E$3,63,1)</f>
        <v/>
      </c>
      <c r="AA21" s="490" t="str">
        <f>+MID('Input data'!$E$3,64,1)</f>
        <v/>
      </c>
      <c r="AB21" s="490" t="str">
        <f>+MID('Input data'!$E$3,65,1)</f>
        <v/>
      </c>
      <c r="AC21" s="490" t="str">
        <f>+MID('Input data'!$E$3,66,1)</f>
        <v/>
      </c>
      <c r="AD21" s="490" t="str">
        <f>+MID('Input data'!$E$3,67,1)</f>
        <v/>
      </c>
      <c r="AE21" s="490" t="str">
        <f>+MID('Input data'!$E$3,68,1)</f>
        <v/>
      </c>
      <c r="AF21" s="490" t="str">
        <f>+MID('Input data'!$E$3,69,1)</f>
        <v/>
      </c>
      <c r="AG21" s="490" t="str">
        <f>+MID('Input data'!$E$3,70,1)</f>
        <v/>
      </c>
      <c r="AH21" s="490" t="str">
        <f>+MID('Input data'!$E$3,71,1)</f>
        <v/>
      </c>
      <c r="AI21" s="490" t="str">
        <f>+MID('Input data'!$E$3,72,1)</f>
        <v/>
      </c>
      <c r="AJ21" s="490" t="str">
        <f>+MID('Input data'!$E$3,73,1)</f>
        <v/>
      </c>
      <c r="AK21" s="490" t="str">
        <f>+MID('Input data'!$E$3,74,1)</f>
        <v/>
      </c>
      <c r="AL21" s="880"/>
    </row>
    <row r="22" spans="1:39" s="499" customFormat="1" ht="14.25" customHeight="1" x14ac:dyDescent="0.25">
      <c r="A22" s="881" t="s">
        <v>1705</v>
      </c>
      <c r="B22" s="882"/>
      <c r="C22" s="882"/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  <c r="O22" s="882"/>
      <c r="P22" s="882"/>
      <c r="Q22" s="882"/>
      <c r="R22" s="882"/>
      <c r="S22" s="882"/>
      <c r="T22" s="882"/>
      <c r="U22" s="882"/>
      <c r="V22" s="882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8"/>
      <c r="AI22" s="508"/>
      <c r="AJ22" s="508"/>
      <c r="AK22" s="508"/>
      <c r="AL22" s="883"/>
    </row>
    <row r="23" spans="1:39" x14ac:dyDescent="0.25">
      <c r="A23" s="495" t="s">
        <v>1706</v>
      </c>
      <c r="B23" s="825"/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448"/>
      <c r="X23" s="448"/>
      <c r="Y23" s="448"/>
      <c r="Z23" s="448"/>
      <c r="AA23" s="448"/>
      <c r="AB23" s="825"/>
      <c r="AC23" s="448"/>
      <c r="AD23" s="451" t="s">
        <v>1707</v>
      </c>
      <c r="AE23" s="448"/>
      <c r="AF23" s="448"/>
      <c r="AG23" s="448"/>
      <c r="AH23" s="448"/>
      <c r="AI23" s="448"/>
      <c r="AJ23" s="448"/>
      <c r="AK23" s="448"/>
      <c r="AL23" s="884"/>
    </row>
    <row r="24" spans="1:39" s="580" customFormat="1" ht="19.5" customHeight="1" x14ac:dyDescent="0.25">
      <c r="A24" s="498" t="str">
        <f>+LEFT('Input data'!$C$28,1)</f>
        <v>T</v>
      </c>
      <c r="B24" s="490" t="str">
        <f>+MID('Input data'!$C$28,2,1)</f>
        <v>e</v>
      </c>
      <c r="C24" s="490" t="str">
        <f>+MID('Input data'!$C$28,3,1)</f>
        <v>s</v>
      </c>
      <c r="D24" s="490" t="str">
        <f>+MID('Input data'!$C$28,4,1)</f>
        <v>l</v>
      </c>
      <c r="E24" s="490" t="str">
        <f>+MID('Input data'!$C$28,5,1)</f>
        <v>o</v>
      </c>
      <c r="F24" s="490" t="str">
        <f>+MID('Input data'!$C$28,6,1)</f>
        <v>v</v>
      </c>
      <c r="G24" s="490" t="str">
        <f>+MID('Input data'!$C$28,7,1)</f>
        <v>a</v>
      </c>
      <c r="H24" s="490" t="str">
        <f>+MID('Input data'!$C$28,8,1)</f>
        <v/>
      </c>
      <c r="I24" s="490" t="str">
        <f>+MID('Input data'!$C$28,9,1)</f>
        <v/>
      </c>
      <c r="J24" s="490" t="str">
        <f>+MID('Input data'!$C$28,10,1)</f>
        <v/>
      </c>
      <c r="K24" s="490" t="str">
        <f>+MID('Input data'!$C$28,11,1)</f>
        <v/>
      </c>
      <c r="L24" s="490" t="str">
        <f>+MID('Input data'!$C$28,12,1)</f>
        <v/>
      </c>
      <c r="M24" s="490" t="str">
        <f>+MID('Input data'!$C$28,13,1)</f>
        <v/>
      </c>
      <c r="N24" s="490" t="str">
        <f>+MID('Input data'!$C$28,14,1)</f>
        <v/>
      </c>
      <c r="O24" s="490" t="str">
        <f>+MID('Input data'!$C$28,15,1)</f>
        <v/>
      </c>
      <c r="P24" s="490" t="str">
        <f>+MID('Input data'!$C$28,16,1)</f>
        <v/>
      </c>
      <c r="Q24" s="490" t="str">
        <f>+MID('Input data'!$C$28,17,1)</f>
        <v/>
      </c>
      <c r="R24" s="490" t="str">
        <f>+MID('Input data'!$C$28,18,1)</f>
        <v/>
      </c>
      <c r="S24" s="490" t="str">
        <f>+MID('Input data'!$C$28,19,1)</f>
        <v/>
      </c>
      <c r="T24" s="490" t="str">
        <f>+MID('Input data'!$C$28,20,1)</f>
        <v/>
      </c>
      <c r="U24" s="490" t="str">
        <f>+MID('Input data'!$C$28,21,1)</f>
        <v/>
      </c>
      <c r="V24" s="490" t="str">
        <f>+MID('Input data'!$C$28,22,1)</f>
        <v/>
      </c>
      <c r="W24" s="490" t="str">
        <f>+MID('Input data'!$C$28,23,1)</f>
        <v/>
      </c>
      <c r="X24" s="490" t="str">
        <f>+MID('Input data'!$C$28,24,1)</f>
        <v/>
      </c>
      <c r="Y24" s="490" t="str">
        <f>+MID('Input data'!$C$28,25,1)</f>
        <v/>
      </c>
      <c r="Z24" s="490" t="str">
        <f>+MID('Input data'!$C$28,26,1)</f>
        <v/>
      </c>
      <c r="AA24" s="490" t="str">
        <f>+MID('Input data'!$C$28,27,1)</f>
        <v/>
      </c>
      <c r="AB24" s="490" t="str">
        <f>+MID('Input data'!$C$28,28,1)</f>
        <v/>
      </c>
      <c r="AC24" s="492"/>
      <c r="AD24" s="490" t="str">
        <f>+LEFT('Input data'!$C$30,1)</f>
        <v>2</v>
      </c>
      <c r="AE24" s="490" t="str">
        <f>+MID('Input data'!$C$30,2,1)</f>
        <v>0</v>
      </c>
      <c r="AF24" s="490" t="str">
        <f>+MID('Input data'!$C$30,3,1)</f>
        <v/>
      </c>
      <c r="AG24" s="490" t="str">
        <f>+MID('Input data'!$C$30,4,1)</f>
        <v/>
      </c>
      <c r="AH24" s="490" t="str">
        <f>+MID('Input data'!$C$30,5,1)</f>
        <v/>
      </c>
      <c r="AI24" s="490" t="str">
        <f>+MID('Input data'!$C$30,6,1)</f>
        <v/>
      </c>
      <c r="AJ24" s="490" t="str">
        <f>+MID('Input data'!$C$30,7,1)</f>
        <v/>
      </c>
      <c r="AK24" s="490" t="str">
        <f>+MID('Input data'!$C$30,8,1)</f>
        <v/>
      </c>
      <c r="AL24" s="880"/>
    </row>
    <row r="25" spans="1:39" x14ac:dyDescent="0.25">
      <c r="A25" s="495" t="s">
        <v>1708</v>
      </c>
      <c r="B25" s="825"/>
      <c r="C25" s="825"/>
      <c r="D25" s="825"/>
      <c r="E25" s="825"/>
      <c r="F25" s="825"/>
      <c r="G25" s="494" t="s">
        <v>1709</v>
      </c>
      <c r="H25" s="494"/>
      <c r="I25" s="494"/>
      <c r="J25" s="494"/>
      <c r="K25" s="494"/>
      <c r="L25" s="494"/>
      <c r="M25" s="494"/>
      <c r="N25" s="494"/>
      <c r="O25" s="494"/>
      <c r="P25" s="494"/>
      <c r="Q25" s="494"/>
      <c r="R25" s="494"/>
      <c r="S25" s="494"/>
      <c r="T25" s="494"/>
      <c r="U25" s="494"/>
      <c r="V25" s="494"/>
      <c r="W25" s="494"/>
      <c r="X25" s="494"/>
      <c r="Y25" s="494"/>
      <c r="Z25" s="494"/>
      <c r="AA25" s="494"/>
      <c r="AB25" s="494"/>
      <c r="AC25" s="494"/>
      <c r="AD25" s="494"/>
      <c r="AE25" s="448"/>
      <c r="AF25" s="448"/>
      <c r="AG25" s="448"/>
      <c r="AH25" s="448"/>
      <c r="AI25" s="448"/>
      <c r="AJ25" s="448"/>
      <c r="AK25" s="448"/>
      <c r="AL25" s="884"/>
    </row>
    <row r="26" spans="1:39" s="580" customFormat="1" ht="19.5" customHeight="1" x14ac:dyDescent="0.25">
      <c r="A26" s="498" t="str">
        <f>+LEFT('Input data'!$C$32,1)</f>
        <v>8</v>
      </c>
      <c r="B26" s="490" t="str">
        <f>+MID('Input data'!$C$32,2,1)</f>
        <v>2</v>
      </c>
      <c r="C26" s="490" t="str">
        <f>+MID('Input data'!$C$32,3,1)</f>
        <v>0</v>
      </c>
      <c r="D26" s="490" t="str">
        <f>+MID('Input data'!$C$32,4,1)</f>
        <v>0</v>
      </c>
      <c r="E26" s="490" t="str">
        <f>+MID('Input data'!$C$32,5,1)</f>
        <v>5</v>
      </c>
      <c r="F26" s="490"/>
      <c r="G26" s="490" t="str">
        <f>+LEFT('Input data'!$C$34,1)</f>
        <v>B</v>
      </c>
      <c r="H26" s="490" t="str">
        <f>+MID('Input data'!$C$34,2,1)</f>
        <v>r</v>
      </c>
      <c r="I26" s="490" t="str">
        <f>+MID('Input data'!$C$34,3,1)</f>
        <v>a</v>
      </c>
      <c r="J26" s="490" t="str">
        <f>+MID('Input data'!$C$34,4,1)</f>
        <v>t</v>
      </c>
      <c r="K26" s="490" t="str">
        <f>+MID('Input data'!$C$34,5,1)</f>
        <v>i</v>
      </c>
      <c r="L26" s="490" t="str">
        <f>+MID('Input data'!$C$34,6,1)</f>
        <v>s</v>
      </c>
      <c r="M26" s="490" t="str">
        <f>+MID('Input data'!$C$34,7,1)</f>
        <v>l</v>
      </c>
      <c r="N26" s="490" t="str">
        <f>+MID('Input data'!$C$34,8,1)</f>
        <v>a</v>
      </c>
      <c r="O26" s="490" t="str">
        <f>+MID('Input data'!$C$34,9,1)</f>
        <v>v</v>
      </c>
      <c r="P26" s="490" t="str">
        <f>+MID('Input data'!$C$34,10,1)</f>
        <v>a</v>
      </c>
      <c r="Q26" s="490" t="str">
        <f>+MID('Input data'!$C$34,11,1)</f>
        <v/>
      </c>
      <c r="R26" s="490" t="str">
        <f>+MID('Input data'!$C$34,12,1)</f>
        <v/>
      </c>
      <c r="S26" s="490" t="str">
        <f>+MID('Input data'!$C$34,13,1)</f>
        <v/>
      </c>
      <c r="T26" s="490" t="str">
        <f>+MID('Input data'!$C$34,14,1)</f>
        <v/>
      </c>
      <c r="U26" s="490" t="str">
        <f>+MID('Input data'!$C$34,15,1)</f>
        <v/>
      </c>
      <c r="V26" s="490" t="str">
        <f>+MID('Input data'!$C$34,16,1)</f>
        <v/>
      </c>
      <c r="W26" s="490" t="str">
        <f>+MID('Input data'!$C$34,17,1)</f>
        <v/>
      </c>
      <c r="X26" s="490" t="str">
        <f>+MID('Input data'!$C$34,18,1)</f>
        <v/>
      </c>
      <c r="Y26" s="490" t="str">
        <f>+MID('Input data'!$C$34,19,1)</f>
        <v/>
      </c>
      <c r="Z26" s="490" t="str">
        <f>+MID('Input data'!$C$34,20,1)</f>
        <v/>
      </c>
      <c r="AA26" s="490" t="str">
        <f>+MID('Input data'!$C$34,21,1)</f>
        <v/>
      </c>
      <c r="AB26" s="490" t="str">
        <f>+MID('Input data'!$C$34,22,1)</f>
        <v/>
      </c>
      <c r="AC26" s="490" t="str">
        <f>+MID('Input data'!$C$34,23,1)</f>
        <v/>
      </c>
      <c r="AD26" s="490" t="str">
        <f>+MID('Input data'!$C$34,24,1)</f>
        <v/>
      </c>
      <c r="AE26" s="490" t="str">
        <f>+MID('Input data'!$C$34,25,1)</f>
        <v/>
      </c>
      <c r="AF26" s="490" t="str">
        <f>+MID('Input data'!$C$34,26,1)</f>
        <v/>
      </c>
      <c r="AG26" s="490" t="str">
        <f>+MID('Input data'!$C$34,27,1)</f>
        <v/>
      </c>
      <c r="AH26" s="490" t="str">
        <f>+MID('Input data'!$C$34,28,1)</f>
        <v/>
      </c>
      <c r="AI26" s="490" t="str">
        <f>+MID('Input data'!$C$34,29,1)</f>
        <v/>
      </c>
      <c r="AJ26" s="490" t="str">
        <f>+MID('Input data'!$C$34,30,1)</f>
        <v/>
      </c>
      <c r="AK26" s="490" t="str">
        <f>+MID('Input data'!$C$34,31,1)</f>
        <v/>
      </c>
      <c r="AL26" s="880"/>
    </row>
    <row r="27" spans="1:39" x14ac:dyDescent="0.25">
      <c r="A27" s="495" t="s">
        <v>1710</v>
      </c>
      <c r="B27" s="825"/>
      <c r="C27" s="825"/>
      <c r="D27" s="825"/>
      <c r="E27" s="825"/>
      <c r="F27" s="825"/>
      <c r="G27" s="494"/>
      <c r="H27" s="494"/>
      <c r="I27" s="494"/>
      <c r="J27" s="494"/>
      <c r="K27" s="494"/>
      <c r="L27" s="494"/>
      <c r="M27" s="494"/>
      <c r="N27" s="825"/>
      <c r="O27" s="494" t="s">
        <v>1711</v>
      </c>
      <c r="P27" s="494"/>
      <c r="Q27" s="494"/>
      <c r="R27" s="494"/>
      <c r="S27" s="494"/>
      <c r="T27" s="494"/>
      <c r="U27" s="494"/>
      <c r="V27" s="494"/>
      <c r="W27" s="494"/>
      <c r="X27" s="494"/>
      <c r="Y27" s="494"/>
      <c r="Z27" s="494"/>
      <c r="AA27" s="494"/>
      <c r="AB27" s="494"/>
      <c r="AC27" s="494"/>
      <c r="AD27" s="494"/>
      <c r="AE27" s="448"/>
      <c r="AF27" s="448"/>
      <c r="AG27" s="448"/>
      <c r="AH27" s="448"/>
      <c r="AI27" s="448"/>
      <c r="AJ27" s="448"/>
      <c r="AK27" s="448"/>
      <c r="AL27" s="884"/>
    </row>
    <row r="28" spans="1:39" s="580" customFormat="1" ht="19.5" customHeight="1" x14ac:dyDescent="0.25">
      <c r="A28" s="493">
        <v>0</v>
      </c>
      <c r="B28" s="490" t="str">
        <f>+LEFT('Input data'!$C$36,1)</f>
        <v>2</v>
      </c>
      <c r="C28" s="490" t="str">
        <f>+MID('Input data'!$C$36,2,1)</f>
        <v/>
      </c>
      <c r="D28" s="490" t="str">
        <f>+MID('Input data'!$C$36,3,1)</f>
        <v/>
      </c>
      <c r="E28" s="490" t="s">
        <v>1176</v>
      </c>
      <c r="F28" s="490" t="str">
        <f>+LEFT('Input data'!$C$38,1)</f>
        <v>4</v>
      </c>
      <c r="G28" s="490" t="str">
        <f>+MID('Input data'!$C$38,2,1)</f>
        <v>9</v>
      </c>
      <c r="H28" s="490" t="str">
        <f>+MID('Input data'!$C$38,3,1)</f>
        <v>3</v>
      </c>
      <c r="I28" s="490" t="str">
        <f>+MID('Input data'!$C$38,4,1)</f>
        <v>0</v>
      </c>
      <c r="J28" s="490" t="str">
        <f>+MID('Input data'!$C$38,5,1)</f>
        <v>0</v>
      </c>
      <c r="K28" s="490" t="str">
        <f>+MID('Input data'!$C$38,6,1)</f>
        <v>5</v>
      </c>
      <c r="L28" s="490" t="str">
        <f>+MID('Input data'!$C$38,7,1)</f>
        <v>1</v>
      </c>
      <c r="M28" s="490" t="str">
        <f>+MID('Input data'!$C$38,8,1)</f>
        <v>3</v>
      </c>
      <c r="N28" s="492"/>
      <c r="O28" s="491">
        <v>0</v>
      </c>
      <c r="P28" s="490" t="str">
        <f>+LEFT('Input data'!$C$36,1)</f>
        <v>2</v>
      </c>
      <c r="Q28" s="490" t="str">
        <f>+MID('Input data'!$C$36,2,1)</f>
        <v/>
      </c>
      <c r="R28" s="490" t="str">
        <f>+MID('Input data'!$C$36,3,1)</f>
        <v/>
      </c>
      <c r="S28" s="490" t="s">
        <v>1176</v>
      </c>
      <c r="T28" s="490" t="str">
        <f>+LEFT('Input data'!$C$40,1)</f>
        <v>4</v>
      </c>
      <c r="U28" s="490" t="str">
        <f>+MID('Input data'!$C$40,2,1)</f>
        <v>9</v>
      </c>
      <c r="V28" s="490" t="str">
        <f>+MID('Input data'!$C$40,3,1)</f>
        <v>3</v>
      </c>
      <c r="W28" s="490" t="str">
        <f>+MID('Input data'!$C$40,4,1)</f>
        <v>0</v>
      </c>
      <c r="X28" s="490" t="str">
        <f>+MID('Input data'!$C$40,5,1)</f>
        <v>0</v>
      </c>
      <c r="Y28" s="490" t="str">
        <f>+MID('Input data'!$C$40,6,1)</f>
        <v>5</v>
      </c>
      <c r="Z28" s="490" t="str">
        <f>+MID('Input data'!$C$40,7,1)</f>
        <v>5</v>
      </c>
      <c r="AA28" s="490" t="str">
        <f>+MID('Input data'!$C$40,8,1)</f>
        <v>0</v>
      </c>
      <c r="AB28" s="490"/>
      <c r="AC28" s="490"/>
      <c r="AD28" s="490"/>
      <c r="AE28" s="448"/>
      <c r="AF28" s="448"/>
      <c r="AG28" s="448"/>
      <c r="AH28" s="448"/>
      <c r="AI28" s="448"/>
      <c r="AJ28" s="448"/>
      <c r="AK28" s="448"/>
      <c r="AL28" s="880"/>
    </row>
    <row r="29" spans="1:39" s="440" customFormat="1" x14ac:dyDescent="0.25">
      <c r="A29" s="452" t="s">
        <v>1712</v>
      </c>
      <c r="B29" s="451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535"/>
    </row>
    <row r="30" spans="1:39" s="580" customFormat="1" ht="19.5" customHeight="1" thickBot="1" x14ac:dyDescent="0.3">
      <c r="A30" s="489" t="str">
        <f>+LEFT('Input data'!$B$42,1)</f>
        <v/>
      </c>
      <c r="B30" s="488" t="str">
        <f>+MID('Input data'!$B$42,2,1)</f>
        <v/>
      </c>
      <c r="C30" s="488" t="str">
        <f>+MID('Input data'!$B$42,3,1)</f>
        <v/>
      </c>
      <c r="D30" s="488" t="str">
        <f>+MID('Input data'!$B$42,4,1)</f>
        <v/>
      </c>
      <c r="E30" s="488" t="str">
        <f>+MID('Input data'!$B$42,5,1)</f>
        <v/>
      </c>
      <c r="F30" s="488" t="str">
        <f>+MID('Input data'!$B$42,6,1)</f>
        <v/>
      </c>
      <c r="G30" s="488" t="str">
        <f>+MID('Input data'!$B$42,7,1)</f>
        <v/>
      </c>
      <c r="H30" s="488" t="str">
        <f>+MID('Input data'!$B$42,8,1)</f>
        <v/>
      </c>
      <c r="I30" s="488" t="str">
        <f>+MID('Input data'!$B$42,9,1)</f>
        <v/>
      </c>
      <c r="J30" s="488" t="str">
        <f>+MID('Input data'!$B$42,10,1)</f>
        <v/>
      </c>
      <c r="K30" s="488" t="str">
        <f>+MID('Input data'!$B$42,11,1)</f>
        <v/>
      </c>
      <c r="L30" s="488" t="str">
        <f>+MID('Input data'!$B$42,12,1)</f>
        <v/>
      </c>
      <c r="M30" s="488" t="str">
        <f>+MID('Input data'!$B$42,13,1)</f>
        <v/>
      </c>
      <c r="N30" s="488" t="str">
        <f>+MID('Input data'!$B$42,14,1)</f>
        <v/>
      </c>
      <c r="O30" s="488" t="str">
        <f>+MID('Input data'!$B$42,15,1)</f>
        <v/>
      </c>
      <c r="P30" s="488" t="str">
        <f>+MID('Input data'!$B$42,16,1)</f>
        <v/>
      </c>
      <c r="Q30" s="488" t="str">
        <f>+MID('Input data'!$B$42,17,1)</f>
        <v/>
      </c>
      <c r="R30" s="488" t="str">
        <f>+MID('Input data'!$B$42,18,1)</f>
        <v/>
      </c>
      <c r="S30" s="488" t="str">
        <f>+MID('Input data'!$B$42,19,1)</f>
        <v/>
      </c>
      <c r="T30" s="488" t="str">
        <f>+MID('Input data'!$B$42,20,1)</f>
        <v/>
      </c>
      <c r="U30" s="488" t="str">
        <f>+MID('Input data'!$B$42,21,1)</f>
        <v/>
      </c>
      <c r="V30" s="488" t="str">
        <f>+MID('Input data'!$B$42,22,1)</f>
        <v/>
      </c>
      <c r="W30" s="488" t="str">
        <f>+MID('Input data'!$B$42,23,1)</f>
        <v/>
      </c>
      <c r="X30" s="488" t="str">
        <f>+MID('Input data'!$B$42,24,1)</f>
        <v/>
      </c>
      <c r="Y30" s="488" t="str">
        <f>+MID('Input data'!$B$42,25,1)</f>
        <v/>
      </c>
      <c r="Z30" s="488" t="str">
        <f>+MID('Input data'!$B$42,26,1)</f>
        <v/>
      </c>
      <c r="AA30" s="488" t="str">
        <f>+MID('Input data'!$B$42,27,1)</f>
        <v/>
      </c>
      <c r="AB30" s="488" t="str">
        <f>+MID('Input data'!$B$42,28,1)</f>
        <v/>
      </c>
      <c r="AC30" s="488" t="str">
        <f>+MID('Input data'!$B$42,29,1)</f>
        <v/>
      </c>
      <c r="AD30" s="488" t="str">
        <f>+MID('Input data'!$B$42,30,1)</f>
        <v/>
      </c>
      <c r="AE30" s="488" t="str">
        <f>+MID('Input data'!$B$42,31,1)</f>
        <v/>
      </c>
      <c r="AF30" s="488" t="str">
        <f>+MID('Input data'!$B$42,32,1)</f>
        <v/>
      </c>
      <c r="AG30" s="488" t="str">
        <f>+MID('Input data'!$B$42,33,1)</f>
        <v/>
      </c>
      <c r="AH30" s="488" t="str">
        <f>+MID('Input data'!$B$42,34,1)</f>
        <v/>
      </c>
      <c r="AI30" s="488" t="str">
        <f>+MID('Input data'!$B$42,35,1)</f>
        <v/>
      </c>
      <c r="AJ30" s="488" t="str">
        <f>+MID('Input data'!$B$42,36,1)</f>
        <v/>
      </c>
      <c r="AK30" s="488" t="str">
        <f>+MID('Input data'!$B$42,37,1)</f>
        <v/>
      </c>
      <c r="AL30" s="885"/>
    </row>
    <row r="31" spans="1:39" s="440" customFormat="1" ht="4.5" customHeight="1" thickBot="1" x14ac:dyDescent="0.3">
      <c r="A31" s="451"/>
      <c r="B31" s="451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48"/>
      <c r="X31" s="448"/>
      <c r="Y31" s="448"/>
      <c r="Z31" s="448"/>
      <c r="AA31" s="448"/>
      <c r="AB31" s="448"/>
      <c r="AC31" s="448"/>
      <c r="AD31" s="448"/>
      <c r="AE31" s="448"/>
      <c r="AF31" s="448"/>
      <c r="AG31" s="448"/>
      <c r="AH31" s="448"/>
      <c r="AI31" s="448"/>
      <c r="AJ31" s="448"/>
      <c r="AK31" s="448"/>
      <c r="AL31" s="451"/>
      <c r="AM31" s="451"/>
    </row>
    <row r="32" spans="1:39" s="483" customFormat="1" ht="12.75" customHeight="1" x14ac:dyDescent="0.25">
      <c r="A32" s="486" t="s">
        <v>1713</v>
      </c>
      <c r="B32" s="485"/>
      <c r="C32" s="485"/>
      <c r="D32" s="485"/>
      <c r="E32" s="485"/>
      <c r="F32" s="485"/>
      <c r="G32" s="485"/>
      <c r="H32" s="485"/>
      <c r="I32" s="485"/>
      <c r="J32" s="485"/>
      <c r="K32" s="834"/>
      <c r="L32" s="834"/>
      <c r="M32" s="1543" t="s">
        <v>1714</v>
      </c>
      <c r="N32" s="1544"/>
      <c r="O32" s="1544"/>
      <c r="P32" s="1544"/>
      <c r="Q32" s="1544"/>
      <c r="R32" s="1544"/>
      <c r="S32" s="1544"/>
      <c r="T32" s="1544"/>
      <c r="U32" s="1549"/>
      <c r="V32" s="1543" t="s">
        <v>1715</v>
      </c>
      <c r="W32" s="1544"/>
      <c r="X32" s="1544"/>
      <c r="Y32" s="1544"/>
      <c r="Z32" s="1544"/>
      <c r="AA32" s="1544"/>
      <c r="AB32" s="1544"/>
      <c r="AC32" s="1549"/>
      <c r="AD32" s="1543" t="s">
        <v>1716</v>
      </c>
      <c r="AE32" s="1544"/>
      <c r="AF32" s="1544"/>
      <c r="AG32" s="1544"/>
      <c r="AH32" s="1544"/>
      <c r="AI32" s="1544"/>
      <c r="AJ32" s="1544"/>
      <c r="AK32" s="1544"/>
      <c r="AL32" s="1545"/>
    </row>
    <row r="33" spans="1:38" s="440" customFormat="1" ht="19.5" customHeight="1" x14ac:dyDescent="0.25">
      <c r="A33" s="469" t="str">
        <f>LEFT(TEXT('Input data'!F25,"dd.m.yyyy"),1)</f>
        <v>1</v>
      </c>
      <c r="B33" s="468" t="str">
        <f>MID(TEXT('Input data'!$F$25,"dd.mm.yyyy"),2,1)</f>
        <v>3</v>
      </c>
      <c r="C33" s="467" t="s">
        <v>1147</v>
      </c>
      <c r="D33" s="468" t="str">
        <f>MID(TEXT('Input data'!$F$25,"dd.mm.yyyy"),4,1)</f>
        <v>0</v>
      </c>
      <c r="E33" s="468" t="str">
        <f>MID(TEXT('Input data'!$F$25,"dd.mm.yyyy"),5,1)</f>
        <v>6</v>
      </c>
      <c r="F33" s="467" t="s">
        <v>1147</v>
      </c>
      <c r="G33" s="468" t="str">
        <f>MID(TEXT('Input data'!$F$25,"dd.mm.yyyy"),7,1)</f>
        <v>2</v>
      </c>
      <c r="H33" s="468" t="str">
        <f>MID(TEXT('Input data'!$F$25,"dd.mm.yyyy"),8,1)</f>
        <v>0</v>
      </c>
      <c r="I33" s="468" t="str">
        <f>MID(TEXT('Input data'!$F$25,"dd.mm.yyyy"),9,1)</f>
        <v>1</v>
      </c>
      <c r="J33" s="468" t="str">
        <f>MID(TEXT('Input data'!$F$25,"dd.mm.yyyy"),10,1)</f>
        <v>4</v>
      </c>
      <c r="K33" s="886"/>
      <c r="L33" s="475"/>
      <c r="M33" s="1546"/>
      <c r="N33" s="1547"/>
      <c r="O33" s="1547"/>
      <c r="P33" s="1547"/>
      <c r="Q33" s="1547"/>
      <c r="R33" s="1547"/>
      <c r="S33" s="1547"/>
      <c r="T33" s="1547"/>
      <c r="U33" s="1550"/>
      <c r="V33" s="1546"/>
      <c r="W33" s="1547"/>
      <c r="X33" s="1547"/>
      <c r="Y33" s="1547"/>
      <c r="Z33" s="1547"/>
      <c r="AA33" s="1547"/>
      <c r="AB33" s="1547"/>
      <c r="AC33" s="1550"/>
      <c r="AD33" s="1546"/>
      <c r="AE33" s="1547"/>
      <c r="AF33" s="1547"/>
      <c r="AG33" s="1547"/>
      <c r="AH33" s="1547"/>
      <c r="AI33" s="1547"/>
      <c r="AJ33" s="1547"/>
      <c r="AK33" s="1547"/>
      <c r="AL33" s="1548"/>
    </row>
    <row r="34" spans="1:38" s="440" customFormat="1" ht="12.75" customHeight="1" x14ac:dyDescent="0.25">
      <c r="A34" s="481"/>
      <c r="B34" s="480"/>
      <c r="C34" s="480"/>
      <c r="D34" s="480"/>
      <c r="E34" s="480"/>
      <c r="F34" s="480"/>
      <c r="G34" s="480"/>
      <c r="H34" s="480"/>
      <c r="I34" s="480"/>
      <c r="J34" s="480"/>
      <c r="K34" s="836"/>
      <c r="L34" s="836"/>
      <c r="M34" s="1546"/>
      <c r="N34" s="1547"/>
      <c r="O34" s="1547"/>
      <c r="P34" s="1547"/>
      <c r="Q34" s="1547"/>
      <c r="R34" s="1547"/>
      <c r="S34" s="1547"/>
      <c r="T34" s="1547"/>
      <c r="U34" s="1550"/>
      <c r="V34" s="1546"/>
      <c r="W34" s="1547"/>
      <c r="X34" s="1547"/>
      <c r="Y34" s="1547"/>
      <c r="Z34" s="1547"/>
      <c r="AA34" s="1547"/>
      <c r="AB34" s="1547"/>
      <c r="AC34" s="1550"/>
      <c r="AD34" s="1546"/>
      <c r="AE34" s="1547"/>
      <c r="AF34" s="1547"/>
      <c r="AG34" s="1547"/>
      <c r="AH34" s="1547"/>
      <c r="AI34" s="1547"/>
      <c r="AJ34" s="1547"/>
      <c r="AK34" s="1547"/>
      <c r="AL34" s="1548"/>
    </row>
    <row r="35" spans="1:38" s="440" customFormat="1" x14ac:dyDescent="0.2">
      <c r="A35" s="452" t="s">
        <v>1717</v>
      </c>
      <c r="B35" s="451"/>
      <c r="C35" s="451"/>
      <c r="D35" s="451"/>
      <c r="E35" s="451"/>
      <c r="F35" s="451"/>
      <c r="G35" s="451"/>
      <c r="H35" s="451"/>
      <c r="I35" s="451"/>
      <c r="J35" s="451"/>
      <c r="K35" s="475"/>
      <c r="L35" s="837"/>
      <c r="M35" s="475"/>
      <c r="N35" s="475"/>
      <c r="O35" s="475"/>
      <c r="P35" s="475"/>
      <c r="Q35" s="475"/>
      <c r="R35" s="475"/>
      <c r="S35" s="475"/>
      <c r="T35" s="451"/>
      <c r="U35" s="473"/>
      <c r="V35" s="474"/>
      <c r="W35" s="474"/>
      <c r="X35" s="474"/>
      <c r="Y35" s="474"/>
      <c r="Z35" s="474"/>
      <c r="AA35" s="448"/>
      <c r="AB35" s="474"/>
      <c r="AC35" s="473"/>
      <c r="AD35" s="472"/>
      <c r="AE35" s="471"/>
      <c r="AF35" s="471"/>
      <c r="AG35" s="471"/>
      <c r="AH35" s="471"/>
      <c r="AI35" s="471"/>
      <c r="AJ35" s="471"/>
      <c r="AK35" s="471"/>
      <c r="AL35" s="470"/>
    </row>
    <row r="36" spans="1:38" s="440" customFormat="1" ht="19.5" customHeight="1" x14ac:dyDescent="0.25">
      <c r="A36" s="469" t="str">
        <f>IF('Input data'!$F$27="","",LEFT(TEXT('Input data'!$F$27,"dd.mm.yyyy"),1))</f>
        <v/>
      </c>
      <c r="B36" s="468" t="str">
        <f>IF('Input data'!$F$27="","",MID(TEXT('Input data'!$F$27,"dd.mm.yyyy"),2,1))</f>
        <v/>
      </c>
      <c r="C36" s="467" t="s">
        <v>1147</v>
      </c>
      <c r="D36" s="468" t="str">
        <f>IF('Input data'!$F$27="","",MID(TEXT('Input data'!$F$27,"dd.mm.yyyy"),4,1))</f>
        <v/>
      </c>
      <c r="E36" s="468" t="str">
        <f>IF('Input data'!$F$27="","",MID(TEXT('Input data'!$F$27,"dd.mm.yyyy"),5,1))</f>
        <v/>
      </c>
      <c r="F36" s="467" t="s">
        <v>1147</v>
      </c>
      <c r="G36" s="466" t="str">
        <f>IF('Input data'!$F$27="","",MID(TEXT('Input data'!$F$27,"dd.mm.yyyy"),7,1))</f>
        <v/>
      </c>
      <c r="H36" s="466" t="str">
        <f>IF('Input data'!$F$27="","",MID(TEXT('Input data'!$F$27,"dd.mm.yyyy"),8,1))</f>
        <v/>
      </c>
      <c r="I36" s="466" t="str">
        <f>IF('Input data'!$F$27="","",MID(TEXT('Input data'!$F$27,"dd.mm.yyyy"),9,1))</f>
        <v/>
      </c>
      <c r="J36" s="466" t="str">
        <f>IF('Input data'!$F$27="","",MID(TEXT('Input data'!$F$27,"dd.mm.yyyy"),10,1))</f>
        <v/>
      </c>
      <c r="K36" s="838"/>
      <c r="L36" s="578"/>
      <c r="M36" s="451"/>
      <c r="N36" s="451"/>
      <c r="O36" s="451"/>
      <c r="P36" s="451"/>
      <c r="Q36" s="451"/>
      <c r="R36" s="451"/>
      <c r="S36" s="451"/>
      <c r="T36" s="451"/>
      <c r="U36" s="578"/>
      <c r="V36" s="451"/>
      <c r="W36" s="448"/>
      <c r="X36" s="448"/>
      <c r="Y36" s="448"/>
      <c r="Z36" s="448"/>
      <c r="AA36" s="448"/>
      <c r="AB36" s="448"/>
      <c r="AC36" s="577"/>
      <c r="AD36" s="448"/>
      <c r="AE36" s="448"/>
      <c r="AF36" s="448"/>
      <c r="AG36" s="448"/>
      <c r="AH36" s="448"/>
      <c r="AI36" s="448"/>
      <c r="AJ36" s="448"/>
      <c r="AK36" s="448"/>
      <c r="AL36" s="447"/>
    </row>
    <row r="37" spans="1:38" s="446" customFormat="1" thickBot="1" x14ac:dyDescent="0.3">
      <c r="A37" s="461"/>
      <c r="B37" s="460"/>
      <c r="C37" s="460"/>
      <c r="D37" s="460"/>
      <c r="E37" s="460"/>
      <c r="F37" s="460"/>
      <c r="G37" s="460"/>
      <c r="H37" s="460"/>
      <c r="I37" s="460"/>
      <c r="J37" s="460"/>
      <c r="K37" s="460"/>
      <c r="L37" s="459"/>
      <c r="M37" s="1038">
        <f>'Input data'!F31</f>
        <v>0</v>
      </c>
      <c r="N37" s="1039"/>
      <c r="O37" s="1039"/>
      <c r="P37" s="1039"/>
      <c r="Q37" s="1039"/>
      <c r="R37" s="1039"/>
      <c r="S37" s="1039"/>
      <c r="T37" s="1039"/>
      <c r="U37" s="1040"/>
      <c r="V37" s="1038">
        <f>'Input data'!F35</f>
        <v>0</v>
      </c>
      <c r="W37" s="1039"/>
      <c r="X37" s="1039"/>
      <c r="Y37" s="1039"/>
      <c r="Z37" s="1039"/>
      <c r="AA37" s="1039"/>
      <c r="AB37" s="1039"/>
      <c r="AC37" s="1040"/>
      <c r="AD37" s="1041">
        <f>'Input data'!F39</f>
        <v>0</v>
      </c>
      <c r="AE37" s="1039"/>
      <c r="AF37" s="1039"/>
      <c r="AG37" s="1039"/>
      <c r="AH37" s="1039"/>
      <c r="AI37" s="1039"/>
      <c r="AJ37" s="1039"/>
      <c r="AK37" s="1039"/>
      <c r="AL37" s="1042"/>
    </row>
    <row r="38" spans="1:38" s="446" customFormat="1" x14ac:dyDescent="0.2">
      <c r="A38" s="449"/>
      <c r="B38" s="449"/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887"/>
      <c r="N38" s="887"/>
      <c r="O38" s="887"/>
      <c r="P38" s="887"/>
      <c r="Q38" s="887"/>
      <c r="R38" s="887"/>
      <c r="S38" s="887"/>
      <c r="T38" s="887"/>
      <c r="U38" s="887"/>
      <c r="V38" s="449"/>
      <c r="W38" s="448"/>
      <c r="X38" s="448"/>
      <c r="Y38" s="448"/>
      <c r="Z38" s="448"/>
      <c r="AA38" s="448"/>
      <c r="AB38" s="448"/>
      <c r="AC38" s="448"/>
      <c r="AD38" s="449"/>
      <c r="AE38" s="449"/>
      <c r="AF38" s="449"/>
      <c r="AG38" s="449"/>
      <c r="AH38" s="449"/>
      <c r="AI38" s="449"/>
      <c r="AJ38" s="449"/>
      <c r="AK38" s="449"/>
      <c r="AL38" s="449"/>
    </row>
    <row r="39" spans="1:38" s="446" customFormat="1" x14ac:dyDescent="0.2">
      <c r="A39" s="449"/>
      <c r="B39" s="449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887"/>
      <c r="N39" s="887"/>
      <c r="O39" s="887"/>
      <c r="P39" s="887"/>
      <c r="Q39" s="887"/>
      <c r="R39" s="887"/>
      <c r="S39" s="887"/>
      <c r="T39" s="887"/>
      <c r="U39" s="887"/>
      <c r="V39" s="449"/>
      <c r="W39" s="448"/>
      <c r="X39" s="448"/>
      <c r="Y39" s="448"/>
      <c r="Z39" s="448"/>
      <c r="AA39" s="448"/>
      <c r="AB39" s="448"/>
      <c r="AC39" s="448"/>
      <c r="AD39" s="449"/>
      <c r="AE39" s="449"/>
      <c r="AF39" s="449"/>
      <c r="AG39" s="449"/>
      <c r="AH39" s="449"/>
      <c r="AI39" s="449"/>
      <c r="AJ39" s="449"/>
      <c r="AK39" s="449"/>
      <c r="AL39" s="449"/>
    </row>
    <row r="40" spans="1:38" s="446" customFormat="1" x14ac:dyDescent="0.25"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</row>
    <row r="41" spans="1:38" ht="13.5" thickBot="1" x14ac:dyDescent="0.3"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</row>
    <row r="42" spans="1:38" s="446" customFormat="1" x14ac:dyDescent="0.25">
      <c r="B42" s="458" t="s">
        <v>1718</v>
      </c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M42" s="457"/>
      <c r="N42" s="457"/>
      <c r="O42" s="457"/>
      <c r="P42" s="457"/>
      <c r="Q42" s="457"/>
      <c r="R42" s="457"/>
      <c r="S42" s="457"/>
      <c r="T42" s="457"/>
      <c r="U42" s="457"/>
      <c r="V42" s="457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  <c r="AG42" s="456"/>
      <c r="AH42" s="456"/>
      <c r="AI42" s="456"/>
      <c r="AJ42" s="455"/>
      <c r="AK42" s="441"/>
    </row>
    <row r="43" spans="1:38" s="446" customFormat="1" x14ac:dyDescent="0.25">
      <c r="B43" s="450"/>
      <c r="C43" s="449"/>
      <c r="D43" s="449"/>
      <c r="E43" s="449"/>
      <c r="F43" s="449"/>
      <c r="G43" s="449"/>
      <c r="H43" s="449"/>
      <c r="I43" s="449"/>
      <c r="J43" s="449"/>
      <c r="K43" s="449"/>
      <c r="L43" s="449"/>
      <c r="M43" s="449"/>
      <c r="N43" s="449"/>
      <c r="O43" s="449"/>
      <c r="P43" s="449"/>
      <c r="Q43" s="449"/>
      <c r="R43" s="449"/>
      <c r="S43" s="449"/>
      <c r="T43" s="449"/>
      <c r="U43" s="449"/>
      <c r="V43" s="449"/>
      <c r="W43" s="448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7"/>
      <c r="AK43" s="441"/>
    </row>
    <row r="44" spans="1:38" x14ac:dyDescent="0.25">
      <c r="B44" s="454"/>
      <c r="C44" s="825"/>
      <c r="D44" s="825"/>
      <c r="E44" s="825"/>
      <c r="F44" s="825"/>
      <c r="G44" s="825"/>
      <c r="H44" s="825"/>
      <c r="I44" s="825"/>
      <c r="J44" s="825"/>
      <c r="K44" s="825"/>
      <c r="L44" s="825"/>
      <c r="M44" s="825"/>
      <c r="N44" s="825"/>
      <c r="O44" s="825"/>
      <c r="P44" s="825"/>
      <c r="Q44" s="825"/>
      <c r="R44" s="825"/>
      <c r="S44" s="825"/>
      <c r="T44" s="825"/>
      <c r="U44" s="825"/>
      <c r="V44" s="825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38" s="446" customFormat="1" x14ac:dyDescent="0.25">
      <c r="B45" s="450"/>
      <c r="C45" s="449"/>
      <c r="D45" s="449"/>
      <c r="E45" s="449"/>
      <c r="F45" s="449"/>
      <c r="G45" s="449"/>
      <c r="H45" s="449"/>
      <c r="I45" s="449"/>
      <c r="J45" s="449"/>
      <c r="K45" s="449"/>
      <c r="L45" s="449"/>
      <c r="M45" s="449"/>
      <c r="N45" s="449"/>
      <c r="O45" s="449"/>
      <c r="P45" s="449"/>
      <c r="Q45" s="449"/>
      <c r="R45" s="449"/>
      <c r="S45" s="449"/>
      <c r="T45" s="449"/>
      <c r="U45" s="449"/>
      <c r="V45" s="449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38" s="440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38" s="440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38" s="446" customFormat="1" x14ac:dyDescent="0.25">
      <c r="B48" s="450"/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49"/>
      <c r="V48" s="449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2:37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2:37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2:37" s="446" customFormat="1" x14ac:dyDescent="0.25">
      <c r="B51" s="450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7"/>
      <c r="AK51" s="441"/>
    </row>
    <row r="52" spans="2:37" s="440" customFormat="1" ht="13.5" thickBot="1" x14ac:dyDescent="0.3">
      <c r="B52" s="445"/>
      <c r="C52" s="444"/>
      <c r="D52" s="444"/>
      <c r="E52" s="444"/>
      <c r="F52" s="444"/>
      <c r="G52" s="444" t="s">
        <v>1719</v>
      </c>
      <c r="H52" s="444"/>
      <c r="I52" s="444"/>
      <c r="J52" s="444"/>
      <c r="K52" s="444"/>
      <c r="L52" s="444"/>
      <c r="M52" s="444"/>
      <c r="N52" s="444"/>
      <c r="O52" s="444"/>
      <c r="P52" s="444"/>
      <c r="Q52" s="444"/>
      <c r="R52" s="444"/>
      <c r="S52" s="444"/>
      <c r="T52" s="444"/>
      <c r="U52" s="444" t="s">
        <v>1720</v>
      </c>
      <c r="V52" s="444"/>
      <c r="W52" s="443"/>
      <c r="X52" s="443"/>
      <c r="Y52" s="443"/>
      <c r="Z52" s="443"/>
      <c r="AA52" s="443"/>
      <c r="AB52" s="443"/>
      <c r="AC52" s="443"/>
      <c r="AD52" s="443"/>
      <c r="AE52" s="443"/>
      <c r="AF52" s="443"/>
      <c r="AG52" s="443"/>
      <c r="AH52" s="443"/>
      <c r="AI52" s="443"/>
      <c r="AJ52" s="442"/>
      <c r="AK52" s="441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A2:I201"/>
  <sheetViews>
    <sheetView showGridLines="0" zoomScale="60" zoomScaleNormal="60" zoomScaleSheetLayoutView="55" workbookViewId="0">
      <selection activeCell="D29" sqref="D29"/>
    </sheetView>
  </sheetViews>
  <sheetFormatPr defaultColWidth="10.28515625" defaultRowHeight="18" x14ac:dyDescent="0.25"/>
  <cols>
    <col min="1" max="1" width="10.42578125" style="301" customWidth="1"/>
    <col min="2" max="2" width="140.42578125" style="303" customWidth="1"/>
    <col min="3" max="3" width="4.28515625" style="303" customWidth="1"/>
    <col min="4" max="4" width="19.42578125" style="304" customWidth="1"/>
    <col min="5" max="5" width="19.7109375" style="304" customWidth="1"/>
    <col min="6" max="6" width="3" style="301" customWidth="1"/>
    <col min="7" max="7" width="57.140625" style="301" hidden="1" customWidth="1"/>
    <col min="8" max="8" width="11.5703125" style="305" bestFit="1" customWidth="1"/>
    <col min="9" max="9" width="11.5703125" style="307" bestFit="1" customWidth="1"/>
    <col min="10" max="16384" width="10.28515625" style="307"/>
  </cols>
  <sheetData>
    <row r="2" spans="1:9" ht="33.75" x14ac:dyDescent="0.5">
      <c r="B2" s="302" t="s">
        <v>981</v>
      </c>
      <c r="I2" s="306"/>
    </row>
    <row r="3" spans="1:9" ht="24" customHeight="1" x14ac:dyDescent="0.4">
      <c r="B3" s="308" t="s">
        <v>1983</v>
      </c>
      <c r="C3" s="308"/>
      <c r="D3" s="309"/>
      <c r="F3" s="310"/>
      <c r="G3" s="311"/>
    </row>
    <row r="4" spans="1:9" ht="24" customHeight="1" x14ac:dyDescent="0.4">
      <c r="B4" s="312" t="s">
        <v>982</v>
      </c>
      <c r="C4" s="308"/>
      <c r="D4" s="309"/>
      <c r="F4" s="310"/>
      <c r="G4" s="311"/>
      <c r="H4" s="306"/>
      <c r="I4" s="306"/>
    </row>
    <row r="5" spans="1:9" ht="24" customHeight="1" x14ac:dyDescent="0.4">
      <c r="B5" s="312"/>
      <c r="C5" s="308"/>
      <c r="D5" s="309"/>
      <c r="F5" s="310"/>
      <c r="G5" s="311"/>
      <c r="H5" s="306"/>
      <c r="I5" s="306"/>
    </row>
    <row r="6" spans="1:9" ht="24" customHeight="1" x14ac:dyDescent="0.4">
      <c r="B6" s="313"/>
      <c r="C6" s="308"/>
      <c r="D6" s="309"/>
      <c r="F6" s="310"/>
      <c r="G6" s="311"/>
      <c r="H6" s="306"/>
      <c r="I6" s="306"/>
    </row>
    <row r="7" spans="1:9" ht="20.100000000000001" customHeight="1" thickBot="1" x14ac:dyDescent="0.35">
      <c r="A7" s="314"/>
      <c r="B7" s="315"/>
      <c r="F7" s="316"/>
      <c r="G7" s="315"/>
    </row>
    <row r="8" spans="1:9" s="322" customFormat="1" ht="40.5" customHeight="1" x14ac:dyDescent="0.25">
      <c r="A8" s="317" t="s">
        <v>983</v>
      </c>
      <c r="B8" s="318" t="s">
        <v>984</v>
      </c>
      <c r="C8" s="319"/>
      <c r="D8" s="1502" t="s">
        <v>985</v>
      </c>
      <c r="E8" s="1503"/>
      <c r="F8" s="320"/>
      <c r="G8" s="321"/>
      <c r="H8" s="305"/>
    </row>
    <row r="9" spans="1:9" s="322" customFormat="1" x14ac:dyDescent="0.25">
      <c r="A9" s="323"/>
      <c r="B9" s="324"/>
      <c r="C9" s="324"/>
      <c r="D9" s="1504" t="s">
        <v>986</v>
      </c>
      <c r="E9" s="1505" t="s">
        <v>987</v>
      </c>
      <c r="F9" s="320"/>
      <c r="G9" s="321"/>
      <c r="H9" s="305"/>
    </row>
    <row r="10" spans="1:9" s="322" customFormat="1" x14ac:dyDescent="0.25">
      <c r="A10" s="323" t="s">
        <v>518</v>
      </c>
      <c r="B10" s="324" t="s">
        <v>519</v>
      </c>
      <c r="C10" s="324" t="s">
        <v>520</v>
      </c>
      <c r="D10" s="1504"/>
      <c r="E10" s="1505"/>
      <c r="F10" s="320"/>
      <c r="G10" s="321"/>
      <c r="H10" s="305"/>
    </row>
    <row r="11" spans="1:9" s="322" customFormat="1" ht="23.25" customHeight="1" thickBot="1" x14ac:dyDescent="0.3">
      <c r="A11" s="325"/>
      <c r="B11" s="326"/>
      <c r="C11" s="326"/>
      <c r="D11" s="327"/>
      <c r="E11" s="328"/>
      <c r="F11" s="320"/>
      <c r="G11" s="329"/>
      <c r="H11" s="305"/>
    </row>
    <row r="12" spans="1:9" s="322" customFormat="1" ht="20.25" customHeight="1" x14ac:dyDescent="0.25">
      <c r="A12" s="330"/>
      <c r="B12" s="331"/>
      <c r="C12" s="332"/>
      <c r="D12" s="333"/>
      <c r="E12" s="334"/>
      <c r="F12" s="335"/>
      <c r="G12" s="336"/>
      <c r="H12" s="305"/>
    </row>
    <row r="13" spans="1:9" s="322" customFormat="1" ht="27.95" customHeight="1" x14ac:dyDescent="0.25">
      <c r="A13" s="337" t="s">
        <v>988</v>
      </c>
      <c r="B13" s="338" t="s">
        <v>989</v>
      </c>
      <c r="C13" s="339"/>
      <c r="D13" s="340">
        <f>'P&amp;L'!D55</f>
        <v>790539</v>
      </c>
      <c r="E13" s="340">
        <f>'P&amp;L'!E55</f>
        <v>783307</v>
      </c>
      <c r="F13" s="335"/>
      <c r="G13" s="336"/>
      <c r="H13" s="305"/>
    </row>
    <row r="14" spans="1:9" s="322" customFormat="1" ht="21.95" customHeight="1" x14ac:dyDescent="0.25">
      <c r="A14" s="341"/>
      <c r="B14" s="342"/>
      <c r="C14" s="343"/>
      <c r="D14" s="344"/>
      <c r="E14" s="345"/>
      <c r="F14" s="335"/>
      <c r="G14" s="336"/>
      <c r="H14" s="305"/>
    </row>
    <row r="15" spans="1:9" s="322" customFormat="1" ht="21.95" customHeight="1" x14ac:dyDescent="0.25">
      <c r="A15" s="346" t="s">
        <v>990</v>
      </c>
      <c r="B15" s="347" t="s">
        <v>991</v>
      </c>
      <c r="C15" s="348"/>
      <c r="D15" s="780">
        <f>SUM(D16:D28)</f>
        <v>17333</v>
      </c>
      <c r="E15" s="781">
        <f>SUM(E16:E28)</f>
        <v>40389</v>
      </c>
      <c r="F15" s="349"/>
      <c r="G15" s="350"/>
      <c r="H15" s="305"/>
    </row>
    <row r="16" spans="1:9" s="322" customFormat="1" ht="21.95" customHeight="1" x14ac:dyDescent="0.25">
      <c r="A16" s="346" t="s">
        <v>992</v>
      </c>
      <c r="B16" s="347" t="s">
        <v>993</v>
      </c>
      <c r="C16" s="348"/>
      <c r="D16" s="344">
        <v>24621</v>
      </c>
      <c r="E16" s="352">
        <v>17258</v>
      </c>
      <c r="F16" s="349"/>
      <c r="G16" s="350"/>
      <c r="H16" s="305"/>
    </row>
    <row r="17" spans="1:9" s="322" customFormat="1" ht="21.95" customHeight="1" x14ac:dyDescent="0.25">
      <c r="A17" s="346" t="s">
        <v>994</v>
      </c>
      <c r="B17" s="347" t="s">
        <v>995</v>
      </c>
      <c r="C17" s="348"/>
      <c r="D17" s="344"/>
      <c r="E17" s="352"/>
      <c r="F17" s="349"/>
      <c r="G17" s="350"/>
      <c r="H17" s="305"/>
    </row>
    <row r="18" spans="1:9" s="322" customFormat="1" ht="21.95" customHeight="1" x14ac:dyDescent="0.25">
      <c r="A18" s="346" t="s">
        <v>996</v>
      </c>
      <c r="B18" s="347" t="s">
        <v>997</v>
      </c>
      <c r="C18" s="348"/>
      <c r="D18" s="344"/>
      <c r="E18" s="352"/>
      <c r="F18" s="349"/>
      <c r="G18" s="350"/>
      <c r="H18" s="305"/>
      <c r="I18" s="353"/>
    </row>
    <row r="19" spans="1:9" s="322" customFormat="1" ht="21.95" customHeight="1" x14ac:dyDescent="0.25">
      <c r="A19" s="346" t="s">
        <v>998</v>
      </c>
      <c r="B19" s="347" t="s">
        <v>2070</v>
      </c>
      <c r="C19" s="348"/>
      <c r="D19" s="344">
        <v>-30393</v>
      </c>
      <c r="E19" s="352">
        <v>-50856</v>
      </c>
      <c r="F19" s="349"/>
      <c r="G19" s="350"/>
      <c r="H19" s="305"/>
      <c r="I19" s="353"/>
    </row>
    <row r="20" spans="1:9" s="322" customFormat="1" ht="21.95" customHeight="1" x14ac:dyDescent="0.25">
      <c r="A20" s="346" t="s">
        <v>999</v>
      </c>
      <c r="B20" s="347" t="s">
        <v>1000</v>
      </c>
      <c r="C20" s="348"/>
      <c r="D20" s="344">
        <v>18068</v>
      </c>
      <c r="E20" s="352"/>
      <c r="F20" s="349"/>
      <c r="G20" s="350"/>
      <c r="H20" s="305"/>
      <c r="I20" s="353"/>
    </row>
    <row r="21" spans="1:9" s="322" customFormat="1" ht="21.95" customHeight="1" x14ac:dyDescent="0.25">
      <c r="A21" s="346" t="s">
        <v>1001</v>
      </c>
      <c r="B21" s="347" t="s">
        <v>1002</v>
      </c>
      <c r="C21" s="348"/>
      <c r="D21" s="344">
        <v>4674</v>
      </c>
      <c r="E21" s="352">
        <v>77116</v>
      </c>
      <c r="F21" s="349"/>
      <c r="G21" s="350"/>
      <c r="H21" s="305"/>
      <c r="I21" s="353"/>
    </row>
    <row r="22" spans="1:9" s="322" customFormat="1" ht="21.95" customHeight="1" x14ac:dyDescent="0.25">
      <c r="A22" s="346" t="s">
        <v>1003</v>
      </c>
      <c r="B22" s="347" t="s">
        <v>1004</v>
      </c>
      <c r="C22" s="348"/>
      <c r="D22" s="351"/>
      <c r="E22" s="352"/>
      <c r="F22" s="349"/>
      <c r="G22" s="350"/>
      <c r="H22" s="305"/>
      <c r="I22" s="353"/>
    </row>
    <row r="23" spans="1:9" s="322" customFormat="1" ht="21.95" customHeight="1" x14ac:dyDescent="0.25">
      <c r="A23" s="346" t="s">
        <v>1005</v>
      </c>
      <c r="B23" s="347" t="s">
        <v>1006</v>
      </c>
      <c r="C23" s="348"/>
      <c r="D23" s="351">
        <v>433</v>
      </c>
      <c r="E23" s="352">
        <v>620</v>
      </c>
      <c r="F23" s="349"/>
      <c r="G23" s="350"/>
      <c r="H23" s="305"/>
      <c r="I23" s="353"/>
    </row>
    <row r="24" spans="1:9" s="322" customFormat="1" ht="21.95" customHeight="1" x14ac:dyDescent="0.25">
      <c r="A24" s="346" t="s">
        <v>1007</v>
      </c>
      <c r="B24" s="347" t="s">
        <v>1008</v>
      </c>
      <c r="C24" s="348"/>
      <c r="D24" s="351">
        <v>-70</v>
      </c>
      <c r="E24" s="352">
        <v>-3749</v>
      </c>
      <c r="F24" s="349"/>
      <c r="G24" s="350"/>
      <c r="H24" s="305"/>
      <c r="I24" s="353"/>
    </row>
    <row r="25" spans="1:9" s="322" customFormat="1" ht="21.95" customHeight="1" x14ac:dyDescent="0.25">
      <c r="A25" s="346" t="s">
        <v>1009</v>
      </c>
      <c r="B25" s="347" t="s">
        <v>1010</v>
      </c>
      <c r="C25" s="348"/>
      <c r="D25" s="351"/>
      <c r="E25" s="352"/>
      <c r="F25" s="349"/>
      <c r="G25" s="350"/>
      <c r="H25" s="305"/>
      <c r="I25" s="353"/>
    </row>
    <row r="26" spans="1:9" s="322" customFormat="1" ht="21.95" customHeight="1" x14ac:dyDescent="0.25">
      <c r="A26" s="346" t="s">
        <v>1011</v>
      </c>
      <c r="B26" s="347" t="s">
        <v>1012</v>
      </c>
      <c r="C26" s="348"/>
      <c r="D26" s="351"/>
      <c r="E26" s="352"/>
      <c r="F26" s="349"/>
      <c r="G26" s="350"/>
      <c r="H26" s="305"/>
      <c r="I26" s="353"/>
    </row>
    <row r="27" spans="1:9" s="322" customFormat="1" ht="21.95" customHeight="1" x14ac:dyDescent="0.25">
      <c r="A27" s="346" t="s">
        <v>1013</v>
      </c>
      <c r="B27" s="347" t="s">
        <v>1014</v>
      </c>
      <c r="C27" s="348"/>
      <c r="D27" s="351"/>
      <c r="E27" s="352"/>
      <c r="F27" s="349"/>
      <c r="G27" s="350"/>
      <c r="H27" s="305"/>
      <c r="I27" s="353"/>
    </row>
    <row r="28" spans="1:9" s="322" customFormat="1" ht="21.95" customHeight="1" x14ac:dyDescent="0.25">
      <c r="A28" s="346" t="s">
        <v>1015</v>
      </c>
      <c r="B28" s="347" t="s">
        <v>1016</v>
      </c>
      <c r="C28" s="348"/>
      <c r="D28" s="351"/>
      <c r="E28" s="352">
        <v>0</v>
      </c>
      <c r="F28" s="349"/>
      <c r="G28" s="350"/>
      <c r="H28" s="305"/>
      <c r="I28" s="353"/>
    </row>
    <row r="29" spans="1:9" s="322" customFormat="1" ht="21.95" customHeight="1" x14ac:dyDescent="0.25">
      <c r="A29" s="346" t="s">
        <v>1017</v>
      </c>
      <c r="B29" s="347" t="s">
        <v>1018</v>
      </c>
      <c r="C29" s="348"/>
      <c r="D29" s="780">
        <f>SUM(D30:D33)</f>
        <v>-331029</v>
      </c>
      <c r="E29" s="1024">
        <f>SUM(E30:E33)</f>
        <v>196824</v>
      </c>
      <c r="F29" s="335"/>
      <c r="G29" s="336"/>
      <c r="H29" s="354"/>
    </row>
    <row r="30" spans="1:9" s="322" customFormat="1" ht="21.95" customHeight="1" x14ac:dyDescent="0.25">
      <c r="A30" s="346" t="s">
        <v>1019</v>
      </c>
      <c r="B30" s="347" t="s">
        <v>1020</v>
      </c>
      <c r="C30" s="348"/>
      <c r="D30" s="344">
        <v>-637682</v>
      </c>
      <c r="E30" s="345">
        <v>268659</v>
      </c>
      <c r="F30" s="335"/>
      <c r="G30" s="336"/>
      <c r="H30" s="354"/>
      <c r="I30" s="355"/>
    </row>
    <row r="31" spans="1:9" s="322" customFormat="1" ht="21.95" customHeight="1" x14ac:dyDescent="0.25">
      <c r="A31" s="346" t="s">
        <v>1021</v>
      </c>
      <c r="B31" s="347" t="s">
        <v>1022</v>
      </c>
      <c r="C31" s="348"/>
      <c r="D31" s="344">
        <v>306653</v>
      </c>
      <c r="E31" s="345">
        <v>-71835</v>
      </c>
      <c r="F31" s="335"/>
      <c r="G31" s="336"/>
      <c r="H31" s="354"/>
    </row>
    <row r="32" spans="1:9" s="322" customFormat="1" ht="21.95" customHeight="1" x14ac:dyDescent="0.25">
      <c r="A32" s="346" t="s">
        <v>1023</v>
      </c>
      <c r="B32" s="347" t="s">
        <v>1024</v>
      </c>
      <c r="C32" s="348"/>
      <c r="D32" s="344"/>
      <c r="E32" s="352"/>
      <c r="F32" s="335"/>
      <c r="G32" s="336"/>
      <c r="H32" s="354"/>
    </row>
    <row r="33" spans="1:9" s="322" customFormat="1" ht="21.95" customHeight="1" x14ac:dyDescent="0.25">
      <c r="A33" s="346" t="s">
        <v>1025</v>
      </c>
      <c r="B33" s="347" t="s">
        <v>1026</v>
      </c>
      <c r="C33" s="348"/>
      <c r="D33" s="344"/>
      <c r="E33" s="352"/>
      <c r="F33" s="335"/>
      <c r="G33" s="336"/>
      <c r="H33" s="354"/>
    </row>
    <row r="34" spans="1:9" s="322" customFormat="1" ht="21.95" customHeight="1" x14ac:dyDescent="0.25">
      <c r="A34" s="346" t="s">
        <v>1027</v>
      </c>
      <c r="B34" s="347" t="s">
        <v>1028</v>
      </c>
      <c r="C34" s="348"/>
      <c r="D34" s="344">
        <v>70</v>
      </c>
      <c r="E34" s="352">
        <v>3749</v>
      </c>
      <c r="F34" s="335"/>
      <c r="G34" s="336"/>
      <c r="H34" s="305"/>
    </row>
    <row r="35" spans="1:9" s="322" customFormat="1" ht="21.95" customHeight="1" x14ac:dyDescent="0.25">
      <c r="A35" s="346" t="s">
        <v>1029</v>
      </c>
      <c r="B35" s="347" t="s">
        <v>1030</v>
      </c>
      <c r="C35" s="348"/>
      <c r="D35" s="344">
        <v>-433</v>
      </c>
      <c r="E35" s="352">
        <v>-620</v>
      </c>
      <c r="F35" s="335"/>
      <c r="G35" s="336"/>
      <c r="H35" s="305"/>
    </row>
    <row r="36" spans="1:9" s="322" customFormat="1" ht="21.95" customHeight="1" x14ac:dyDescent="0.25">
      <c r="A36" s="346" t="s">
        <v>1031</v>
      </c>
      <c r="B36" s="347" t="s">
        <v>1032</v>
      </c>
      <c r="C36" s="348"/>
      <c r="D36" s="344"/>
      <c r="E36" s="352"/>
      <c r="F36" s="335"/>
      <c r="G36" s="336"/>
      <c r="H36" s="354"/>
    </row>
    <row r="37" spans="1:9" s="322" customFormat="1" ht="21.95" customHeight="1" x14ac:dyDescent="0.25">
      <c r="A37" s="346" t="s">
        <v>1033</v>
      </c>
      <c r="B37" s="347" t="s">
        <v>1034</v>
      </c>
      <c r="C37" s="348"/>
      <c r="D37" s="344"/>
      <c r="E37" s="352"/>
      <c r="F37" s="335"/>
      <c r="G37" s="336"/>
      <c r="H37" s="354"/>
    </row>
    <row r="38" spans="1:9" s="322" customFormat="1" ht="21.95" customHeight="1" x14ac:dyDescent="0.25">
      <c r="A38" s="346" t="s">
        <v>1035</v>
      </c>
      <c r="B38" s="342" t="s">
        <v>1036</v>
      </c>
      <c r="C38" s="348"/>
      <c r="D38" s="344">
        <v>-133916.93</v>
      </c>
      <c r="E38" s="352">
        <v>-257069</v>
      </c>
      <c r="F38" s="335"/>
      <c r="G38" s="336"/>
      <c r="H38" s="354"/>
    </row>
    <row r="39" spans="1:9" s="322" customFormat="1" ht="21.95" customHeight="1" x14ac:dyDescent="0.25">
      <c r="A39" s="346" t="s">
        <v>1037</v>
      </c>
      <c r="B39" s="342" t="s">
        <v>1038</v>
      </c>
      <c r="C39" s="348"/>
      <c r="D39" s="351"/>
      <c r="E39" s="352"/>
      <c r="F39" s="335"/>
      <c r="G39" s="336"/>
      <c r="H39" s="354"/>
    </row>
    <row r="40" spans="1:9" s="322" customFormat="1" ht="21.95" customHeight="1" x14ac:dyDescent="0.25">
      <c r="A40" s="346" t="s">
        <v>1039</v>
      </c>
      <c r="B40" s="342" t="s">
        <v>1040</v>
      </c>
      <c r="C40" s="348"/>
      <c r="D40" s="351"/>
      <c r="E40" s="352"/>
      <c r="F40" s="335"/>
      <c r="G40" s="336"/>
      <c r="H40" s="354"/>
    </row>
    <row r="41" spans="1:9" s="359" customFormat="1" ht="27.95" customHeight="1" x14ac:dyDescent="0.25">
      <c r="A41" s="337" t="s">
        <v>523</v>
      </c>
      <c r="B41" s="338" t="s">
        <v>1041</v>
      </c>
      <c r="C41" s="339"/>
      <c r="D41" s="782">
        <f>D13+D15+D29+SUM(D34:D40)</f>
        <v>342563.07</v>
      </c>
      <c r="E41" s="783">
        <f>E13+E15+E29+SUM(E34:E40)</f>
        <v>766580</v>
      </c>
      <c r="F41" s="356"/>
      <c r="G41" s="357"/>
      <c r="H41" s="358"/>
    </row>
    <row r="42" spans="1:9" s="322" customFormat="1" ht="21.95" customHeight="1" x14ac:dyDescent="0.25">
      <c r="A42" s="341" t="s">
        <v>833</v>
      </c>
      <c r="B42" s="342" t="s">
        <v>1042</v>
      </c>
      <c r="C42" s="343"/>
      <c r="D42" s="925"/>
      <c r="E42" s="345"/>
      <c r="F42" s="335"/>
      <c r="G42" s="357"/>
      <c r="H42" s="354"/>
    </row>
    <row r="43" spans="1:9" s="322" customFormat="1" ht="21.95" customHeight="1" x14ac:dyDescent="0.25">
      <c r="A43" s="341" t="s">
        <v>1043</v>
      </c>
      <c r="B43" s="342" t="s">
        <v>1044</v>
      </c>
      <c r="C43" s="343"/>
      <c r="D43" s="344">
        <f>-37777-(42983.76-30801.59)+43867.69-1</f>
        <v>-6092.4799999999959</v>
      </c>
      <c r="E43" s="345">
        <v>-71709</v>
      </c>
      <c r="F43" s="335"/>
      <c r="G43" s="357"/>
      <c r="H43" s="354"/>
    </row>
    <row r="44" spans="1:9" s="322" customFormat="1" ht="21.95" customHeight="1" x14ac:dyDescent="0.25">
      <c r="A44" s="341" t="s">
        <v>1045</v>
      </c>
      <c r="B44" s="342" t="s">
        <v>1046</v>
      </c>
      <c r="C44" s="343"/>
      <c r="D44" s="344"/>
      <c r="E44" s="345"/>
      <c r="F44" s="335"/>
      <c r="G44" s="357"/>
      <c r="H44" s="354"/>
    </row>
    <row r="45" spans="1:9" s="322" customFormat="1" ht="21.95" customHeight="1" x14ac:dyDescent="0.25">
      <c r="A45" s="341" t="s">
        <v>1047</v>
      </c>
      <c r="B45" s="342" t="s">
        <v>1048</v>
      </c>
      <c r="C45" s="343"/>
      <c r="D45" s="344"/>
      <c r="E45" s="345"/>
      <c r="F45" s="335"/>
      <c r="G45" s="357"/>
      <c r="H45" s="354"/>
    </row>
    <row r="46" spans="1:9" s="322" customFormat="1" ht="21.95" customHeight="1" x14ac:dyDescent="0.25">
      <c r="A46" s="341" t="s">
        <v>1049</v>
      </c>
      <c r="B46" s="342" t="s">
        <v>1050</v>
      </c>
      <c r="C46" s="343"/>
      <c r="D46" s="344"/>
      <c r="E46" s="345"/>
      <c r="F46" s="335"/>
      <c r="G46" s="357"/>
      <c r="H46" s="354"/>
    </row>
    <row r="47" spans="1:9" s="322" customFormat="1" ht="21.95" customHeight="1" x14ac:dyDescent="0.25">
      <c r="A47" s="341" t="s">
        <v>1051</v>
      </c>
      <c r="B47" s="342" t="s">
        <v>1052</v>
      </c>
      <c r="C47" s="343"/>
      <c r="D47" s="344"/>
      <c r="E47" s="345"/>
      <c r="F47" s="335"/>
      <c r="G47" s="357"/>
      <c r="H47" s="354"/>
    </row>
    <row r="48" spans="1:9" s="322" customFormat="1" ht="21.95" customHeight="1" x14ac:dyDescent="0.25">
      <c r="A48" s="341" t="s">
        <v>1053</v>
      </c>
      <c r="B48" s="342" t="s">
        <v>1054</v>
      </c>
      <c r="C48" s="343"/>
      <c r="D48" s="344"/>
      <c r="E48" s="345"/>
      <c r="F48" s="335"/>
      <c r="G48" s="336"/>
      <c r="H48" s="354"/>
      <c r="I48" s="355"/>
    </row>
    <row r="49" spans="1:8" s="322" customFormat="1" ht="21.95" customHeight="1" x14ac:dyDescent="0.25">
      <c r="A49" s="341" t="s">
        <v>1055</v>
      </c>
      <c r="B49" s="342" t="s">
        <v>1056</v>
      </c>
      <c r="C49" s="343"/>
      <c r="D49" s="344"/>
      <c r="E49" s="345"/>
      <c r="F49" s="335"/>
      <c r="G49" s="336"/>
      <c r="H49" s="354"/>
    </row>
    <row r="50" spans="1:8" s="322" customFormat="1" ht="21.95" customHeight="1" x14ac:dyDescent="0.25">
      <c r="A50" s="341" t="s">
        <v>1057</v>
      </c>
      <c r="B50" s="342" t="s">
        <v>1058</v>
      </c>
      <c r="C50" s="343"/>
      <c r="D50" s="344"/>
      <c r="E50" s="345"/>
      <c r="F50" s="335"/>
      <c r="G50" s="336"/>
      <c r="H50" s="354"/>
    </row>
    <row r="51" spans="1:8" s="322" customFormat="1" ht="21.95" customHeight="1" x14ac:dyDescent="0.25">
      <c r="A51" s="341" t="s">
        <v>1059</v>
      </c>
      <c r="B51" s="342" t="s">
        <v>1060</v>
      </c>
      <c r="C51" s="343"/>
      <c r="D51" s="344"/>
      <c r="E51" s="345"/>
      <c r="F51" s="335"/>
      <c r="G51" s="336"/>
      <c r="H51" s="354"/>
    </row>
    <row r="52" spans="1:8" s="322" customFormat="1" ht="21.95" customHeight="1" x14ac:dyDescent="0.25">
      <c r="A52" s="341" t="s">
        <v>1061</v>
      </c>
      <c r="B52" s="342" t="s">
        <v>1062</v>
      </c>
      <c r="C52" s="343"/>
      <c r="D52" s="344"/>
      <c r="E52" s="345"/>
      <c r="F52" s="335"/>
      <c r="G52" s="336"/>
      <c r="H52" s="354"/>
    </row>
    <row r="53" spans="1:8" s="322" customFormat="1" ht="21.95" customHeight="1" x14ac:dyDescent="0.25">
      <c r="A53" s="341" t="s">
        <v>1063</v>
      </c>
      <c r="B53" s="342" t="s">
        <v>1064</v>
      </c>
      <c r="C53" s="343"/>
      <c r="D53" s="344"/>
      <c r="E53" s="345"/>
      <c r="F53" s="335"/>
      <c r="G53" s="336"/>
      <c r="H53" s="354"/>
    </row>
    <row r="54" spans="1:8" s="322" customFormat="1" ht="21.95" customHeight="1" x14ac:dyDescent="0.25">
      <c r="A54" s="341" t="s">
        <v>1065</v>
      </c>
      <c r="B54" s="342" t="s">
        <v>1066</v>
      </c>
      <c r="C54" s="343"/>
      <c r="D54" s="344"/>
      <c r="E54" s="345"/>
      <c r="F54" s="335"/>
      <c r="G54" s="336"/>
      <c r="H54" s="354"/>
    </row>
    <row r="55" spans="1:8" s="322" customFormat="1" ht="21.95" customHeight="1" x14ac:dyDescent="0.25">
      <c r="A55" s="341" t="s">
        <v>1067</v>
      </c>
      <c r="B55" s="342" t="s">
        <v>1068</v>
      </c>
      <c r="C55" s="343"/>
      <c r="D55" s="344"/>
      <c r="E55" s="345"/>
      <c r="F55" s="335"/>
      <c r="G55" s="336"/>
      <c r="H55" s="354"/>
    </row>
    <row r="56" spans="1:8" s="322" customFormat="1" ht="21.95" customHeight="1" x14ac:dyDescent="0.25">
      <c r="A56" s="341" t="s">
        <v>1069</v>
      </c>
      <c r="B56" s="342" t="s">
        <v>1070</v>
      </c>
      <c r="C56" s="343"/>
      <c r="D56" s="344"/>
      <c r="E56" s="345"/>
      <c r="F56" s="335"/>
      <c r="G56" s="336"/>
      <c r="H56" s="354"/>
    </row>
    <row r="57" spans="1:8" s="322" customFormat="1" ht="21.95" customHeight="1" x14ac:dyDescent="0.25">
      <c r="A57" s="341" t="s">
        <v>1071</v>
      </c>
      <c r="B57" s="342" t="s">
        <v>1072</v>
      </c>
      <c r="C57" s="343"/>
      <c r="D57" s="344"/>
      <c r="E57" s="345"/>
      <c r="F57" s="335"/>
      <c r="G57" s="336"/>
      <c r="H57" s="354"/>
    </row>
    <row r="58" spans="1:8" s="322" customFormat="1" ht="21.95" customHeight="1" x14ac:dyDescent="0.25">
      <c r="A58" s="341" t="s">
        <v>1073</v>
      </c>
      <c r="B58" s="342" t="s">
        <v>1074</v>
      </c>
      <c r="C58" s="343"/>
      <c r="D58" s="344"/>
      <c r="E58" s="345"/>
      <c r="F58" s="335"/>
      <c r="G58" s="336"/>
      <c r="H58" s="354"/>
    </row>
    <row r="59" spans="1:8" s="322" customFormat="1" ht="21.95" customHeight="1" x14ac:dyDescent="0.25">
      <c r="A59" s="341" t="s">
        <v>1075</v>
      </c>
      <c r="B59" s="342" t="s">
        <v>1076</v>
      </c>
      <c r="C59" s="343"/>
      <c r="D59" s="344"/>
      <c r="E59" s="345"/>
      <c r="F59" s="335"/>
      <c r="G59" s="336"/>
      <c r="H59" s="354"/>
    </row>
    <row r="60" spans="1:8" s="322" customFormat="1" ht="21.95" customHeight="1" x14ac:dyDescent="0.25">
      <c r="A60" s="341" t="s">
        <v>1077</v>
      </c>
      <c r="B60" s="342" t="s">
        <v>1078</v>
      </c>
      <c r="C60" s="343"/>
      <c r="D60" s="344">
        <v>-100000</v>
      </c>
      <c r="E60" s="345"/>
      <c r="F60" s="335"/>
      <c r="G60" s="336"/>
      <c r="H60" s="354"/>
    </row>
    <row r="61" spans="1:8" s="359" customFormat="1" ht="27.95" customHeight="1" x14ac:dyDescent="0.25">
      <c r="A61" s="337" t="s">
        <v>594</v>
      </c>
      <c r="B61" s="338" t="s">
        <v>1079</v>
      </c>
      <c r="C61" s="339"/>
      <c r="D61" s="782">
        <f>SUM(D42:D60)</f>
        <v>-106092.48</v>
      </c>
      <c r="E61" s="783">
        <f>SUM(E43:E60)</f>
        <v>-71709</v>
      </c>
      <c r="F61" s="356"/>
      <c r="G61" s="357"/>
      <c r="H61" s="358"/>
    </row>
    <row r="62" spans="1:8" s="359" customFormat="1" ht="22.5" customHeight="1" x14ac:dyDescent="0.25">
      <c r="A62" s="341" t="s">
        <v>666</v>
      </c>
      <c r="B62" s="342" t="s">
        <v>1080</v>
      </c>
      <c r="C62" s="343"/>
      <c r="D62" s="1023">
        <f>SUM(D63:D70)</f>
        <v>-450000</v>
      </c>
      <c r="E62" s="1022">
        <f>SUM(E63:E70)</f>
        <v>-211891</v>
      </c>
      <c r="F62" s="356"/>
      <c r="G62" s="357"/>
      <c r="H62" s="358"/>
    </row>
    <row r="63" spans="1:8" s="359" customFormat="1" ht="22.5" customHeight="1" x14ac:dyDescent="0.25">
      <c r="A63" s="341" t="s">
        <v>1081</v>
      </c>
      <c r="B63" s="342" t="s">
        <v>1082</v>
      </c>
      <c r="C63" s="343"/>
      <c r="D63" s="360"/>
      <c r="E63" s="361"/>
      <c r="F63" s="356"/>
      <c r="G63" s="357"/>
      <c r="H63" s="358"/>
    </row>
    <row r="64" spans="1:8" s="359" customFormat="1" ht="22.5" customHeight="1" x14ac:dyDescent="0.25">
      <c r="A64" s="341" t="s">
        <v>1083</v>
      </c>
      <c r="B64" s="342" t="s">
        <v>1084</v>
      </c>
      <c r="C64" s="343"/>
      <c r="D64" s="360"/>
      <c r="E64" s="361"/>
      <c r="F64" s="356"/>
      <c r="G64" s="357"/>
      <c r="H64" s="358"/>
    </row>
    <row r="65" spans="1:8" s="359" customFormat="1" ht="22.5" customHeight="1" x14ac:dyDescent="0.25">
      <c r="A65" s="341" t="s">
        <v>1085</v>
      </c>
      <c r="B65" s="342" t="s">
        <v>1086</v>
      </c>
      <c r="C65" s="343"/>
      <c r="D65" s="360"/>
      <c r="E65" s="361"/>
      <c r="F65" s="356"/>
      <c r="G65" s="357"/>
      <c r="H65" s="358"/>
    </row>
    <row r="66" spans="1:8" s="359" customFormat="1" ht="22.5" customHeight="1" x14ac:dyDescent="0.25">
      <c r="A66" s="341" t="s">
        <v>1087</v>
      </c>
      <c r="B66" s="342" t="s">
        <v>1088</v>
      </c>
      <c r="C66" s="343"/>
      <c r="D66" s="360"/>
      <c r="E66" s="361"/>
      <c r="F66" s="356"/>
      <c r="G66" s="357"/>
      <c r="H66" s="358"/>
    </row>
    <row r="67" spans="1:8" s="359" customFormat="1" ht="22.5" customHeight="1" x14ac:dyDescent="0.25">
      <c r="A67" s="341" t="s">
        <v>1089</v>
      </c>
      <c r="B67" s="342" t="s">
        <v>1090</v>
      </c>
      <c r="C67" s="343"/>
      <c r="D67" s="360"/>
      <c r="E67" s="361"/>
      <c r="F67" s="356"/>
      <c r="G67" s="357"/>
      <c r="H67" s="358"/>
    </row>
    <row r="68" spans="1:8" s="359" customFormat="1" ht="22.5" customHeight="1" x14ac:dyDescent="0.25">
      <c r="A68" s="341" t="s">
        <v>1091</v>
      </c>
      <c r="B68" s="342" t="s">
        <v>1092</v>
      </c>
      <c r="C68" s="343"/>
      <c r="D68" s="360"/>
      <c r="E68" s="361"/>
      <c r="F68" s="356"/>
      <c r="G68" s="357"/>
      <c r="H68" s="358"/>
    </row>
    <row r="69" spans="1:8" s="359" customFormat="1" ht="22.5" customHeight="1" x14ac:dyDescent="0.25">
      <c r="A69" s="341" t="s">
        <v>1093</v>
      </c>
      <c r="B69" s="342" t="s">
        <v>1094</v>
      </c>
      <c r="C69" s="343"/>
      <c r="D69" s="926">
        <v>-450000</v>
      </c>
      <c r="E69" s="361">
        <v>-211891</v>
      </c>
      <c r="F69" s="356"/>
      <c r="G69" s="357"/>
      <c r="H69" s="358"/>
    </row>
    <row r="70" spans="1:8" s="359" customFormat="1" ht="22.5" customHeight="1" x14ac:dyDescent="0.25">
      <c r="A70" s="341" t="s">
        <v>1095</v>
      </c>
      <c r="B70" s="342" t="s">
        <v>1096</v>
      </c>
      <c r="C70" s="343"/>
      <c r="D70" s="360"/>
      <c r="E70" s="361"/>
      <c r="F70" s="356"/>
      <c r="G70" s="357"/>
      <c r="H70" s="358"/>
    </row>
    <row r="71" spans="1:8" s="359" customFormat="1" ht="22.5" customHeight="1" x14ac:dyDescent="0.25">
      <c r="A71" s="341" t="s">
        <v>1097</v>
      </c>
      <c r="B71" s="342" t="s">
        <v>1098</v>
      </c>
      <c r="C71" s="343"/>
      <c r="D71" s="780">
        <f>SUM(D72:D80)</f>
        <v>-7825</v>
      </c>
      <c r="E71" s="780">
        <f>SUM(E72:E80)</f>
        <v>-7601</v>
      </c>
      <c r="F71" s="356"/>
      <c r="G71" s="357"/>
      <c r="H71" s="358"/>
    </row>
    <row r="72" spans="1:8" s="359" customFormat="1" ht="22.5" customHeight="1" x14ac:dyDescent="0.25">
      <c r="A72" s="341" t="s">
        <v>1099</v>
      </c>
      <c r="B72" s="342" t="s">
        <v>1100</v>
      </c>
      <c r="C72" s="343"/>
      <c r="D72" s="360"/>
      <c r="E72" s="361">
        <v>0</v>
      </c>
      <c r="F72" s="356"/>
      <c r="G72" s="357"/>
      <c r="H72" s="358"/>
    </row>
    <row r="73" spans="1:8" s="359" customFormat="1" ht="22.5" customHeight="1" x14ac:dyDescent="0.25">
      <c r="A73" s="341" t="s">
        <v>1101</v>
      </c>
      <c r="B73" s="342" t="s">
        <v>1102</v>
      </c>
      <c r="C73" s="343"/>
      <c r="D73" s="360"/>
      <c r="E73" s="361">
        <v>0</v>
      </c>
      <c r="F73" s="356"/>
      <c r="G73" s="357"/>
      <c r="H73" s="358"/>
    </row>
    <row r="74" spans="1:8" s="359" customFormat="1" ht="22.5" customHeight="1" x14ac:dyDescent="0.25">
      <c r="A74" s="341" t="s">
        <v>1103</v>
      </c>
      <c r="B74" s="342" t="s">
        <v>1104</v>
      </c>
      <c r="C74" s="343"/>
      <c r="D74" s="360"/>
      <c r="E74" s="361">
        <v>0</v>
      </c>
      <c r="F74" s="356"/>
      <c r="G74" s="357"/>
      <c r="H74" s="358"/>
    </row>
    <row r="75" spans="1:8" s="359" customFormat="1" ht="22.5" customHeight="1" x14ac:dyDescent="0.25">
      <c r="A75" s="341" t="s">
        <v>1105</v>
      </c>
      <c r="B75" s="342" t="s">
        <v>1106</v>
      </c>
      <c r="C75" s="343"/>
      <c r="D75" s="360"/>
      <c r="E75" s="361">
        <v>0</v>
      </c>
      <c r="F75" s="356"/>
      <c r="G75" s="357"/>
      <c r="H75" s="358"/>
    </row>
    <row r="76" spans="1:8" s="359" customFormat="1" ht="22.5" customHeight="1" x14ac:dyDescent="0.25">
      <c r="A76" s="341" t="s">
        <v>1107</v>
      </c>
      <c r="B76" s="342" t="s">
        <v>1108</v>
      </c>
      <c r="C76" s="343"/>
      <c r="D76" s="360"/>
      <c r="E76" s="361"/>
      <c r="F76" s="356"/>
      <c r="G76" s="357"/>
      <c r="H76" s="358"/>
    </row>
    <row r="77" spans="1:8" s="359" customFormat="1" ht="22.5" customHeight="1" x14ac:dyDescent="0.25">
      <c r="A77" s="341" t="s">
        <v>1109</v>
      </c>
      <c r="B77" s="342" t="s">
        <v>1110</v>
      </c>
      <c r="C77" s="343"/>
      <c r="D77" s="360"/>
      <c r="E77" s="361">
        <v>0</v>
      </c>
      <c r="F77" s="356"/>
      <c r="G77" s="357"/>
      <c r="H77" s="358"/>
    </row>
    <row r="78" spans="1:8" s="359" customFormat="1" ht="22.5" customHeight="1" x14ac:dyDescent="0.25">
      <c r="A78" s="341" t="s">
        <v>1111</v>
      </c>
      <c r="B78" s="342" t="s">
        <v>1112</v>
      </c>
      <c r="C78" s="343"/>
      <c r="D78" s="360">
        <v>-7825</v>
      </c>
      <c r="E78" s="361">
        <v>-7601</v>
      </c>
      <c r="F78" s="356"/>
      <c r="G78" s="357"/>
      <c r="H78" s="358"/>
    </row>
    <row r="79" spans="1:8" s="359" customFormat="1" ht="22.5" customHeight="1" x14ac:dyDescent="0.25">
      <c r="A79" s="341" t="s">
        <v>1113</v>
      </c>
      <c r="B79" s="342" t="s">
        <v>1114</v>
      </c>
      <c r="C79" s="343"/>
      <c r="D79" s="360"/>
      <c r="E79" s="361"/>
      <c r="F79" s="356"/>
      <c r="G79" s="357"/>
      <c r="H79" s="358"/>
    </row>
    <row r="80" spans="1:8" s="359" customFormat="1" ht="22.5" customHeight="1" x14ac:dyDescent="0.25">
      <c r="A80" s="341" t="s">
        <v>1115</v>
      </c>
      <c r="B80" s="342" t="s">
        <v>1116</v>
      </c>
      <c r="C80" s="343"/>
      <c r="D80" s="360"/>
      <c r="E80" s="361"/>
      <c r="F80" s="356"/>
      <c r="G80" s="357"/>
      <c r="H80" s="358"/>
    </row>
    <row r="81" spans="1:8" s="359" customFormat="1" ht="22.5" customHeight="1" x14ac:dyDescent="0.25">
      <c r="A81" s="341" t="s">
        <v>1117</v>
      </c>
      <c r="B81" s="342" t="s">
        <v>1118</v>
      </c>
      <c r="C81" s="343"/>
      <c r="D81" s="360"/>
      <c r="E81" s="361"/>
      <c r="F81" s="356"/>
      <c r="G81" s="357"/>
      <c r="H81" s="358"/>
    </row>
    <row r="82" spans="1:8" s="359" customFormat="1" ht="22.5" customHeight="1" x14ac:dyDescent="0.25">
      <c r="A82" s="341" t="s">
        <v>1119</v>
      </c>
      <c r="B82" s="342" t="s">
        <v>1120</v>
      </c>
      <c r="C82" s="343"/>
      <c r="D82" s="360"/>
      <c r="E82" s="361"/>
      <c r="F82" s="356"/>
      <c r="G82" s="357"/>
      <c r="H82" s="358"/>
    </row>
    <row r="83" spans="1:8" s="359" customFormat="1" ht="22.5" customHeight="1" x14ac:dyDescent="0.25">
      <c r="A83" s="341" t="s">
        <v>1121</v>
      </c>
      <c r="B83" s="342" t="s">
        <v>1122</v>
      </c>
      <c r="C83" s="343"/>
      <c r="D83" s="360"/>
      <c r="E83" s="361"/>
      <c r="F83" s="356"/>
      <c r="G83" s="357"/>
      <c r="H83" s="358"/>
    </row>
    <row r="84" spans="1:8" s="359" customFormat="1" ht="22.5" customHeight="1" x14ac:dyDescent="0.25">
      <c r="A84" s="341" t="s">
        <v>1123</v>
      </c>
      <c r="B84" s="342" t="s">
        <v>1124</v>
      </c>
      <c r="C84" s="343"/>
      <c r="D84" s="360"/>
      <c r="E84" s="361"/>
      <c r="F84" s="356"/>
      <c r="G84" s="357"/>
      <c r="H84" s="358"/>
    </row>
    <row r="85" spans="1:8" s="359" customFormat="1" ht="22.5" customHeight="1" x14ac:dyDescent="0.25">
      <c r="A85" s="341" t="s">
        <v>1125</v>
      </c>
      <c r="B85" s="342" t="s">
        <v>1126</v>
      </c>
      <c r="C85" s="343"/>
      <c r="D85" s="360"/>
      <c r="E85" s="361"/>
      <c r="F85" s="356"/>
      <c r="G85" s="357"/>
      <c r="H85" s="358"/>
    </row>
    <row r="86" spans="1:8" s="359" customFormat="1" ht="22.5" customHeight="1" x14ac:dyDescent="0.25">
      <c r="A86" s="341" t="s">
        <v>1127</v>
      </c>
      <c r="B86" s="342" t="s">
        <v>1128</v>
      </c>
      <c r="C86" s="343"/>
      <c r="D86" s="360"/>
      <c r="E86" s="361"/>
      <c r="F86" s="356"/>
      <c r="G86" s="357"/>
      <c r="H86" s="358"/>
    </row>
    <row r="87" spans="1:8" s="359" customFormat="1" ht="22.5" customHeight="1" x14ac:dyDescent="0.25">
      <c r="A87" s="341" t="s">
        <v>1129</v>
      </c>
      <c r="B87" s="342" t="s">
        <v>1130</v>
      </c>
      <c r="C87" s="343"/>
      <c r="D87" s="360"/>
      <c r="E87" s="361"/>
      <c r="F87" s="356"/>
      <c r="G87" s="357"/>
      <c r="H87" s="358"/>
    </row>
    <row r="88" spans="1:8" s="359" customFormat="1" ht="27.95" customHeight="1" x14ac:dyDescent="0.25">
      <c r="A88" s="337" t="s">
        <v>663</v>
      </c>
      <c r="B88" s="338" t="s">
        <v>1131</v>
      </c>
      <c r="C88" s="339"/>
      <c r="D88" s="782">
        <f>D62+D71+SUM(D81:D87)</f>
        <v>-457825</v>
      </c>
      <c r="E88" s="783">
        <f>E62+E71+SUM(E81:E87)</f>
        <v>-219492</v>
      </c>
      <c r="F88" s="356"/>
      <c r="G88" s="357"/>
      <c r="H88" s="358"/>
    </row>
    <row r="89" spans="1:8" s="322" customFormat="1" ht="27.95" customHeight="1" x14ac:dyDescent="0.25">
      <c r="A89" s="337" t="s">
        <v>853</v>
      </c>
      <c r="B89" s="338" t="s">
        <v>1132</v>
      </c>
      <c r="C89" s="339"/>
      <c r="D89" s="782">
        <f>D41+D61+D88</f>
        <v>-221354.40999999997</v>
      </c>
      <c r="E89" s="783">
        <f>E41+E61+E88</f>
        <v>475379</v>
      </c>
      <c r="F89" s="335"/>
      <c r="G89" s="336"/>
      <c r="H89" s="354"/>
    </row>
    <row r="90" spans="1:8" s="359" customFormat="1" ht="27.95" customHeight="1" x14ac:dyDescent="0.25">
      <c r="A90" s="337" t="s">
        <v>856</v>
      </c>
      <c r="B90" s="338" t="s">
        <v>1133</v>
      </c>
      <c r="C90" s="339"/>
      <c r="D90" s="782">
        <f>BS!G64</f>
        <v>687402</v>
      </c>
      <c r="E90" s="783">
        <v>212061</v>
      </c>
      <c r="F90" s="356"/>
      <c r="G90" s="357"/>
      <c r="H90" s="358"/>
    </row>
    <row r="91" spans="1:8" s="359" customFormat="1" ht="27.95" customHeight="1" x14ac:dyDescent="0.25">
      <c r="A91" s="337" t="s">
        <v>862</v>
      </c>
      <c r="B91" s="338" t="s">
        <v>1134</v>
      </c>
      <c r="C91" s="339"/>
      <c r="D91" s="782">
        <f>BS!F64</f>
        <v>466048</v>
      </c>
      <c r="E91" s="782">
        <f>BS!G64</f>
        <v>687402</v>
      </c>
      <c r="F91" s="356"/>
      <c r="G91" s="362"/>
      <c r="H91" s="358"/>
    </row>
    <row r="92" spans="1:8" s="322" customFormat="1" ht="27.95" customHeight="1" x14ac:dyDescent="0.25">
      <c r="A92" s="337" t="s">
        <v>865</v>
      </c>
      <c r="B92" s="363" t="s">
        <v>1135</v>
      </c>
      <c r="C92" s="339"/>
      <c r="D92" s="364"/>
      <c r="E92" s="365"/>
      <c r="F92" s="335"/>
      <c r="G92" s="336"/>
      <c r="H92" s="354"/>
    </row>
    <row r="93" spans="1:8" s="359" customFormat="1" ht="27.95" customHeight="1" thickBot="1" x14ac:dyDescent="0.3">
      <c r="A93" s="366" t="s">
        <v>871</v>
      </c>
      <c r="B93" s="367" t="s">
        <v>1136</v>
      </c>
      <c r="C93" s="368"/>
      <c r="D93" s="784">
        <v>466048</v>
      </c>
      <c r="E93" s="785">
        <v>687402</v>
      </c>
      <c r="F93" s="356"/>
      <c r="G93" s="369"/>
      <c r="H93" s="358"/>
    </row>
    <row r="94" spans="1:8" s="322" customFormat="1" ht="14.1" customHeight="1" x14ac:dyDescent="0.25">
      <c r="A94" s="335"/>
      <c r="B94" s="370"/>
      <c r="C94" s="371"/>
      <c r="D94" s="372"/>
      <c r="E94" s="373"/>
      <c r="F94" s="335"/>
      <c r="G94" s="374"/>
      <c r="H94" s="354"/>
    </row>
    <row r="95" spans="1:8" s="322" customFormat="1" ht="14.1" customHeight="1" x14ac:dyDescent="0.25">
      <c r="A95" s="335"/>
      <c r="B95" s="335"/>
      <c r="C95" s="371"/>
      <c r="D95" s="372"/>
      <c r="E95" s="373"/>
      <c r="F95" s="335"/>
      <c r="G95" s="374"/>
      <c r="H95" s="354"/>
    </row>
    <row r="96" spans="1:8" s="322" customFormat="1" ht="14.1" customHeight="1" x14ac:dyDescent="0.25">
      <c r="A96" s="374"/>
      <c r="B96" s="375"/>
      <c r="C96" s="375"/>
      <c r="D96" s="376"/>
      <c r="E96" s="377"/>
      <c r="F96" s="335"/>
      <c r="G96" s="374"/>
      <c r="H96" s="354"/>
    </row>
    <row r="97" spans="1:8" s="322" customFormat="1" ht="14.1" customHeight="1" x14ac:dyDescent="0.25">
      <c r="A97" s="374"/>
      <c r="B97" s="375"/>
      <c r="C97" s="375"/>
      <c r="D97" s="376"/>
      <c r="E97" s="377"/>
      <c r="F97" s="335"/>
      <c r="G97" s="374"/>
      <c r="H97" s="354"/>
    </row>
    <row r="98" spans="1:8" s="322" customFormat="1" ht="14.1" customHeight="1" x14ac:dyDescent="0.25">
      <c r="A98" s="374"/>
      <c r="B98" s="375"/>
      <c r="C98" s="375"/>
      <c r="D98" s="376"/>
      <c r="E98" s="377"/>
      <c r="F98" s="335"/>
      <c r="G98" s="374"/>
      <c r="H98" s="354"/>
    </row>
    <row r="99" spans="1:8" s="322" customFormat="1" ht="20.25" customHeight="1" x14ac:dyDescent="0.25">
      <c r="A99" s="374"/>
      <c r="B99" s="378" t="s">
        <v>1137</v>
      </c>
      <c r="C99" s="378"/>
      <c r="D99" s="379">
        <f>D91-D93</f>
        <v>0</v>
      </c>
      <c r="E99" s="379">
        <f>E91-E93</f>
        <v>0</v>
      </c>
      <c r="F99" s="335"/>
      <c r="G99" s="374"/>
      <c r="H99" s="354"/>
    </row>
    <row r="100" spans="1:8" s="322" customFormat="1" ht="14.1" customHeight="1" x14ac:dyDescent="0.25">
      <c r="A100" s="374"/>
      <c r="B100" s="375"/>
      <c r="C100" s="375"/>
      <c r="D100" s="376"/>
      <c r="E100" s="377"/>
      <c r="F100" s="335"/>
      <c r="G100" s="374"/>
      <c r="H100" s="354"/>
    </row>
    <row r="101" spans="1:8" s="322" customFormat="1" ht="21" customHeight="1" x14ac:dyDescent="0.25">
      <c r="A101" s="374"/>
      <c r="B101" s="375"/>
      <c r="C101" s="375"/>
      <c r="D101" s="376"/>
      <c r="E101" s="376"/>
      <c r="F101" s="335"/>
      <c r="G101" s="374"/>
      <c r="H101" s="354"/>
    </row>
    <row r="102" spans="1:8" s="322" customFormat="1" ht="14.1" customHeight="1" x14ac:dyDescent="0.25">
      <c r="A102" s="374"/>
      <c r="B102" s="375"/>
      <c r="C102" s="375"/>
      <c r="D102" s="376"/>
      <c r="E102" s="377"/>
      <c r="F102" s="335"/>
      <c r="G102" s="374"/>
      <c r="H102" s="354"/>
    </row>
    <row r="103" spans="1:8" s="322" customFormat="1" ht="14.1" customHeight="1" x14ac:dyDescent="0.25">
      <c r="A103" s="374"/>
      <c r="B103" s="375"/>
      <c r="C103" s="375"/>
      <c r="D103" s="376"/>
      <c r="E103" s="377"/>
      <c r="F103" s="335"/>
      <c r="G103" s="374"/>
      <c r="H103" s="354"/>
    </row>
    <row r="104" spans="1:8" s="322" customFormat="1" ht="14.1" customHeight="1" x14ac:dyDescent="0.25">
      <c r="A104" s="374"/>
      <c r="B104" s="375"/>
      <c r="C104" s="375"/>
      <c r="D104" s="376"/>
      <c r="E104" s="377"/>
      <c r="F104" s="335"/>
      <c r="G104" s="374"/>
      <c r="H104" s="354"/>
    </row>
    <row r="105" spans="1:8" s="322" customFormat="1" ht="14.1" customHeight="1" x14ac:dyDescent="0.25">
      <c r="A105" s="374"/>
      <c r="B105" s="375"/>
      <c r="C105" s="375"/>
      <c r="D105" s="376"/>
      <c r="E105" s="377"/>
      <c r="F105" s="335"/>
      <c r="G105" s="374"/>
      <c r="H105" s="354"/>
    </row>
    <row r="106" spans="1:8" s="322" customFormat="1" ht="14.1" customHeight="1" x14ac:dyDescent="0.25">
      <c r="A106" s="374"/>
      <c r="B106" s="375"/>
      <c r="C106" s="375"/>
      <c r="D106" s="376"/>
      <c r="E106" s="377"/>
      <c r="F106" s="335"/>
      <c r="G106" s="374"/>
      <c r="H106" s="354"/>
    </row>
    <row r="107" spans="1:8" s="322" customFormat="1" ht="14.1" customHeight="1" x14ac:dyDescent="0.25">
      <c r="A107" s="374"/>
      <c r="B107" s="375"/>
      <c r="C107" s="375"/>
      <c r="D107" s="376"/>
      <c r="E107" s="377"/>
      <c r="F107" s="335"/>
      <c r="G107" s="374"/>
      <c r="H107" s="354"/>
    </row>
    <row r="108" spans="1:8" s="322" customFormat="1" ht="14.1" customHeight="1" x14ac:dyDescent="0.25">
      <c r="A108" s="374"/>
      <c r="B108" s="375"/>
      <c r="C108" s="375"/>
      <c r="D108" s="376"/>
      <c r="E108" s="377"/>
      <c r="F108" s="335"/>
      <c r="G108" s="374"/>
      <c r="H108" s="354"/>
    </row>
    <row r="109" spans="1:8" s="322" customFormat="1" ht="14.1" customHeight="1" x14ac:dyDescent="0.25">
      <c r="A109" s="374"/>
      <c r="B109" s="375"/>
      <c r="C109" s="375"/>
      <c r="D109" s="376"/>
      <c r="E109" s="377"/>
      <c r="F109" s="335"/>
      <c r="G109" s="374"/>
      <c r="H109" s="354"/>
    </row>
    <row r="110" spans="1:8" s="322" customFormat="1" ht="14.1" customHeight="1" x14ac:dyDescent="0.25">
      <c r="A110" s="374"/>
      <c r="B110" s="375"/>
      <c r="C110" s="375"/>
      <c r="D110" s="376"/>
      <c r="E110" s="377"/>
      <c r="F110" s="335"/>
      <c r="G110" s="374"/>
      <c r="H110" s="354"/>
    </row>
    <row r="111" spans="1:8" s="322" customFormat="1" ht="14.1" customHeight="1" x14ac:dyDescent="0.25">
      <c r="A111" s="374"/>
      <c r="B111" s="375"/>
      <c r="C111" s="375"/>
      <c r="D111" s="376"/>
      <c r="E111" s="377"/>
      <c r="F111" s="335"/>
      <c r="G111" s="374"/>
      <c r="H111" s="354"/>
    </row>
    <row r="112" spans="1:8" s="322" customFormat="1" ht="14.1" customHeight="1" x14ac:dyDescent="0.25">
      <c r="A112" s="374"/>
      <c r="B112" s="375"/>
      <c r="C112" s="375"/>
      <c r="D112" s="376"/>
      <c r="E112" s="377"/>
      <c r="F112" s="335"/>
      <c r="G112" s="374"/>
      <c r="H112" s="354"/>
    </row>
    <row r="113" spans="1:8" s="322" customFormat="1" ht="14.1" customHeight="1" x14ac:dyDescent="0.25">
      <c r="A113" s="374"/>
      <c r="B113" s="375"/>
      <c r="C113" s="375"/>
      <c r="D113" s="376"/>
      <c r="E113" s="377"/>
      <c r="F113" s="335"/>
      <c r="G113" s="374"/>
      <c r="H113" s="354"/>
    </row>
    <row r="114" spans="1:8" s="322" customFormat="1" ht="14.1" customHeight="1" x14ac:dyDescent="0.25">
      <c r="A114" s="374"/>
      <c r="B114" s="375"/>
      <c r="C114" s="375"/>
      <c r="D114" s="376"/>
      <c r="E114" s="377"/>
      <c r="F114" s="335"/>
      <c r="G114" s="374"/>
      <c r="H114" s="354"/>
    </row>
    <row r="115" spans="1:8" s="322" customFormat="1" ht="14.1" customHeight="1" x14ac:dyDescent="0.25">
      <c r="A115" s="374"/>
      <c r="B115" s="375"/>
      <c r="C115" s="375"/>
      <c r="D115" s="376"/>
      <c r="E115" s="377"/>
      <c r="F115" s="335"/>
      <c r="G115" s="374"/>
      <c r="H115" s="354"/>
    </row>
    <row r="116" spans="1:8" s="322" customFormat="1" ht="14.1" customHeight="1" x14ac:dyDescent="0.25">
      <c r="A116" s="1506"/>
      <c r="B116" s="1506"/>
      <c r="C116" s="1506"/>
      <c r="D116" s="1506"/>
      <c r="E116" s="1506"/>
      <c r="F116" s="335"/>
      <c r="G116" s="374"/>
      <c r="H116" s="354"/>
    </row>
    <row r="117" spans="1:8" x14ac:dyDescent="0.25">
      <c r="A117" s="380"/>
      <c r="B117" s="381"/>
      <c r="C117" s="381"/>
      <c r="D117" s="377"/>
      <c r="E117" s="377"/>
      <c r="F117" s="382"/>
      <c r="G117" s="380"/>
      <c r="H117" s="354"/>
    </row>
    <row r="118" spans="1:8" x14ac:dyDescent="0.25">
      <c r="A118" s="380"/>
      <c r="B118" s="381"/>
      <c r="C118" s="381"/>
      <c r="D118" s="377"/>
      <c r="E118" s="377"/>
      <c r="F118" s="382"/>
      <c r="G118" s="380"/>
      <c r="H118" s="354"/>
    </row>
    <row r="119" spans="1:8" x14ac:dyDescent="0.25">
      <c r="A119" s="380"/>
      <c r="B119" s="381"/>
      <c r="C119" s="381"/>
      <c r="D119" s="377"/>
      <c r="E119" s="377"/>
      <c r="F119" s="382"/>
      <c r="G119" s="380"/>
      <c r="H119" s="354"/>
    </row>
    <row r="120" spans="1:8" x14ac:dyDescent="0.25">
      <c r="A120" s="380"/>
      <c r="B120" s="381"/>
      <c r="C120" s="381"/>
      <c r="D120" s="377"/>
      <c r="E120" s="377"/>
      <c r="F120" s="382"/>
      <c r="G120" s="380"/>
      <c r="H120" s="354"/>
    </row>
    <row r="121" spans="1:8" x14ac:dyDescent="0.25">
      <c r="A121" s="380"/>
      <c r="B121" s="381"/>
      <c r="C121" s="381"/>
      <c r="D121" s="377"/>
      <c r="E121" s="377"/>
      <c r="F121" s="382"/>
      <c r="G121" s="380"/>
      <c r="H121" s="354"/>
    </row>
    <row r="122" spans="1:8" x14ac:dyDescent="0.25">
      <c r="A122" s="380"/>
      <c r="B122" s="381"/>
      <c r="C122" s="381"/>
      <c r="D122" s="377"/>
      <c r="E122" s="377"/>
      <c r="F122" s="382"/>
      <c r="G122" s="380"/>
      <c r="H122" s="354"/>
    </row>
    <row r="123" spans="1:8" x14ac:dyDescent="0.25">
      <c r="A123" s="380"/>
      <c r="B123" s="381"/>
      <c r="C123" s="381"/>
      <c r="D123" s="377"/>
      <c r="E123" s="377"/>
      <c r="F123" s="382"/>
      <c r="G123" s="380"/>
      <c r="H123" s="354"/>
    </row>
    <row r="124" spans="1:8" x14ac:dyDescent="0.25">
      <c r="A124" s="380"/>
      <c r="B124" s="381"/>
      <c r="C124" s="381"/>
      <c r="D124" s="377"/>
      <c r="E124" s="377"/>
      <c r="F124" s="382"/>
      <c r="G124" s="380"/>
      <c r="H124" s="354"/>
    </row>
    <row r="125" spans="1:8" x14ac:dyDescent="0.25">
      <c r="A125" s="380"/>
      <c r="B125" s="381"/>
      <c r="C125" s="381"/>
      <c r="D125" s="377"/>
      <c r="E125" s="377"/>
      <c r="F125" s="382"/>
      <c r="G125" s="380"/>
      <c r="H125" s="354"/>
    </row>
    <row r="126" spans="1:8" x14ac:dyDescent="0.25">
      <c r="A126" s="380"/>
      <c r="B126" s="381"/>
      <c r="C126" s="381"/>
      <c r="D126" s="377"/>
      <c r="E126" s="377"/>
      <c r="F126" s="380"/>
      <c r="G126" s="380"/>
      <c r="H126" s="354"/>
    </row>
    <row r="127" spans="1:8" x14ac:dyDescent="0.25">
      <c r="A127" s="380"/>
      <c r="B127" s="381"/>
      <c r="C127" s="381"/>
      <c r="D127" s="377"/>
      <c r="E127" s="377"/>
      <c r="F127" s="380"/>
      <c r="G127" s="380"/>
      <c r="H127" s="354"/>
    </row>
    <row r="128" spans="1:8" x14ac:dyDescent="0.25">
      <c r="A128" s="380"/>
      <c r="B128" s="381"/>
      <c r="C128" s="381"/>
      <c r="D128" s="377"/>
      <c r="E128" s="377"/>
      <c r="F128" s="380"/>
      <c r="G128" s="380"/>
      <c r="H128" s="354"/>
    </row>
    <row r="129" spans="1:8" x14ac:dyDescent="0.25">
      <c r="A129" s="380"/>
      <c r="B129" s="381"/>
      <c r="C129" s="381"/>
      <c r="D129" s="377"/>
      <c r="E129" s="377"/>
      <c r="F129" s="380"/>
      <c r="G129" s="380"/>
      <c r="H129" s="354"/>
    </row>
    <row r="130" spans="1:8" x14ac:dyDescent="0.25">
      <c r="A130" s="380"/>
      <c r="B130" s="381"/>
      <c r="C130" s="381"/>
      <c r="D130" s="377"/>
      <c r="E130" s="377"/>
      <c r="F130" s="380"/>
      <c r="G130" s="380"/>
      <c r="H130" s="354"/>
    </row>
    <row r="131" spans="1:8" x14ac:dyDescent="0.25">
      <c r="A131" s="380"/>
      <c r="B131" s="381"/>
      <c r="C131" s="381"/>
      <c r="D131" s="377"/>
      <c r="E131" s="377"/>
      <c r="F131" s="380"/>
      <c r="G131" s="380"/>
      <c r="H131" s="354"/>
    </row>
    <row r="132" spans="1:8" x14ac:dyDescent="0.25">
      <c r="A132" s="380"/>
      <c r="B132" s="381"/>
      <c r="C132" s="381"/>
      <c r="D132" s="377"/>
      <c r="E132" s="377"/>
      <c r="F132" s="380"/>
      <c r="G132" s="380"/>
      <c r="H132" s="354"/>
    </row>
    <row r="133" spans="1:8" x14ac:dyDescent="0.25">
      <c r="A133" s="380"/>
      <c r="B133" s="381"/>
      <c r="C133" s="381"/>
      <c r="D133" s="377"/>
      <c r="E133" s="377"/>
      <c r="F133" s="380"/>
      <c r="G133" s="380"/>
      <c r="H133" s="354"/>
    </row>
    <row r="134" spans="1:8" x14ac:dyDescent="0.25">
      <c r="A134" s="380"/>
      <c r="B134" s="381"/>
      <c r="C134" s="381"/>
      <c r="D134" s="377"/>
      <c r="E134" s="377"/>
      <c r="F134" s="380"/>
      <c r="G134" s="380"/>
      <c r="H134" s="354"/>
    </row>
    <row r="135" spans="1:8" x14ac:dyDescent="0.25">
      <c r="A135" s="380"/>
      <c r="B135" s="381"/>
      <c r="C135" s="381"/>
      <c r="D135" s="377"/>
      <c r="E135" s="377"/>
      <c r="F135" s="380"/>
      <c r="G135" s="380"/>
      <c r="H135" s="354"/>
    </row>
    <row r="136" spans="1:8" x14ac:dyDescent="0.25">
      <c r="A136" s="380"/>
      <c r="B136" s="381"/>
      <c r="C136" s="381"/>
      <c r="D136" s="377"/>
      <c r="E136" s="377"/>
      <c r="F136" s="380"/>
      <c r="G136" s="380"/>
      <c r="H136" s="354"/>
    </row>
    <row r="137" spans="1:8" x14ac:dyDescent="0.25">
      <c r="A137" s="380"/>
      <c r="B137" s="381"/>
      <c r="C137" s="381"/>
      <c r="D137" s="377"/>
      <c r="E137" s="377"/>
      <c r="F137" s="380"/>
      <c r="G137" s="380"/>
      <c r="H137" s="354"/>
    </row>
    <row r="138" spans="1:8" x14ac:dyDescent="0.25">
      <c r="A138" s="380"/>
      <c r="B138" s="381"/>
      <c r="C138" s="381"/>
      <c r="D138" s="377"/>
      <c r="E138" s="377"/>
      <c r="F138" s="380"/>
      <c r="G138" s="380"/>
      <c r="H138" s="354"/>
    </row>
    <row r="139" spans="1:8" x14ac:dyDescent="0.25">
      <c r="A139" s="380"/>
      <c r="B139" s="381"/>
      <c r="C139" s="381"/>
      <c r="D139" s="377"/>
      <c r="E139" s="377"/>
      <c r="F139" s="380"/>
      <c r="G139" s="380"/>
      <c r="H139" s="354"/>
    </row>
    <row r="140" spans="1:8" x14ac:dyDescent="0.25">
      <c r="A140" s="380"/>
      <c r="B140" s="381"/>
      <c r="C140" s="381"/>
      <c r="D140" s="377"/>
      <c r="E140" s="377"/>
      <c r="F140" s="380"/>
      <c r="G140" s="380"/>
      <c r="H140" s="354"/>
    </row>
    <row r="141" spans="1:8" x14ac:dyDescent="0.25">
      <c r="A141" s="380"/>
      <c r="B141" s="381"/>
      <c r="C141" s="381"/>
      <c r="D141" s="377"/>
      <c r="E141" s="377"/>
      <c r="F141" s="380"/>
      <c r="G141" s="380"/>
      <c r="H141" s="354"/>
    </row>
    <row r="142" spans="1:8" x14ac:dyDescent="0.25">
      <c r="A142" s="380"/>
      <c r="B142" s="381"/>
      <c r="C142" s="381"/>
      <c r="D142" s="377"/>
      <c r="E142" s="377"/>
      <c r="F142" s="380"/>
      <c r="G142" s="380"/>
      <c r="H142" s="354"/>
    </row>
    <row r="143" spans="1:8" x14ac:dyDescent="0.25">
      <c r="A143" s="380"/>
      <c r="B143" s="381"/>
      <c r="C143" s="381"/>
      <c r="D143" s="377"/>
      <c r="E143" s="377"/>
      <c r="F143" s="380"/>
      <c r="G143" s="380"/>
      <c r="H143" s="354"/>
    </row>
    <row r="144" spans="1:8" x14ac:dyDescent="0.25">
      <c r="A144" s="380"/>
      <c r="B144" s="381"/>
      <c r="C144" s="381"/>
      <c r="D144" s="377"/>
      <c r="E144" s="377"/>
      <c r="F144" s="380"/>
      <c r="G144" s="380"/>
      <c r="H144" s="354"/>
    </row>
    <row r="145" spans="1:8" x14ac:dyDescent="0.25">
      <c r="A145" s="380"/>
      <c r="B145" s="381"/>
      <c r="C145" s="381"/>
      <c r="D145" s="377"/>
      <c r="E145" s="377"/>
      <c r="F145" s="380"/>
      <c r="G145" s="380"/>
      <c r="H145" s="354"/>
    </row>
    <row r="146" spans="1:8" x14ac:dyDescent="0.25">
      <c r="A146" s="380"/>
      <c r="B146" s="381"/>
      <c r="C146" s="381"/>
      <c r="D146" s="377"/>
      <c r="E146" s="377"/>
      <c r="F146" s="380"/>
      <c r="G146" s="380"/>
      <c r="H146" s="354"/>
    </row>
    <row r="147" spans="1:8" x14ac:dyDescent="0.25">
      <c r="A147" s="380"/>
      <c r="B147" s="381"/>
      <c r="C147" s="381"/>
      <c r="D147" s="377"/>
      <c r="E147" s="377"/>
      <c r="F147" s="380"/>
      <c r="G147" s="380"/>
      <c r="H147" s="354"/>
    </row>
    <row r="148" spans="1:8" x14ac:dyDescent="0.25">
      <c r="A148" s="380"/>
      <c r="B148" s="381"/>
      <c r="C148" s="381"/>
      <c r="D148" s="377"/>
      <c r="E148" s="377"/>
      <c r="F148" s="380"/>
      <c r="G148" s="380"/>
      <c r="H148" s="354"/>
    </row>
    <row r="149" spans="1:8" x14ac:dyDescent="0.25">
      <c r="A149" s="380"/>
      <c r="B149" s="381"/>
      <c r="C149" s="381"/>
      <c r="D149" s="377"/>
      <c r="E149" s="377"/>
      <c r="F149" s="380"/>
      <c r="G149" s="380"/>
      <c r="H149" s="354"/>
    </row>
    <row r="150" spans="1:8" x14ac:dyDescent="0.25">
      <c r="A150" s="380"/>
      <c r="B150" s="381"/>
      <c r="C150" s="381"/>
      <c r="D150" s="377"/>
      <c r="E150" s="377"/>
      <c r="F150" s="380"/>
      <c r="G150" s="380"/>
      <c r="H150" s="354"/>
    </row>
    <row r="151" spans="1:8" x14ac:dyDescent="0.25">
      <c r="A151" s="380"/>
      <c r="B151" s="381"/>
      <c r="C151" s="381"/>
      <c r="D151" s="377"/>
      <c r="E151" s="377"/>
      <c r="F151" s="380"/>
      <c r="G151" s="380"/>
      <c r="H151" s="354"/>
    </row>
    <row r="152" spans="1:8" x14ac:dyDescent="0.25">
      <c r="A152" s="380"/>
      <c r="B152" s="381"/>
      <c r="C152" s="381"/>
      <c r="D152" s="377"/>
      <c r="E152" s="377"/>
      <c r="F152" s="380"/>
      <c r="G152" s="380"/>
      <c r="H152" s="354"/>
    </row>
    <row r="153" spans="1:8" x14ac:dyDescent="0.25">
      <c r="A153" s="380"/>
      <c r="B153" s="381"/>
      <c r="C153" s="381"/>
      <c r="D153" s="377"/>
      <c r="E153" s="377"/>
      <c r="F153" s="380"/>
      <c r="G153" s="380"/>
      <c r="H153" s="354"/>
    </row>
    <row r="154" spans="1:8" x14ac:dyDescent="0.25">
      <c r="A154" s="380"/>
      <c r="B154" s="381"/>
      <c r="C154" s="381"/>
      <c r="D154" s="377"/>
      <c r="E154" s="377"/>
      <c r="F154" s="380"/>
      <c r="G154" s="380"/>
      <c r="H154" s="354"/>
    </row>
    <row r="155" spans="1:8" x14ac:dyDescent="0.25">
      <c r="A155" s="380"/>
      <c r="B155" s="381"/>
      <c r="C155" s="381"/>
      <c r="D155" s="377"/>
      <c r="E155" s="377"/>
      <c r="F155" s="380"/>
      <c r="G155" s="380"/>
      <c r="H155" s="354"/>
    </row>
    <row r="156" spans="1:8" x14ac:dyDescent="0.25">
      <c r="A156" s="380"/>
      <c r="B156" s="381"/>
      <c r="C156" s="381"/>
      <c r="D156" s="377"/>
      <c r="E156" s="377"/>
      <c r="F156" s="380"/>
      <c r="G156" s="380"/>
      <c r="H156" s="354"/>
    </row>
    <row r="157" spans="1:8" x14ac:dyDescent="0.25">
      <c r="A157" s="380"/>
      <c r="B157" s="381"/>
      <c r="C157" s="381"/>
      <c r="D157" s="377"/>
      <c r="E157" s="377"/>
      <c r="F157" s="380"/>
      <c r="G157" s="380"/>
      <c r="H157" s="354"/>
    </row>
    <row r="158" spans="1:8" x14ac:dyDescent="0.25">
      <c r="A158" s="380"/>
      <c r="B158" s="381"/>
      <c r="C158" s="381"/>
      <c r="D158" s="377"/>
      <c r="E158" s="377"/>
      <c r="F158" s="380"/>
      <c r="G158" s="380"/>
      <c r="H158" s="354"/>
    </row>
    <row r="159" spans="1:8" x14ac:dyDescent="0.25">
      <c r="A159" s="380"/>
      <c r="B159" s="381"/>
      <c r="C159" s="381"/>
      <c r="D159" s="377"/>
      <c r="E159" s="377"/>
      <c r="F159" s="380"/>
      <c r="G159" s="380"/>
      <c r="H159" s="354"/>
    </row>
    <row r="160" spans="1:8" x14ac:dyDescent="0.25">
      <c r="A160" s="380"/>
      <c r="B160" s="381"/>
      <c r="C160" s="381"/>
      <c r="D160" s="377"/>
      <c r="E160" s="377"/>
      <c r="F160" s="380"/>
      <c r="G160" s="380"/>
      <c r="H160" s="354"/>
    </row>
    <row r="161" spans="1:8" x14ac:dyDescent="0.25">
      <c r="A161" s="380"/>
      <c r="B161" s="381"/>
      <c r="C161" s="381"/>
      <c r="D161" s="377"/>
      <c r="E161" s="377"/>
      <c r="F161" s="380"/>
      <c r="G161" s="380"/>
      <c r="H161" s="354"/>
    </row>
    <row r="162" spans="1:8" x14ac:dyDescent="0.25">
      <c r="A162" s="380"/>
      <c r="B162" s="381"/>
      <c r="C162" s="381"/>
      <c r="D162" s="377"/>
      <c r="E162" s="377"/>
      <c r="F162" s="380"/>
      <c r="G162" s="380"/>
      <c r="H162" s="354"/>
    </row>
    <row r="163" spans="1:8" x14ac:dyDescent="0.25">
      <c r="A163" s="380"/>
      <c r="B163" s="381"/>
      <c r="C163" s="381"/>
      <c r="D163" s="377"/>
      <c r="E163" s="377"/>
      <c r="F163" s="380"/>
      <c r="G163" s="380"/>
      <c r="H163" s="354"/>
    </row>
    <row r="164" spans="1:8" x14ac:dyDescent="0.25">
      <c r="A164" s="380"/>
      <c r="B164" s="381"/>
      <c r="C164" s="381"/>
      <c r="D164" s="377"/>
      <c r="E164" s="377"/>
      <c r="F164" s="380"/>
      <c r="G164" s="380"/>
      <c r="H164" s="354"/>
    </row>
    <row r="165" spans="1:8" x14ac:dyDescent="0.25">
      <c r="A165" s="380"/>
      <c r="B165" s="381"/>
      <c r="C165" s="381"/>
      <c r="D165" s="377"/>
      <c r="E165" s="377"/>
      <c r="F165" s="380"/>
      <c r="G165" s="380"/>
      <c r="H165" s="354"/>
    </row>
    <row r="166" spans="1:8" x14ac:dyDescent="0.25">
      <c r="A166" s="380"/>
      <c r="B166" s="381"/>
      <c r="C166" s="381"/>
      <c r="D166" s="377"/>
      <c r="E166" s="377"/>
      <c r="F166" s="380"/>
      <c r="G166" s="380"/>
      <c r="H166" s="354"/>
    </row>
    <row r="167" spans="1:8" x14ac:dyDescent="0.25">
      <c r="A167" s="380"/>
      <c r="B167" s="381"/>
      <c r="C167" s="381"/>
      <c r="D167" s="377"/>
      <c r="E167" s="377"/>
      <c r="F167" s="380"/>
      <c r="G167" s="380"/>
      <c r="H167" s="354"/>
    </row>
    <row r="168" spans="1:8" x14ac:dyDescent="0.25">
      <c r="A168" s="380"/>
      <c r="B168" s="381"/>
      <c r="C168" s="381"/>
      <c r="D168" s="377"/>
      <c r="E168" s="377"/>
      <c r="F168" s="380"/>
      <c r="G168" s="380"/>
      <c r="H168" s="354"/>
    </row>
    <row r="169" spans="1:8" x14ac:dyDescent="0.25">
      <c r="A169" s="380"/>
      <c r="B169" s="381"/>
      <c r="C169" s="381"/>
      <c r="D169" s="377"/>
      <c r="E169" s="377"/>
      <c r="F169" s="380"/>
      <c r="G169" s="380"/>
      <c r="H169" s="354"/>
    </row>
    <row r="170" spans="1:8" x14ac:dyDescent="0.25">
      <c r="A170" s="380"/>
      <c r="B170" s="381"/>
      <c r="C170" s="381"/>
      <c r="D170" s="377"/>
      <c r="E170" s="377"/>
      <c r="F170" s="380"/>
      <c r="G170" s="380"/>
      <c r="H170" s="354"/>
    </row>
    <row r="171" spans="1:8" x14ac:dyDescent="0.25">
      <c r="A171" s="380"/>
      <c r="B171" s="381"/>
      <c r="C171" s="381"/>
      <c r="D171" s="377"/>
      <c r="E171" s="377"/>
      <c r="F171" s="380"/>
      <c r="G171" s="380"/>
      <c r="H171" s="354"/>
    </row>
    <row r="172" spans="1:8" x14ac:dyDescent="0.25">
      <c r="A172" s="380"/>
      <c r="B172" s="381"/>
      <c r="C172" s="381"/>
      <c r="D172" s="377"/>
      <c r="E172" s="377"/>
      <c r="F172" s="380"/>
      <c r="G172" s="380"/>
      <c r="H172" s="354"/>
    </row>
    <row r="173" spans="1:8" x14ac:dyDescent="0.25">
      <c r="A173" s="380"/>
      <c r="B173" s="381"/>
      <c r="C173" s="381"/>
      <c r="D173" s="377"/>
      <c r="E173" s="377"/>
      <c r="F173" s="380"/>
      <c r="G173" s="380"/>
      <c r="H173" s="354"/>
    </row>
    <row r="174" spans="1:8" x14ac:dyDescent="0.25">
      <c r="A174" s="380"/>
      <c r="B174" s="381"/>
      <c r="C174" s="381"/>
      <c r="D174" s="377"/>
      <c r="E174" s="377"/>
      <c r="F174" s="380"/>
      <c r="G174" s="380"/>
      <c r="H174" s="354"/>
    </row>
    <row r="175" spans="1:8" x14ac:dyDescent="0.25">
      <c r="A175" s="380"/>
      <c r="B175" s="381"/>
      <c r="C175" s="381"/>
      <c r="D175" s="377"/>
      <c r="E175" s="377"/>
      <c r="F175" s="380"/>
      <c r="G175" s="380"/>
      <c r="H175" s="354"/>
    </row>
    <row r="176" spans="1:8" x14ac:dyDescent="0.25">
      <c r="A176" s="380"/>
      <c r="B176" s="381"/>
      <c r="C176" s="381"/>
      <c r="D176" s="377"/>
      <c r="E176" s="377"/>
      <c r="F176" s="380"/>
      <c r="G176" s="380"/>
      <c r="H176" s="354"/>
    </row>
    <row r="177" spans="1:8" x14ac:dyDescent="0.25">
      <c r="A177" s="380"/>
      <c r="B177" s="381"/>
      <c r="C177" s="381"/>
      <c r="D177" s="377"/>
      <c r="E177" s="377"/>
      <c r="F177" s="380"/>
      <c r="G177" s="380"/>
      <c r="H177" s="354"/>
    </row>
    <row r="178" spans="1:8" x14ac:dyDescent="0.25">
      <c r="A178" s="380"/>
      <c r="B178" s="381"/>
      <c r="C178" s="381"/>
      <c r="D178" s="377"/>
      <c r="E178" s="377"/>
      <c r="F178" s="380"/>
      <c r="G178" s="380"/>
      <c r="H178" s="354"/>
    </row>
    <row r="179" spans="1:8" x14ac:dyDescent="0.25">
      <c r="A179" s="380"/>
      <c r="B179" s="381"/>
      <c r="C179" s="381"/>
      <c r="D179" s="377"/>
      <c r="E179" s="377"/>
      <c r="F179" s="380"/>
      <c r="G179" s="380"/>
      <c r="H179" s="354"/>
    </row>
    <row r="180" spans="1:8" x14ac:dyDescent="0.25">
      <c r="A180" s="380"/>
      <c r="B180" s="381"/>
      <c r="C180" s="381"/>
      <c r="D180" s="377"/>
      <c r="E180" s="377"/>
      <c r="F180" s="380"/>
      <c r="G180" s="380"/>
      <c r="H180" s="354"/>
    </row>
    <row r="181" spans="1:8" x14ac:dyDescent="0.25">
      <c r="A181" s="380"/>
      <c r="B181" s="381"/>
      <c r="C181" s="381"/>
      <c r="D181" s="377"/>
      <c r="E181" s="377"/>
      <c r="F181" s="380"/>
      <c r="G181" s="380"/>
      <c r="H181" s="354"/>
    </row>
    <row r="182" spans="1:8" x14ac:dyDescent="0.25">
      <c r="A182" s="380"/>
      <c r="B182" s="381"/>
      <c r="C182" s="381"/>
      <c r="D182" s="377"/>
      <c r="E182" s="377"/>
      <c r="F182" s="380"/>
      <c r="G182" s="380"/>
      <c r="H182" s="354"/>
    </row>
    <row r="183" spans="1:8" x14ac:dyDescent="0.25">
      <c r="A183" s="380"/>
      <c r="B183" s="381"/>
      <c r="C183" s="381"/>
      <c r="D183" s="377"/>
      <c r="E183" s="377"/>
      <c r="F183" s="380"/>
      <c r="G183" s="380"/>
      <c r="H183" s="354"/>
    </row>
    <row r="184" spans="1:8" x14ac:dyDescent="0.25">
      <c r="A184" s="380"/>
      <c r="B184" s="381"/>
      <c r="C184" s="381"/>
      <c r="D184" s="377"/>
      <c r="E184" s="377"/>
      <c r="F184" s="380"/>
      <c r="G184" s="380"/>
      <c r="H184" s="354"/>
    </row>
    <row r="185" spans="1:8" x14ac:dyDescent="0.25">
      <c r="A185" s="380"/>
      <c r="B185" s="381"/>
      <c r="C185" s="381"/>
      <c r="D185" s="377"/>
      <c r="E185" s="377"/>
      <c r="F185" s="380"/>
      <c r="G185" s="380"/>
      <c r="H185" s="354"/>
    </row>
    <row r="186" spans="1:8" x14ac:dyDescent="0.25">
      <c r="A186" s="380"/>
      <c r="B186" s="381"/>
      <c r="C186" s="381"/>
      <c r="D186" s="377"/>
      <c r="E186" s="377"/>
      <c r="F186" s="380"/>
      <c r="G186" s="380"/>
      <c r="H186" s="354"/>
    </row>
    <row r="187" spans="1:8" x14ac:dyDescent="0.25">
      <c r="A187" s="380"/>
      <c r="B187" s="381"/>
      <c r="C187" s="381"/>
      <c r="D187" s="377"/>
      <c r="E187" s="377"/>
      <c r="F187" s="380"/>
      <c r="G187" s="380"/>
      <c r="H187" s="354"/>
    </row>
    <row r="188" spans="1:8" x14ac:dyDescent="0.25">
      <c r="A188" s="380"/>
      <c r="B188" s="381"/>
      <c r="C188" s="381"/>
      <c r="D188" s="377"/>
      <c r="E188" s="377"/>
      <c r="F188" s="380"/>
      <c r="G188" s="380"/>
      <c r="H188" s="354"/>
    </row>
    <row r="189" spans="1:8" x14ac:dyDescent="0.25">
      <c r="A189" s="380"/>
      <c r="B189" s="381"/>
      <c r="C189" s="381"/>
      <c r="D189" s="377"/>
      <c r="E189" s="377"/>
      <c r="F189" s="380"/>
      <c r="G189" s="380"/>
      <c r="H189" s="354"/>
    </row>
    <row r="190" spans="1:8" x14ac:dyDescent="0.25">
      <c r="A190" s="380"/>
      <c r="B190" s="381"/>
      <c r="C190" s="381"/>
      <c r="D190" s="377"/>
      <c r="E190" s="377"/>
      <c r="F190" s="380"/>
      <c r="G190" s="380"/>
      <c r="H190" s="354"/>
    </row>
    <row r="191" spans="1:8" x14ac:dyDescent="0.25">
      <c r="A191" s="380"/>
      <c r="B191" s="381"/>
      <c r="C191" s="381"/>
      <c r="D191" s="377"/>
      <c r="E191" s="377"/>
      <c r="F191" s="380"/>
      <c r="G191" s="380"/>
      <c r="H191" s="354"/>
    </row>
    <row r="192" spans="1:8" x14ac:dyDescent="0.25">
      <c r="A192" s="380"/>
      <c r="B192" s="381"/>
      <c r="C192" s="381"/>
      <c r="D192" s="377"/>
      <c r="E192" s="377"/>
      <c r="F192" s="380"/>
      <c r="G192" s="380"/>
      <c r="H192" s="354"/>
    </row>
    <row r="193" spans="1:8" x14ac:dyDescent="0.25">
      <c r="A193" s="380"/>
      <c r="B193" s="381"/>
      <c r="C193" s="381"/>
      <c r="D193" s="377"/>
      <c r="E193" s="377"/>
      <c r="F193" s="380"/>
      <c r="G193" s="380"/>
      <c r="H193" s="354"/>
    </row>
    <row r="194" spans="1:8" x14ac:dyDescent="0.25">
      <c r="A194" s="380"/>
      <c r="B194" s="381"/>
      <c r="C194" s="381"/>
      <c r="D194" s="377"/>
      <c r="E194" s="377"/>
      <c r="F194" s="380"/>
      <c r="G194" s="380"/>
      <c r="H194" s="354"/>
    </row>
    <row r="195" spans="1:8" x14ac:dyDescent="0.25">
      <c r="A195" s="380"/>
      <c r="B195" s="381"/>
      <c r="C195" s="381"/>
      <c r="D195" s="377"/>
      <c r="E195" s="377"/>
      <c r="F195" s="380"/>
      <c r="G195" s="380"/>
      <c r="H195" s="354"/>
    </row>
    <row r="196" spans="1:8" x14ac:dyDescent="0.25">
      <c r="A196" s="380"/>
      <c r="B196" s="381"/>
      <c r="C196" s="381"/>
      <c r="D196" s="377"/>
      <c r="E196" s="377"/>
      <c r="F196" s="380"/>
      <c r="G196" s="380"/>
      <c r="H196" s="354"/>
    </row>
    <row r="197" spans="1:8" x14ac:dyDescent="0.25">
      <c r="A197" s="380"/>
      <c r="B197" s="381"/>
      <c r="C197" s="381"/>
      <c r="D197" s="377"/>
      <c r="E197" s="377"/>
      <c r="F197" s="380"/>
      <c r="G197" s="380"/>
      <c r="H197" s="354"/>
    </row>
    <row r="198" spans="1:8" x14ac:dyDescent="0.25">
      <c r="A198" s="380"/>
      <c r="B198" s="381"/>
      <c r="C198" s="381"/>
      <c r="D198" s="377"/>
      <c r="E198" s="377"/>
      <c r="F198" s="380"/>
      <c r="G198" s="380"/>
      <c r="H198" s="354"/>
    </row>
    <row r="199" spans="1:8" x14ac:dyDescent="0.25">
      <c r="A199" s="380"/>
      <c r="B199" s="381"/>
      <c r="C199" s="381"/>
      <c r="D199" s="377"/>
      <c r="E199" s="377"/>
      <c r="F199" s="380"/>
      <c r="G199" s="380"/>
      <c r="H199" s="354"/>
    </row>
    <row r="200" spans="1:8" x14ac:dyDescent="0.25">
      <c r="A200" s="380"/>
      <c r="B200" s="381"/>
      <c r="C200" s="381"/>
      <c r="D200" s="377"/>
      <c r="E200" s="377"/>
      <c r="F200" s="380"/>
      <c r="G200" s="380"/>
      <c r="H200" s="354"/>
    </row>
    <row r="201" spans="1:8" x14ac:dyDescent="0.25">
      <c r="A201" s="380"/>
      <c r="B201" s="381"/>
      <c r="C201" s="381"/>
      <c r="D201" s="377"/>
      <c r="E201" s="377"/>
      <c r="F201" s="380"/>
      <c r="G201" s="380"/>
      <c r="H201" s="354"/>
    </row>
  </sheetData>
  <mergeCells count="4">
    <mergeCell ref="D8:E8"/>
    <mergeCell ref="D9:D10"/>
    <mergeCell ref="E9:E10"/>
    <mergeCell ref="A116:E116"/>
  </mergeCells>
  <pageMargins left="0.4" right="0.27559055118110237" top="0.74803149606299213" bottom="0.47244094488188981" header="0.11811023622047245" footer="0.51181102362204722"/>
  <pageSetup paperSize="9" scale="51" fitToHeight="2" orientation="portrait" r:id="rId1"/>
  <headerFooter alignWithMargins="0"/>
  <rowBreaks count="1" manualBreakCount="1">
    <brk id="96" max="7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zoomScaleSheetLayoutView="100" workbookViewId="0"/>
  </sheetViews>
  <sheetFormatPr defaultRowHeight="11.25" x14ac:dyDescent="0.25"/>
  <cols>
    <col min="1" max="1" width="5.5703125" style="551" customWidth="1"/>
    <col min="2" max="2" width="18.7109375" style="551" customWidth="1"/>
    <col min="3" max="3" width="3.7109375" style="551" customWidth="1"/>
    <col min="4" max="4" width="3.5703125" style="551" customWidth="1"/>
    <col min="5" max="5" width="12.42578125" style="551" customWidth="1"/>
    <col min="6" max="6" width="12.140625" style="551" customWidth="1"/>
    <col min="7" max="7" width="14.7109375" style="551" customWidth="1"/>
    <col min="8" max="8" width="3.5703125" style="551" customWidth="1"/>
    <col min="9" max="9" width="10.5703125" style="551" customWidth="1"/>
    <col min="10" max="10" width="14.42578125" style="551" customWidth="1"/>
    <col min="11" max="16384" width="9.140625" style="551"/>
  </cols>
  <sheetData>
    <row r="1" spans="1:13" ht="7.5" customHeight="1" x14ac:dyDescent="0.25">
      <c r="A1" s="550"/>
      <c r="F1" s="494"/>
      <c r="G1" s="494"/>
      <c r="H1" s="494"/>
      <c r="I1" s="494"/>
    </row>
    <row r="2" spans="1:13" ht="17.25" customHeight="1" x14ac:dyDescent="0.25">
      <c r="A2" s="550"/>
      <c r="B2" s="1683" t="s">
        <v>1682</v>
      </c>
      <c r="C2" s="1684"/>
      <c r="E2" s="494"/>
      <c r="F2" s="888" t="s">
        <v>1721</v>
      </c>
      <c r="G2" s="839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2  0  2  2  3  0  4  1  5  2</v>
      </c>
      <c r="H2" s="573"/>
      <c r="I2" s="572"/>
    </row>
    <row r="3" spans="1:13" ht="7.5" customHeight="1" thickBot="1" x14ac:dyDescent="0.3">
      <c r="A3" s="550"/>
    </row>
    <row r="4" spans="1:13" s="569" customFormat="1" ht="11.25" customHeight="1" x14ac:dyDescent="0.25">
      <c r="A4" s="1688" t="s">
        <v>1722</v>
      </c>
      <c r="B4" s="1689" t="s">
        <v>1723</v>
      </c>
      <c r="C4" s="1690" t="s">
        <v>1724</v>
      </c>
      <c r="D4" s="1553" t="s">
        <v>1725</v>
      </c>
      <c r="E4" s="1619"/>
      <c r="F4" s="1619"/>
      <c r="G4" s="1619"/>
      <c r="H4" s="1558"/>
      <c r="I4" s="1617" t="s">
        <v>1703</v>
      </c>
      <c r="J4" s="1618"/>
    </row>
    <row r="5" spans="1:13" s="569" customFormat="1" ht="11.25" customHeight="1" x14ac:dyDescent="0.25">
      <c r="A5" s="1657"/>
      <c r="B5" s="1658"/>
      <c r="C5" s="1659"/>
      <c r="D5" s="1609">
        <v>1</v>
      </c>
      <c r="E5" s="1565" t="s">
        <v>1726</v>
      </c>
      <c r="F5" s="1661"/>
      <c r="G5" s="1700" t="s">
        <v>1262</v>
      </c>
      <c r="H5" s="1701"/>
      <c r="I5" s="1556"/>
      <c r="J5" s="1557"/>
    </row>
    <row r="6" spans="1:13" s="569" customFormat="1" ht="12" customHeight="1" x14ac:dyDescent="0.25">
      <c r="A6" s="1567"/>
      <c r="B6" s="1575"/>
      <c r="C6" s="1577"/>
      <c r="D6" s="1660"/>
      <c r="E6" s="1565" t="s">
        <v>1727</v>
      </c>
      <c r="F6" s="1661"/>
      <c r="G6" s="1702"/>
      <c r="H6" s="1703"/>
      <c r="I6" s="1565" t="s">
        <v>1260</v>
      </c>
      <c r="J6" s="1566"/>
    </row>
    <row r="7" spans="1:13" s="571" customFormat="1" ht="27.95" customHeight="1" x14ac:dyDescent="0.25">
      <c r="A7" s="1606"/>
      <c r="B7" s="1699" t="s">
        <v>1728</v>
      </c>
      <c r="C7" s="1585" t="s">
        <v>522</v>
      </c>
      <c r="D7" s="1579">
        <f>BS!D10</f>
        <v>4718463</v>
      </c>
      <c r="E7" s="1579"/>
      <c r="F7" s="1579"/>
      <c r="G7" s="1551">
        <f>BS!F10</f>
        <v>4583761</v>
      </c>
      <c r="H7" s="1560"/>
      <c r="I7" s="1555"/>
      <c r="J7" s="570"/>
    </row>
    <row r="8" spans="1:13" s="571" customFormat="1" ht="27.95" customHeight="1" x14ac:dyDescent="0.25">
      <c r="A8" s="1606"/>
      <c r="B8" s="1682"/>
      <c r="C8" s="1585"/>
      <c r="D8" s="1579">
        <f>BS!E10</f>
        <v>134702</v>
      </c>
      <c r="E8" s="1579"/>
      <c r="F8" s="1579"/>
      <c r="G8" s="805"/>
      <c r="H8" s="1551">
        <f>BS!G10</f>
        <v>4160554</v>
      </c>
      <c r="I8" s="1560"/>
      <c r="J8" s="1552"/>
      <c r="M8" s="571" t="s">
        <v>1177</v>
      </c>
    </row>
    <row r="9" spans="1:13" s="571" customFormat="1" ht="27.95" customHeight="1" x14ac:dyDescent="0.25">
      <c r="A9" s="1586" t="s">
        <v>523</v>
      </c>
      <c r="B9" s="1704" t="s">
        <v>1729</v>
      </c>
      <c r="C9" s="1585" t="s">
        <v>525</v>
      </c>
      <c r="D9" s="1579">
        <f>BS!D11</f>
        <v>212189</v>
      </c>
      <c r="E9" s="1579"/>
      <c r="F9" s="1579"/>
      <c r="G9" s="1551">
        <f>BS!F11</f>
        <v>95555</v>
      </c>
      <c r="H9" s="1560"/>
      <c r="I9" s="1555"/>
      <c r="J9" s="570"/>
    </row>
    <row r="10" spans="1:13" s="571" customFormat="1" ht="27.95" customHeight="1" x14ac:dyDescent="0.25">
      <c r="A10" s="1586"/>
      <c r="B10" s="1588"/>
      <c r="C10" s="1585"/>
      <c r="D10" s="1579">
        <f>BS!E11</f>
        <v>116634</v>
      </c>
      <c r="E10" s="1579"/>
      <c r="F10" s="1579"/>
      <c r="G10" s="805"/>
      <c r="H10" s="1551">
        <f>BS!G11</f>
        <v>114084</v>
      </c>
      <c r="I10" s="1560"/>
      <c r="J10" s="1552"/>
    </row>
    <row r="11" spans="1:13" s="571" customFormat="1" ht="27.95" customHeight="1" x14ac:dyDescent="0.25">
      <c r="A11" s="1586" t="s">
        <v>526</v>
      </c>
      <c r="B11" s="1704" t="s">
        <v>1730</v>
      </c>
      <c r="C11" s="1585" t="s">
        <v>528</v>
      </c>
      <c r="D11" s="1579">
        <f>BS!D12</f>
        <v>2068</v>
      </c>
      <c r="E11" s="1579"/>
      <c r="F11" s="1579"/>
      <c r="G11" s="1551">
        <f>BS!F12</f>
        <v>0</v>
      </c>
      <c r="H11" s="1560"/>
      <c r="I11" s="1555"/>
      <c r="J11" s="842"/>
    </row>
    <row r="12" spans="1:13" s="571" customFormat="1" ht="27.95" customHeight="1" x14ac:dyDescent="0.25">
      <c r="A12" s="1586"/>
      <c r="B12" s="1588"/>
      <c r="C12" s="1585"/>
      <c r="D12" s="1579">
        <f>BS!E12</f>
        <v>2068</v>
      </c>
      <c r="E12" s="1579"/>
      <c r="F12" s="1579"/>
      <c r="G12" s="805"/>
      <c r="H12" s="1551">
        <f>BS!G12</f>
        <v>0</v>
      </c>
      <c r="I12" s="1560"/>
      <c r="J12" s="1552"/>
    </row>
    <row r="13" spans="1:13" s="569" customFormat="1" ht="27.95" customHeight="1" x14ac:dyDescent="0.25">
      <c r="A13" s="1596" t="s">
        <v>529</v>
      </c>
      <c r="B13" s="1664" t="s">
        <v>1731</v>
      </c>
      <c r="C13" s="1600" t="s">
        <v>531</v>
      </c>
      <c r="D13" s="1579">
        <f>BS!D13</f>
        <v>0</v>
      </c>
      <c r="E13" s="1579"/>
      <c r="F13" s="1579"/>
      <c r="G13" s="1551">
        <f>BS!F13</f>
        <v>0</v>
      </c>
      <c r="H13" s="1560"/>
      <c r="I13" s="1555"/>
      <c r="J13" s="570"/>
    </row>
    <row r="14" spans="1:13" s="569" customFormat="1" ht="27.95" customHeight="1" x14ac:dyDescent="0.25">
      <c r="A14" s="1603"/>
      <c r="B14" s="1571"/>
      <c r="C14" s="1573"/>
      <c r="D14" s="1579">
        <f>BS!E13</f>
        <v>0</v>
      </c>
      <c r="E14" s="1579"/>
      <c r="F14" s="1579"/>
      <c r="G14" s="805"/>
      <c r="H14" s="1551">
        <f>BS!G13</f>
        <v>0</v>
      </c>
      <c r="I14" s="1560"/>
      <c r="J14" s="1552"/>
    </row>
    <row r="15" spans="1:13" s="569" customFormat="1" ht="27.95" customHeight="1" x14ac:dyDescent="0.25">
      <c r="A15" s="1570" t="s">
        <v>532</v>
      </c>
      <c r="B15" s="1664" t="s">
        <v>1732</v>
      </c>
      <c r="C15" s="1600" t="s">
        <v>534</v>
      </c>
      <c r="D15" s="1579">
        <f>BS!D14</f>
        <v>2068</v>
      </c>
      <c r="E15" s="1579"/>
      <c r="F15" s="1579"/>
      <c r="G15" s="1551">
        <f>BS!F14</f>
        <v>0</v>
      </c>
      <c r="H15" s="1560"/>
      <c r="I15" s="1555"/>
      <c r="J15" s="570"/>
    </row>
    <row r="16" spans="1:13" s="569" customFormat="1" ht="27.95" customHeight="1" x14ac:dyDescent="0.25">
      <c r="A16" s="1570"/>
      <c r="B16" s="1571"/>
      <c r="C16" s="1573"/>
      <c r="D16" s="1579">
        <f>BS!E14</f>
        <v>2068</v>
      </c>
      <c r="E16" s="1579"/>
      <c r="F16" s="1579"/>
      <c r="G16" s="805"/>
      <c r="H16" s="1551">
        <f>BS!G14</f>
        <v>0</v>
      </c>
      <c r="I16" s="1560"/>
      <c r="J16" s="1552"/>
    </row>
    <row r="17" spans="1:10" s="569" customFormat="1" ht="27.95" customHeight="1" x14ac:dyDescent="0.25">
      <c r="A17" s="1570" t="s">
        <v>535</v>
      </c>
      <c r="B17" s="1664" t="s">
        <v>1733</v>
      </c>
      <c r="C17" s="1600" t="s">
        <v>537</v>
      </c>
      <c r="D17" s="1579">
        <f>BS!D15</f>
        <v>0</v>
      </c>
      <c r="E17" s="1579"/>
      <c r="F17" s="1579"/>
      <c r="G17" s="1551">
        <f>BS!F15</f>
        <v>0</v>
      </c>
      <c r="H17" s="1560"/>
      <c r="I17" s="1555"/>
      <c r="J17" s="570"/>
    </row>
    <row r="18" spans="1:10" s="569" customFormat="1" ht="27.95" customHeight="1" x14ac:dyDescent="0.25">
      <c r="A18" s="1570"/>
      <c r="B18" s="1571"/>
      <c r="C18" s="1573"/>
      <c r="D18" s="1579">
        <f>BS!E15</f>
        <v>0</v>
      </c>
      <c r="E18" s="1579"/>
      <c r="F18" s="1579"/>
      <c r="G18" s="805"/>
      <c r="H18" s="1551">
        <f>BS!G15</f>
        <v>0</v>
      </c>
      <c r="I18" s="1560"/>
      <c r="J18" s="1552"/>
    </row>
    <row r="19" spans="1:10" s="569" customFormat="1" ht="27.95" customHeight="1" x14ac:dyDescent="0.25">
      <c r="A19" s="1570" t="s">
        <v>538</v>
      </c>
      <c r="B19" s="1664" t="s">
        <v>1734</v>
      </c>
      <c r="C19" s="1600" t="s">
        <v>540</v>
      </c>
      <c r="D19" s="1579">
        <f>BS!D16</f>
        <v>0</v>
      </c>
      <c r="E19" s="1579"/>
      <c r="F19" s="1579"/>
      <c r="G19" s="1551">
        <f>BS!F16</f>
        <v>0</v>
      </c>
      <c r="H19" s="1560"/>
      <c r="I19" s="1555"/>
      <c r="J19" s="570"/>
    </row>
    <row r="20" spans="1:10" s="569" customFormat="1" ht="27.95" customHeight="1" x14ac:dyDescent="0.25">
      <c r="A20" s="1570"/>
      <c r="B20" s="1571"/>
      <c r="C20" s="1573"/>
      <c r="D20" s="1579">
        <f>BS!E16</f>
        <v>0</v>
      </c>
      <c r="E20" s="1579"/>
      <c r="F20" s="1579"/>
      <c r="G20" s="805"/>
      <c r="H20" s="1551">
        <f>BS!G16</f>
        <v>0</v>
      </c>
      <c r="I20" s="1560"/>
      <c r="J20" s="1552"/>
    </row>
    <row r="21" spans="1:10" s="569" customFormat="1" ht="27.95" customHeight="1" x14ac:dyDescent="0.25">
      <c r="A21" s="1570" t="s">
        <v>541</v>
      </c>
      <c r="B21" s="1664" t="s">
        <v>1735</v>
      </c>
      <c r="C21" s="1600" t="s">
        <v>543</v>
      </c>
      <c r="D21" s="1579">
        <f>BS!D17</f>
        <v>0</v>
      </c>
      <c r="E21" s="1579"/>
      <c r="F21" s="1579"/>
      <c r="G21" s="1551">
        <f>BS!F17</f>
        <v>0</v>
      </c>
      <c r="H21" s="1560"/>
      <c r="I21" s="1555"/>
      <c r="J21" s="570"/>
    </row>
    <row r="22" spans="1:10" s="569" customFormat="1" ht="27.95" customHeight="1" x14ac:dyDescent="0.25">
      <c r="A22" s="1570"/>
      <c r="B22" s="1571"/>
      <c r="C22" s="1573"/>
      <c r="D22" s="1579">
        <f>BS!E17</f>
        <v>0</v>
      </c>
      <c r="E22" s="1579"/>
      <c r="F22" s="1579"/>
      <c r="G22" s="805"/>
      <c r="H22" s="1551">
        <f>BS!G17</f>
        <v>0</v>
      </c>
      <c r="I22" s="1560"/>
      <c r="J22" s="1552"/>
    </row>
    <row r="23" spans="1:10" s="569" customFormat="1" ht="27.95" customHeight="1" x14ac:dyDescent="0.25">
      <c r="A23" s="1570" t="s">
        <v>544</v>
      </c>
      <c r="B23" s="1664" t="s">
        <v>1736</v>
      </c>
      <c r="C23" s="1600" t="s">
        <v>546</v>
      </c>
      <c r="D23" s="1579">
        <f>BS!D18</f>
        <v>0</v>
      </c>
      <c r="E23" s="1579"/>
      <c r="F23" s="1579"/>
      <c r="G23" s="1551">
        <f>BS!F18</f>
        <v>0</v>
      </c>
      <c r="H23" s="1560"/>
      <c r="I23" s="1555"/>
      <c r="J23" s="570"/>
    </row>
    <row r="24" spans="1:10" s="569" customFormat="1" ht="27.95" customHeight="1" x14ac:dyDescent="0.25">
      <c r="A24" s="1570"/>
      <c r="B24" s="1571"/>
      <c r="C24" s="1573"/>
      <c r="D24" s="1579">
        <f>BS!E18</f>
        <v>0</v>
      </c>
      <c r="E24" s="1579"/>
      <c r="F24" s="1579"/>
      <c r="G24" s="805"/>
      <c r="H24" s="1551">
        <f>BS!G18</f>
        <v>0</v>
      </c>
      <c r="I24" s="1560"/>
      <c r="J24" s="1552"/>
    </row>
    <row r="25" spans="1:10" s="569" customFormat="1" ht="27.95" customHeight="1" x14ac:dyDescent="0.25">
      <c r="A25" s="1570" t="s">
        <v>547</v>
      </c>
      <c r="B25" s="1664" t="s">
        <v>1737</v>
      </c>
      <c r="C25" s="1600" t="s">
        <v>549</v>
      </c>
      <c r="D25" s="1579">
        <f>BS!D19</f>
        <v>0</v>
      </c>
      <c r="E25" s="1579"/>
      <c r="F25" s="1579"/>
      <c r="G25" s="1551">
        <f>BS!F19</f>
        <v>0</v>
      </c>
      <c r="H25" s="1560"/>
      <c r="I25" s="1555"/>
      <c r="J25" s="570"/>
    </row>
    <row r="26" spans="1:10" s="569" customFormat="1" ht="27.95" customHeight="1" x14ac:dyDescent="0.25">
      <c r="A26" s="1570"/>
      <c r="B26" s="1571"/>
      <c r="C26" s="1573"/>
      <c r="D26" s="1579">
        <f>BS!E19</f>
        <v>0</v>
      </c>
      <c r="E26" s="1579"/>
      <c r="F26" s="1579"/>
      <c r="G26" s="805"/>
      <c r="H26" s="1551">
        <f>BS!G19</f>
        <v>0</v>
      </c>
      <c r="I26" s="1560"/>
      <c r="J26" s="1552"/>
    </row>
    <row r="27" spans="1:10" s="571" customFormat="1" ht="27.95" customHeight="1" x14ac:dyDescent="0.25">
      <c r="A27" s="1597" t="s">
        <v>550</v>
      </c>
      <c r="B27" s="1699" t="s">
        <v>1738</v>
      </c>
      <c r="C27" s="1601" t="s">
        <v>552</v>
      </c>
      <c r="D27" s="1579">
        <f>BS!D20</f>
        <v>210121</v>
      </c>
      <c r="E27" s="1579"/>
      <c r="F27" s="1579"/>
      <c r="G27" s="1551">
        <f>BS!F20</f>
        <v>95555</v>
      </c>
      <c r="H27" s="1560"/>
      <c r="I27" s="1555"/>
      <c r="J27" s="570"/>
    </row>
    <row r="28" spans="1:10" s="571" customFormat="1" ht="27.95" customHeight="1" x14ac:dyDescent="0.25">
      <c r="A28" s="1586"/>
      <c r="B28" s="1682"/>
      <c r="C28" s="1602"/>
      <c r="D28" s="1579">
        <f>BS!E20</f>
        <v>114566</v>
      </c>
      <c r="E28" s="1579"/>
      <c r="F28" s="1579"/>
      <c r="G28" s="805"/>
      <c r="H28" s="1551">
        <f>BS!G20</f>
        <v>114084</v>
      </c>
      <c r="I28" s="1560"/>
      <c r="J28" s="1552"/>
    </row>
    <row r="29" spans="1:10" s="569" customFormat="1" ht="27.95" customHeight="1" x14ac:dyDescent="0.25">
      <c r="A29" s="1596" t="s">
        <v>553</v>
      </c>
      <c r="B29" s="1664" t="s">
        <v>1739</v>
      </c>
      <c r="C29" s="1600" t="s">
        <v>555</v>
      </c>
      <c r="D29" s="1579">
        <f>BS!D21</f>
        <v>0</v>
      </c>
      <c r="E29" s="1579"/>
      <c r="F29" s="1579"/>
      <c r="G29" s="1551">
        <f>BS!F21</f>
        <v>0</v>
      </c>
      <c r="H29" s="1560"/>
      <c r="I29" s="1555"/>
      <c r="J29" s="570"/>
    </row>
    <row r="30" spans="1:10" s="569" customFormat="1" ht="27.95" customHeight="1" x14ac:dyDescent="0.25">
      <c r="A30" s="1581"/>
      <c r="B30" s="1571"/>
      <c r="C30" s="1573"/>
      <c r="D30" s="1579">
        <f>BS!E21</f>
        <v>0</v>
      </c>
      <c r="E30" s="1579"/>
      <c r="F30" s="1579"/>
      <c r="G30" s="805"/>
      <c r="H30" s="1551">
        <f>BS!G21</f>
        <v>0</v>
      </c>
      <c r="I30" s="1560"/>
      <c r="J30" s="1552"/>
    </row>
    <row r="31" spans="1:10" s="569" customFormat="1" ht="27.95" customHeight="1" x14ac:dyDescent="0.25">
      <c r="A31" s="1570" t="s">
        <v>532</v>
      </c>
      <c r="B31" s="1664" t="s">
        <v>1740</v>
      </c>
      <c r="C31" s="1600" t="s">
        <v>557</v>
      </c>
      <c r="D31" s="1579">
        <f>BS!D22</f>
        <v>18949</v>
      </c>
      <c r="E31" s="1579"/>
      <c r="F31" s="1579"/>
      <c r="G31" s="1677">
        <f>BS!F22</f>
        <v>15613</v>
      </c>
      <c r="H31" s="1678"/>
      <c r="I31" s="1679"/>
      <c r="J31" s="570"/>
    </row>
    <row r="32" spans="1:10" s="569" customFormat="1" ht="27.95" customHeight="1" thickBot="1" x14ac:dyDescent="0.3">
      <c r="A32" s="1570"/>
      <c r="B32" s="1571"/>
      <c r="C32" s="1573"/>
      <c r="D32" s="1579">
        <f>BS!E22</f>
        <v>3336</v>
      </c>
      <c r="E32" s="1579"/>
      <c r="F32" s="1579"/>
      <c r="G32" s="805"/>
      <c r="H32" s="1551">
        <f>BS!G22</f>
        <v>16993</v>
      </c>
      <c r="I32" s="1560"/>
      <c r="J32" s="1552"/>
    </row>
    <row r="33" spans="1:10" s="569" customFormat="1" ht="11.25" customHeight="1" x14ac:dyDescent="0.25">
      <c r="A33" s="1688" t="s">
        <v>1722</v>
      </c>
      <c r="B33" s="1689" t="s">
        <v>1723</v>
      </c>
      <c r="C33" s="1690" t="s">
        <v>1724</v>
      </c>
      <c r="D33" s="1553" t="s">
        <v>1725</v>
      </c>
      <c r="E33" s="1619"/>
      <c r="F33" s="1619"/>
      <c r="G33" s="1619"/>
      <c r="H33" s="1558"/>
      <c r="I33" s="1617" t="s">
        <v>1703</v>
      </c>
      <c r="J33" s="1618"/>
    </row>
    <row r="34" spans="1:10" s="569" customFormat="1" ht="11.25" customHeight="1" x14ac:dyDescent="0.25">
      <c r="A34" s="1657"/>
      <c r="B34" s="1658"/>
      <c r="C34" s="1659"/>
      <c r="D34" s="1609">
        <v>1</v>
      </c>
      <c r="E34" s="1565" t="s">
        <v>1726</v>
      </c>
      <c r="F34" s="1661"/>
      <c r="G34" s="1700" t="s">
        <v>1262</v>
      </c>
      <c r="H34" s="1701"/>
      <c r="I34" s="1556"/>
      <c r="J34" s="1557"/>
    </row>
    <row r="35" spans="1:10" s="569" customFormat="1" ht="12" customHeight="1" x14ac:dyDescent="0.25">
      <c r="A35" s="1567"/>
      <c r="B35" s="1575"/>
      <c r="C35" s="1577"/>
      <c r="D35" s="1660"/>
      <c r="E35" s="1565" t="s">
        <v>1727</v>
      </c>
      <c r="F35" s="1661"/>
      <c r="G35" s="1702"/>
      <c r="H35" s="1703"/>
      <c r="I35" s="1565" t="s">
        <v>1260</v>
      </c>
      <c r="J35" s="1566"/>
    </row>
    <row r="36" spans="1:10" ht="27.95" customHeight="1" x14ac:dyDescent="0.25">
      <c r="A36" s="1569" t="s">
        <v>535</v>
      </c>
      <c r="B36" s="1664" t="s">
        <v>1741</v>
      </c>
      <c r="C36" s="1573" t="s">
        <v>559</v>
      </c>
      <c r="D36" s="1663">
        <f>BS!D23</f>
        <v>191172</v>
      </c>
      <c r="E36" s="1663"/>
      <c r="F36" s="1663"/>
      <c r="G36" s="1674">
        <f>BS!F23</f>
        <v>79942</v>
      </c>
      <c r="H36" s="1675"/>
      <c r="I36" s="1676"/>
      <c r="J36" s="843"/>
    </row>
    <row r="37" spans="1:10" ht="27.95" customHeight="1" x14ac:dyDescent="0.25">
      <c r="A37" s="1570"/>
      <c r="B37" s="1571"/>
      <c r="C37" s="1574"/>
      <c r="D37" s="1579">
        <f>BS!E23</f>
        <v>111230</v>
      </c>
      <c r="E37" s="1579"/>
      <c r="F37" s="1579"/>
      <c r="G37" s="844"/>
      <c r="H37" s="1551">
        <f>BS!G23</f>
        <v>49017</v>
      </c>
      <c r="I37" s="1560"/>
      <c r="J37" s="1552"/>
    </row>
    <row r="38" spans="1:10" ht="27.95" customHeight="1" x14ac:dyDescent="0.25">
      <c r="A38" s="1570" t="s">
        <v>538</v>
      </c>
      <c r="B38" s="1664" t="s">
        <v>1742</v>
      </c>
      <c r="C38" s="1574" t="s">
        <v>561</v>
      </c>
      <c r="D38" s="1579">
        <f>BS!D24</f>
        <v>0</v>
      </c>
      <c r="E38" s="1579"/>
      <c r="F38" s="1579"/>
      <c r="G38" s="1551">
        <f>BS!F24</f>
        <v>0</v>
      </c>
      <c r="H38" s="1560"/>
      <c r="I38" s="1555"/>
      <c r="J38" s="843"/>
    </row>
    <row r="39" spans="1:10" ht="27.95" customHeight="1" x14ac:dyDescent="0.25">
      <c r="A39" s="1570"/>
      <c r="B39" s="1571"/>
      <c r="C39" s="1574"/>
      <c r="D39" s="1579">
        <f>BS!E24</f>
        <v>0</v>
      </c>
      <c r="E39" s="1579"/>
      <c r="F39" s="1579"/>
      <c r="G39" s="844"/>
      <c r="H39" s="1551">
        <f>BS!G24</f>
        <v>0</v>
      </c>
      <c r="I39" s="1560"/>
      <c r="J39" s="1552"/>
    </row>
    <row r="40" spans="1:10" ht="27.95" customHeight="1" x14ac:dyDescent="0.25">
      <c r="A40" s="1570" t="s">
        <v>541</v>
      </c>
      <c r="B40" s="1664" t="s">
        <v>1743</v>
      </c>
      <c r="C40" s="1573" t="s">
        <v>563</v>
      </c>
      <c r="D40" s="1579">
        <f>BS!D25</f>
        <v>0</v>
      </c>
      <c r="E40" s="1579"/>
      <c r="F40" s="1579"/>
      <c r="G40" s="1551">
        <f>BS!F25</f>
        <v>0</v>
      </c>
      <c r="H40" s="1560"/>
      <c r="I40" s="1555"/>
      <c r="J40" s="843"/>
    </row>
    <row r="41" spans="1:10" ht="27.95" customHeight="1" x14ac:dyDescent="0.25">
      <c r="A41" s="1570"/>
      <c r="B41" s="1571"/>
      <c r="C41" s="1574"/>
      <c r="D41" s="1579">
        <f>BS!E25</f>
        <v>0</v>
      </c>
      <c r="E41" s="1579"/>
      <c r="F41" s="1579"/>
      <c r="G41" s="844"/>
      <c r="H41" s="1551">
        <f>BS!G25</f>
        <v>0</v>
      </c>
      <c r="I41" s="1560"/>
      <c r="J41" s="1552"/>
    </row>
    <row r="42" spans="1:10" ht="27.95" customHeight="1" x14ac:dyDescent="0.25">
      <c r="A42" s="1570" t="s">
        <v>544</v>
      </c>
      <c r="B42" s="1664" t="s">
        <v>1744</v>
      </c>
      <c r="C42" s="1574" t="s">
        <v>565</v>
      </c>
      <c r="D42" s="1579">
        <f>BS!D26</f>
        <v>0</v>
      </c>
      <c r="E42" s="1579"/>
      <c r="F42" s="1579"/>
      <c r="G42" s="1551">
        <f>BS!F26</f>
        <v>0</v>
      </c>
      <c r="H42" s="1560"/>
      <c r="I42" s="1555"/>
      <c r="J42" s="843"/>
    </row>
    <row r="43" spans="1:10" ht="27.95" customHeight="1" x14ac:dyDescent="0.25">
      <c r="A43" s="1570"/>
      <c r="B43" s="1571"/>
      <c r="C43" s="1574"/>
      <c r="D43" s="1579">
        <f>BS!E26</f>
        <v>0</v>
      </c>
      <c r="E43" s="1579"/>
      <c r="F43" s="1579"/>
      <c r="G43" s="844"/>
      <c r="H43" s="1551">
        <f>BS!G26</f>
        <v>0</v>
      </c>
      <c r="I43" s="1560"/>
      <c r="J43" s="1552"/>
    </row>
    <row r="44" spans="1:10" ht="27.95" customHeight="1" x14ac:dyDescent="0.25">
      <c r="A44" s="1570" t="s">
        <v>547</v>
      </c>
      <c r="B44" s="1664" t="s">
        <v>1745</v>
      </c>
      <c r="C44" s="1573" t="s">
        <v>567</v>
      </c>
      <c r="D44" s="1579">
        <f>BS!D27</f>
        <v>0</v>
      </c>
      <c r="E44" s="1579"/>
      <c r="F44" s="1579"/>
      <c r="G44" s="1551">
        <f>BS!F27</f>
        <v>0</v>
      </c>
      <c r="H44" s="1560"/>
      <c r="I44" s="1555"/>
      <c r="J44" s="843"/>
    </row>
    <row r="45" spans="1:10" ht="27.95" customHeight="1" x14ac:dyDescent="0.25">
      <c r="A45" s="1570"/>
      <c r="B45" s="1571"/>
      <c r="C45" s="1574"/>
      <c r="D45" s="1579">
        <f>BS!E27</f>
        <v>0</v>
      </c>
      <c r="E45" s="1579"/>
      <c r="F45" s="1579"/>
      <c r="G45" s="844"/>
      <c r="H45" s="1551">
        <f>BS!G27</f>
        <v>48074</v>
      </c>
      <c r="I45" s="1560"/>
      <c r="J45" s="1552"/>
    </row>
    <row r="46" spans="1:10" ht="27.95" customHeight="1" x14ac:dyDescent="0.25">
      <c r="A46" s="1570" t="s">
        <v>568</v>
      </c>
      <c r="B46" s="1664" t="s">
        <v>1746</v>
      </c>
      <c r="C46" s="1574" t="s">
        <v>570</v>
      </c>
      <c r="D46" s="1579">
        <f>BS!D28</f>
        <v>0</v>
      </c>
      <c r="E46" s="1579"/>
      <c r="F46" s="1579"/>
      <c r="G46" s="1551">
        <f>BS!F28</f>
        <v>0</v>
      </c>
      <c r="H46" s="1560"/>
      <c r="I46" s="1555"/>
      <c r="J46" s="843"/>
    </row>
    <row r="47" spans="1:10" ht="27.95" customHeight="1" x14ac:dyDescent="0.25">
      <c r="A47" s="1570"/>
      <c r="B47" s="1571"/>
      <c r="C47" s="1574"/>
      <c r="D47" s="1579">
        <f>BS!E28</f>
        <v>0</v>
      </c>
      <c r="E47" s="1579"/>
      <c r="F47" s="1579"/>
      <c r="G47" s="844"/>
      <c r="H47" s="1551">
        <f>BS!G28</f>
        <v>0</v>
      </c>
      <c r="I47" s="1560"/>
      <c r="J47" s="1552"/>
    </row>
    <row r="48" spans="1:10" ht="27.95" customHeight="1" x14ac:dyDescent="0.25">
      <c r="A48" s="1570" t="s">
        <v>571</v>
      </c>
      <c r="B48" s="1664" t="s">
        <v>1747</v>
      </c>
      <c r="C48" s="1573" t="s">
        <v>573</v>
      </c>
      <c r="D48" s="1579">
        <f>BS!D29</f>
        <v>0</v>
      </c>
      <c r="E48" s="1579"/>
      <c r="F48" s="1579"/>
      <c r="G48" s="1551">
        <f>BS!F29</f>
        <v>0</v>
      </c>
      <c r="H48" s="1560"/>
      <c r="I48" s="1555"/>
      <c r="J48" s="843"/>
    </row>
    <row r="49" spans="1:10" ht="27.95" customHeight="1" x14ac:dyDescent="0.25">
      <c r="A49" s="1570"/>
      <c r="B49" s="1571"/>
      <c r="C49" s="1574"/>
      <c r="D49" s="1579">
        <f>BS!E29</f>
        <v>0</v>
      </c>
      <c r="E49" s="1579"/>
      <c r="F49" s="1579"/>
      <c r="G49" s="845"/>
      <c r="H49" s="1551">
        <f>BS!G29</f>
        <v>0</v>
      </c>
      <c r="I49" s="1560"/>
      <c r="J49" s="1552"/>
    </row>
    <row r="50" spans="1:10" ht="27.95" customHeight="1" x14ac:dyDescent="0.25">
      <c r="A50" s="1597" t="s">
        <v>574</v>
      </c>
      <c r="B50" s="1704" t="s">
        <v>1748</v>
      </c>
      <c r="C50" s="1574" t="s">
        <v>576</v>
      </c>
      <c r="D50" s="1579">
        <f>BS!D30</f>
        <v>0</v>
      </c>
      <c r="E50" s="1579"/>
      <c r="F50" s="1579"/>
      <c r="G50" s="1551">
        <f>BS!F30</f>
        <v>0</v>
      </c>
      <c r="H50" s="1560"/>
      <c r="I50" s="1555"/>
      <c r="J50" s="843"/>
    </row>
    <row r="51" spans="1:10" ht="27.95" customHeight="1" x14ac:dyDescent="0.25">
      <c r="A51" s="1597"/>
      <c r="B51" s="1588"/>
      <c r="C51" s="1574"/>
      <c r="D51" s="1579">
        <f>BS!E30</f>
        <v>0</v>
      </c>
      <c r="E51" s="1579"/>
      <c r="F51" s="1579"/>
      <c r="G51" s="845"/>
      <c r="H51" s="1551">
        <f>BS!G30</f>
        <v>0</v>
      </c>
      <c r="I51" s="1560"/>
      <c r="J51" s="1552"/>
    </row>
    <row r="52" spans="1:10" s="499" customFormat="1" ht="27.95" customHeight="1" x14ac:dyDescent="0.25">
      <c r="A52" s="1599" t="s">
        <v>577</v>
      </c>
      <c r="B52" s="1664" t="s">
        <v>1749</v>
      </c>
      <c r="C52" s="1573" t="s">
        <v>579</v>
      </c>
      <c r="D52" s="1579">
        <f>BS!D31</f>
        <v>0</v>
      </c>
      <c r="E52" s="1579"/>
      <c r="F52" s="1579"/>
      <c r="G52" s="1551">
        <f>BS!F31</f>
        <v>0</v>
      </c>
      <c r="H52" s="1560"/>
      <c r="I52" s="1555"/>
      <c r="J52" s="843"/>
    </row>
    <row r="53" spans="1:10" s="499" customFormat="1" ht="27.95" customHeight="1" x14ac:dyDescent="0.25">
      <c r="A53" s="1599"/>
      <c r="B53" s="1571"/>
      <c r="C53" s="1574"/>
      <c r="D53" s="1579">
        <f>BS!E31</f>
        <v>0</v>
      </c>
      <c r="E53" s="1579"/>
      <c r="F53" s="1579"/>
      <c r="G53" s="845"/>
      <c r="H53" s="1551">
        <f>BS!G31</f>
        <v>0</v>
      </c>
      <c r="I53" s="1560"/>
      <c r="J53" s="1552"/>
    </row>
    <row r="54" spans="1:10" ht="27.95" customHeight="1" x14ac:dyDescent="0.25">
      <c r="A54" s="1570" t="s">
        <v>532</v>
      </c>
      <c r="B54" s="1664" t="s">
        <v>1750</v>
      </c>
      <c r="C54" s="1574" t="s">
        <v>581</v>
      </c>
      <c r="D54" s="1579">
        <f>BS!D32</f>
        <v>0</v>
      </c>
      <c r="E54" s="1579"/>
      <c r="F54" s="1579"/>
      <c r="G54" s="1551">
        <f>BS!F32</f>
        <v>0</v>
      </c>
      <c r="H54" s="1560"/>
      <c r="I54" s="1555"/>
      <c r="J54" s="843"/>
    </row>
    <row r="55" spans="1:10" ht="27.95" customHeight="1" x14ac:dyDescent="0.25">
      <c r="A55" s="1570"/>
      <c r="B55" s="1571"/>
      <c r="C55" s="1574"/>
      <c r="D55" s="1579">
        <f>BS!E32</f>
        <v>0</v>
      </c>
      <c r="E55" s="1579"/>
      <c r="F55" s="1579"/>
      <c r="G55" s="845"/>
      <c r="H55" s="1551">
        <f>BS!G32</f>
        <v>0</v>
      </c>
      <c r="I55" s="1560"/>
      <c r="J55" s="1552"/>
    </row>
    <row r="56" spans="1:10" ht="27.95" customHeight="1" x14ac:dyDescent="0.25">
      <c r="A56" s="1570" t="s">
        <v>535</v>
      </c>
      <c r="B56" s="1664" t="s">
        <v>1751</v>
      </c>
      <c r="C56" s="1573" t="s">
        <v>583</v>
      </c>
      <c r="D56" s="1579">
        <f>BS!D33</f>
        <v>0</v>
      </c>
      <c r="E56" s="1579"/>
      <c r="F56" s="1579"/>
      <c r="G56" s="1551">
        <f>BS!F33</f>
        <v>0</v>
      </c>
      <c r="H56" s="1560"/>
      <c r="I56" s="1555"/>
      <c r="J56" s="843"/>
    </row>
    <row r="57" spans="1:10" ht="27.95" customHeight="1" x14ac:dyDescent="0.25">
      <c r="A57" s="1570"/>
      <c r="B57" s="1571"/>
      <c r="C57" s="1574"/>
      <c r="D57" s="1579">
        <f>BS!E33</f>
        <v>0</v>
      </c>
      <c r="E57" s="1579"/>
      <c r="F57" s="1579"/>
      <c r="G57" s="845"/>
      <c r="H57" s="1551">
        <f>BS!G33</f>
        <v>0</v>
      </c>
      <c r="I57" s="1560"/>
      <c r="J57" s="1552"/>
    </row>
    <row r="58" spans="1:10" ht="27.95" customHeight="1" x14ac:dyDescent="0.25">
      <c r="A58" s="1570" t="s">
        <v>538</v>
      </c>
      <c r="B58" s="1664" t="s">
        <v>1752</v>
      </c>
      <c r="C58" s="1574" t="s">
        <v>585</v>
      </c>
      <c r="D58" s="1579">
        <f>BS!D34</f>
        <v>0</v>
      </c>
      <c r="E58" s="1579"/>
      <c r="F58" s="1579"/>
      <c r="G58" s="1551">
        <f>BS!F34</f>
        <v>0</v>
      </c>
      <c r="H58" s="1560"/>
      <c r="I58" s="1555"/>
      <c r="J58" s="843"/>
    </row>
    <row r="59" spans="1:10" ht="27.95" customHeight="1" x14ac:dyDescent="0.25">
      <c r="A59" s="1570"/>
      <c r="B59" s="1571"/>
      <c r="C59" s="1574"/>
      <c r="D59" s="1579">
        <f>BS!E34</f>
        <v>0</v>
      </c>
      <c r="E59" s="1579"/>
      <c r="F59" s="1579"/>
      <c r="G59" s="845"/>
      <c r="H59" s="1551">
        <f>BS!G34</f>
        <v>0</v>
      </c>
      <c r="I59" s="1560"/>
      <c r="J59" s="1552"/>
    </row>
    <row r="60" spans="1:10" ht="27.95" customHeight="1" x14ac:dyDescent="0.25">
      <c r="A60" s="1570" t="s">
        <v>541</v>
      </c>
      <c r="B60" s="1664" t="s">
        <v>1753</v>
      </c>
      <c r="C60" s="1573" t="s">
        <v>587</v>
      </c>
      <c r="D60" s="1579">
        <f>BS!D35</f>
        <v>0</v>
      </c>
      <c r="E60" s="1579"/>
      <c r="F60" s="1579"/>
      <c r="G60" s="1551">
        <f>BS!F35</f>
        <v>0</v>
      </c>
      <c r="H60" s="1560"/>
      <c r="I60" s="1555"/>
      <c r="J60" s="843"/>
    </row>
    <row r="61" spans="1:10" ht="27.95" customHeight="1" x14ac:dyDescent="0.25">
      <c r="A61" s="1570"/>
      <c r="B61" s="1571"/>
      <c r="C61" s="1574"/>
      <c r="D61" s="1579">
        <f>BS!E35</f>
        <v>0</v>
      </c>
      <c r="E61" s="1579"/>
      <c r="F61" s="1579"/>
      <c r="G61" s="845"/>
      <c r="H61" s="1551">
        <f>BS!G35</f>
        <v>0</v>
      </c>
      <c r="I61" s="1560"/>
      <c r="J61" s="1552"/>
    </row>
    <row r="62" spans="1:10" ht="27.95" customHeight="1" x14ac:dyDescent="0.25">
      <c r="A62" s="1570" t="s">
        <v>544</v>
      </c>
      <c r="B62" s="1664" t="s">
        <v>1754</v>
      </c>
      <c r="C62" s="1574" t="s">
        <v>589</v>
      </c>
      <c r="D62" s="1579">
        <f>BS!D36</f>
        <v>0</v>
      </c>
      <c r="E62" s="1579"/>
      <c r="F62" s="1579"/>
      <c r="G62" s="1551">
        <f>BS!F36</f>
        <v>0</v>
      </c>
      <c r="H62" s="1560"/>
      <c r="I62" s="1555"/>
      <c r="J62" s="843"/>
    </row>
    <row r="63" spans="1:10" ht="27.95" customHeight="1" thickBot="1" x14ac:dyDescent="0.3">
      <c r="A63" s="1570"/>
      <c r="B63" s="1571"/>
      <c r="C63" s="1574"/>
      <c r="D63" s="1579">
        <f>BS!E36</f>
        <v>0</v>
      </c>
      <c r="E63" s="1579"/>
      <c r="F63" s="1579"/>
      <c r="G63" s="805"/>
      <c r="H63" s="1551">
        <f>BS!G36</f>
        <v>0</v>
      </c>
      <c r="I63" s="1560"/>
      <c r="J63" s="1552"/>
    </row>
    <row r="64" spans="1:10" ht="11.25" customHeight="1" x14ac:dyDescent="0.25">
      <c r="A64" s="1688" t="s">
        <v>1722</v>
      </c>
      <c r="B64" s="1689" t="s">
        <v>1723</v>
      </c>
      <c r="C64" s="1690" t="s">
        <v>1724</v>
      </c>
      <c r="D64" s="1553" t="s">
        <v>1725</v>
      </c>
      <c r="E64" s="1619"/>
      <c r="F64" s="1619"/>
      <c r="G64" s="1619"/>
      <c r="H64" s="1558"/>
      <c r="I64" s="1617" t="s">
        <v>1703</v>
      </c>
      <c r="J64" s="1618"/>
    </row>
    <row r="65" spans="1:10" ht="11.25" customHeight="1" x14ac:dyDescent="0.25">
      <c r="A65" s="1657"/>
      <c r="B65" s="1658"/>
      <c r="C65" s="1659"/>
      <c r="D65" s="1609">
        <v>1</v>
      </c>
      <c r="E65" s="1565" t="s">
        <v>1726</v>
      </c>
      <c r="F65" s="1661"/>
      <c r="G65" s="1700" t="s">
        <v>1262</v>
      </c>
      <c r="H65" s="1701"/>
      <c r="I65" s="1556"/>
      <c r="J65" s="1557"/>
    </row>
    <row r="66" spans="1:10" ht="11.25" customHeight="1" x14ac:dyDescent="0.25">
      <c r="A66" s="1567"/>
      <c r="B66" s="1575"/>
      <c r="C66" s="1577"/>
      <c r="D66" s="1660"/>
      <c r="E66" s="1565" t="s">
        <v>1727</v>
      </c>
      <c r="F66" s="1661"/>
      <c r="G66" s="1702"/>
      <c r="H66" s="1703"/>
      <c r="I66" s="1565" t="s">
        <v>1260</v>
      </c>
      <c r="J66" s="1566"/>
    </row>
    <row r="67" spans="1:10" ht="27.95" customHeight="1" x14ac:dyDescent="0.25">
      <c r="A67" s="1570" t="s">
        <v>547</v>
      </c>
      <c r="B67" s="1664" t="s">
        <v>1755</v>
      </c>
      <c r="C67" s="1574" t="s">
        <v>888</v>
      </c>
      <c r="D67" s="1579">
        <f>BS!D37</f>
        <v>0</v>
      </c>
      <c r="E67" s="1579"/>
      <c r="F67" s="1551"/>
      <c r="G67" s="1551">
        <f>BS!F37</f>
        <v>0</v>
      </c>
      <c r="H67" s="1560"/>
      <c r="I67" s="1555"/>
      <c r="J67" s="843"/>
    </row>
    <row r="68" spans="1:10" ht="27.95" customHeight="1" x14ac:dyDescent="0.25">
      <c r="A68" s="1570"/>
      <c r="B68" s="1571"/>
      <c r="C68" s="1574"/>
      <c r="D68" s="1579">
        <f>BS!E37</f>
        <v>0</v>
      </c>
      <c r="E68" s="1579"/>
      <c r="F68" s="1579"/>
      <c r="G68" s="846"/>
      <c r="H68" s="1551">
        <f>BS!G37</f>
        <v>0</v>
      </c>
      <c r="I68" s="1560"/>
      <c r="J68" s="1552"/>
    </row>
    <row r="69" spans="1:10" ht="27.95" customHeight="1" x14ac:dyDescent="0.25">
      <c r="A69" s="1570" t="s">
        <v>568</v>
      </c>
      <c r="B69" s="1664" t="s">
        <v>1756</v>
      </c>
      <c r="C69" s="1574" t="s">
        <v>891</v>
      </c>
      <c r="D69" s="1579">
        <f>BS!D38</f>
        <v>0</v>
      </c>
      <c r="E69" s="1579"/>
      <c r="F69" s="1551"/>
      <c r="G69" s="1551">
        <f>BS!F38</f>
        <v>0</v>
      </c>
      <c r="H69" s="1560"/>
      <c r="I69" s="1555"/>
      <c r="J69" s="843"/>
    </row>
    <row r="70" spans="1:10" ht="27.95" customHeight="1" x14ac:dyDescent="0.25">
      <c r="A70" s="1570"/>
      <c r="B70" s="1571"/>
      <c r="C70" s="1574"/>
      <c r="D70" s="1579">
        <f>BS!E38</f>
        <v>0</v>
      </c>
      <c r="E70" s="1579"/>
      <c r="F70" s="1579"/>
      <c r="G70" s="846"/>
      <c r="H70" s="1551">
        <f>BS!G38</f>
        <v>0</v>
      </c>
      <c r="I70" s="1560"/>
      <c r="J70" s="1552"/>
    </row>
    <row r="71" spans="1:10" ht="27.95" customHeight="1" x14ac:dyDescent="0.25">
      <c r="A71" s="1586" t="s">
        <v>594</v>
      </c>
      <c r="B71" s="1704" t="s">
        <v>1757</v>
      </c>
      <c r="C71" s="1574" t="s">
        <v>894</v>
      </c>
      <c r="D71" s="1579">
        <f>BS!D39</f>
        <v>4504723</v>
      </c>
      <c r="E71" s="1579"/>
      <c r="F71" s="1551"/>
      <c r="G71" s="1551">
        <f>BS!F39</f>
        <v>4486655</v>
      </c>
      <c r="H71" s="1560"/>
      <c r="I71" s="1555"/>
      <c r="J71" s="843"/>
    </row>
    <row r="72" spans="1:10" ht="27.95" customHeight="1" x14ac:dyDescent="0.25">
      <c r="A72" s="1586"/>
      <c r="B72" s="1588"/>
      <c r="C72" s="1574"/>
      <c r="D72" s="1579">
        <f>BS!E39</f>
        <v>18068</v>
      </c>
      <c r="E72" s="1579"/>
      <c r="F72" s="1579"/>
      <c r="G72" s="846"/>
      <c r="H72" s="1551">
        <f>BS!G39</f>
        <v>4040245</v>
      </c>
      <c r="I72" s="1560"/>
      <c r="J72" s="1552"/>
    </row>
    <row r="73" spans="1:10" s="499" customFormat="1" ht="27.95" customHeight="1" x14ac:dyDescent="0.25">
      <c r="A73" s="1597" t="s">
        <v>597</v>
      </c>
      <c r="B73" s="1704" t="s">
        <v>1758</v>
      </c>
      <c r="C73" s="1574" t="s">
        <v>897</v>
      </c>
      <c r="D73" s="1579">
        <f>BS!D40</f>
        <v>0</v>
      </c>
      <c r="E73" s="1579"/>
      <c r="F73" s="1551"/>
      <c r="G73" s="1551">
        <f>BS!F40</f>
        <v>0</v>
      </c>
      <c r="H73" s="1560"/>
      <c r="I73" s="1555"/>
      <c r="J73" s="843"/>
    </row>
    <row r="74" spans="1:10" s="499" customFormat="1" ht="27.95" customHeight="1" x14ac:dyDescent="0.25">
      <c r="A74" s="1586"/>
      <c r="B74" s="1588"/>
      <c r="C74" s="1574"/>
      <c r="D74" s="1579">
        <f>BS!E40</f>
        <v>0</v>
      </c>
      <c r="E74" s="1579"/>
      <c r="F74" s="1579"/>
      <c r="G74" s="846"/>
      <c r="H74" s="1551">
        <f>BS!G40</f>
        <v>0</v>
      </c>
      <c r="I74" s="1560"/>
      <c r="J74" s="1552"/>
    </row>
    <row r="75" spans="1:10" s="499" customFormat="1" ht="27.95" customHeight="1" x14ac:dyDescent="0.25">
      <c r="A75" s="1596" t="s">
        <v>600</v>
      </c>
      <c r="B75" s="1664" t="s">
        <v>1759</v>
      </c>
      <c r="C75" s="1574" t="s">
        <v>900</v>
      </c>
      <c r="D75" s="1579">
        <f>BS!D41</f>
        <v>0</v>
      </c>
      <c r="E75" s="1579"/>
      <c r="F75" s="1551"/>
      <c r="G75" s="1551">
        <f>BS!F41</f>
        <v>0</v>
      </c>
      <c r="H75" s="1560"/>
      <c r="I75" s="1555"/>
      <c r="J75" s="843"/>
    </row>
    <row r="76" spans="1:10" s="499" customFormat="1" ht="27.95" customHeight="1" x14ac:dyDescent="0.25">
      <c r="A76" s="1581"/>
      <c r="B76" s="1571"/>
      <c r="C76" s="1574"/>
      <c r="D76" s="1579">
        <f>BS!E41</f>
        <v>0</v>
      </c>
      <c r="E76" s="1579"/>
      <c r="F76" s="1579"/>
      <c r="G76" s="846"/>
      <c r="H76" s="1551">
        <f>BS!G41</f>
        <v>0</v>
      </c>
      <c r="I76" s="1560"/>
      <c r="J76" s="1552"/>
    </row>
    <row r="77" spans="1:10" ht="27.95" customHeight="1" x14ac:dyDescent="0.25">
      <c r="A77" s="1570" t="s">
        <v>532</v>
      </c>
      <c r="B77" s="1664" t="s">
        <v>1760</v>
      </c>
      <c r="C77" s="1574" t="s">
        <v>903</v>
      </c>
      <c r="D77" s="1579">
        <f>BS!D42</f>
        <v>0</v>
      </c>
      <c r="E77" s="1579"/>
      <c r="F77" s="1551"/>
      <c r="G77" s="1551">
        <f>BS!F42</f>
        <v>0</v>
      </c>
      <c r="H77" s="1560"/>
      <c r="I77" s="1555"/>
      <c r="J77" s="843"/>
    </row>
    <row r="78" spans="1:10" ht="27.95" customHeight="1" x14ac:dyDescent="0.25">
      <c r="A78" s="1570"/>
      <c r="B78" s="1571"/>
      <c r="C78" s="1574"/>
      <c r="D78" s="1579">
        <f>BS!E42</f>
        <v>0</v>
      </c>
      <c r="E78" s="1579"/>
      <c r="F78" s="1579"/>
      <c r="G78" s="846"/>
      <c r="H78" s="1551">
        <f>BS!G42</f>
        <v>0</v>
      </c>
      <c r="I78" s="1560"/>
      <c r="J78" s="1552"/>
    </row>
    <row r="79" spans="1:10" ht="27.95" customHeight="1" x14ac:dyDescent="0.25">
      <c r="A79" s="1570" t="s">
        <v>535</v>
      </c>
      <c r="B79" s="1664" t="s">
        <v>1761</v>
      </c>
      <c r="C79" s="1574" t="s">
        <v>906</v>
      </c>
      <c r="D79" s="1579">
        <f>BS!D43</f>
        <v>0</v>
      </c>
      <c r="E79" s="1579"/>
      <c r="F79" s="1551"/>
      <c r="G79" s="1551">
        <f>BS!F43</f>
        <v>0</v>
      </c>
      <c r="H79" s="1560"/>
      <c r="I79" s="1555"/>
      <c r="J79" s="843"/>
    </row>
    <row r="80" spans="1:10" ht="27.95" customHeight="1" x14ac:dyDescent="0.25">
      <c r="A80" s="1570"/>
      <c r="B80" s="1571"/>
      <c r="C80" s="1574"/>
      <c r="D80" s="1579">
        <f>BS!E43</f>
        <v>0</v>
      </c>
      <c r="E80" s="1579"/>
      <c r="F80" s="1579"/>
      <c r="G80" s="846"/>
      <c r="H80" s="1551">
        <f>BS!G43</f>
        <v>0</v>
      </c>
      <c r="I80" s="1560"/>
      <c r="J80" s="1552"/>
    </row>
    <row r="81" spans="1:10" ht="27.95" customHeight="1" x14ac:dyDescent="0.25">
      <c r="A81" s="1570" t="s">
        <v>538</v>
      </c>
      <c r="B81" s="1664" t="s">
        <v>1762</v>
      </c>
      <c r="C81" s="1574" t="s">
        <v>909</v>
      </c>
      <c r="D81" s="1579">
        <f>BS!D44</f>
        <v>0</v>
      </c>
      <c r="E81" s="1579"/>
      <c r="F81" s="1551"/>
      <c r="G81" s="1551">
        <f>BS!F44</f>
        <v>0</v>
      </c>
      <c r="H81" s="1560"/>
      <c r="I81" s="1555"/>
      <c r="J81" s="843"/>
    </row>
    <row r="82" spans="1:10" ht="27.95" customHeight="1" x14ac:dyDescent="0.25">
      <c r="A82" s="1570"/>
      <c r="B82" s="1571"/>
      <c r="C82" s="1574"/>
      <c r="D82" s="1579">
        <f>BS!E44</f>
        <v>0</v>
      </c>
      <c r="E82" s="1579"/>
      <c r="F82" s="1579"/>
      <c r="G82" s="846"/>
      <c r="H82" s="1551">
        <f>BS!G44</f>
        <v>0</v>
      </c>
      <c r="I82" s="1560"/>
      <c r="J82" s="1552"/>
    </row>
    <row r="83" spans="1:10" ht="27.95" customHeight="1" x14ac:dyDescent="0.25">
      <c r="A83" s="1570" t="s">
        <v>541</v>
      </c>
      <c r="B83" s="1664" t="s">
        <v>1763</v>
      </c>
      <c r="C83" s="1574" t="s">
        <v>912</v>
      </c>
      <c r="D83" s="1579">
        <f>BS!D45</f>
        <v>0</v>
      </c>
      <c r="E83" s="1579"/>
      <c r="F83" s="1551"/>
      <c r="G83" s="1551">
        <f>BS!F45</f>
        <v>0</v>
      </c>
      <c r="H83" s="1560"/>
      <c r="I83" s="1555"/>
      <c r="J83" s="843"/>
    </row>
    <row r="84" spans="1:10" ht="27.95" customHeight="1" x14ac:dyDescent="0.25">
      <c r="A84" s="1570"/>
      <c r="B84" s="1571"/>
      <c r="C84" s="1574"/>
      <c r="D84" s="1579">
        <f>BS!E45</f>
        <v>0</v>
      </c>
      <c r="E84" s="1579"/>
      <c r="F84" s="1579"/>
      <c r="G84" s="846"/>
      <c r="H84" s="1551">
        <f>BS!G45</f>
        <v>0</v>
      </c>
      <c r="I84" s="1560"/>
      <c r="J84" s="1552"/>
    </row>
    <row r="85" spans="1:10" ht="27.95" customHeight="1" x14ac:dyDescent="0.25">
      <c r="A85" s="1570" t="s">
        <v>544</v>
      </c>
      <c r="B85" s="1664" t="s">
        <v>1764</v>
      </c>
      <c r="C85" s="1574" t="s">
        <v>915</v>
      </c>
      <c r="D85" s="1579">
        <f>BS!D46</f>
        <v>0</v>
      </c>
      <c r="E85" s="1579"/>
      <c r="F85" s="1551"/>
      <c r="G85" s="1551">
        <f>BS!F46</f>
        <v>0</v>
      </c>
      <c r="H85" s="1560"/>
      <c r="I85" s="1555"/>
      <c r="J85" s="843"/>
    </row>
    <row r="86" spans="1:10" ht="27.95" customHeight="1" x14ac:dyDescent="0.25">
      <c r="A86" s="1570"/>
      <c r="B86" s="1571"/>
      <c r="C86" s="1574"/>
      <c r="D86" s="1579">
        <f>BS!E46</f>
        <v>0</v>
      </c>
      <c r="E86" s="1579"/>
      <c r="F86" s="1579"/>
      <c r="G86" s="846"/>
      <c r="H86" s="1551">
        <f>BS!G46</f>
        <v>0</v>
      </c>
      <c r="I86" s="1560"/>
      <c r="J86" s="1552"/>
    </row>
    <row r="87" spans="1:10" ht="27.95" customHeight="1" x14ac:dyDescent="0.25">
      <c r="A87" s="1597" t="s">
        <v>613</v>
      </c>
      <c r="B87" s="1699" t="s">
        <v>1765</v>
      </c>
      <c r="C87" s="1574" t="s">
        <v>918</v>
      </c>
      <c r="D87" s="1579">
        <f>BS!D47</f>
        <v>114485</v>
      </c>
      <c r="E87" s="1579"/>
      <c r="F87" s="1551"/>
      <c r="G87" s="1551">
        <f>BS!F47</f>
        <v>11485</v>
      </c>
      <c r="H87" s="1560"/>
      <c r="I87" s="1555"/>
      <c r="J87" s="843"/>
    </row>
    <row r="88" spans="1:10" ht="27.95" customHeight="1" x14ac:dyDescent="0.25">
      <c r="A88" s="1586"/>
      <c r="B88" s="1682"/>
      <c r="C88" s="1574"/>
      <c r="D88" s="1579">
        <f>BS!E47</f>
        <v>0</v>
      </c>
      <c r="E88" s="1579"/>
      <c r="F88" s="1579"/>
      <c r="G88" s="846"/>
      <c r="H88" s="1551">
        <f>BS!G47</f>
        <v>20223</v>
      </c>
      <c r="I88" s="1560"/>
      <c r="J88" s="1552"/>
    </row>
    <row r="89" spans="1:10" s="499" customFormat="1" ht="27.95" customHeight="1" x14ac:dyDescent="0.25">
      <c r="A89" s="1596" t="s">
        <v>616</v>
      </c>
      <c r="B89" s="1664" t="s">
        <v>1766</v>
      </c>
      <c r="C89" s="1574" t="s">
        <v>921</v>
      </c>
      <c r="D89" s="1579">
        <f>BS!D48</f>
        <v>0</v>
      </c>
      <c r="E89" s="1579"/>
      <c r="F89" s="1551"/>
      <c r="G89" s="1551">
        <f>BS!F48</f>
        <v>0</v>
      </c>
      <c r="H89" s="1560"/>
      <c r="I89" s="1555"/>
      <c r="J89" s="843"/>
    </row>
    <row r="90" spans="1:10" s="499" customFormat="1" ht="27.95" customHeight="1" x14ac:dyDescent="0.25">
      <c r="A90" s="1581"/>
      <c r="B90" s="1571"/>
      <c r="C90" s="1574"/>
      <c r="D90" s="1579">
        <f>BS!E48</f>
        <v>0</v>
      </c>
      <c r="E90" s="1579"/>
      <c r="F90" s="1579"/>
      <c r="G90" s="846"/>
      <c r="H90" s="1551">
        <f>BS!G48</f>
        <v>0</v>
      </c>
      <c r="I90" s="1560"/>
      <c r="J90" s="1552"/>
    </row>
    <row r="91" spans="1:10" s="499" customFormat="1" ht="27.95" customHeight="1" x14ac:dyDescent="0.25">
      <c r="A91" s="1570" t="s">
        <v>532</v>
      </c>
      <c r="B91" s="1572" t="s">
        <v>1767</v>
      </c>
      <c r="C91" s="1574" t="s">
        <v>924</v>
      </c>
      <c r="D91" s="1579">
        <f>BS!D49</f>
        <v>0</v>
      </c>
      <c r="E91" s="1579"/>
      <c r="F91" s="1551"/>
      <c r="G91" s="1551">
        <f>BS!F49</f>
        <v>0</v>
      </c>
      <c r="H91" s="1560"/>
      <c r="I91" s="1555"/>
      <c r="J91" s="843"/>
    </row>
    <row r="92" spans="1:10" s="499" customFormat="1" ht="27.95" customHeight="1" x14ac:dyDescent="0.25">
      <c r="A92" s="1570"/>
      <c r="B92" s="1572"/>
      <c r="C92" s="1574"/>
      <c r="D92" s="1579">
        <f>BS!E49</f>
        <v>0</v>
      </c>
      <c r="E92" s="1579"/>
      <c r="F92" s="1579"/>
      <c r="G92" s="846"/>
      <c r="H92" s="1551">
        <f>BS!G49</f>
        <v>0</v>
      </c>
      <c r="I92" s="1560"/>
      <c r="J92" s="1552"/>
    </row>
    <row r="93" spans="1:10" ht="27.95" customHeight="1" x14ac:dyDescent="0.25">
      <c r="A93" s="1570" t="s">
        <v>535</v>
      </c>
      <c r="B93" s="1664" t="s">
        <v>1768</v>
      </c>
      <c r="C93" s="1574" t="s">
        <v>927</v>
      </c>
      <c r="D93" s="1579">
        <f>BS!D50</f>
        <v>0</v>
      </c>
      <c r="E93" s="1579"/>
      <c r="F93" s="1551"/>
      <c r="G93" s="1551">
        <f>BS!F50</f>
        <v>0</v>
      </c>
      <c r="H93" s="1560"/>
      <c r="I93" s="1555"/>
      <c r="J93" s="843"/>
    </row>
    <row r="94" spans="1:10" ht="27.95" customHeight="1" thickBot="1" x14ac:dyDescent="0.3">
      <c r="A94" s="1570"/>
      <c r="B94" s="1571"/>
      <c r="C94" s="1574"/>
      <c r="D94" s="1579">
        <f>BS!E50</f>
        <v>0</v>
      </c>
      <c r="E94" s="1579"/>
      <c r="F94" s="1579"/>
      <c r="G94" s="804"/>
      <c r="H94" s="1551">
        <f>BS!G50</f>
        <v>0</v>
      </c>
      <c r="I94" s="1560"/>
      <c r="J94" s="1552"/>
    </row>
    <row r="95" spans="1:10" ht="11.25" customHeight="1" x14ac:dyDescent="0.25">
      <c r="A95" s="1688" t="s">
        <v>1722</v>
      </c>
      <c r="B95" s="1689" t="s">
        <v>1723</v>
      </c>
      <c r="C95" s="1690" t="s">
        <v>1724</v>
      </c>
      <c r="D95" s="1553" t="s">
        <v>1725</v>
      </c>
      <c r="E95" s="1619"/>
      <c r="F95" s="1619"/>
      <c r="G95" s="1619"/>
      <c r="H95" s="1558"/>
      <c r="I95" s="1617" t="s">
        <v>1703</v>
      </c>
      <c r="J95" s="1618"/>
    </row>
    <row r="96" spans="1:10" ht="11.25" customHeight="1" x14ac:dyDescent="0.25">
      <c r="A96" s="1657"/>
      <c r="B96" s="1658"/>
      <c r="C96" s="1659"/>
      <c r="D96" s="1609">
        <v>1</v>
      </c>
      <c r="E96" s="1565" t="s">
        <v>1726</v>
      </c>
      <c r="F96" s="1661"/>
      <c r="G96" s="1700" t="s">
        <v>1262</v>
      </c>
      <c r="H96" s="1701"/>
      <c r="I96" s="1556"/>
      <c r="J96" s="1557"/>
    </row>
    <row r="97" spans="1:12" ht="12" customHeight="1" x14ac:dyDescent="0.25">
      <c r="A97" s="1567"/>
      <c r="B97" s="1575"/>
      <c r="C97" s="1577"/>
      <c r="D97" s="1660"/>
      <c r="E97" s="1565" t="s">
        <v>1727</v>
      </c>
      <c r="F97" s="1661"/>
      <c r="G97" s="1702"/>
      <c r="H97" s="1703"/>
      <c r="I97" s="1565" t="s">
        <v>1260</v>
      </c>
      <c r="J97" s="1566"/>
    </row>
    <row r="98" spans="1:12" ht="27.95" customHeight="1" x14ac:dyDescent="0.25">
      <c r="A98" s="1570" t="s">
        <v>538</v>
      </c>
      <c r="B98" s="1664" t="s">
        <v>1769</v>
      </c>
      <c r="C98" s="1573" t="s">
        <v>930</v>
      </c>
      <c r="D98" s="1579">
        <f>BS!D51</f>
        <v>0</v>
      </c>
      <c r="E98" s="1579"/>
      <c r="F98" s="1579"/>
      <c r="G98" s="1551">
        <f>BS!F51</f>
        <v>0</v>
      </c>
      <c r="H98" s="1560"/>
      <c r="I98" s="1555"/>
      <c r="J98" s="843"/>
      <c r="L98" s="551" t="s">
        <v>1177</v>
      </c>
    </row>
    <row r="99" spans="1:12" ht="27.95" customHeight="1" x14ac:dyDescent="0.25">
      <c r="A99" s="1570"/>
      <c r="B99" s="1571"/>
      <c r="C99" s="1574"/>
      <c r="D99" s="1579">
        <f>BS!E51</f>
        <v>0</v>
      </c>
      <c r="E99" s="1579"/>
      <c r="F99" s="1579"/>
      <c r="G99" s="844"/>
      <c r="H99" s="1551">
        <f>BS!G51</f>
        <v>0</v>
      </c>
      <c r="I99" s="1560"/>
      <c r="J99" s="1552"/>
    </row>
    <row r="100" spans="1:12" ht="27.95" customHeight="1" x14ac:dyDescent="0.25">
      <c r="A100" s="1570" t="s">
        <v>541</v>
      </c>
      <c r="B100" s="1664" t="s">
        <v>1770</v>
      </c>
      <c r="C100" s="1574" t="s">
        <v>933</v>
      </c>
      <c r="D100" s="1579">
        <f>BS!D52</f>
        <v>0</v>
      </c>
      <c r="E100" s="1579"/>
      <c r="F100" s="1579"/>
      <c r="G100" s="1551">
        <f>BS!F52</f>
        <v>0</v>
      </c>
      <c r="H100" s="1560"/>
      <c r="I100" s="1555"/>
      <c r="J100" s="843"/>
    </row>
    <row r="101" spans="1:12" ht="27.95" customHeight="1" x14ac:dyDescent="0.25">
      <c r="A101" s="1570"/>
      <c r="B101" s="1571"/>
      <c r="C101" s="1574"/>
      <c r="D101" s="1579">
        <f>BS!E52</f>
        <v>0</v>
      </c>
      <c r="E101" s="1579"/>
      <c r="F101" s="1579"/>
      <c r="G101" s="844"/>
      <c r="H101" s="1551">
        <f>BS!G52</f>
        <v>0</v>
      </c>
      <c r="I101" s="1560"/>
      <c r="J101" s="1552"/>
    </row>
    <row r="102" spans="1:12" ht="27.95" customHeight="1" x14ac:dyDescent="0.25">
      <c r="A102" s="1570" t="s">
        <v>544</v>
      </c>
      <c r="B102" s="1664" t="s">
        <v>1771</v>
      </c>
      <c r="C102" s="1573" t="s">
        <v>936</v>
      </c>
      <c r="D102" s="1579">
        <f>BS!D53</f>
        <v>0</v>
      </c>
      <c r="E102" s="1579"/>
      <c r="F102" s="1579"/>
      <c r="G102" s="1551">
        <f>BS!F53</f>
        <v>0</v>
      </c>
      <c r="H102" s="1560"/>
      <c r="I102" s="1555"/>
      <c r="J102" s="843"/>
    </row>
    <row r="103" spans="1:12" ht="27.95" customHeight="1" x14ac:dyDescent="0.25">
      <c r="A103" s="1570"/>
      <c r="B103" s="1571"/>
      <c r="C103" s="1574"/>
      <c r="D103" s="1579">
        <f>BS!E53</f>
        <v>0</v>
      </c>
      <c r="E103" s="1579"/>
      <c r="F103" s="1579"/>
      <c r="G103" s="844"/>
      <c r="H103" s="1551">
        <f>BS!G53</f>
        <v>0</v>
      </c>
      <c r="I103" s="1560"/>
      <c r="J103" s="1552"/>
    </row>
    <row r="104" spans="1:12" ht="27.95" customHeight="1" x14ac:dyDescent="0.25">
      <c r="A104" s="1570" t="s">
        <v>547</v>
      </c>
      <c r="B104" s="1664" t="s">
        <v>1772</v>
      </c>
      <c r="C104" s="1574" t="s">
        <v>939</v>
      </c>
      <c r="D104" s="1579">
        <f>BS!D54</f>
        <v>11485</v>
      </c>
      <c r="E104" s="1579"/>
      <c r="F104" s="1579"/>
      <c r="G104" s="1551">
        <f>BS!F54</f>
        <v>11485</v>
      </c>
      <c r="H104" s="1560"/>
      <c r="I104" s="1555"/>
      <c r="J104" s="843"/>
    </row>
    <row r="105" spans="1:12" ht="27.95" customHeight="1" x14ac:dyDescent="0.25">
      <c r="A105" s="1570"/>
      <c r="B105" s="1571"/>
      <c r="C105" s="1574"/>
      <c r="D105" s="1579">
        <f>BS!E54</f>
        <v>0</v>
      </c>
      <c r="E105" s="1579"/>
      <c r="F105" s="1579"/>
      <c r="G105" s="844"/>
      <c r="H105" s="1551">
        <f>BS!G54</f>
        <v>20223</v>
      </c>
      <c r="I105" s="1560"/>
      <c r="J105" s="1552"/>
    </row>
    <row r="106" spans="1:12" ht="27.95" customHeight="1" x14ac:dyDescent="0.25">
      <c r="A106" s="1590" t="s">
        <v>631</v>
      </c>
      <c r="B106" s="1704" t="s">
        <v>1773</v>
      </c>
      <c r="C106" s="1573" t="s">
        <v>941</v>
      </c>
      <c r="D106" s="1579">
        <f>BS!D55</f>
        <v>4027190</v>
      </c>
      <c r="E106" s="1579"/>
      <c r="F106" s="1579"/>
      <c r="G106" s="1551">
        <f>BS!F55</f>
        <v>4009122</v>
      </c>
      <c r="H106" s="1560"/>
      <c r="I106" s="1555"/>
      <c r="J106" s="843"/>
    </row>
    <row r="107" spans="1:12" ht="27.95" customHeight="1" x14ac:dyDescent="0.25">
      <c r="A107" s="1583"/>
      <c r="B107" s="1588"/>
      <c r="C107" s="1574"/>
      <c r="D107" s="1579">
        <f>BS!E55</f>
        <v>18068</v>
      </c>
      <c r="E107" s="1579"/>
      <c r="F107" s="1579"/>
      <c r="G107" s="844"/>
      <c r="H107" s="1551">
        <f>BS!G55</f>
        <v>3332620</v>
      </c>
      <c r="I107" s="1560"/>
      <c r="J107" s="1552"/>
    </row>
    <row r="108" spans="1:12" s="499" customFormat="1" ht="27.95" customHeight="1" x14ac:dyDescent="0.25">
      <c r="A108" s="1589" t="s">
        <v>634</v>
      </c>
      <c r="B108" s="1664" t="s">
        <v>1774</v>
      </c>
      <c r="C108" s="1574" t="s">
        <v>944</v>
      </c>
      <c r="D108" s="1579">
        <f>BS!D56</f>
        <v>3787096</v>
      </c>
      <c r="E108" s="1579"/>
      <c r="F108" s="1579"/>
      <c r="G108" s="1551">
        <f>BS!F56</f>
        <v>3769028</v>
      </c>
      <c r="H108" s="1560"/>
      <c r="I108" s="1555"/>
      <c r="J108" s="843"/>
    </row>
    <row r="109" spans="1:12" s="499" customFormat="1" ht="27.95" customHeight="1" x14ac:dyDescent="0.25">
      <c r="A109" s="1589"/>
      <c r="B109" s="1571"/>
      <c r="C109" s="1574"/>
      <c r="D109" s="1579">
        <f>BS!E56</f>
        <v>18068</v>
      </c>
      <c r="E109" s="1579"/>
      <c r="F109" s="1579"/>
      <c r="G109" s="844"/>
      <c r="H109" s="1551">
        <f>BS!G56</f>
        <v>3140060</v>
      </c>
      <c r="I109" s="1560"/>
      <c r="J109" s="1552"/>
    </row>
    <row r="110" spans="1:12" s="499" customFormat="1" ht="27.95" customHeight="1" x14ac:dyDescent="0.25">
      <c r="A110" s="1570" t="s">
        <v>532</v>
      </c>
      <c r="B110" s="1572" t="s">
        <v>1767</v>
      </c>
      <c r="C110" s="1573" t="s">
        <v>947</v>
      </c>
      <c r="D110" s="1579">
        <f>BS!D57</f>
        <v>0</v>
      </c>
      <c r="E110" s="1579"/>
      <c r="F110" s="1579"/>
      <c r="G110" s="1551">
        <f>BS!F57</f>
        <v>0</v>
      </c>
      <c r="H110" s="1560"/>
      <c r="I110" s="1555"/>
      <c r="J110" s="843"/>
    </row>
    <row r="111" spans="1:12" s="499" customFormat="1" ht="27.95" customHeight="1" x14ac:dyDescent="0.25">
      <c r="A111" s="1570"/>
      <c r="B111" s="1572"/>
      <c r="C111" s="1574"/>
      <c r="D111" s="1579">
        <f>BS!E57</f>
        <v>0</v>
      </c>
      <c r="E111" s="1579"/>
      <c r="F111" s="1579"/>
      <c r="G111" s="844"/>
      <c r="H111" s="1551">
        <f>BS!G57</f>
        <v>0</v>
      </c>
      <c r="I111" s="1560"/>
      <c r="J111" s="1552"/>
    </row>
    <row r="112" spans="1:12" ht="27.95" customHeight="1" x14ac:dyDescent="0.25">
      <c r="A112" s="1570" t="s">
        <v>535</v>
      </c>
      <c r="B112" s="1664" t="s">
        <v>1768</v>
      </c>
      <c r="C112" s="1574" t="s">
        <v>950</v>
      </c>
      <c r="D112" s="1579">
        <f>BS!D58</f>
        <v>100000</v>
      </c>
      <c r="E112" s="1579"/>
      <c r="F112" s="1579"/>
      <c r="G112" s="1551">
        <f>BS!F58</f>
        <v>100000</v>
      </c>
      <c r="H112" s="1560"/>
      <c r="I112" s="1555"/>
      <c r="J112" s="843"/>
    </row>
    <row r="113" spans="1:10" ht="27.95" customHeight="1" x14ac:dyDescent="0.25">
      <c r="A113" s="1570"/>
      <c r="B113" s="1571"/>
      <c r="C113" s="1574"/>
      <c r="D113" s="1579">
        <f>BS!E58</f>
        <v>0</v>
      </c>
      <c r="E113" s="1579"/>
      <c r="F113" s="1579"/>
      <c r="G113" s="844"/>
      <c r="H113" s="1551">
        <f>BS!G58</f>
        <v>0</v>
      </c>
      <c r="I113" s="1560"/>
      <c r="J113" s="1552"/>
    </row>
    <row r="114" spans="1:10" ht="27.95" customHeight="1" x14ac:dyDescent="0.25">
      <c r="A114" s="1570" t="s">
        <v>538</v>
      </c>
      <c r="B114" s="1664" t="s">
        <v>1769</v>
      </c>
      <c r="C114" s="1573" t="s">
        <v>952</v>
      </c>
      <c r="D114" s="1579">
        <f>BS!D59</f>
        <v>0</v>
      </c>
      <c r="E114" s="1579"/>
      <c r="F114" s="1579"/>
      <c r="G114" s="1551">
        <f>BS!F59</f>
        <v>0</v>
      </c>
      <c r="H114" s="1560"/>
      <c r="I114" s="1555"/>
      <c r="J114" s="843"/>
    </row>
    <row r="115" spans="1:10" ht="27.95" customHeight="1" x14ac:dyDescent="0.25">
      <c r="A115" s="1570"/>
      <c r="B115" s="1571"/>
      <c r="C115" s="1574"/>
      <c r="D115" s="1579">
        <f>BS!E59</f>
        <v>0</v>
      </c>
      <c r="E115" s="1579"/>
      <c r="F115" s="1579"/>
      <c r="G115" s="844"/>
      <c r="H115" s="1551">
        <f>BS!G59</f>
        <v>0</v>
      </c>
      <c r="I115" s="1560"/>
      <c r="J115" s="1552"/>
    </row>
    <row r="116" spans="1:10" ht="27.95" customHeight="1" x14ac:dyDescent="0.25">
      <c r="A116" s="1570" t="s">
        <v>541</v>
      </c>
      <c r="B116" s="1664" t="s">
        <v>1775</v>
      </c>
      <c r="C116" s="1574" t="s">
        <v>954</v>
      </c>
      <c r="D116" s="1579">
        <f>BS!D60</f>
        <v>0</v>
      </c>
      <c r="E116" s="1579"/>
      <c r="F116" s="1579"/>
      <c r="G116" s="1551">
        <f>BS!F60</f>
        <v>0</v>
      </c>
      <c r="H116" s="1560"/>
      <c r="I116" s="1555"/>
      <c r="J116" s="843"/>
    </row>
    <row r="117" spans="1:10" ht="27.95" customHeight="1" x14ac:dyDescent="0.25">
      <c r="A117" s="1570"/>
      <c r="B117" s="1571"/>
      <c r="C117" s="1574"/>
      <c r="D117" s="1579">
        <f>BS!E60</f>
        <v>0</v>
      </c>
      <c r="E117" s="1579"/>
      <c r="F117" s="1579"/>
      <c r="G117" s="844"/>
      <c r="H117" s="1551">
        <f>BS!G60</f>
        <v>0</v>
      </c>
      <c r="I117" s="1560"/>
      <c r="J117" s="1552"/>
    </row>
    <row r="118" spans="1:10" ht="27.95" customHeight="1" x14ac:dyDescent="0.25">
      <c r="A118" s="1570" t="s">
        <v>544</v>
      </c>
      <c r="B118" s="1664" t="s">
        <v>1776</v>
      </c>
      <c r="C118" s="1573" t="s">
        <v>957</v>
      </c>
      <c r="D118" s="1579">
        <f>BS!D61</f>
        <v>0</v>
      </c>
      <c r="E118" s="1579"/>
      <c r="F118" s="1579"/>
      <c r="G118" s="1551">
        <f>BS!F61</f>
        <v>0</v>
      </c>
      <c r="H118" s="1560"/>
      <c r="I118" s="1555"/>
      <c r="J118" s="843"/>
    </row>
    <row r="119" spans="1:10" ht="27.95" customHeight="1" x14ac:dyDescent="0.25">
      <c r="A119" s="1570"/>
      <c r="B119" s="1571"/>
      <c r="C119" s="1574"/>
      <c r="D119" s="1579">
        <f>BS!E61</f>
        <v>0</v>
      </c>
      <c r="E119" s="1579"/>
      <c r="F119" s="1579"/>
      <c r="G119" s="844"/>
      <c r="H119" s="1551">
        <f>BS!G61</f>
        <v>0</v>
      </c>
      <c r="I119" s="1560"/>
      <c r="J119" s="1552"/>
    </row>
    <row r="120" spans="1:10" ht="27.95" customHeight="1" x14ac:dyDescent="0.25">
      <c r="A120" s="1570" t="s">
        <v>547</v>
      </c>
      <c r="B120" s="1664" t="s">
        <v>1777</v>
      </c>
      <c r="C120" s="1574" t="s">
        <v>960</v>
      </c>
      <c r="D120" s="1579">
        <f>BS!D62</f>
        <v>139836</v>
      </c>
      <c r="E120" s="1579"/>
      <c r="F120" s="1579"/>
      <c r="G120" s="1551">
        <f>BS!F62</f>
        <v>139836</v>
      </c>
      <c r="H120" s="1560"/>
      <c r="I120" s="1555"/>
      <c r="J120" s="843"/>
    </row>
    <row r="121" spans="1:10" ht="27.95" customHeight="1" x14ac:dyDescent="0.25">
      <c r="A121" s="1570"/>
      <c r="B121" s="1571"/>
      <c r="C121" s="1574"/>
      <c r="D121" s="1579">
        <f>BS!E62</f>
        <v>0</v>
      </c>
      <c r="E121" s="1579"/>
      <c r="F121" s="1579"/>
      <c r="G121" s="844"/>
      <c r="H121" s="1551">
        <f>BS!G62</f>
        <v>192532</v>
      </c>
      <c r="I121" s="1560"/>
      <c r="J121" s="1552"/>
    </row>
    <row r="122" spans="1:10" ht="27.95" customHeight="1" x14ac:dyDescent="0.25">
      <c r="A122" s="1570" t="s">
        <v>568</v>
      </c>
      <c r="B122" s="1664" t="s">
        <v>1771</v>
      </c>
      <c r="C122" s="1573" t="s">
        <v>962</v>
      </c>
      <c r="D122" s="1579">
        <f>BS!D63</f>
        <v>258</v>
      </c>
      <c r="E122" s="1579"/>
      <c r="F122" s="1579"/>
      <c r="G122" s="1551">
        <f>BS!F63</f>
        <v>258</v>
      </c>
      <c r="H122" s="1560"/>
      <c r="I122" s="1555"/>
      <c r="J122" s="843"/>
    </row>
    <row r="123" spans="1:10" ht="27.95" customHeight="1" x14ac:dyDescent="0.25">
      <c r="A123" s="1570"/>
      <c r="B123" s="1571"/>
      <c r="C123" s="1574"/>
      <c r="D123" s="1579">
        <f>BS!E63</f>
        <v>0</v>
      </c>
      <c r="E123" s="1579"/>
      <c r="F123" s="1579"/>
      <c r="G123" s="844"/>
      <c r="H123" s="1551">
        <f>BS!G63</f>
        <v>28</v>
      </c>
      <c r="I123" s="1560"/>
      <c r="J123" s="1552"/>
    </row>
    <row r="124" spans="1:10" ht="27.95" customHeight="1" x14ac:dyDescent="0.25">
      <c r="A124" s="1582" t="s">
        <v>649</v>
      </c>
      <c r="B124" s="1704" t="s">
        <v>1778</v>
      </c>
      <c r="C124" s="1574" t="s">
        <v>965</v>
      </c>
      <c r="D124" s="1663">
        <f>BS!D64</f>
        <v>466048</v>
      </c>
      <c r="E124" s="1663"/>
      <c r="F124" s="1663"/>
      <c r="G124" s="1551">
        <f>BS!F64</f>
        <v>466048</v>
      </c>
      <c r="H124" s="1560"/>
      <c r="I124" s="1555"/>
      <c r="J124" s="843"/>
    </row>
    <row r="125" spans="1:10" ht="27.95" customHeight="1" x14ac:dyDescent="0.25">
      <c r="A125" s="1583"/>
      <c r="B125" s="1588"/>
      <c r="C125" s="1574"/>
      <c r="D125" s="1579">
        <f>BS!E64</f>
        <v>0</v>
      </c>
      <c r="E125" s="1579"/>
      <c r="F125" s="1579"/>
      <c r="G125" s="844"/>
      <c r="H125" s="1551">
        <f>BS!G64</f>
        <v>687402</v>
      </c>
      <c r="I125" s="1560"/>
      <c r="J125" s="1552"/>
    </row>
    <row r="126" spans="1:10" s="499" customFormat="1" ht="27.95" customHeight="1" x14ac:dyDescent="0.25">
      <c r="A126" s="1581" t="s">
        <v>652</v>
      </c>
      <c r="B126" s="1664" t="s">
        <v>1779</v>
      </c>
      <c r="C126" s="1573" t="s">
        <v>968</v>
      </c>
      <c r="D126" s="1579">
        <f>BS!D65</f>
        <v>2698</v>
      </c>
      <c r="E126" s="1579"/>
      <c r="F126" s="1579"/>
      <c r="G126" s="1551">
        <f>BS!F65</f>
        <v>2698</v>
      </c>
      <c r="H126" s="1560"/>
      <c r="I126" s="1555"/>
      <c r="J126" s="843"/>
    </row>
    <row r="127" spans="1:10" s="499" customFormat="1" ht="27.95" customHeight="1" thickBot="1" x14ac:dyDescent="0.3">
      <c r="A127" s="1581"/>
      <c r="B127" s="1571"/>
      <c r="C127" s="1574"/>
      <c r="D127" s="1579">
        <f>BS!E65</f>
        <v>0</v>
      </c>
      <c r="E127" s="1579"/>
      <c r="F127" s="1579"/>
      <c r="G127" s="805"/>
      <c r="H127" s="1551">
        <f>BS!G65</f>
        <v>820</v>
      </c>
      <c r="I127" s="1560"/>
      <c r="J127" s="1552"/>
    </row>
    <row r="128" spans="1:10" ht="11.25" customHeight="1" x14ac:dyDescent="0.25">
      <c r="A128" s="1688" t="s">
        <v>1722</v>
      </c>
      <c r="B128" s="1689" t="s">
        <v>1723</v>
      </c>
      <c r="C128" s="1690" t="s">
        <v>1724</v>
      </c>
      <c r="D128" s="1553" t="s">
        <v>1725</v>
      </c>
      <c r="E128" s="1619"/>
      <c r="F128" s="1619"/>
      <c r="G128" s="1619"/>
      <c r="H128" s="1558"/>
      <c r="I128" s="1617" t="s">
        <v>1703</v>
      </c>
      <c r="J128" s="1618"/>
    </row>
    <row r="129" spans="1:10" ht="11.25" customHeight="1" x14ac:dyDescent="0.25">
      <c r="A129" s="1657"/>
      <c r="B129" s="1658"/>
      <c r="C129" s="1659"/>
      <c r="D129" s="1609">
        <v>1</v>
      </c>
      <c r="E129" s="1565" t="s">
        <v>1726</v>
      </c>
      <c r="F129" s="1661"/>
      <c r="G129" s="1700" t="s">
        <v>1262</v>
      </c>
      <c r="H129" s="1701"/>
      <c r="I129" s="1556"/>
      <c r="J129" s="1557"/>
    </row>
    <row r="130" spans="1:10" ht="11.25" customHeight="1" x14ac:dyDescent="0.25">
      <c r="A130" s="1567"/>
      <c r="B130" s="1575"/>
      <c r="C130" s="1577"/>
      <c r="D130" s="1660"/>
      <c r="E130" s="1565" t="s">
        <v>1727</v>
      </c>
      <c r="F130" s="1661"/>
      <c r="G130" s="1702"/>
      <c r="H130" s="1703"/>
      <c r="I130" s="1565" t="s">
        <v>1260</v>
      </c>
      <c r="J130" s="1566"/>
    </row>
    <row r="131" spans="1:10" s="569" customFormat="1" ht="27.95" customHeight="1" x14ac:dyDescent="0.25">
      <c r="A131" s="1570" t="s">
        <v>532</v>
      </c>
      <c r="B131" s="1664" t="s">
        <v>1780</v>
      </c>
      <c r="C131" s="1574" t="s">
        <v>656</v>
      </c>
      <c r="D131" s="1579">
        <f>BS!D66</f>
        <v>463350</v>
      </c>
      <c r="E131" s="1579"/>
      <c r="F131" s="1579"/>
      <c r="G131" s="1551">
        <f>BS!F66</f>
        <v>463350</v>
      </c>
      <c r="H131" s="1560"/>
      <c r="I131" s="1555"/>
      <c r="J131" s="570"/>
    </row>
    <row r="132" spans="1:10" s="569" customFormat="1" ht="27.95" customHeight="1" x14ac:dyDescent="0.25">
      <c r="A132" s="1570"/>
      <c r="B132" s="1571"/>
      <c r="C132" s="1574"/>
      <c r="D132" s="1579">
        <f>BS!E66</f>
        <v>0</v>
      </c>
      <c r="E132" s="1579"/>
      <c r="F132" s="1579"/>
      <c r="G132" s="845"/>
      <c r="H132" s="1551">
        <f>BS!G66</f>
        <v>686582</v>
      </c>
      <c r="I132" s="1560"/>
      <c r="J132" s="1552"/>
    </row>
    <row r="133" spans="1:10" s="569" customFormat="1" ht="27.95" customHeight="1" x14ac:dyDescent="0.25">
      <c r="A133" s="1570" t="s">
        <v>535</v>
      </c>
      <c r="B133" s="1664" t="s">
        <v>1781</v>
      </c>
      <c r="C133" s="1574" t="s">
        <v>658</v>
      </c>
      <c r="D133" s="1579">
        <f>BS!D67</f>
        <v>0</v>
      </c>
      <c r="E133" s="1579"/>
      <c r="F133" s="1579"/>
      <c r="G133" s="1551">
        <f>BS!F67</f>
        <v>0</v>
      </c>
      <c r="H133" s="1560"/>
      <c r="I133" s="1555"/>
      <c r="J133" s="570"/>
    </row>
    <row r="134" spans="1:10" ht="27.95" customHeight="1" x14ac:dyDescent="0.25">
      <c r="A134" s="1570"/>
      <c r="B134" s="1571"/>
      <c r="C134" s="1574"/>
      <c r="D134" s="1579">
        <f>BS!E67</f>
        <v>0</v>
      </c>
      <c r="E134" s="1579"/>
      <c r="F134" s="1579"/>
      <c r="G134" s="845"/>
      <c r="H134" s="1551">
        <f>BS!G67</f>
        <v>0</v>
      </c>
      <c r="I134" s="1560"/>
      <c r="J134" s="1552"/>
    </row>
    <row r="135" spans="1:10" ht="27.95" customHeight="1" x14ac:dyDescent="0.25">
      <c r="A135" s="1570" t="s">
        <v>538</v>
      </c>
      <c r="B135" s="1664" t="s">
        <v>1782</v>
      </c>
      <c r="C135" s="1574" t="s">
        <v>660</v>
      </c>
      <c r="D135" s="1579">
        <f>BS!D68</f>
        <v>0</v>
      </c>
      <c r="E135" s="1579"/>
      <c r="F135" s="1579"/>
      <c r="G135" s="1551">
        <f>BS!F68</f>
        <v>0</v>
      </c>
      <c r="H135" s="1560"/>
      <c r="I135" s="1555"/>
      <c r="J135" s="843"/>
    </row>
    <row r="136" spans="1:10" ht="27.95" customHeight="1" x14ac:dyDescent="0.25">
      <c r="A136" s="1570"/>
      <c r="B136" s="1571"/>
      <c r="C136" s="1574"/>
      <c r="D136" s="1579">
        <f>BS!E68</f>
        <v>0</v>
      </c>
      <c r="E136" s="1579"/>
      <c r="F136" s="1579"/>
      <c r="G136" s="845"/>
      <c r="H136" s="1551">
        <f>BS!G68</f>
        <v>0</v>
      </c>
      <c r="I136" s="1560"/>
      <c r="J136" s="1552"/>
    </row>
    <row r="137" spans="1:10" ht="27.95" customHeight="1" x14ac:dyDescent="0.25">
      <c r="A137" s="1570" t="s">
        <v>541</v>
      </c>
      <c r="B137" s="1664" t="s">
        <v>1783</v>
      </c>
      <c r="C137" s="1574" t="s">
        <v>662</v>
      </c>
      <c r="D137" s="1579">
        <f>BS!D69</f>
        <v>0</v>
      </c>
      <c r="E137" s="1579"/>
      <c r="F137" s="1579"/>
      <c r="G137" s="1551">
        <f>BS!F69</f>
        <v>0</v>
      </c>
      <c r="H137" s="1560"/>
      <c r="I137" s="1555"/>
      <c r="J137" s="843"/>
    </row>
    <row r="138" spans="1:10" ht="27.95" customHeight="1" x14ac:dyDescent="0.25">
      <c r="A138" s="1570"/>
      <c r="B138" s="1571"/>
      <c r="C138" s="1574"/>
      <c r="D138" s="1579">
        <f>BS!E69</f>
        <v>0</v>
      </c>
      <c r="E138" s="1579"/>
      <c r="F138" s="1579"/>
      <c r="G138" s="845"/>
      <c r="H138" s="1551">
        <f>BS!G69</f>
        <v>0</v>
      </c>
      <c r="I138" s="1560"/>
      <c r="J138" s="1552"/>
    </row>
    <row r="139" spans="1:10" ht="27.95" customHeight="1" x14ac:dyDescent="0.25">
      <c r="A139" s="1586" t="s">
        <v>663</v>
      </c>
      <c r="B139" s="1699" t="s">
        <v>1784</v>
      </c>
      <c r="C139" s="1585" t="s">
        <v>665</v>
      </c>
      <c r="D139" s="1579">
        <f>BS!D70</f>
        <v>1551</v>
      </c>
      <c r="E139" s="1579"/>
      <c r="F139" s="1579"/>
      <c r="G139" s="1551">
        <f>BS!F70</f>
        <v>1551</v>
      </c>
      <c r="H139" s="1560"/>
      <c r="I139" s="1555"/>
      <c r="J139" s="843"/>
    </row>
    <row r="140" spans="1:10" ht="27.95" customHeight="1" x14ac:dyDescent="0.25">
      <c r="A140" s="1586"/>
      <c r="B140" s="1682"/>
      <c r="C140" s="1585"/>
      <c r="D140" s="1579">
        <f>BS!E70</f>
        <v>0</v>
      </c>
      <c r="E140" s="1579"/>
      <c r="F140" s="1579"/>
      <c r="G140" s="845"/>
      <c r="H140" s="1551">
        <f>BS!G70</f>
        <v>6225</v>
      </c>
      <c r="I140" s="1560"/>
      <c r="J140" s="1552"/>
    </row>
    <row r="141" spans="1:10" ht="27.95" customHeight="1" x14ac:dyDescent="0.25">
      <c r="A141" s="1581" t="s">
        <v>666</v>
      </c>
      <c r="B141" s="1664" t="s">
        <v>1785</v>
      </c>
      <c r="C141" s="1574" t="s">
        <v>668</v>
      </c>
      <c r="D141" s="1579">
        <f>BS!D71</f>
        <v>0</v>
      </c>
      <c r="E141" s="1579"/>
      <c r="F141" s="1579"/>
      <c r="G141" s="1551">
        <f>BS!F71</f>
        <v>0</v>
      </c>
      <c r="H141" s="1560"/>
      <c r="I141" s="1555"/>
      <c r="J141" s="843"/>
    </row>
    <row r="142" spans="1:10" ht="27.95" customHeight="1" x14ac:dyDescent="0.25">
      <c r="A142" s="1581"/>
      <c r="B142" s="1571"/>
      <c r="C142" s="1574"/>
      <c r="D142" s="1579">
        <f>BS!E71</f>
        <v>0</v>
      </c>
      <c r="E142" s="1579"/>
      <c r="F142" s="1579"/>
      <c r="G142" s="845"/>
      <c r="H142" s="1551">
        <f>BS!G71</f>
        <v>0</v>
      </c>
      <c r="I142" s="1560"/>
      <c r="J142" s="1552"/>
    </row>
    <row r="143" spans="1:10" ht="27.95" customHeight="1" x14ac:dyDescent="0.25">
      <c r="A143" s="1570" t="s">
        <v>532</v>
      </c>
      <c r="B143" s="1664" t="s">
        <v>1786</v>
      </c>
      <c r="C143" s="1574" t="s">
        <v>670</v>
      </c>
      <c r="D143" s="1579">
        <f>BS!D72</f>
        <v>1526</v>
      </c>
      <c r="E143" s="1579"/>
      <c r="F143" s="1579"/>
      <c r="G143" s="1551">
        <f>BS!F72</f>
        <v>1526</v>
      </c>
      <c r="H143" s="1560"/>
      <c r="I143" s="1555"/>
      <c r="J143" s="843"/>
    </row>
    <row r="144" spans="1:10" s="499" customFormat="1" ht="27.95" customHeight="1" x14ac:dyDescent="0.25">
      <c r="A144" s="1570"/>
      <c r="B144" s="1571"/>
      <c r="C144" s="1574"/>
      <c r="D144" s="1579">
        <f>BS!E72</f>
        <v>0</v>
      </c>
      <c r="E144" s="1579"/>
      <c r="F144" s="1579"/>
      <c r="G144" s="845"/>
      <c r="H144" s="1551">
        <f>BS!G72</f>
        <v>1889</v>
      </c>
      <c r="I144" s="1560"/>
      <c r="J144" s="1552"/>
    </row>
    <row r="145" spans="1:10" s="499" customFormat="1" ht="27.95" customHeight="1" x14ac:dyDescent="0.25">
      <c r="A145" s="1570" t="s">
        <v>535</v>
      </c>
      <c r="B145" s="1664" t="s">
        <v>1787</v>
      </c>
      <c r="C145" s="1574" t="s">
        <v>672</v>
      </c>
      <c r="D145" s="1579">
        <f>BS!D73</f>
        <v>0</v>
      </c>
      <c r="E145" s="1579"/>
      <c r="F145" s="1579"/>
      <c r="G145" s="1551">
        <f>BS!F73</f>
        <v>0</v>
      </c>
      <c r="H145" s="1560"/>
      <c r="I145" s="1555"/>
      <c r="J145" s="843"/>
    </row>
    <row r="146" spans="1:10" ht="27.95" customHeight="1" x14ac:dyDescent="0.25">
      <c r="A146" s="1570"/>
      <c r="B146" s="1571"/>
      <c r="C146" s="1574"/>
      <c r="D146" s="1579">
        <f>BS!E73</f>
        <v>0</v>
      </c>
      <c r="E146" s="1579"/>
      <c r="F146" s="1579"/>
      <c r="G146" s="845"/>
      <c r="H146" s="1551">
        <f>BS!G73</f>
        <v>0</v>
      </c>
      <c r="I146" s="1560"/>
      <c r="J146" s="1552"/>
    </row>
    <row r="147" spans="1:10" ht="27.95" customHeight="1" x14ac:dyDescent="0.25">
      <c r="A147" s="1570" t="s">
        <v>538</v>
      </c>
      <c r="B147" s="1664" t="s">
        <v>1788</v>
      </c>
      <c r="C147" s="1574" t="s">
        <v>674</v>
      </c>
      <c r="D147" s="1579">
        <f>BS!D74</f>
        <v>25</v>
      </c>
      <c r="E147" s="1579"/>
      <c r="F147" s="1579"/>
      <c r="G147" s="1551">
        <f>BS!F74</f>
        <v>25</v>
      </c>
      <c r="H147" s="1560"/>
      <c r="I147" s="1555"/>
      <c r="J147" s="843"/>
    </row>
    <row r="148" spans="1:10" s="564" customFormat="1" ht="27.95" customHeight="1" x14ac:dyDescent="0.2">
      <c r="A148" s="1570"/>
      <c r="B148" s="1571"/>
      <c r="C148" s="1574"/>
      <c r="D148" s="1579">
        <f>BS!E74</f>
        <v>0</v>
      </c>
      <c r="E148" s="1579"/>
      <c r="F148" s="1579"/>
      <c r="G148" s="805"/>
      <c r="H148" s="1551">
        <f>BS!G74</f>
        <v>4336</v>
      </c>
      <c r="I148" s="1560"/>
      <c r="J148" s="1552"/>
    </row>
    <row r="149" spans="1:10" s="564" customFormat="1" ht="30" customHeight="1" x14ac:dyDescent="0.2">
      <c r="A149" s="567" t="s">
        <v>1722</v>
      </c>
      <c r="B149" s="1565" t="s">
        <v>1789</v>
      </c>
      <c r="C149" s="1705"/>
      <c r="D149" s="1705"/>
      <c r="E149" s="1661"/>
      <c r="F149" s="566" t="s">
        <v>1724</v>
      </c>
      <c r="G149" s="1565" t="s">
        <v>1790</v>
      </c>
      <c r="H149" s="1661"/>
      <c r="I149" s="1556" t="s">
        <v>1791</v>
      </c>
      <c r="J149" s="1557"/>
    </row>
    <row r="150" spans="1:10" s="564" customFormat="1" ht="27.75" customHeight="1" x14ac:dyDescent="0.2">
      <c r="A150" s="565"/>
      <c r="B150" s="1645" t="s">
        <v>1792</v>
      </c>
      <c r="C150" s="1646"/>
      <c r="D150" s="1646"/>
      <c r="E150" s="1647"/>
      <c r="F150" s="813" t="s">
        <v>681</v>
      </c>
      <c r="G150" s="1551">
        <f>BS!D81</f>
        <v>4583761</v>
      </c>
      <c r="H150" s="1555"/>
      <c r="I150" s="1551">
        <f>BS!E81</f>
        <v>4160554</v>
      </c>
      <c r="J150" s="1552"/>
    </row>
    <row r="151" spans="1:10" s="564" customFormat="1" ht="27.75" customHeight="1" x14ac:dyDescent="0.2">
      <c r="A151" s="812" t="s">
        <v>523</v>
      </c>
      <c r="B151" s="1645" t="s">
        <v>1793</v>
      </c>
      <c r="C151" s="1646"/>
      <c r="D151" s="1646"/>
      <c r="E151" s="1647"/>
      <c r="F151" s="813" t="s">
        <v>683</v>
      </c>
      <c r="G151" s="1551">
        <f>BS!D82</f>
        <v>609783</v>
      </c>
      <c r="H151" s="1555"/>
      <c r="I151" s="1551">
        <f>BS!E82</f>
        <v>1317264</v>
      </c>
      <c r="J151" s="1552"/>
    </row>
    <row r="152" spans="1:10" ht="27.75" customHeight="1" x14ac:dyDescent="0.25">
      <c r="A152" s="812" t="s">
        <v>526</v>
      </c>
      <c r="B152" s="1645" t="s">
        <v>1794</v>
      </c>
      <c r="C152" s="1646"/>
      <c r="D152" s="1646"/>
      <c r="E152" s="1647"/>
      <c r="F152" s="813" t="s">
        <v>685</v>
      </c>
      <c r="G152" s="1551">
        <f>BS!D83</f>
        <v>6639</v>
      </c>
      <c r="H152" s="1555"/>
      <c r="I152" s="1551">
        <f>BS!E83</f>
        <v>6639</v>
      </c>
      <c r="J152" s="1552"/>
    </row>
    <row r="153" spans="1:10" s="499" customFormat="1" ht="27.75" customHeight="1" x14ac:dyDescent="0.25">
      <c r="A153" s="818" t="s">
        <v>529</v>
      </c>
      <c r="B153" s="1636" t="s">
        <v>1795</v>
      </c>
      <c r="C153" s="1637"/>
      <c r="D153" s="1637"/>
      <c r="E153" s="1638"/>
      <c r="F153" s="808" t="s">
        <v>687</v>
      </c>
      <c r="G153" s="1551">
        <f>BS!D84</f>
        <v>6639</v>
      </c>
      <c r="H153" s="1555"/>
      <c r="I153" s="1551">
        <f>BS!E84</f>
        <v>6639</v>
      </c>
      <c r="J153" s="1552"/>
    </row>
    <row r="154" spans="1:10" s="499" customFormat="1" ht="27.75" customHeight="1" x14ac:dyDescent="0.25">
      <c r="A154" s="809" t="s">
        <v>532</v>
      </c>
      <c r="B154" s="1636" t="s">
        <v>1796</v>
      </c>
      <c r="C154" s="1637"/>
      <c r="D154" s="1637"/>
      <c r="E154" s="1638"/>
      <c r="F154" s="808" t="s">
        <v>689</v>
      </c>
      <c r="G154" s="1551">
        <f>BS!D85</f>
        <v>0</v>
      </c>
      <c r="H154" s="1555"/>
      <c r="I154" s="1551">
        <f>BS!E85</f>
        <v>0</v>
      </c>
      <c r="J154" s="1552"/>
    </row>
    <row r="155" spans="1:10" s="499" customFormat="1" ht="27.75" customHeight="1" x14ac:dyDescent="0.25">
      <c r="A155" s="809" t="s">
        <v>535</v>
      </c>
      <c r="B155" s="1636" t="s">
        <v>1797</v>
      </c>
      <c r="C155" s="1637"/>
      <c r="D155" s="1637"/>
      <c r="E155" s="1638"/>
      <c r="F155" s="808" t="s">
        <v>691</v>
      </c>
      <c r="G155" s="1551">
        <f>BS!D86</f>
        <v>0</v>
      </c>
      <c r="H155" s="1555"/>
      <c r="I155" s="1551">
        <f>BS!E86</f>
        <v>0</v>
      </c>
      <c r="J155" s="1552"/>
    </row>
    <row r="156" spans="1:10" ht="27.75" customHeight="1" x14ac:dyDescent="0.25">
      <c r="A156" s="809" t="s">
        <v>538</v>
      </c>
      <c r="B156" s="1636" t="s">
        <v>692</v>
      </c>
      <c r="C156" s="1637"/>
      <c r="D156" s="1637"/>
      <c r="E156" s="1638"/>
      <c r="F156" s="808" t="s">
        <v>693</v>
      </c>
      <c r="G156" s="1551">
        <f>BS!D87</f>
        <v>0</v>
      </c>
      <c r="H156" s="1555"/>
      <c r="I156" s="1551">
        <f>BS!E87</f>
        <v>0</v>
      </c>
      <c r="J156" s="1552"/>
    </row>
    <row r="157" spans="1:10" ht="27.75" customHeight="1" x14ac:dyDescent="0.25">
      <c r="A157" s="812" t="s">
        <v>550</v>
      </c>
      <c r="B157" s="1645" t="s">
        <v>1798</v>
      </c>
      <c r="C157" s="1646"/>
      <c r="D157" s="1646"/>
      <c r="E157" s="1647"/>
      <c r="F157" s="813" t="s">
        <v>695</v>
      </c>
      <c r="G157" s="1551">
        <f>BS!D88</f>
        <v>0</v>
      </c>
      <c r="H157" s="1555"/>
      <c r="I157" s="1551">
        <f>BS!E88</f>
        <v>0</v>
      </c>
      <c r="J157" s="1552"/>
    </row>
    <row r="158" spans="1:10" ht="27.75" customHeight="1" x14ac:dyDescent="0.25">
      <c r="A158" s="818" t="s">
        <v>553</v>
      </c>
      <c r="B158" s="1636" t="s">
        <v>1799</v>
      </c>
      <c r="C158" s="1637"/>
      <c r="D158" s="1637"/>
      <c r="E158" s="1638"/>
      <c r="F158" s="808" t="s">
        <v>697</v>
      </c>
      <c r="G158" s="1551">
        <f>BS!D89</f>
        <v>0</v>
      </c>
      <c r="H158" s="1555"/>
      <c r="I158" s="1551">
        <f>BS!E89</f>
        <v>0</v>
      </c>
      <c r="J158" s="1552"/>
    </row>
    <row r="159" spans="1:10" ht="27.75" customHeight="1" x14ac:dyDescent="0.25">
      <c r="A159" s="809" t="s">
        <v>532</v>
      </c>
      <c r="B159" s="1636" t="s">
        <v>1800</v>
      </c>
      <c r="C159" s="1637"/>
      <c r="D159" s="1637"/>
      <c r="E159" s="1638"/>
      <c r="F159" s="808" t="s">
        <v>699</v>
      </c>
      <c r="G159" s="1551">
        <f>BS!D90</f>
        <v>0</v>
      </c>
      <c r="H159" s="1555"/>
      <c r="I159" s="1551">
        <f>BS!E90</f>
        <v>0</v>
      </c>
      <c r="J159" s="1552"/>
    </row>
    <row r="160" spans="1:10" s="499" customFormat="1" ht="27.75" customHeight="1" x14ac:dyDescent="0.25">
      <c r="A160" s="809" t="s">
        <v>535</v>
      </c>
      <c r="B160" s="1636" t="s">
        <v>1801</v>
      </c>
      <c r="C160" s="1637"/>
      <c r="D160" s="1637"/>
      <c r="E160" s="1638"/>
      <c r="F160" s="808" t="s">
        <v>701</v>
      </c>
      <c r="G160" s="1551">
        <f>BS!D91</f>
        <v>0</v>
      </c>
      <c r="H160" s="1555"/>
      <c r="I160" s="1551">
        <f>BS!E91</f>
        <v>0</v>
      </c>
      <c r="J160" s="1552"/>
    </row>
    <row r="161" spans="1:10" ht="27.75" customHeight="1" x14ac:dyDescent="0.25">
      <c r="A161" s="809" t="s">
        <v>538</v>
      </c>
      <c r="B161" s="1636" t="s">
        <v>1802</v>
      </c>
      <c r="C161" s="1637"/>
      <c r="D161" s="1637"/>
      <c r="E161" s="1638"/>
      <c r="F161" s="808" t="s">
        <v>703</v>
      </c>
      <c r="G161" s="1551">
        <f>BS!D92</f>
        <v>0</v>
      </c>
      <c r="H161" s="1555"/>
      <c r="I161" s="1551">
        <f>BS!E92</f>
        <v>0</v>
      </c>
      <c r="J161" s="1552"/>
    </row>
    <row r="162" spans="1:10" ht="27.75" customHeight="1" x14ac:dyDescent="0.25">
      <c r="A162" s="809" t="s">
        <v>541</v>
      </c>
      <c r="B162" s="1636" t="s">
        <v>1803</v>
      </c>
      <c r="C162" s="1637"/>
      <c r="D162" s="1637"/>
      <c r="E162" s="1638"/>
      <c r="F162" s="808" t="s">
        <v>705</v>
      </c>
      <c r="G162" s="1551">
        <f>BS!D93</f>
        <v>0</v>
      </c>
      <c r="H162" s="1555"/>
      <c r="I162" s="1551">
        <f>BS!E93</f>
        <v>0</v>
      </c>
      <c r="J162" s="1552"/>
    </row>
    <row r="163" spans="1:10" ht="27.75" customHeight="1" x14ac:dyDescent="0.25">
      <c r="A163" s="809" t="s">
        <v>544</v>
      </c>
      <c r="B163" s="1636" t="s">
        <v>1804</v>
      </c>
      <c r="C163" s="1637"/>
      <c r="D163" s="1637"/>
      <c r="E163" s="1638"/>
      <c r="F163" s="808" t="s">
        <v>707</v>
      </c>
      <c r="G163" s="1551">
        <f>BS!D94</f>
        <v>0</v>
      </c>
      <c r="H163" s="1555"/>
      <c r="I163" s="1551">
        <f>BS!E94</f>
        <v>0</v>
      </c>
      <c r="J163" s="1552"/>
    </row>
    <row r="164" spans="1:10" ht="27.75" customHeight="1" x14ac:dyDescent="0.25">
      <c r="A164" s="812" t="s">
        <v>574</v>
      </c>
      <c r="B164" s="1645" t="s">
        <v>1805</v>
      </c>
      <c r="C164" s="1646"/>
      <c r="D164" s="1646"/>
      <c r="E164" s="1647"/>
      <c r="F164" s="813" t="s">
        <v>709</v>
      </c>
      <c r="G164" s="1551">
        <f>BS!D95</f>
        <v>664</v>
      </c>
      <c r="H164" s="1555"/>
      <c r="I164" s="1551">
        <f>BS!E95</f>
        <v>332</v>
      </c>
      <c r="J164" s="1552"/>
    </row>
    <row r="165" spans="1:10" ht="27.75" customHeight="1" x14ac:dyDescent="0.25">
      <c r="A165" s="809" t="s">
        <v>577</v>
      </c>
      <c r="B165" s="1636" t="s">
        <v>1806</v>
      </c>
      <c r="C165" s="1637"/>
      <c r="D165" s="1637"/>
      <c r="E165" s="1638"/>
      <c r="F165" s="808" t="s">
        <v>711</v>
      </c>
      <c r="G165" s="1551">
        <f>BS!D96</f>
        <v>664</v>
      </c>
      <c r="H165" s="1555"/>
      <c r="I165" s="1551">
        <f>BS!E96</f>
        <v>332</v>
      </c>
      <c r="J165" s="1552"/>
    </row>
    <row r="166" spans="1:10" ht="27.75" customHeight="1" x14ac:dyDescent="0.25">
      <c r="A166" s="809" t="s">
        <v>532</v>
      </c>
      <c r="B166" s="1636" t="s">
        <v>1807</v>
      </c>
      <c r="C166" s="1637"/>
      <c r="D166" s="1637"/>
      <c r="E166" s="1638"/>
      <c r="F166" s="808" t="s">
        <v>713</v>
      </c>
      <c r="G166" s="1551">
        <f>BS!D97</f>
        <v>0</v>
      </c>
      <c r="H166" s="1555"/>
      <c r="I166" s="1551">
        <f>BS!E97</f>
        <v>0</v>
      </c>
      <c r="J166" s="1552"/>
    </row>
    <row r="167" spans="1:10" s="499" customFormat="1" ht="27.75" customHeight="1" x14ac:dyDescent="0.25">
      <c r="A167" s="809" t="s">
        <v>535</v>
      </c>
      <c r="B167" s="1636" t="s">
        <v>1808</v>
      </c>
      <c r="C167" s="1637"/>
      <c r="D167" s="1637"/>
      <c r="E167" s="1638"/>
      <c r="F167" s="808" t="s">
        <v>715</v>
      </c>
      <c r="G167" s="1551">
        <f>BS!D98</f>
        <v>0</v>
      </c>
      <c r="H167" s="1555"/>
      <c r="I167" s="1551">
        <f>BS!E98</f>
        <v>0</v>
      </c>
      <c r="J167" s="1552"/>
    </row>
    <row r="168" spans="1:10" ht="27.75" customHeight="1" x14ac:dyDescent="0.25">
      <c r="A168" s="812" t="s">
        <v>716</v>
      </c>
      <c r="B168" s="1645" t="s">
        <v>1809</v>
      </c>
      <c r="C168" s="1646"/>
      <c r="D168" s="1646"/>
      <c r="E168" s="1647"/>
      <c r="F168" s="813" t="s">
        <v>718</v>
      </c>
      <c r="G168" s="1551">
        <f>BS!D99</f>
        <v>0</v>
      </c>
      <c r="H168" s="1555"/>
      <c r="I168" s="1551">
        <f>BS!E99</f>
        <v>0</v>
      </c>
      <c r="J168" s="1552"/>
    </row>
    <row r="169" spans="1:10" ht="27.75" customHeight="1" x14ac:dyDescent="0.25">
      <c r="A169" s="563" t="s">
        <v>719</v>
      </c>
      <c r="B169" s="1636" t="s">
        <v>1810</v>
      </c>
      <c r="C169" s="1637"/>
      <c r="D169" s="1637"/>
      <c r="E169" s="1638"/>
      <c r="F169" s="808" t="s">
        <v>721</v>
      </c>
      <c r="G169" s="1551">
        <f>BS!D100</f>
        <v>0</v>
      </c>
      <c r="H169" s="1555"/>
      <c r="I169" s="1551">
        <f>BS!E100</f>
        <v>678700</v>
      </c>
      <c r="J169" s="1552"/>
    </row>
    <row r="170" spans="1:10" ht="27.75" customHeight="1" x14ac:dyDescent="0.25">
      <c r="A170" s="809" t="s">
        <v>532</v>
      </c>
      <c r="B170" s="1636" t="s">
        <v>1811</v>
      </c>
      <c r="C170" s="1637"/>
      <c r="D170" s="1637"/>
      <c r="E170" s="1638"/>
      <c r="F170" s="808" t="s">
        <v>723</v>
      </c>
      <c r="G170" s="1551">
        <f>BS!D101</f>
        <v>0</v>
      </c>
      <c r="H170" s="1555"/>
      <c r="I170" s="1551">
        <f>BS!E101</f>
        <v>0</v>
      </c>
      <c r="J170" s="1552"/>
    </row>
    <row r="171" spans="1:10" s="499" customFormat="1" ht="31.5" customHeight="1" x14ac:dyDescent="0.25">
      <c r="A171" s="812" t="s">
        <v>724</v>
      </c>
      <c r="B171" s="1645" t="s">
        <v>1812</v>
      </c>
      <c r="C171" s="1646"/>
      <c r="D171" s="1646"/>
      <c r="E171" s="1647"/>
      <c r="F171" s="813" t="s">
        <v>726</v>
      </c>
      <c r="G171" s="1551">
        <f>BS!D102</f>
        <v>602504</v>
      </c>
      <c r="H171" s="1555"/>
      <c r="I171" s="1551">
        <f>BS!E102</f>
        <v>631593</v>
      </c>
      <c r="J171" s="1552"/>
    </row>
    <row r="172" spans="1:10" ht="27.75" customHeight="1" x14ac:dyDescent="0.25">
      <c r="A172" s="812" t="s">
        <v>594</v>
      </c>
      <c r="B172" s="1645" t="s">
        <v>1813</v>
      </c>
      <c r="C172" s="1646"/>
      <c r="D172" s="1646"/>
      <c r="E172" s="1647"/>
      <c r="F172" s="813" t="s">
        <v>728</v>
      </c>
      <c r="G172" s="1551">
        <f>BS!D103</f>
        <v>3973954</v>
      </c>
      <c r="H172" s="1555"/>
      <c r="I172" s="1551">
        <f>BS!E103</f>
        <v>2843290</v>
      </c>
      <c r="J172" s="1552"/>
    </row>
    <row r="173" spans="1:10" ht="27.75" customHeight="1" x14ac:dyDescent="0.25">
      <c r="A173" s="812" t="s">
        <v>597</v>
      </c>
      <c r="B173" s="1645" t="s">
        <v>1814</v>
      </c>
      <c r="C173" s="1646"/>
      <c r="D173" s="1646"/>
      <c r="E173" s="1647"/>
      <c r="F173" s="813" t="s">
        <v>730</v>
      </c>
      <c r="G173" s="1551">
        <f>BS!D104</f>
        <v>100876</v>
      </c>
      <c r="H173" s="1555"/>
      <c r="I173" s="1551">
        <f>BS!E104</f>
        <v>131269</v>
      </c>
      <c r="J173" s="1552"/>
    </row>
    <row r="174" spans="1:10" s="499" customFormat="1" ht="27.75" customHeight="1" x14ac:dyDescent="0.25">
      <c r="A174" s="818" t="s">
        <v>600</v>
      </c>
      <c r="B174" s="1636" t="s">
        <v>1815</v>
      </c>
      <c r="C174" s="1637"/>
      <c r="D174" s="1637"/>
      <c r="E174" s="1638"/>
      <c r="F174" s="808" t="s">
        <v>732</v>
      </c>
      <c r="G174" s="1551">
        <f>BS!D105</f>
        <v>0</v>
      </c>
      <c r="H174" s="1555"/>
      <c r="I174" s="1551">
        <f>BS!E105</f>
        <v>0</v>
      </c>
      <c r="J174" s="1552"/>
    </row>
    <row r="175" spans="1:10" s="499" customFormat="1" ht="27.75" customHeight="1" x14ac:dyDescent="0.25">
      <c r="A175" s="809" t="s">
        <v>532</v>
      </c>
      <c r="B175" s="1636" t="s">
        <v>1816</v>
      </c>
      <c r="C175" s="1637"/>
      <c r="D175" s="1637"/>
      <c r="E175" s="1638"/>
      <c r="F175" s="808" t="s">
        <v>734</v>
      </c>
      <c r="G175" s="1551">
        <f>BS!D106</f>
        <v>62550</v>
      </c>
      <c r="H175" s="1555"/>
      <c r="I175" s="1551">
        <f>BS!E106</f>
        <v>34586</v>
      </c>
      <c r="J175" s="1552"/>
    </row>
    <row r="176" spans="1:10" s="499" customFormat="1" ht="27.75" customHeight="1" x14ac:dyDescent="0.25">
      <c r="A176" s="809" t="s">
        <v>535</v>
      </c>
      <c r="B176" s="1636" t="s">
        <v>1817</v>
      </c>
      <c r="C176" s="1637"/>
      <c r="D176" s="1637"/>
      <c r="E176" s="1638"/>
      <c r="F176" s="808" t="s">
        <v>736</v>
      </c>
      <c r="G176" s="1551">
        <f>BS!D107</f>
        <v>0</v>
      </c>
      <c r="H176" s="1555"/>
      <c r="I176" s="1551">
        <f>BS!E107</f>
        <v>0</v>
      </c>
      <c r="J176" s="1552"/>
    </row>
    <row r="177" spans="1:10" ht="27.75" customHeight="1" x14ac:dyDescent="0.25">
      <c r="A177" s="809" t="s">
        <v>538</v>
      </c>
      <c r="B177" s="1636" t="s">
        <v>1818</v>
      </c>
      <c r="C177" s="1637"/>
      <c r="D177" s="1637"/>
      <c r="E177" s="1638"/>
      <c r="F177" s="808" t="s">
        <v>738</v>
      </c>
      <c r="G177" s="1551">
        <f>BS!D108</f>
        <v>38326</v>
      </c>
      <c r="H177" s="1555"/>
      <c r="I177" s="1551">
        <f>BS!E108</f>
        <v>96683</v>
      </c>
      <c r="J177" s="1552"/>
    </row>
    <row r="178" spans="1:10" ht="25.5" customHeight="1" thickBot="1" x14ac:dyDescent="0.3">
      <c r="A178" s="561" t="s">
        <v>613</v>
      </c>
      <c r="B178" s="1706" t="s">
        <v>1819</v>
      </c>
      <c r="C178" s="1707"/>
      <c r="D178" s="1707"/>
      <c r="E178" s="1708"/>
      <c r="F178" s="560" t="s">
        <v>740</v>
      </c>
      <c r="G178" s="1642">
        <f>BS!D109</f>
        <v>2814</v>
      </c>
      <c r="H178" s="1643"/>
      <c r="I178" s="1642">
        <f>BS!E109</f>
        <v>10823</v>
      </c>
      <c r="J178" s="1644"/>
    </row>
    <row r="179" spans="1:10" ht="30" customHeight="1" x14ac:dyDescent="0.15">
      <c r="A179" s="567" t="s">
        <v>1722</v>
      </c>
      <c r="B179" s="1565" t="s">
        <v>1789</v>
      </c>
      <c r="C179" s="1705"/>
      <c r="D179" s="1705"/>
      <c r="E179" s="1661"/>
      <c r="F179" s="566" t="s">
        <v>1724</v>
      </c>
      <c r="G179" s="1565" t="s">
        <v>1790</v>
      </c>
      <c r="H179" s="1661"/>
      <c r="I179" s="1556" t="s">
        <v>1791</v>
      </c>
      <c r="J179" s="1557"/>
    </row>
    <row r="180" spans="1:10" ht="27.75" customHeight="1" x14ac:dyDescent="0.25">
      <c r="A180" s="818" t="s">
        <v>616</v>
      </c>
      <c r="B180" s="1636" t="s">
        <v>1820</v>
      </c>
      <c r="C180" s="1637"/>
      <c r="D180" s="1637"/>
      <c r="E180" s="1638"/>
      <c r="F180" s="808" t="s">
        <v>742</v>
      </c>
      <c r="G180" s="1551">
        <f>BS!D110</f>
        <v>0</v>
      </c>
      <c r="H180" s="1555"/>
      <c r="I180" s="1551">
        <f>BS!E110</f>
        <v>0</v>
      </c>
      <c r="J180" s="1552"/>
    </row>
    <row r="181" spans="1:10" ht="27.75" customHeight="1" x14ac:dyDescent="0.25">
      <c r="A181" s="809" t="s">
        <v>532</v>
      </c>
      <c r="B181" s="1572" t="s">
        <v>1767</v>
      </c>
      <c r="C181" s="1608"/>
      <c r="D181" s="1608"/>
      <c r="E181" s="1608"/>
      <c r="F181" s="808" t="s">
        <v>743</v>
      </c>
      <c r="G181" s="1551">
        <f>BS!D111</f>
        <v>0</v>
      </c>
      <c r="H181" s="1555"/>
      <c r="I181" s="1551">
        <f>BS!E111</f>
        <v>0</v>
      </c>
      <c r="J181" s="1552"/>
    </row>
    <row r="182" spans="1:10" s="499" customFormat="1" ht="27.75" customHeight="1" x14ac:dyDescent="0.25">
      <c r="A182" s="809" t="s">
        <v>535</v>
      </c>
      <c r="B182" s="1636" t="s">
        <v>1821</v>
      </c>
      <c r="C182" s="1637"/>
      <c r="D182" s="1637"/>
      <c r="E182" s="1638"/>
      <c r="F182" s="808" t="s">
        <v>745</v>
      </c>
      <c r="G182" s="1551">
        <f>BS!D112</f>
        <v>0</v>
      </c>
      <c r="H182" s="1555"/>
      <c r="I182" s="1551">
        <f>BS!E112</f>
        <v>0</v>
      </c>
      <c r="J182" s="1552"/>
    </row>
    <row r="183" spans="1:10" ht="27.75" customHeight="1" x14ac:dyDescent="0.25">
      <c r="A183" s="809" t="s">
        <v>538</v>
      </c>
      <c r="B183" s="1636" t="s">
        <v>1822</v>
      </c>
      <c r="C183" s="1637"/>
      <c r="D183" s="1637"/>
      <c r="E183" s="1638"/>
      <c r="F183" s="808" t="s">
        <v>747</v>
      </c>
      <c r="G183" s="1551">
        <f>BS!D113</f>
        <v>0</v>
      </c>
      <c r="H183" s="1555"/>
      <c r="I183" s="1551">
        <f>BS!E113</f>
        <v>0</v>
      </c>
      <c r="J183" s="1552"/>
    </row>
    <row r="184" spans="1:10" ht="27.75" customHeight="1" x14ac:dyDescent="0.25">
      <c r="A184" s="809" t="s">
        <v>541</v>
      </c>
      <c r="B184" s="1636" t="s">
        <v>1823</v>
      </c>
      <c r="C184" s="1637"/>
      <c r="D184" s="1637"/>
      <c r="E184" s="1638"/>
      <c r="F184" s="808" t="s">
        <v>749</v>
      </c>
      <c r="G184" s="1551">
        <f>BS!D114</f>
        <v>0</v>
      </c>
      <c r="H184" s="1555"/>
      <c r="I184" s="1551">
        <f>BS!E114</f>
        <v>0</v>
      </c>
      <c r="J184" s="1552"/>
    </row>
    <row r="185" spans="1:10" ht="27.75" customHeight="1" x14ac:dyDescent="0.25">
      <c r="A185" s="809" t="s">
        <v>544</v>
      </c>
      <c r="B185" s="1636" t="s">
        <v>1824</v>
      </c>
      <c r="C185" s="1637"/>
      <c r="D185" s="1637"/>
      <c r="E185" s="1638"/>
      <c r="F185" s="808" t="s">
        <v>751</v>
      </c>
      <c r="G185" s="1551">
        <f>BS!D115</f>
        <v>0</v>
      </c>
      <c r="H185" s="1555"/>
      <c r="I185" s="1551">
        <f>BS!E115</f>
        <v>0</v>
      </c>
      <c r="J185" s="1552"/>
    </row>
    <row r="186" spans="1:10" ht="27.75" customHeight="1" x14ac:dyDescent="0.25">
      <c r="A186" s="809" t="s">
        <v>547</v>
      </c>
      <c r="B186" s="1636" t="s">
        <v>1825</v>
      </c>
      <c r="C186" s="1637"/>
      <c r="D186" s="1637"/>
      <c r="E186" s="1638"/>
      <c r="F186" s="808" t="s">
        <v>753</v>
      </c>
      <c r="G186" s="1551">
        <f>BS!D116</f>
        <v>0</v>
      </c>
      <c r="H186" s="1555"/>
      <c r="I186" s="1551">
        <f>BS!E116</f>
        <v>0</v>
      </c>
      <c r="J186" s="1552"/>
    </row>
    <row r="187" spans="1:10" ht="27.75" customHeight="1" x14ac:dyDescent="0.25">
      <c r="A187" s="809" t="s">
        <v>568</v>
      </c>
      <c r="B187" s="1636" t="s">
        <v>1826</v>
      </c>
      <c r="C187" s="1637"/>
      <c r="D187" s="1637"/>
      <c r="E187" s="1638"/>
      <c r="F187" s="808" t="s">
        <v>755</v>
      </c>
      <c r="G187" s="1551">
        <f>BS!D117</f>
        <v>0</v>
      </c>
      <c r="H187" s="1555"/>
      <c r="I187" s="1551">
        <f>BS!E117</f>
        <v>0</v>
      </c>
      <c r="J187" s="1552"/>
    </row>
    <row r="188" spans="1:10" ht="27.75" customHeight="1" x14ac:dyDescent="0.25">
      <c r="A188" s="809" t="s">
        <v>571</v>
      </c>
      <c r="B188" s="1636" t="s">
        <v>1827</v>
      </c>
      <c r="C188" s="1637"/>
      <c r="D188" s="1637"/>
      <c r="E188" s="1638"/>
      <c r="F188" s="808" t="s">
        <v>757</v>
      </c>
      <c r="G188" s="1551">
        <f>BS!D118</f>
        <v>77</v>
      </c>
      <c r="H188" s="1555"/>
      <c r="I188" s="1551">
        <f>BS!E118</f>
        <v>28</v>
      </c>
      <c r="J188" s="1552"/>
    </row>
    <row r="189" spans="1:10" ht="27.75" customHeight="1" x14ac:dyDescent="0.25">
      <c r="A189" s="809" t="s">
        <v>758</v>
      </c>
      <c r="B189" s="1636" t="s">
        <v>1828</v>
      </c>
      <c r="C189" s="1637"/>
      <c r="D189" s="1637"/>
      <c r="E189" s="1638"/>
      <c r="F189" s="808" t="s">
        <v>760</v>
      </c>
      <c r="G189" s="1551">
        <f>BS!D119</f>
        <v>2737</v>
      </c>
      <c r="H189" s="1555"/>
      <c r="I189" s="1551">
        <f>BS!E119</f>
        <v>10795</v>
      </c>
      <c r="J189" s="1552"/>
    </row>
    <row r="190" spans="1:10" ht="27.75" customHeight="1" x14ac:dyDescent="0.25">
      <c r="A190" s="809" t="s">
        <v>761</v>
      </c>
      <c r="B190" s="1636" t="s">
        <v>1829</v>
      </c>
      <c r="C190" s="1637"/>
      <c r="D190" s="1637"/>
      <c r="E190" s="1638"/>
      <c r="F190" s="808" t="s">
        <v>763</v>
      </c>
      <c r="G190" s="1551">
        <f>BS!D120</f>
        <v>0</v>
      </c>
      <c r="H190" s="1555"/>
      <c r="I190" s="1551">
        <f>BS!E120</f>
        <v>0</v>
      </c>
      <c r="J190" s="1552"/>
    </row>
    <row r="191" spans="1:10" ht="27.75" customHeight="1" x14ac:dyDescent="0.25">
      <c r="A191" s="812" t="s">
        <v>631</v>
      </c>
      <c r="B191" s="1645" t="s">
        <v>1830</v>
      </c>
      <c r="C191" s="1646"/>
      <c r="D191" s="1646"/>
      <c r="E191" s="1647"/>
      <c r="F191" s="808" t="s">
        <v>765</v>
      </c>
      <c r="G191" s="1551">
        <f>BS!D121</f>
        <v>3870264</v>
      </c>
      <c r="H191" s="1555"/>
      <c r="I191" s="1551">
        <f>BS!E121</f>
        <v>2701198</v>
      </c>
      <c r="J191" s="1552"/>
    </row>
    <row r="192" spans="1:10" ht="27.75" customHeight="1" x14ac:dyDescent="0.25">
      <c r="A192" s="809" t="s">
        <v>634</v>
      </c>
      <c r="B192" s="1636" t="s">
        <v>1831</v>
      </c>
      <c r="C192" s="1637"/>
      <c r="D192" s="1637"/>
      <c r="E192" s="1638"/>
      <c r="F192" s="808" t="s">
        <v>767</v>
      </c>
      <c r="G192" s="1551">
        <f>BS!D122</f>
        <v>2440560</v>
      </c>
      <c r="H192" s="1555"/>
      <c r="I192" s="1551">
        <f>BS!E122</f>
        <v>2158603</v>
      </c>
      <c r="J192" s="1552"/>
    </row>
    <row r="193" spans="1:10" ht="27.75" customHeight="1" x14ac:dyDescent="0.25">
      <c r="A193" s="809" t="s">
        <v>532</v>
      </c>
      <c r="B193" s="1572" t="s">
        <v>1767</v>
      </c>
      <c r="C193" s="1608"/>
      <c r="D193" s="1608"/>
      <c r="E193" s="1608"/>
      <c r="F193" s="808" t="s">
        <v>768</v>
      </c>
      <c r="G193" s="1551">
        <f>BS!D123</f>
        <v>0</v>
      </c>
      <c r="H193" s="1555"/>
      <c r="I193" s="1551">
        <f>BS!E123</f>
        <v>0</v>
      </c>
      <c r="J193" s="1552"/>
    </row>
    <row r="194" spans="1:10" ht="27.75" customHeight="1" x14ac:dyDescent="0.25">
      <c r="A194" s="809" t="s">
        <v>535</v>
      </c>
      <c r="B194" s="1636" t="s">
        <v>1832</v>
      </c>
      <c r="C194" s="1637"/>
      <c r="D194" s="1637"/>
      <c r="E194" s="1638"/>
      <c r="F194" s="808" t="s">
        <v>770</v>
      </c>
      <c r="G194" s="1551">
        <f>BS!D124</f>
        <v>-27836</v>
      </c>
      <c r="H194" s="1555"/>
      <c r="I194" s="1551">
        <f>BS!E124</f>
        <v>-61063</v>
      </c>
      <c r="J194" s="1552"/>
    </row>
    <row r="195" spans="1:10" s="499" customFormat="1" ht="27.75" customHeight="1" x14ac:dyDescent="0.25">
      <c r="A195" s="809" t="s">
        <v>538</v>
      </c>
      <c r="B195" s="1636" t="s">
        <v>1833</v>
      </c>
      <c r="C195" s="1637"/>
      <c r="D195" s="1637"/>
      <c r="E195" s="1638"/>
      <c r="F195" s="808" t="s">
        <v>772</v>
      </c>
      <c r="G195" s="1551">
        <f>BS!D125</f>
        <v>0</v>
      </c>
      <c r="H195" s="1555"/>
      <c r="I195" s="1551">
        <f>BS!E125</f>
        <v>0</v>
      </c>
      <c r="J195" s="1552"/>
    </row>
    <row r="196" spans="1:10" ht="27.75" customHeight="1" x14ac:dyDescent="0.25">
      <c r="A196" s="809" t="s">
        <v>541</v>
      </c>
      <c r="B196" s="1636" t="s">
        <v>1834</v>
      </c>
      <c r="C196" s="1637"/>
      <c r="D196" s="1637"/>
      <c r="E196" s="1638"/>
      <c r="F196" s="808" t="s">
        <v>774</v>
      </c>
      <c r="G196" s="1551">
        <f>BS!D126</f>
        <v>0</v>
      </c>
      <c r="H196" s="1555"/>
      <c r="I196" s="1551">
        <f>BS!E126</f>
        <v>0</v>
      </c>
      <c r="J196" s="1552"/>
    </row>
    <row r="197" spans="1:10" ht="28.5" customHeight="1" x14ac:dyDescent="0.25">
      <c r="A197" s="809" t="s">
        <v>544</v>
      </c>
      <c r="B197" s="1636" t="s">
        <v>1835</v>
      </c>
      <c r="C197" s="1637"/>
      <c r="D197" s="1637"/>
      <c r="E197" s="1638"/>
      <c r="F197" s="808" t="s">
        <v>776</v>
      </c>
      <c r="G197" s="1551">
        <f>BS!D127</f>
        <v>1410651</v>
      </c>
      <c r="H197" s="1555"/>
      <c r="I197" s="1551">
        <f>BS!E127</f>
        <v>550689</v>
      </c>
      <c r="J197" s="1552"/>
    </row>
    <row r="198" spans="1:10" ht="27.75" customHeight="1" x14ac:dyDescent="0.25">
      <c r="A198" s="809" t="s">
        <v>547</v>
      </c>
      <c r="B198" s="1636" t="s">
        <v>1836</v>
      </c>
      <c r="C198" s="1637"/>
      <c r="D198" s="1637"/>
      <c r="E198" s="1638"/>
      <c r="F198" s="808" t="s">
        <v>778</v>
      </c>
      <c r="G198" s="1551">
        <f>BS!D128</f>
        <v>21827</v>
      </c>
      <c r="H198" s="1555"/>
      <c r="I198" s="1551">
        <f>BS!E128</f>
        <v>23985</v>
      </c>
      <c r="J198" s="1552"/>
    </row>
    <row r="199" spans="1:10" ht="27.75" customHeight="1" x14ac:dyDescent="0.25">
      <c r="A199" s="809" t="s">
        <v>568</v>
      </c>
      <c r="B199" s="1636" t="s">
        <v>1837</v>
      </c>
      <c r="C199" s="1637"/>
      <c r="D199" s="1637"/>
      <c r="E199" s="1638"/>
      <c r="F199" s="808" t="s">
        <v>780</v>
      </c>
      <c r="G199" s="1551">
        <f>BS!D129</f>
        <v>11108</v>
      </c>
      <c r="H199" s="1555"/>
      <c r="I199" s="1551">
        <f>BS!E129</f>
        <v>13969</v>
      </c>
      <c r="J199" s="1552"/>
    </row>
    <row r="200" spans="1:10" ht="27.75" customHeight="1" x14ac:dyDescent="0.25">
      <c r="A200" s="809" t="s">
        <v>571</v>
      </c>
      <c r="B200" s="1636" t="s">
        <v>1838</v>
      </c>
      <c r="C200" s="1637"/>
      <c r="D200" s="1637"/>
      <c r="E200" s="1638"/>
      <c r="F200" s="808" t="s">
        <v>782</v>
      </c>
      <c r="G200" s="1551">
        <f>BS!D130</f>
        <v>5571</v>
      </c>
      <c r="H200" s="1555"/>
      <c r="I200" s="1551">
        <f>BS!E130</f>
        <v>5166</v>
      </c>
      <c r="J200" s="1552"/>
    </row>
    <row r="201" spans="1:10" ht="27.75" customHeight="1" x14ac:dyDescent="0.25">
      <c r="A201" s="809" t="s">
        <v>758</v>
      </c>
      <c r="B201" s="1636" t="s">
        <v>1839</v>
      </c>
      <c r="C201" s="1637"/>
      <c r="D201" s="1637"/>
      <c r="E201" s="1638"/>
      <c r="F201" s="808" t="s">
        <v>784</v>
      </c>
      <c r="G201" s="1551">
        <f>BS!D131</f>
        <v>8383</v>
      </c>
      <c r="H201" s="1555"/>
      <c r="I201" s="1551">
        <f>BS!E131</f>
        <v>9849</v>
      </c>
      <c r="J201" s="1552"/>
    </row>
    <row r="202" spans="1:10" ht="27.75" customHeight="1" x14ac:dyDescent="0.25">
      <c r="A202" s="812" t="s">
        <v>649</v>
      </c>
      <c r="B202" s="1645" t="s">
        <v>1840</v>
      </c>
      <c r="C202" s="1646"/>
      <c r="D202" s="1646"/>
      <c r="E202" s="1647"/>
      <c r="F202" s="808" t="s">
        <v>786</v>
      </c>
      <c r="G202" s="1551">
        <f>BS!D132</f>
        <v>0</v>
      </c>
      <c r="H202" s="1555"/>
      <c r="I202" s="1551">
        <f>BS!E132</f>
        <v>0</v>
      </c>
      <c r="J202" s="1552"/>
    </row>
    <row r="203" spans="1:10" ht="27.75" customHeight="1" x14ac:dyDescent="0.25">
      <c r="A203" s="816" t="s">
        <v>787</v>
      </c>
      <c r="B203" s="1645" t="s">
        <v>1841</v>
      </c>
      <c r="C203" s="1646"/>
      <c r="D203" s="1646"/>
      <c r="E203" s="1647"/>
      <c r="F203" s="808" t="s">
        <v>789</v>
      </c>
      <c r="G203" s="1551">
        <f>BS!D133</f>
        <v>0</v>
      </c>
      <c r="H203" s="1555"/>
      <c r="I203" s="1551">
        <f>BS!E133</f>
        <v>0</v>
      </c>
      <c r="J203" s="1552"/>
    </row>
    <row r="204" spans="1:10" ht="27.75" customHeight="1" x14ac:dyDescent="0.25">
      <c r="A204" s="809" t="s">
        <v>790</v>
      </c>
      <c r="B204" s="1636" t="s">
        <v>1842</v>
      </c>
      <c r="C204" s="1637"/>
      <c r="D204" s="1637"/>
      <c r="E204" s="1638"/>
      <c r="F204" s="808" t="s">
        <v>792</v>
      </c>
      <c r="G204" s="1551">
        <f>BS!D134</f>
        <v>0</v>
      </c>
      <c r="H204" s="1555"/>
      <c r="I204" s="1551">
        <f>BS!E134</f>
        <v>0</v>
      </c>
      <c r="J204" s="1552"/>
    </row>
    <row r="205" spans="1:10" s="499" customFormat="1" ht="27.75" customHeight="1" x14ac:dyDescent="0.25">
      <c r="A205" s="809" t="s">
        <v>532</v>
      </c>
      <c r="B205" s="1636" t="s">
        <v>1843</v>
      </c>
      <c r="C205" s="1637"/>
      <c r="D205" s="1637"/>
      <c r="E205" s="1638"/>
      <c r="F205" s="808" t="s">
        <v>794</v>
      </c>
      <c r="G205" s="1551">
        <f>BS!D135</f>
        <v>0</v>
      </c>
      <c r="H205" s="1555"/>
      <c r="I205" s="1551">
        <f>BS!E135</f>
        <v>0</v>
      </c>
      <c r="J205" s="1552"/>
    </row>
    <row r="206" spans="1:10" ht="27.75" customHeight="1" x14ac:dyDescent="0.25">
      <c r="A206" s="812" t="s">
        <v>663</v>
      </c>
      <c r="B206" s="1645" t="s">
        <v>1844</v>
      </c>
      <c r="C206" s="1646"/>
      <c r="D206" s="1646"/>
      <c r="E206" s="1647"/>
      <c r="F206" s="808" t="s">
        <v>796</v>
      </c>
      <c r="G206" s="1551">
        <f>BS!D136</f>
        <v>0</v>
      </c>
      <c r="H206" s="1555"/>
      <c r="I206" s="1551">
        <f>BS!E136</f>
        <v>0</v>
      </c>
      <c r="J206" s="1552"/>
    </row>
    <row r="207" spans="1:10" ht="27.75" customHeight="1" x14ac:dyDescent="0.25">
      <c r="A207" s="818" t="s">
        <v>666</v>
      </c>
      <c r="B207" s="1636" t="s">
        <v>1845</v>
      </c>
      <c r="C207" s="1637"/>
      <c r="D207" s="1637"/>
      <c r="E207" s="1638"/>
      <c r="F207" s="808" t="s">
        <v>798</v>
      </c>
      <c r="G207" s="1551">
        <f>BS!D137</f>
        <v>0</v>
      </c>
      <c r="H207" s="1555"/>
      <c r="I207" s="1551">
        <f>BS!E137</f>
        <v>0</v>
      </c>
      <c r="J207" s="1552"/>
    </row>
    <row r="208" spans="1:10" ht="27.75" customHeight="1" x14ac:dyDescent="0.25">
      <c r="A208" s="809" t="s">
        <v>532</v>
      </c>
      <c r="B208" s="1636" t="s">
        <v>1846</v>
      </c>
      <c r="C208" s="1637"/>
      <c r="D208" s="1637"/>
      <c r="E208" s="1638"/>
      <c r="F208" s="808" t="s">
        <v>800</v>
      </c>
      <c r="G208" s="1551">
        <f>BS!D138</f>
        <v>0</v>
      </c>
      <c r="H208" s="1555"/>
      <c r="I208" s="1551">
        <f>BS!E138</f>
        <v>0</v>
      </c>
      <c r="J208" s="1552"/>
    </row>
    <row r="209" spans="1:10" s="499" customFormat="1" ht="27.75" customHeight="1" x14ac:dyDescent="0.25">
      <c r="A209" s="809" t="s">
        <v>535</v>
      </c>
      <c r="B209" s="1636" t="s">
        <v>1847</v>
      </c>
      <c r="C209" s="1637"/>
      <c r="D209" s="1637"/>
      <c r="E209" s="1638"/>
      <c r="F209" s="808" t="s">
        <v>802</v>
      </c>
      <c r="G209" s="1551">
        <f>BS!D139</f>
        <v>0</v>
      </c>
      <c r="H209" s="1555"/>
      <c r="I209" s="1551">
        <f>BS!E139</f>
        <v>0</v>
      </c>
      <c r="J209" s="1552"/>
    </row>
    <row r="210" spans="1:10" ht="27.75" customHeight="1" thickBot="1" x14ac:dyDescent="0.3">
      <c r="A210" s="553" t="s">
        <v>538</v>
      </c>
      <c r="B210" s="1639" t="s">
        <v>1848</v>
      </c>
      <c r="C210" s="1640"/>
      <c r="D210" s="1640"/>
      <c r="E210" s="1641"/>
      <c r="F210" s="808" t="s">
        <v>804</v>
      </c>
      <c r="G210" s="1642">
        <f>BS!D140</f>
        <v>0</v>
      </c>
      <c r="H210" s="1643"/>
      <c r="I210" s="1642">
        <f>BS!E140</f>
        <v>0</v>
      </c>
      <c r="J210" s="1644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SheetLayoutView="100" workbookViewId="0"/>
  </sheetViews>
  <sheetFormatPr defaultRowHeight="12.75" x14ac:dyDescent="0.25"/>
  <cols>
    <col min="1" max="10" width="2.5703125" style="820" customWidth="1"/>
    <col min="11" max="11" width="3.42578125" style="820" customWidth="1"/>
    <col min="12" max="36" width="2.5703125" style="820" customWidth="1"/>
    <col min="37" max="37" width="2.140625" style="820" customWidth="1"/>
    <col min="38" max="38" width="1.85546875" style="820" customWidth="1"/>
    <col min="39" max="39" width="2.140625" style="820" customWidth="1"/>
    <col min="40" max="45" width="2.5703125" style="820" customWidth="1"/>
    <col min="46" max="46" width="7.7109375" style="820" customWidth="1"/>
    <col min="47" max="61" width="2.5703125" style="820" customWidth="1"/>
    <col min="62" max="16384" width="9.140625" style="820"/>
  </cols>
  <sheetData>
    <row r="1" spans="1:38" x14ac:dyDescent="0.25">
      <c r="B1" s="819" t="s">
        <v>1321</v>
      </c>
    </row>
    <row r="2" spans="1:38" s="549" customFormat="1" ht="18.75" thickBot="1" x14ac:dyDescent="0.3">
      <c r="C2" s="819"/>
      <c r="N2" s="545" t="s">
        <v>1849</v>
      </c>
    </row>
    <row r="3" spans="1:38" s="446" customFormat="1" ht="21" customHeight="1" thickBot="1" x14ac:dyDescent="0.3">
      <c r="B3" s="889" t="s">
        <v>1850</v>
      </c>
      <c r="C3" s="821"/>
      <c r="D3" s="822"/>
      <c r="E3" s="822"/>
      <c r="F3" s="822"/>
      <c r="G3" s="822"/>
      <c r="H3" s="822"/>
      <c r="I3" s="822"/>
      <c r="J3" s="823"/>
      <c r="K3" s="822"/>
      <c r="L3" s="824"/>
      <c r="N3" s="545" t="s">
        <v>1851</v>
      </c>
      <c r="Q3" s="545"/>
    </row>
    <row r="4" spans="1:38" ht="13.5" thickBot="1" x14ac:dyDescent="0.3"/>
    <row r="5" spans="1:38" ht="28.5" customHeight="1" thickBot="1" x14ac:dyDescent="0.3">
      <c r="K5" s="869" t="s">
        <v>1684</v>
      </c>
      <c r="L5" s="543" t="str">
        <f>+MID('Input data'!$B$11,1,1)</f>
        <v>3</v>
      </c>
      <c r="M5" s="543" t="str">
        <f>+MID('Input data'!$B$11,2,1)</f>
        <v>1</v>
      </c>
      <c r="N5" s="543" t="s">
        <v>1147</v>
      </c>
      <c r="O5" s="543" t="str">
        <f>LEFT('Input data'!B13,1)</f>
        <v>1</v>
      </c>
      <c r="P5" s="543" t="str">
        <f>RIGHT('Input data'!B13,1)</f>
        <v>2</v>
      </c>
      <c r="Q5" s="543" t="s">
        <v>1147</v>
      </c>
      <c r="R5" s="543" t="str">
        <f>+LEFT('Input data'!$B$14,1)</f>
        <v>2</v>
      </c>
      <c r="S5" s="543" t="str">
        <f>+MID('Input data'!$B$14,2,1)</f>
        <v>0</v>
      </c>
      <c r="T5" s="543" t="str">
        <f>+MID('Input data'!$B$14,3,1)</f>
        <v>1</v>
      </c>
      <c r="U5" s="543" t="str">
        <f>+MID('Input data'!$B$14,4,1)</f>
        <v>3</v>
      </c>
      <c r="V5" s="1696" t="s">
        <v>1685</v>
      </c>
      <c r="W5" s="1697"/>
      <c r="X5" s="1697"/>
      <c r="Y5" s="1697"/>
      <c r="Z5" s="1697"/>
      <c r="AA5" s="1698"/>
    </row>
    <row r="6" spans="1:38" ht="7.5" customHeight="1" thickBot="1" x14ac:dyDescent="0.3"/>
    <row r="7" spans="1:38" s="536" customFormat="1" ht="14.25" customHeight="1" x14ac:dyDescent="0.25">
      <c r="A7" s="539" t="s">
        <v>1686</v>
      </c>
      <c r="B7" s="539"/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38"/>
      <c r="S7" s="537"/>
      <c r="T7" s="538"/>
      <c r="U7" s="538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538"/>
      <c r="AI7" s="538"/>
      <c r="AJ7" s="538"/>
      <c r="AK7" s="538"/>
      <c r="AL7" s="537"/>
    </row>
    <row r="8" spans="1:38" s="536" customFormat="1" ht="14.25" customHeight="1" x14ac:dyDescent="0.25">
      <c r="A8" s="870" t="s">
        <v>1687</v>
      </c>
      <c r="B8" s="870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71"/>
      <c r="AF8" s="871"/>
      <c r="AG8" s="871"/>
      <c r="AH8" s="871"/>
      <c r="AI8" s="871"/>
      <c r="AJ8" s="871"/>
      <c r="AK8" s="871"/>
      <c r="AL8" s="872"/>
    </row>
    <row r="9" spans="1:38" s="876" customFormat="1" ht="15" customHeight="1" x14ac:dyDescent="0.25">
      <c r="A9" s="873" t="s">
        <v>1688</v>
      </c>
      <c r="B9" s="873"/>
      <c r="C9" s="874"/>
      <c r="D9" s="874"/>
      <c r="E9" s="874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74"/>
      <c r="Q9" s="874"/>
      <c r="R9" s="874"/>
      <c r="S9" s="875"/>
      <c r="T9" s="874"/>
      <c r="U9" s="874"/>
      <c r="V9" s="874"/>
      <c r="W9" s="874"/>
      <c r="X9" s="874"/>
      <c r="Y9" s="874"/>
      <c r="Z9" s="874"/>
      <c r="AA9" s="874"/>
      <c r="AB9" s="874"/>
      <c r="AC9" s="874"/>
      <c r="AD9" s="874"/>
      <c r="AE9" s="874"/>
      <c r="AF9" s="874"/>
      <c r="AG9" s="874"/>
      <c r="AH9" s="874"/>
      <c r="AI9" s="874"/>
      <c r="AJ9" s="874"/>
      <c r="AK9" s="874"/>
      <c r="AL9" s="872"/>
    </row>
    <row r="10" spans="1:38" s="531" customFormat="1" ht="18" customHeight="1" thickBot="1" x14ac:dyDescent="0.3">
      <c r="A10" s="534" t="s">
        <v>1151</v>
      </c>
      <c r="B10" s="534"/>
      <c r="C10" s="533"/>
      <c r="D10" s="533"/>
      <c r="E10" s="534"/>
      <c r="F10" s="533"/>
      <c r="G10" s="533"/>
      <c r="H10" s="533"/>
      <c r="I10" s="533"/>
      <c r="J10" s="533"/>
      <c r="K10" s="533"/>
      <c r="L10" s="533"/>
      <c r="M10" s="533"/>
      <c r="N10" s="533"/>
      <c r="O10" s="533"/>
      <c r="P10" s="533"/>
      <c r="Q10" s="533"/>
      <c r="R10" s="533"/>
      <c r="S10" s="532"/>
      <c r="T10" s="533"/>
      <c r="U10" s="533"/>
      <c r="V10" s="533"/>
      <c r="W10" s="533"/>
      <c r="X10" s="533"/>
      <c r="Y10" s="533"/>
      <c r="Z10" s="533"/>
      <c r="AA10" s="533"/>
      <c r="AB10" s="533"/>
      <c r="AC10" s="533"/>
      <c r="AD10" s="533"/>
      <c r="AE10" s="533"/>
      <c r="AF10" s="533"/>
      <c r="AG10" s="533"/>
      <c r="AH10" s="533"/>
      <c r="AI10" s="533"/>
      <c r="AJ10" s="533"/>
      <c r="AK10" s="533"/>
      <c r="AL10" s="532"/>
    </row>
    <row r="11" spans="1:38" s="511" customFormat="1" ht="3.75" customHeight="1" thickBot="1" x14ac:dyDescent="0.3"/>
    <row r="12" spans="1:38" s="511" customFormat="1" ht="14.25" customHeight="1" x14ac:dyDescent="0.25">
      <c r="A12" s="513" t="s">
        <v>1690</v>
      </c>
      <c r="B12" s="512"/>
      <c r="C12" s="512"/>
      <c r="D12" s="512"/>
      <c r="E12" s="512"/>
      <c r="F12" s="512"/>
      <c r="G12" s="512"/>
      <c r="H12" s="512"/>
      <c r="I12" s="456"/>
      <c r="J12" s="854"/>
      <c r="K12" s="529" t="s">
        <v>1691</v>
      </c>
      <c r="L12" s="512"/>
      <c r="M12" s="530"/>
      <c r="N12" s="530"/>
      <c r="O12" s="530"/>
      <c r="P12" s="512"/>
      <c r="Q12" s="529" t="s">
        <v>1691</v>
      </c>
      <c r="R12" s="512"/>
      <c r="S12" s="456"/>
      <c r="T12" s="512"/>
      <c r="U12" s="512"/>
      <c r="V12" s="855"/>
      <c r="W12" s="512"/>
      <c r="X12" s="512"/>
      <c r="Y12" s="512"/>
      <c r="Z12" s="512"/>
      <c r="AA12" s="512"/>
      <c r="AB12" s="512"/>
      <c r="AC12" s="512"/>
      <c r="AD12" s="529" t="s">
        <v>1692</v>
      </c>
      <c r="AE12" s="529"/>
      <c r="AF12" s="529"/>
      <c r="AG12" s="529" t="s">
        <v>1693</v>
      </c>
      <c r="AH12" s="512"/>
      <c r="AI12" s="512"/>
      <c r="AJ12" s="512"/>
      <c r="AK12" s="512"/>
      <c r="AL12" s="528"/>
    </row>
    <row r="13" spans="1:38" s="511" customFormat="1" ht="19.5" customHeight="1" x14ac:dyDescent="0.2">
      <c r="A13" s="525" t="str">
        <f>LEFT('Input data'!C24,1)</f>
        <v>2</v>
      </c>
      <c r="B13" s="490" t="str">
        <f>MID('Input data'!$C$24,2,1)</f>
        <v>0</v>
      </c>
      <c r="C13" s="490" t="str">
        <f>MID('Input data'!$C$24,3,1)</f>
        <v>2</v>
      </c>
      <c r="D13" s="490" t="str">
        <f>MID('Input data'!$C$24,4,1)</f>
        <v>2</v>
      </c>
      <c r="E13" s="490" t="str">
        <f>MID('Input data'!$C$24,5,1)</f>
        <v>3</v>
      </c>
      <c r="F13" s="490" t="str">
        <f>MID('Input data'!$C$24,6,1)</f>
        <v>0</v>
      </c>
      <c r="G13" s="490" t="str">
        <f>MID('Input data'!$C$24,7,1)</f>
        <v>4</v>
      </c>
      <c r="H13" s="490" t="str">
        <f>MID('Input data'!$C$24,8,1)</f>
        <v>1</v>
      </c>
      <c r="I13" s="490" t="str">
        <f>MID('Input data'!$C$24,9,1)</f>
        <v>5</v>
      </c>
      <c r="J13" s="856" t="str">
        <f>MID('Input data'!$C$24,10,1)</f>
        <v>2</v>
      </c>
      <c r="K13" s="857"/>
      <c r="L13" s="514"/>
      <c r="M13" s="514"/>
      <c r="N13" s="514"/>
      <c r="O13" s="514"/>
      <c r="P13" s="514"/>
      <c r="Q13" s="514"/>
      <c r="R13" s="514"/>
      <c r="S13" s="514"/>
      <c r="T13" s="514"/>
      <c r="U13" s="514"/>
      <c r="V13" s="858"/>
      <c r="W13" s="519" t="s">
        <v>1694</v>
      </c>
      <c r="X13" s="514"/>
      <c r="Y13" s="514"/>
      <c r="Z13" s="514"/>
      <c r="AA13" s="514"/>
      <c r="AB13" s="519" t="s">
        <v>1695</v>
      </c>
      <c r="AC13" s="514"/>
      <c r="AD13" s="490" t="str">
        <f>MID('Input data'!$B$8,1,1)</f>
        <v>0</v>
      </c>
      <c r="AE13" s="490" t="str">
        <f>MID('Input data'!$B$8,2,1)</f>
        <v>1</v>
      </c>
      <c r="AF13" s="490"/>
      <c r="AG13" s="490" t="str">
        <f>MID('Input data'!$B$9,1,1)</f>
        <v>2</v>
      </c>
      <c r="AH13" s="490" t="str">
        <f>MID('Input data'!$B$9,2,1)</f>
        <v>0</v>
      </c>
      <c r="AI13" s="490" t="str">
        <f>MID('Input data'!$B$9,3,1)</f>
        <v>1</v>
      </c>
      <c r="AJ13" s="490" t="str">
        <f>MID('Input data'!$B$9,4,1)</f>
        <v>3</v>
      </c>
      <c r="AK13" s="514"/>
      <c r="AL13" s="520"/>
    </row>
    <row r="14" spans="1:38" s="511" customFormat="1" ht="19.5" customHeight="1" x14ac:dyDescent="0.25">
      <c r="A14" s="452" t="s">
        <v>1696</v>
      </c>
      <c r="B14" s="514"/>
      <c r="C14" s="514"/>
      <c r="D14" s="514"/>
      <c r="E14" s="514"/>
      <c r="F14" s="514"/>
      <c r="G14" s="514"/>
      <c r="H14" s="448"/>
      <c r="I14" s="448"/>
      <c r="J14" s="577"/>
      <c r="K14" s="527" t="str">
        <f>IF('Input data'!D7="x","x"," ")</f>
        <v>x</v>
      </c>
      <c r="L14" s="519" t="s">
        <v>1697</v>
      </c>
      <c r="N14" s="521"/>
      <c r="O14" s="521"/>
      <c r="P14" s="521"/>
      <c r="Q14" s="521"/>
      <c r="R14" s="527" t="str">
        <f>IF('Input data'!D16="x","x"," ")</f>
        <v>x</v>
      </c>
      <c r="S14" s="519" t="s">
        <v>1698</v>
      </c>
      <c r="T14" s="514"/>
      <c r="U14" s="514"/>
      <c r="V14" s="858"/>
      <c r="W14" s="827"/>
      <c r="X14" s="828"/>
      <c r="Y14" s="828"/>
      <c r="Z14" s="828"/>
      <c r="AA14" s="828"/>
      <c r="AB14" s="829" t="s">
        <v>1699</v>
      </c>
      <c r="AC14" s="828"/>
      <c r="AD14" s="830" t="str">
        <f>MID('Input data'!$B$13,1,1)</f>
        <v>1</v>
      </c>
      <c r="AE14" s="830" t="str">
        <f>MID('Input data'!$B$13,2,1)</f>
        <v>2</v>
      </c>
      <c r="AF14" s="830"/>
      <c r="AG14" s="830" t="str">
        <f>MID('Input data'!$B$14,1,1)</f>
        <v>2</v>
      </c>
      <c r="AH14" s="830" t="str">
        <f>MID('Input data'!$B$14,2,1)</f>
        <v>0</v>
      </c>
      <c r="AI14" s="830" t="str">
        <f>MID('Input data'!$B$14,3,1)</f>
        <v>1</v>
      </c>
      <c r="AJ14" s="830" t="str">
        <f>MID('Input data'!$B$14,4,1)</f>
        <v>3</v>
      </c>
      <c r="AK14" s="828"/>
      <c r="AL14" s="831"/>
    </row>
    <row r="15" spans="1:38" s="511" customFormat="1" ht="19.5" customHeight="1" x14ac:dyDescent="0.2">
      <c r="A15" s="877" t="str">
        <f>LEFT('Input data'!C26,1)</f>
        <v>3</v>
      </c>
      <c r="B15" s="523" t="str">
        <f>MID('Input data'!$C$26,2,1)</f>
        <v>6</v>
      </c>
      <c r="C15" s="523" t="str">
        <f>MID('Input data'!$C$26,3,1)</f>
        <v>7</v>
      </c>
      <c r="D15" s="523" t="str">
        <f>MID('Input data'!$C$26,4,1)</f>
        <v>2</v>
      </c>
      <c r="E15" s="523" t="str">
        <f>MID('Input data'!$C$26,5,1)</f>
        <v>5</v>
      </c>
      <c r="F15" s="523" t="str">
        <f>MID('Input data'!$C$26,6,1)</f>
        <v>8</v>
      </c>
      <c r="G15" s="523" t="str">
        <f>MID('Input data'!$C$26,7,1)</f>
        <v>3</v>
      </c>
      <c r="H15" s="523" t="str">
        <f>MID('Input data'!$C$26,8,1)</f>
        <v>8</v>
      </c>
      <c r="I15" s="448"/>
      <c r="J15" s="577"/>
      <c r="K15" s="448" t="str">
        <f>IF('Input data'!D8="x","x", "")</f>
        <v/>
      </c>
      <c r="L15" s="519" t="s">
        <v>1700</v>
      </c>
      <c r="M15" s="519"/>
      <c r="N15" s="521"/>
      <c r="O15" s="521"/>
      <c r="P15" s="521"/>
      <c r="Q15" s="521"/>
      <c r="R15" s="521" t="str">
        <f>IF('Input data'!D17="x","x"," ")</f>
        <v xml:space="preserve"> </v>
      </c>
      <c r="S15" s="519" t="s">
        <v>1701</v>
      </c>
      <c r="T15" s="514"/>
      <c r="U15" s="514"/>
      <c r="V15" s="858"/>
      <c r="W15" s="519"/>
      <c r="X15" s="514"/>
      <c r="Y15" s="451"/>
      <c r="Z15" s="448"/>
      <c r="AA15" s="448"/>
      <c r="AB15" s="521"/>
      <c r="AC15" s="448"/>
      <c r="AD15" s="523"/>
      <c r="AE15" s="523"/>
      <c r="AF15" s="523"/>
      <c r="AG15" s="523"/>
      <c r="AH15" s="523"/>
      <c r="AI15" s="523"/>
      <c r="AJ15" s="523"/>
      <c r="AK15" s="448"/>
      <c r="AL15" s="520"/>
    </row>
    <row r="16" spans="1:38" s="511" customFormat="1" ht="19.5" customHeight="1" x14ac:dyDescent="0.2">
      <c r="A16" s="452" t="s">
        <v>1165</v>
      </c>
      <c r="B16" s="514"/>
      <c r="C16" s="514"/>
      <c r="D16" s="514"/>
      <c r="E16" s="514"/>
      <c r="F16" s="467"/>
      <c r="G16" s="514"/>
      <c r="H16" s="514"/>
      <c r="I16" s="448"/>
      <c r="J16" s="577"/>
      <c r="K16" s="857"/>
      <c r="L16" s="448"/>
      <c r="M16" s="519"/>
      <c r="N16" s="521"/>
      <c r="O16" s="521"/>
      <c r="P16" s="521"/>
      <c r="Q16" s="521"/>
      <c r="R16" s="878" t="s">
        <v>1702</v>
      </c>
      <c r="S16" s="521"/>
      <c r="T16" s="514"/>
      <c r="U16" s="514"/>
      <c r="V16" s="858"/>
      <c r="W16" s="519" t="s">
        <v>1703</v>
      </c>
      <c r="X16" s="514"/>
      <c r="Y16" s="451"/>
      <c r="Z16" s="448"/>
      <c r="AA16" s="448"/>
      <c r="AB16" s="519" t="s">
        <v>1695</v>
      </c>
      <c r="AC16" s="448"/>
      <c r="AD16" s="490" t="str">
        <f>MID('Input data'!$B$18,1,1)</f>
        <v>0</v>
      </c>
      <c r="AE16" s="490" t="str">
        <f>MID('Input data'!$B$18,2,1)</f>
        <v>1</v>
      </c>
      <c r="AF16" s="490"/>
      <c r="AG16" s="490" t="str">
        <f>MID('Input data'!$B$19,1,1)</f>
        <v>2</v>
      </c>
      <c r="AH16" s="490" t="str">
        <f>MID('Input data'!$B$19,2,1)</f>
        <v>0</v>
      </c>
      <c r="AI16" s="490" t="str">
        <f>MID('Input data'!$B$19,3,1)</f>
        <v>1</v>
      </c>
      <c r="AJ16" s="490" t="str">
        <f>MID('Input data'!$B$19,4,1)</f>
        <v>2</v>
      </c>
      <c r="AK16" s="448"/>
      <c r="AL16" s="520"/>
    </row>
    <row r="17" spans="1:39" s="511" customFormat="1" ht="19.5" customHeight="1" thickBot="1" x14ac:dyDescent="0.25">
      <c r="A17" s="518" t="str">
        <f>'BS-SK Cover sheet'!A15</f>
        <v>7</v>
      </c>
      <c r="B17" s="443" t="str">
        <f>'BS-SK Cover sheet'!B15</f>
        <v>3</v>
      </c>
      <c r="C17" s="516" t="s">
        <v>1147</v>
      </c>
      <c r="D17" s="443">
        <f>'BS-SK Cover sheet'!D15</f>
        <v>1</v>
      </c>
      <c r="E17" s="443" t="str">
        <f>'BS-SK Cover sheet'!E15</f>
        <v>1</v>
      </c>
      <c r="F17" s="516" t="s">
        <v>1147</v>
      </c>
      <c r="G17" s="443">
        <f>'BS-SK Cover sheet'!G15</f>
        <v>0</v>
      </c>
      <c r="H17" s="443"/>
      <c r="I17" s="443"/>
      <c r="J17" s="860"/>
      <c r="K17" s="861"/>
      <c r="L17" s="443"/>
      <c r="M17" s="443"/>
      <c r="N17" s="443"/>
      <c r="O17" s="443"/>
      <c r="P17" s="443"/>
      <c r="Q17" s="443"/>
      <c r="R17" s="443"/>
      <c r="S17" s="443"/>
      <c r="T17" s="516"/>
      <c r="U17" s="516"/>
      <c r="V17" s="862"/>
      <c r="W17" s="515"/>
      <c r="X17" s="516"/>
      <c r="Y17" s="444"/>
      <c r="Z17" s="443"/>
      <c r="AA17" s="443"/>
      <c r="AB17" s="515" t="s">
        <v>1699</v>
      </c>
      <c r="AC17" s="443"/>
      <c r="AD17" s="488" t="str">
        <f>MID('Input data'!$B$21,1,1)</f>
        <v>1</v>
      </c>
      <c r="AE17" s="488" t="str">
        <f>MID('Input data'!$B$21,2,1)</f>
        <v>2</v>
      </c>
      <c r="AF17" s="488"/>
      <c r="AG17" s="488" t="str">
        <f>MID('Input data'!$B$22,1,1)</f>
        <v>2</v>
      </c>
      <c r="AH17" s="488" t="str">
        <f>MID('Input data'!$B$22,2,1)</f>
        <v>0</v>
      </c>
      <c r="AI17" s="488" t="str">
        <f>MID('Input data'!$B$22,3,1)</f>
        <v>1</v>
      </c>
      <c r="AJ17" s="488" t="str">
        <f>MID('Input data'!$B$22,4,1)</f>
        <v>2</v>
      </c>
      <c r="AK17" s="443"/>
      <c r="AL17" s="517"/>
    </row>
    <row r="18" spans="1:39" s="511" customFormat="1" ht="4.5" customHeight="1" x14ac:dyDescent="0.25">
      <c r="A18" s="514"/>
      <c r="B18" s="514"/>
      <c r="C18" s="514"/>
      <c r="D18" s="514"/>
      <c r="E18" s="514"/>
      <c r="F18" s="514"/>
      <c r="G18" s="514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514"/>
      <c r="U18" s="514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514"/>
      <c r="AM18" s="514"/>
    </row>
    <row r="19" spans="1:39" s="511" customFormat="1" ht="3" customHeight="1" thickBot="1" x14ac:dyDescent="0.3">
      <c r="A19" s="879"/>
      <c r="B19" s="514"/>
      <c r="C19" s="514"/>
      <c r="D19" s="514"/>
      <c r="E19" s="514"/>
      <c r="F19" s="514"/>
      <c r="G19" s="514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514"/>
      <c r="U19" s="514"/>
      <c r="V19" s="514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514"/>
      <c r="AM19" s="514"/>
    </row>
    <row r="20" spans="1:39" s="511" customFormat="1" ht="16.5" x14ac:dyDescent="0.25">
      <c r="A20" s="513" t="s">
        <v>1704</v>
      </c>
      <c r="B20" s="512"/>
      <c r="C20" s="512"/>
      <c r="D20" s="512"/>
      <c r="E20" s="512"/>
      <c r="F20" s="512"/>
      <c r="G20" s="512"/>
      <c r="H20" s="456"/>
      <c r="I20" s="456"/>
      <c r="J20" s="456"/>
      <c r="K20" s="456"/>
      <c r="L20" s="456"/>
      <c r="M20" s="456"/>
      <c r="N20" s="456"/>
      <c r="O20" s="456"/>
      <c r="P20" s="456"/>
      <c r="Q20" s="456"/>
      <c r="R20" s="456"/>
      <c r="S20" s="456"/>
      <c r="T20" s="512"/>
      <c r="U20" s="512"/>
      <c r="V20" s="512"/>
      <c r="W20" s="456"/>
      <c r="X20" s="456"/>
      <c r="Y20" s="456"/>
      <c r="Z20" s="456"/>
      <c r="AA20" s="456"/>
      <c r="AB20" s="456"/>
      <c r="AC20" s="456"/>
      <c r="AD20" s="456"/>
      <c r="AE20" s="456"/>
      <c r="AF20" s="456"/>
      <c r="AG20" s="456"/>
      <c r="AH20" s="456"/>
      <c r="AI20" s="456"/>
      <c r="AJ20" s="456"/>
      <c r="AK20" s="456"/>
      <c r="AL20" s="528"/>
    </row>
    <row r="21" spans="1:39" s="511" customFormat="1" ht="19.5" customHeight="1" x14ac:dyDescent="0.25">
      <c r="A21" s="498" t="str">
        <f>+LEFT('Input data'!$F$3,1)</f>
        <v>A</v>
      </c>
      <c r="B21" s="490" t="str">
        <f>+MID('Input data'!$F$3,2,1)</f>
        <v>e</v>
      </c>
      <c r="C21" s="490" t="str">
        <f>+MID('Input data'!$F$3,3,1)</f>
        <v>g</v>
      </c>
      <c r="D21" s="490" t="str">
        <f>+MID('Input data'!$F$3,4,1)</f>
        <v>i</v>
      </c>
      <c r="E21" s="490" t="str">
        <f>+MID('Input data'!$F$3,5,1)</f>
        <v>s</v>
      </c>
      <c r="F21" s="490" t="str">
        <f>+MID('Input data'!$F$3,6,1)</f>
        <v xml:space="preserve"> </v>
      </c>
      <c r="G21" s="490" t="str">
        <f>+MID('Input data'!$F$3,7,1)</f>
        <v>M</v>
      </c>
      <c r="H21" s="490" t="str">
        <f>+MID('Input data'!$F$3,8,1)</f>
        <v>e</v>
      </c>
      <c r="I21" s="490" t="str">
        <f>+MID('Input data'!$F$3,9,1)</f>
        <v>d</v>
      </c>
      <c r="J21" s="490" t="str">
        <f>+MID('Input data'!$F$3,10,1)</f>
        <v>i</v>
      </c>
      <c r="K21" s="490" t="str">
        <f>+MID('Input data'!$F$3,11,1)</f>
        <v>a</v>
      </c>
      <c r="L21" s="490" t="str">
        <f>+MID('Input data'!$F$3,12,1)</f>
        <v xml:space="preserve"> </v>
      </c>
      <c r="M21" s="490" t="str">
        <f>+MID('Input data'!$F$3,13,1)</f>
        <v>S</v>
      </c>
      <c r="N21" s="490" t="str">
        <f>+MID('Input data'!$F$3,14,1)</f>
        <v>l</v>
      </c>
      <c r="O21" s="490" t="str">
        <f>+MID('Input data'!$F$3,15,1)</f>
        <v>o</v>
      </c>
      <c r="P21" s="490" t="str">
        <f>+MID('Input data'!$F$3,16,1)</f>
        <v>v</v>
      </c>
      <c r="Q21" s="490" t="str">
        <f>+MID('Input data'!$F$3,17,1)</f>
        <v>a</v>
      </c>
      <c r="R21" s="490" t="str">
        <f>+MID('Input data'!$F$3,18,1)</f>
        <v>k</v>
      </c>
      <c r="S21" s="490" t="str">
        <f>+MID('Input data'!$F$3,19,1)</f>
        <v>i</v>
      </c>
      <c r="T21" s="490" t="str">
        <f>+MID('Input data'!$F$3,20,1)</f>
        <v>a</v>
      </c>
      <c r="U21" s="490" t="str">
        <f>+MID('Input data'!$F$3,21,1)</f>
        <v xml:space="preserve"> </v>
      </c>
      <c r="V21" s="490" t="str">
        <f>+MID('Input data'!$F$3,22,1)</f>
        <v>C</v>
      </c>
      <c r="W21" s="490" t="str">
        <f>+MID('Input data'!$F$3,23,1)</f>
        <v>e</v>
      </c>
      <c r="X21" s="490" t="str">
        <f>+MID('Input data'!$F$3,24,1)</f>
        <v>n</v>
      </c>
      <c r="Y21" s="490" t="str">
        <f>+MID('Input data'!$F$3,25,1)</f>
        <v>t</v>
      </c>
      <c r="Z21" s="490" t="str">
        <f>+MID('Input data'!$F$3,26,1)</f>
        <v>r</v>
      </c>
      <c r="AA21" s="490" t="str">
        <f>+MID('Input data'!$F$3,27,1)</f>
        <v>a</v>
      </c>
      <c r="AB21" s="490" t="str">
        <f>+MID('Input data'!$F$3,28,1)</f>
        <v>l</v>
      </c>
      <c r="AC21" s="490" t="str">
        <f>+MID('Input data'!$F$3,29,1)</f>
        <v xml:space="preserve"> </v>
      </c>
      <c r="AD21" s="490" t="str">
        <f>+MID('Input data'!$F$3,30,1)</f>
        <v>S</v>
      </c>
      <c r="AE21" s="490" t="str">
        <f>+MID('Input data'!$F$3,31,1)</f>
        <v>e</v>
      </c>
      <c r="AF21" s="490" t="str">
        <f>+MID('Input data'!$F$3,32,1)</f>
        <v>r</v>
      </c>
      <c r="AG21" s="490" t="str">
        <f>+MID('Input data'!$F$3,33,1)</f>
        <v>v</v>
      </c>
      <c r="AH21" s="490" t="str">
        <f>+MID('Input data'!$E$3,34,1)</f>
        <v/>
      </c>
      <c r="AI21" s="490" t="str">
        <f>+MID('Input data'!$E$3,35,1)</f>
        <v/>
      </c>
      <c r="AJ21" s="490" t="str">
        <f>+MID('Input data'!$E$3,36,1)</f>
        <v/>
      </c>
      <c r="AK21" s="490" t="str">
        <f>+MID('Input data'!$E$3,37,1)</f>
        <v/>
      </c>
      <c r="AL21" s="520"/>
    </row>
    <row r="22" spans="1:39" ht="19.5" customHeight="1" x14ac:dyDescent="0.25">
      <c r="A22" s="498" t="str">
        <f>+MID('Input data'!$E$3,38,1)</f>
        <v/>
      </c>
      <c r="B22" s="490" t="str">
        <f>+MID('Input data'!$E$3,39,1)</f>
        <v/>
      </c>
      <c r="C22" s="490" t="str">
        <f>+MID('Input data'!$E$3,40,1)</f>
        <v/>
      </c>
      <c r="D22" s="490" t="str">
        <f>+MID('Input data'!$E$3,41,1)</f>
        <v/>
      </c>
      <c r="E22" s="490" t="str">
        <f>+MID('Input data'!$E$3,42,1)</f>
        <v/>
      </c>
      <c r="F22" s="490" t="str">
        <f>+MID('Input data'!$E$3,43,1)</f>
        <v/>
      </c>
      <c r="G22" s="490" t="str">
        <f>+MID('Input data'!$E$3,44,1)</f>
        <v/>
      </c>
      <c r="H22" s="490" t="str">
        <f>+MID('Input data'!$E$3,45,1)</f>
        <v/>
      </c>
      <c r="I22" s="490" t="str">
        <f>+MID('Input data'!$E$3,46,1)</f>
        <v/>
      </c>
      <c r="J22" s="490" t="str">
        <f>+MID('Input data'!$E$3,47,1)</f>
        <v/>
      </c>
      <c r="K22" s="490" t="str">
        <f>+MID('Input data'!$E$3,48,1)</f>
        <v/>
      </c>
      <c r="L22" s="490" t="str">
        <f>+MID('Input data'!$E$3,49,1)</f>
        <v/>
      </c>
      <c r="M22" s="490" t="str">
        <f>+MID('Input data'!$E$3,50,1)</f>
        <v/>
      </c>
      <c r="N22" s="490" t="str">
        <f>+MID('Input data'!$E$3,51,1)</f>
        <v/>
      </c>
      <c r="O22" s="490" t="str">
        <f>+MID('Input data'!$E$3,52,1)</f>
        <v/>
      </c>
      <c r="P22" s="490" t="str">
        <f>+MID('Input data'!$E$3,53,1)</f>
        <v/>
      </c>
      <c r="Q22" s="490" t="str">
        <f>+MID('Input data'!$E$3,54,1)</f>
        <v/>
      </c>
      <c r="R22" s="490" t="str">
        <f>+MID('Input data'!$E$3,55,1)</f>
        <v/>
      </c>
      <c r="S22" s="490" t="str">
        <f>+MID('Input data'!$E$3,56,1)</f>
        <v/>
      </c>
      <c r="T22" s="490" t="str">
        <f>+MID('Input data'!$E$3,57,1)</f>
        <v/>
      </c>
      <c r="U22" s="490" t="str">
        <f>+MID('Input data'!$E$3,58,1)</f>
        <v/>
      </c>
      <c r="V22" s="490" t="str">
        <f>+MID('Input data'!$E$3,59,1)</f>
        <v/>
      </c>
      <c r="W22" s="490" t="str">
        <f>+MID('Input data'!$E$3,60,1)</f>
        <v/>
      </c>
      <c r="X22" s="490" t="str">
        <f>+MID('Input data'!$E$3,61,1)</f>
        <v/>
      </c>
      <c r="Y22" s="490" t="str">
        <f>+MID('Input data'!$E$3,62,1)</f>
        <v/>
      </c>
      <c r="Z22" s="490" t="str">
        <f>+MID('Input data'!$E$3,63,1)</f>
        <v/>
      </c>
      <c r="AA22" s="490" t="str">
        <f>+MID('Input data'!$E$3,64,1)</f>
        <v/>
      </c>
      <c r="AB22" s="490" t="str">
        <f>+MID('Input data'!$E$3,65,1)</f>
        <v/>
      </c>
      <c r="AC22" s="490" t="str">
        <f>+MID('Input data'!$E$3,66,1)</f>
        <v/>
      </c>
      <c r="AD22" s="490" t="str">
        <f>+MID('Input data'!$E$3,67,1)</f>
        <v/>
      </c>
      <c r="AE22" s="490" t="str">
        <f>+MID('Input data'!$E$3,68,1)</f>
        <v/>
      </c>
      <c r="AF22" s="490" t="str">
        <f>+MID('Input data'!$E$3,69,1)</f>
        <v/>
      </c>
      <c r="AG22" s="490" t="str">
        <f>+MID('Input data'!$E$3,70,1)</f>
        <v/>
      </c>
      <c r="AH22" s="490" t="str">
        <f>+MID('Input data'!$E$3,71,1)</f>
        <v/>
      </c>
      <c r="AI22" s="490" t="str">
        <f>+MID('Input data'!$E$3,72,1)</f>
        <v/>
      </c>
      <c r="AJ22" s="490" t="str">
        <f>+MID('Input data'!$E$3,73,1)</f>
        <v/>
      </c>
      <c r="AK22" s="490" t="str">
        <f>+MID('Input data'!$E$3,74,1)</f>
        <v/>
      </c>
      <c r="AL22" s="880"/>
    </row>
    <row r="23" spans="1:39" s="499" customFormat="1" ht="14.25" customHeight="1" x14ac:dyDescent="0.25">
      <c r="A23" s="881" t="s">
        <v>1705</v>
      </c>
      <c r="B23" s="882"/>
      <c r="C23" s="882"/>
      <c r="D23" s="882"/>
      <c r="E23" s="882"/>
      <c r="F23" s="882"/>
      <c r="G23" s="882"/>
      <c r="H23" s="882"/>
      <c r="I23" s="882"/>
      <c r="J23" s="882"/>
      <c r="K23" s="882"/>
      <c r="L23" s="882"/>
      <c r="M23" s="882"/>
      <c r="N23" s="882"/>
      <c r="O23" s="882"/>
      <c r="P23" s="882"/>
      <c r="Q23" s="882"/>
      <c r="R23" s="882"/>
      <c r="S23" s="882"/>
      <c r="T23" s="882"/>
      <c r="U23" s="882"/>
      <c r="V23" s="882"/>
      <c r="W23" s="508"/>
      <c r="X23" s="508"/>
      <c r="Y23" s="508"/>
      <c r="Z23" s="508"/>
      <c r="AA23" s="508"/>
      <c r="AB23" s="508"/>
      <c r="AC23" s="508"/>
      <c r="AD23" s="508"/>
      <c r="AE23" s="508"/>
      <c r="AF23" s="508"/>
      <c r="AG23" s="508"/>
      <c r="AH23" s="508"/>
      <c r="AI23" s="508"/>
      <c r="AJ23" s="508"/>
      <c r="AK23" s="508"/>
      <c r="AL23" s="883"/>
    </row>
    <row r="24" spans="1:39" x14ac:dyDescent="0.25">
      <c r="A24" s="495" t="s">
        <v>1706</v>
      </c>
      <c r="B24" s="825"/>
      <c r="C24" s="825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  <c r="O24" s="825"/>
      <c r="P24" s="825"/>
      <c r="Q24" s="825"/>
      <c r="R24" s="825"/>
      <c r="S24" s="825"/>
      <c r="T24" s="825"/>
      <c r="U24" s="825"/>
      <c r="V24" s="825"/>
      <c r="W24" s="448"/>
      <c r="X24" s="448"/>
      <c r="Y24" s="448"/>
      <c r="Z24" s="448"/>
      <c r="AA24" s="448"/>
      <c r="AB24" s="825"/>
      <c r="AC24" s="448"/>
      <c r="AD24" s="451" t="s">
        <v>1707</v>
      </c>
      <c r="AE24" s="448"/>
      <c r="AF24" s="448"/>
      <c r="AG24" s="448"/>
      <c r="AH24" s="448"/>
      <c r="AI24" s="448"/>
      <c r="AJ24" s="448"/>
      <c r="AK24" s="448"/>
      <c r="AL24" s="884"/>
    </row>
    <row r="25" spans="1:39" ht="19.5" customHeight="1" x14ac:dyDescent="0.25">
      <c r="A25" s="498" t="str">
        <f>+LEFT('Input data'!$C$28,1)</f>
        <v>T</v>
      </c>
      <c r="B25" s="490" t="str">
        <f>+MID('Input data'!$C$28,2,1)</f>
        <v>e</v>
      </c>
      <c r="C25" s="490" t="str">
        <f>+MID('Input data'!$C$28,3,1)</f>
        <v>s</v>
      </c>
      <c r="D25" s="490" t="str">
        <f>+MID('Input data'!$C$28,4,1)</f>
        <v>l</v>
      </c>
      <c r="E25" s="490" t="str">
        <f>+MID('Input data'!$C$28,5,1)</f>
        <v>o</v>
      </c>
      <c r="F25" s="490" t="str">
        <f>+MID('Input data'!$C$28,6,1)</f>
        <v>v</v>
      </c>
      <c r="G25" s="490" t="str">
        <f>+MID('Input data'!$C$28,7,1)</f>
        <v>a</v>
      </c>
      <c r="H25" s="490" t="str">
        <f>+MID('Input data'!$C$28,8,1)</f>
        <v/>
      </c>
      <c r="I25" s="490" t="str">
        <f>+MID('Input data'!$C$28,9,1)</f>
        <v/>
      </c>
      <c r="J25" s="490" t="str">
        <f>+MID('Input data'!$C$28,10,1)</f>
        <v/>
      </c>
      <c r="K25" s="490" t="str">
        <f>+MID('Input data'!$C$28,11,1)</f>
        <v/>
      </c>
      <c r="L25" s="490" t="str">
        <f>+MID('Input data'!$C$28,12,1)</f>
        <v/>
      </c>
      <c r="M25" s="490" t="str">
        <f>+MID('Input data'!$C$28,13,1)</f>
        <v/>
      </c>
      <c r="N25" s="490" t="str">
        <f>+MID('Input data'!$C$28,14,1)</f>
        <v/>
      </c>
      <c r="O25" s="490" t="str">
        <f>+MID('Input data'!$C$28,15,1)</f>
        <v/>
      </c>
      <c r="P25" s="490" t="str">
        <f>+MID('Input data'!$C$28,16,1)</f>
        <v/>
      </c>
      <c r="Q25" s="490" t="str">
        <f>+MID('Input data'!$C$28,17,1)</f>
        <v/>
      </c>
      <c r="R25" s="490" t="str">
        <f>+MID('Input data'!$C$28,18,1)</f>
        <v/>
      </c>
      <c r="S25" s="490" t="str">
        <f>+MID('Input data'!$C$28,19,1)</f>
        <v/>
      </c>
      <c r="T25" s="490" t="str">
        <f>+MID('Input data'!$C$28,20,1)</f>
        <v/>
      </c>
      <c r="U25" s="490" t="str">
        <f>+MID('Input data'!$C$28,21,1)</f>
        <v/>
      </c>
      <c r="V25" s="490" t="str">
        <f>+MID('Input data'!$C$28,22,1)</f>
        <v/>
      </c>
      <c r="W25" s="490" t="str">
        <f>+MID('Input data'!$C$28,23,1)</f>
        <v/>
      </c>
      <c r="X25" s="490" t="str">
        <f>+MID('Input data'!$C$28,24,1)</f>
        <v/>
      </c>
      <c r="Y25" s="490" t="str">
        <f>+MID('Input data'!$C$28,25,1)</f>
        <v/>
      </c>
      <c r="Z25" s="490" t="str">
        <f>+MID('Input data'!$C$28,26,1)</f>
        <v/>
      </c>
      <c r="AA25" s="490" t="str">
        <f>+MID('Input data'!$C$28,27,1)</f>
        <v/>
      </c>
      <c r="AB25" s="490" t="str">
        <f>+MID('Input data'!$C$28,28,1)</f>
        <v/>
      </c>
      <c r="AC25" s="492"/>
      <c r="AD25" s="490" t="str">
        <f>+LEFT('Input data'!$C$30,1)</f>
        <v>2</v>
      </c>
      <c r="AE25" s="490" t="str">
        <f>+MID('Input data'!$C$30,2,1)</f>
        <v>0</v>
      </c>
      <c r="AF25" s="490" t="str">
        <f>+MID('Input data'!$C$30,3,1)</f>
        <v/>
      </c>
      <c r="AG25" s="490" t="str">
        <f>+MID('Input data'!$C$30,4,1)</f>
        <v/>
      </c>
      <c r="AH25" s="490" t="str">
        <f>+MID('Input data'!$C$30,5,1)</f>
        <v/>
      </c>
      <c r="AI25" s="490" t="str">
        <f>+MID('Input data'!$C$30,6,1)</f>
        <v/>
      </c>
      <c r="AJ25" s="490" t="str">
        <f>+MID('Input data'!$C$30,7,1)</f>
        <v/>
      </c>
      <c r="AK25" s="490" t="str">
        <f>+MID('Input data'!$C$30,8,1)</f>
        <v/>
      </c>
      <c r="AL25" s="880"/>
    </row>
    <row r="26" spans="1:39" x14ac:dyDescent="0.25">
      <c r="A26" s="495" t="s">
        <v>1708</v>
      </c>
      <c r="B26" s="825"/>
      <c r="C26" s="825"/>
      <c r="D26" s="825"/>
      <c r="E26" s="825"/>
      <c r="F26" s="825"/>
      <c r="G26" s="494" t="s">
        <v>1709</v>
      </c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4"/>
      <c r="W26" s="494"/>
      <c r="X26" s="494"/>
      <c r="Y26" s="494"/>
      <c r="Z26" s="494"/>
      <c r="AA26" s="494"/>
      <c r="AB26" s="494"/>
      <c r="AC26" s="494"/>
      <c r="AD26" s="494"/>
      <c r="AE26" s="448"/>
      <c r="AF26" s="448"/>
      <c r="AG26" s="448"/>
      <c r="AH26" s="448"/>
      <c r="AI26" s="448"/>
      <c r="AJ26" s="448"/>
      <c r="AK26" s="448"/>
      <c r="AL26" s="884"/>
    </row>
    <row r="27" spans="1:39" s="496" customFormat="1" ht="19.5" customHeight="1" x14ac:dyDescent="0.25">
      <c r="A27" s="498" t="str">
        <f>+LEFT('Input data'!$C$32,1)</f>
        <v>8</v>
      </c>
      <c r="B27" s="490" t="str">
        <f>+MID('Input data'!$C$32,2,1)</f>
        <v>2</v>
      </c>
      <c r="C27" s="490" t="str">
        <f>+MID('Input data'!$C$32,3,1)</f>
        <v>0</v>
      </c>
      <c r="D27" s="490" t="str">
        <f>+MID('Input data'!$C$32,4,1)</f>
        <v>0</v>
      </c>
      <c r="E27" s="490" t="str">
        <f>+MID('Input data'!$C$32,5,1)</f>
        <v>5</v>
      </c>
      <c r="F27" s="490"/>
      <c r="G27" s="490" t="str">
        <f>+LEFT('Input data'!$C$34,1)</f>
        <v>B</v>
      </c>
      <c r="H27" s="490" t="str">
        <f>+MID('Input data'!$C$34,2,1)</f>
        <v>r</v>
      </c>
      <c r="I27" s="490" t="str">
        <f>+MID('Input data'!$C$34,3,1)</f>
        <v>a</v>
      </c>
      <c r="J27" s="490" t="str">
        <f>+MID('Input data'!$C$34,4,1)</f>
        <v>t</v>
      </c>
      <c r="K27" s="490" t="str">
        <f>+MID('Input data'!$C$34,5,1)</f>
        <v>i</v>
      </c>
      <c r="L27" s="490" t="str">
        <f>+MID('Input data'!$C$34,6,1)</f>
        <v>s</v>
      </c>
      <c r="M27" s="490" t="str">
        <f>+MID('Input data'!$C$34,7,1)</f>
        <v>l</v>
      </c>
      <c r="N27" s="490" t="str">
        <f>+MID('Input data'!$C$34,8,1)</f>
        <v>a</v>
      </c>
      <c r="O27" s="490" t="str">
        <f>+MID('Input data'!$C$34,9,1)</f>
        <v>v</v>
      </c>
      <c r="P27" s="490" t="str">
        <f>+MID('Input data'!$C$34,10,1)</f>
        <v>a</v>
      </c>
      <c r="Q27" s="490" t="str">
        <f>+MID('Input data'!$C$34,11,1)</f>
        <v/>
      </c>
      <c r="R27" s="490" t="str">
        <f>+MID('Input data'!$C$34,12,1)</f>
        <v/>
      </c>
      <c r="S27" s="490" t="str">
        <f>+MID('Input data'!$C$34,13,1)</f>
        <v/>
      </c>
      <c r="T27" s="490" t="str">
        <f>+MID('Input data'!$C$34,14,1)</f>
        <v/>
      </c>
      <c r="U27" s="490" t="str">
        <f>+MID('Input data'!$C$34,15,1)</f>
        <v/>
      </c>
      <c r="V27" s="490" t="str">
        <f>+MID('Input data'!$C$34,16,1)</f>
        <v/>
      </c>
      <c r="W27" s="490" t="str">
        <f>+MID('Input data'!$C$34,17,1)</f>
        <v/>
      </c>
      <c r="X27" s="490" t="str">
        <f>+MID('Input data'!$C$34,18,1)</f>
        <v/>
      </c>
      <c r="Y27" s="490" t="str">
        <f>+MID('Input data'!$C$34,19,1)</f>
        <v/>
      </c>
      <c r="Z27" s="490" t="str">
        <f>+MID('Input data'!$C$34,20,1)</f>
        <v/>
      </c>
      <c r="AA27" s="490" t="str">
        <f>+MID('Input data'!$C$34,21,1)</f>
        <v/>
      </c>
      <c r="AB27" s="490" t="str">
        <f>+MID('Input data'!$C$34,22,1)</f>
        <v/>
      </c>
      <c r="AC27" s="490" t="str">
        <f>+MID('Input data'!$C$34,23,1)</f>
        <v/>
      </c>
      <c r="AD27" s="490" t="str">
        <f>+MID('Input data'!$C$34,24,1)</f>
        <v/>
      </c>
      <c r="AE27" s="490" t="str">
        <f>+MID('Input data'!$C$34,25,1)</f>
        <v/>
      </c>
      <c r="AF27" s="490" t="str">
        <f>+MID('Input data'!$C$34,26,1)</f>
        <v/>
      </c>
      <c r="AG27" s="490" t="str">
        <f>+MID('Input data'!$C$34,27,1)</f>
        <v/>
      </c>
      <c r="AH27" s="490" t="str">
        <f>+MID('Input data'!$C$34,28,1)</f>
        <v/>
      </c>
      <c r="AI27" s="490" t="str">
        <f>+MID('Input data'!$C$34,29,1)</f>
        <v/>
      </c>
      <c r="AJ27" s="490" t="str">
        <f>+MID('Input data'!$C$34,30,1)</f>
        <v/>
      </c>
      <c r="AK27" s="490" t="str">
        <f>+MID('Input data'!$C$34,31,1)</f>
        <v/>
      </c>
      <c r="AL27" s="880"/>
    </row>
    <row r="28" spans="1:39" x14ac:dyDescent="0.25">
      <c r="A28" s="495" t="s">
        <v>1710</v>
      </c>
      <c r="B28" s="825"/>
      <c r="C28" s="825"/>
      <c r="D28" s="825"/>
      <c r="E28" s="825"/>
      <c r="F28" s="825"/>
      <c r="G28" s="494"/>
      <c r="H28" s="494"/>
      <c r="I28" s="494"/>
      <c r="J28" s="494"/>
      <c r="K28" s="494"/>
      <c r="L28" s="494"/>
      <c r="M28" s="494"/>
      <c r="N28" s="825"/>
      <c r="O28" s="494" t="s">
        <v>1711</v>
      </c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  <c r="AD28" s="494"/>
      <c r="AE28" s="448"/>
      <c r="AF28" s="448"/>
      <c r="AG28" s="448"/>
      <c r="AH28" s="448"/>
      <c r="AI28" s="448"/>
      <c r="AJ28" s="448"/>
      <c r="AK28" s="448"/>
      <c r="AL28" s="884"/>
    </row>
    <row r="29" spans="1:39" ht="19.5" customHeight="1" x14ac:dyDescent="0.25">
      <c r="A29" s="493">
        <v>0</v>
      </c>
      <c r="B29" s="490" t="str">
        <f>+LEFT('Input data'!$C$36,1)</f>
        <v>2</v>
      </c>
      <c r="C29" s="490" t="str">
        <f>+MID('Input data'!$C$36,2,1)</f>
        <v/>
      </c>
      <c r="D29" s="490" t="str">
        <f>+MID('Input data'!$C$36,3,1)</f>
        <v/>
      </c>
      <c r="E29" s="490" t="s">
        <v>1176</v>
      </c>
      <c r="F29" s="490" t="str">
        <f>+LEFT('Input data'!$C$38,1)</f>
        <v>4</v>
      </c>
      <c r="G29" s="490" t="str">
        <f>+MID('Input data'!$C$38,2,1)</f>
        <v>9</v>
      </c>
      <c r="H29" s="490" t="str">
        <f>+MID('Input data'!$C$38,3,1)</f>
        <v>3</v>
      </c>
      <c r="I29" s="490" t="str">
        <f>+MID('Input data'!$C$38,4,1)</f>
        <v>0</v>
      </c>
      <c r="J29" s="490" t="str">
        <f>+MID('Input data'!$C$38,5,1)</f>
        <v>0</v>
      </c>
      <c r="K29" s="490" t="str">
        <f>+MID('Input data'!$C$38,6,1)</f>
        <v>5</v>
      </c>
      <c r="L29" s="490" t="str">
        <f>+MID('Input data'!$C$38,7,1)</f>
        <v>1</v>
      </c>
      <c r="M29" s="490" t="str">
        <f>+MID('Input data'!$C$38,8,1)</f>
        <v>3</v>
      </c>
      <c r="N29" s="492"/>
      <c r="O29" s="491">
        <v>0</v>
      </c>
      <c r="P29" s="490" t="str">
        <f>+LEFT('Input data'!$C$36,1)</f>
        <v>2</v>
      </c>
      <c r="Q29" s="490" t="str">
        <f>+MID('Input data'!$C$36,2,1)</f>
        <v/>
      </c>
      <c r="R29" s="490" t="str">
        <f>+MID('Input data'!$C$36,3,1)</f>
        <v/>
      </c>
      <c r="S29" s="490" t="s">
        <v>1176</v>
      </c>
      <c r="T29" s="490" t="str">
        <f>+LEFT('Input data'!$C$40,1)</f>
        <v>4</v>
      </c>
      <c r="U29" s="490" t="str">
        <f>+MID('Input data'!$C$40,2,1)</f>
        <v>9</v>
      </c>
      <c r="V29" s="490" t="str">
        <f>+MID('Input data'!$C$40,3,1)</f>
        <v>3</v>
      </c>
      <c r="W29" s="490" t="str">
        <f>+MID('Input data'!$C$40,4,1)</f>
        <v>0</v>
      </c>
      <c r="X29" s="490" t="str">
        <f>+MID('Input data'!$C$40,5,1)</f>
        <v>0</v>
      </c>
      <c r="Y29" s="490" t="str">
        <f>+MID('Input data'!$C$40,6,1)</f>
        <v>5</v>
      </c>
      <c r="Z29" s="490" t="str">
        <f>+MID('Input data'!$C$40,7,1)</f>
        <v>5</v>
      </c>
      <c r="AA29" s="490" t="str">
        <f>+MID('Input data'!$C$40,8,1)</f>
        <v>0</v>
      </c>
      <c r="AB29" s="490"/>
      <c r="AC29" s="490"/>
      <c r="AD29" s="490"/>
      <c r="AE29" s="448"/>
      <c r="AF29" s="448"/>
      <c r="AG29" s="448"/>
      <c r="AH29" s="448"/>
      <c r="AI29" s="448"/>
      <c r="AJ29" s="448"/>
      <c r="AK29" s="448"/>
      <c r="AL29" s="880"/>
    </row>
    <row r="30" spans="1:39" s="440" customFormat="1" x14ac:dyDescent="0.25">
      <c r="A30" s="452" t="s">
        <v>1712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8"/>
      <c r="AL30" s="535"/>
    </row>
    <row r="31" spans="1:39" ht="19.5" customHeight="1" thickBot="1" x14ac:dyDescent="0.3">
      <c r="A31" s="489" t="str">
        <f>+LEFT('Input data'!$B$42,1)</f>
        <v/>
      </c>
      <c r="B31" s="488" t="str">
        <f>+MID('Input data'!$B$42,2,1)</f>
        <v/>
      </c>
      <c r="C31" s="488" t="str">
        <f>+MID('Input data'!$B$42,3,1)</f>
        <v/>
      </c>
      <c r="D31" s="488" t="str">
        <f>+MID('Input data'!$B$42,4,1)</f>
        <v/>
      </c>
      <c r="E31" s="488" t="str">
        <f>+MID('Input data'!$B$42,5,1)</f>
        <v/>
      </c>
      <c r="F31" s="488" t="str">
        <f>+MID('Input data'!$B$42,6,1)</f>
        <v/>
      </c>
      <c r="G31" s="488" t="str">
        <f>+MID('Input data'!$B$42,7,1)</f>
        <v/>
      </c>
      <c r="H31" s="488" t="str">
        <f>+MID('Input data'!$B$42,8,1)</f>
        <v/>
      </c>
      <c r="I31" s="488" t="str">
        <f>+MID('Input data'!$B$42,9,1)</f>
        <v/>
      </c>
      <c r="J31" s="488" t="str">
        <f>+MID('Input data'!$B$42,10,1)</f>
        <v/>
      </c>
      <c r="K31" s="488" t="str">
        <f>+MID('Input data'!$B$42,11,1)</f>
        <v/>
      </c>
      <c r="L31" s="488" t="str">
        <f>+MID('Input data'!$B$42,12,1)</f>
        <v/>
      </c>
      <c r="M31" s="488" t="str">
        <f>+MID('Input data'!$B$42,13,1)</f>
        <v/>
      </c>
      <c r="N31" s="488" t="str">
        <f>+MID('Input data'!$B$42,14,1)</f>
        <v/>
      </c>
      <c r="O31" s="488" t="str">
        <f>+MID('Input data'!$B$42,15,1)</f>
        <v/>
      </c>
      <c r="P31" s="488" t="str">
        <f>+MID('Input data'!$B$42,16,1)</f>
        <v/>
      </c>
      <c r="Q31" s="488" t="str">
        <f>+MID('Input data'!$B$42,17,1)</f>
        <v/>
      </c>
      <c r="R31" s="488" t="str">
        <f>+MID('Input data'!$B$42,18,1)</f>
        <v/>
      </c>
      <c r="S31" s="488" t="str">
        <f>+MID('Input data'!$B$42,19,1)</f>
        <v/>
      </c>
      <c r="T31" s="488" t="str">
        <f>+MID('Input data'!$B$42,20,1)</f>
        <v/>
      </c>
      <c r="U31" s="488" t="str">
        <f>+MID('Input data'!$B$42,21,1)</f>
        <v/>
      </c>
      <c r="V31" s="488" t="str">
        <f>+MID('Input data'!$B$42,22,1)</f>
        <v/>
      </c>
      <c r="W31" s="488" t="str">
        <f>+MID('Input data'!$B$42,23,1)</f>
        <v/>
      </c>
      <c r="X31" s="488" t="str">
        <f>+MID('Input data'!$B$42,24,1)</f>
        <v/>
      </c>
      <c r="Y31" s="488" t="str">
        <f>+MID('Input data'!$B$42,25,1)</f>
        <v/>
      </c>
      <c r="Z31" s="488" t="str">
        <f>+MID('Input data'!$B$42,26,1)</f>
        <v/>
      </c>
      <c r="AA31" s="488" t="str">
        <f>+MID('Input data'!$B$42,27,1)</f>
        <v/>
      </c>
      <c r="AB31" s="488" t="str">
        <f>+MID('Input data'!$B$42,28,1)</f>
        <v/>
      </c>
      <c r="AC31" s="488" t="str">
        <f>+MID('Input data'!$B$42,29,1)</f>
        <v/>
      </c>
      <c r="AD31" s="488" t="str">
        <f>+MID('Input data'!$B$42,30,1)</f>
        <v/>
      </c>
      <c r="AE31" s="488" t="str">
        <f>+MID('Input data'!$B$42,31,1)</f>
        <v/>
      </c>
      <c r="AF31" s="488" t="str">
        <f>+MID('Input data'!$B$42,32,1)</f>
        <v/>
      </c>
      <c r="AG31" s="488" t="str">
        <f>+MID('Input data'!$B$42,33,1)</f>
        <v/>
      </c>
      <c r="AH31" s="488" t="str">
        <f>+MID('Input data'!$B$42,34,1)</f>
        <v/>
      </c>
      <c r="AI31" s="488" t="str">
        <f>+MID('Input data'!$B$42,35,1)</f>
        <v/>
      </c>
      <c r="AJ31" s="488" t="str">
        <f>+MID('Input data'!$B$42,36,1)</f>
        <v/>
      </c>
      <c r="AK31" s="488" t="str">
        <f>+MID('Input data'!$B$42,37,1)</f>
        <v/>
      </c>
      <c r="AL31" s="885"/>
    </row>
    <row r="32" spans="1:39" s="440" customFormat="1" ht="4.5" customHeight="1" thickBot="1" x14ac:dyDescent="0.3">
      <c r="A32" s="451"/>
      <c r="B32" s="451"/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  <c r="N32" s="451"/>
      <c r="O32" s="451"/>
      <c r="P32" s="451"/>
      <c r="Q32" s="451"/>
      <c r="R32" s="451"/>
      <c r="S32" s="451"/>
      <c r="T32" s="451"/>
      <c r="U32" s="451"/>
      <c r="V32" s="451"/>
      <c r="W32" s="448"/>
      <c r="X32" s="448"/>
      <c r="Y32" s="448"/>
      <c r="Z32" s="448"/>
      <c r="AA32" s="448"/>
      <c r="AB32" s="448"/>
      <c r="AC32" s="448"/>
      <c r="AD32" s="448"/>
      <c r="AE32" s="448"/>
      <c r="AF32" s="448"/>
      <c r="AG32" s="448"/>
      <c r="AH32" s="448"/>
      <c r="AI32" s="448"/>
      <c r="AJ32" s="448"/>
      <c r="AK32" s="448"/>
      <c r="AL32" s="451"/>
      <c r="AM32" s="451"/>
    </row>
    <row r="33" spans="1:38" s="483" customFormat="1" ht="12.75" customHeight="1" x14ac:dyDescent="0.25">
      <c r="A33" s="486" t="s">
        <v>1713</v>
      </c>
      <c r="B33" s="485"/>
      <c r="C33" s="485"/>
      <c r="D33" s="485"/>
      <c r="E33" s="485"/>
      <c r="F33" s="485"/>
      <c r="G33" s="485"/>
      <c r="H33" s="485"/>
      <c r="I33" s="485"/>
      <c r="J33" s="485"/>
      <c r="K33" s="834"/>
      <c r="L33" s="834"/>
      <c r="M33" s="1543" t="s">
        <v>1714</v>
      </c>
      <c r="N33" s="1544"/>
      <c r="O33" s="1544"/>
      <c r="P33" s="1544"/>
      <c r="Q33" s="1544"/>
      <c r="R33" s="1544"/>
      <c r="S33" s="1544"/>
      <c r="T33" s="1544"/>
      <c r="U33" s="1549"/>
      <c r="V33" s="1543" t="s">
        <v>1715</v>
      </c>
      <c r="W33" s="1544"/>
      <c r="X33" s="1544"/>
      <c r="Y33" s="1544"/>
      <c r="Z33" s="1544"/>
      <c r="AA33" s="1544"/>
      <c r="AB33" s="1544"/>
      <c r="AC33" s="1549"/>
      <c r="AD33" s="1543" t="s">
        <v>1716</v>
      </c>
      <c r="AE33" s="1544"/>
      <c r="AF33" s="1544"/>
      <c r="AG33" s="1544"/>
      <c r="AH33" s="1544"/>
      <c r="AI33" s="1544"/>
      <c r="AJ33" s="1544"/>
      <c r="AK33" s="1544"/>
      <c r="AL33" s="1545"/>
    </row>
    <row r="34" spans="1:38" s="440" customFormat="1" ht="19.5" customHeight="1" x14ac:dyDescent="0.25">
      <c r="A34" s="469" t="str">
        <f>LEFT(TEXT('Input data'!F25,"dd.m.yyyy"),1)</f>
        <v>1</v>
      </c>
      <c r="B34" s="468" t="str">
        <f>MID(TEXT('Input data'!$F$25,"dd.mm.yyyy"),2,1)</f>
        <v>3</v>
      </c>
      <c r="C34" s="467" t="s">
        <v>1147</v>
      </c>
      <c r="D34" s="468" t="str">
        <f>MID(TEXT('Input data'!$F$25,"dd.mm.yyyy"),4,1)</f>
        <v>0</v>
      </c>
      <c r="E34" s="468" t="str">
        <f>MID(TEXT('Input data'!$F$25,"dd.mm.yyyy"),5,1)</f>
        <v>6</v>
      </c>
      <c r="F34" s="467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886"/>
      <c r="L34" s="475"/>
      <c r="M34" s="1546"/>
      <c r="N34" s="1547"/>
      <c r="O34" s="1547"/>
      <c r="P34" s="1547"/>
      <c r="Q34" s="1547"/>
      <c r="R34" s="1547"/>
      <c r="S34" s="1547"/>
      <c r="T34" s="1547"/>
      <c r="U34" s="1550"/>
      <c r="V34" s="1546"/>
      <c r="W34" s="1547"/>
      <c r="X34" s="1547"/>
      <c r="Y34" s="1547"/>
      <c r="Z34" s="1547"/>
      <c r="AA34" s="1547"/>
      <c r="AB34" s="1547"/>
      <c r="AC34" s="1550"/>
      <c r="AD34" s="1546"/>
      <c r="AE34" s="1547"/>
      <c r="AF34" s="1547"/>
      <c r="AG34" s="1547"/>
      <c r="AH34" s="1547"/>
      <c r="AI34" s="1547"/>
      <c r="AJ34" s="1547"/>
      <c r="AK34" s="1547"/>
      <c r="AL34" s="1548"/>
    </row>
    <row r="35" spans="1:38" s="440" customFormat="1" ht="12.75" customHeight="1" x14ac:dyDescent="0.25">
      <c r="A35" s="481"/>
      <c r="B35" s="480"/>
      <c r="C35" s="480"/>
      <c r="D35" s="480"/>
      <c r="E35" s="480"/>
      <c r="F35" s="480"/>
      <c r="G35" s="480"/>
      <c r="H35" s="480"/>
      <c r="I35" s="480"/>
      <c r="J35" s="480"/>
      <c r="K35" s="836"/>
      <c r="L35" s="836"/>
      <c r="M35" s="1546"/>
      <c r="N35" s="1547"/>
      <c r="O35" s="1547"/>
      <c r="P35" s="1547"/>
      <c r="Q35" s="1547"/>
      <c r="R35" s="1547"/>
      <c r="S35" s="1547"/>
      <c r="T35" s="1547"/>
      <c r="U35" s="1550"/>
      <c r="V35" s="1546"/>
      <c r="W35" s="1547"/>
      <c r="X35" s="1547"/>
      <c r="Y35" s="1547"/>
      <c r="Z35" s="1547"/>
      <c r="AA35" s="1547"/>
      <c r="AB35" s="1547"/>
      <c r="AC35" s="1550"/>
      <c r="AD35" s="1546"/>
      <c r="AE35" s="1547"/>
      <c r="AF35" s="1547"/>
      <c r="AG35" s="1547"/>
      <c r="AH35" s="1547"/>
      <c r="AI35" s="1547"/>
      <c r="AJ35" s="1547"/>
      <c r="AK35" s="1547"/>
      <c r="AL35" s="1548"/>
    </row>
    <row r="36" spans="1:38" s="440" customFormat="1" x14ac:dyDescent="0.2">
      <c r="A36" s="452" t="s">
        <v>1717</v>
      </c>
      <c r="B36" s="451"/>
      <c r="C36" s="451"/>
      <c r="D36" s="451"/>
      <c r="E36" s="451"/>
      <c r="F36" s="451"/>
      <c r="G36" s="451"/>
      <c r="H36" s="451"/>
      <c r="I36" s="451"/>
      <c r="J36" s="451"/>
      <c r="K36" s="475"/>
      <c r="L36" s="837"/>
      <c r="M36" s="475"/>
      <c r="N36" s="475"/>
      <c r="O36" s="475"/>
      <c r="P36" s="475"/>
      <c r="Q36" s="475"/>
      <c r="R36" s="475"/>
      <c r="S36" s="475"/>
      <c r="T36" s="451"/>
      <c r="U36" s="473"/>
      <c r="V36" s="474"/>
      <c r="W36" s="474"/>
      <c r="X36" s="474"/>
      <c r="Y36" s="474"/>
      <c r="Z36" s="474"/>
      <c r="AA36" s="448"/>
      <c r="AB36" s="474"/>
      <c r="AC36" s="473"/>
      <c r="AD36" s="472"/>
      <c r="AE36" s="471"/>
      <c r="AF36" s="471"/>
      <c r="AG36" s="471"/>
      <c r="AH36" s="471"/>
      <c r="AI36" s="471"/>
      <c r="AJ36" s="471"/>
      <c r="AK36" s="471"/>
      <c r="AL36" s="470"/>
    </row>
    <row r="37" spans="1:38" s="440" customFormat="1" ht="19.5" customHeight="1" x14ac:dyDescent="0.25">
      <c r="A37" s="469" t="str">
        <f>IF('Input data'!$F$27="","",LEFT(TEXT('Input data'!$F$27,"dd.mm.yyyy"),1))</f>
        <v/>
      </c>
      <c r="B37" s="468" t="str">
        <f>IF('Input data'!$F$27="","",MID(TEXT('Input data'!$F$27,"dd.mm.yyyy"),2,1))</f>
        <v/>
      </c>
      <c r="C37" s="467" t="s">
        <v>1147</v>
      </c>
      <c r="D37" s="468" t="str">
        <f>IF('Input data'!$F$27="","",MID(TEXT('Input data'!$F$27,"dd.mm.yyyy"),4,1))</f>
        <v/>
      </c>
      <c r="E37" s="468" t="str">
        <f>IF('Input data'!$F$27="","",MID(TEXT('Input data'!$F$27,"dd.mm.yyyy"),5,1))</f>
        <v/>
      </c>
      <c r="F37" s="467" t="s">
        <v>1147</v>
      </c>
      <c r="G37" s="466" t="str">
        <f>IF('Input data'!$F$27="","",MID(TEXT('Input data'!$F$27,"dd.mm.yyyy"),7,1))</f>
        <v/>
      </c>
      <c r="H37" s="466" t="str">
        <f>IF('Input data'!$F$27="","",MID(TEXT('Input data'!$F$27,"dd.mm.yyyy"),8,1))</f>
        <v/>
      </c>
      <c r="I37" s="466" t="str">
        <f>IF('Input data'!$F$27="","",MID(TEXT('Input data'!$F$27,"dd.mm.yyyy"),9,1))</f>
        <v/>
      </c>
      <c r="J37" s="466" t="str">
        <f>IF('Input data'!$F$27="","",MID(TEXT('Input data'!$F$27,"dd.mm.yyyy"),10,1))</f>
        <v/>
      </c>
      <c r="K37" s="838"/>
      <c r="L37" s="578"/>
      <c r="M37" s="451"/>
      <c r="N37" s="451"/>
      <c r="O37" s="451"/>
      <c r="P37" s="451"/>
      <c r="Q37" s="451"/>
      <c r="R37" s="451"/>
      <c r="S37" s="451"/>
      <c r="T37" s="451"/>
      <c r="U37" s="578"/>
      <c r="V37" s="451"/>
      <c r="W37" s="448"/>
      <c r="X37" s="448"/>
      <c r="Y37" s="448"/>
      <c r="Z37" s="448"/>
      <c r="AA37" s="448"/>
      <c r="AB37" s="448"/>
      <c r="AC37" s="577"/>
      <c r="AD37" s="448"/>
      <c r="AE37" s="448"/>
      <c r="AF37" s="448"/>
      <c r="AG37" s="448"/>
      <c r="AH37" s="448"/>
      <c r="AI37" s="448"/>
      <c r="AJ37" s="448"/>
      <c r="AK37" s="448"/>
      <c r="AL37" s="447"/>
    </row>
    <row r="38" spans="1:38" s="446" customFormat="1" thickBot="1" x14ac:dyDescent="0.3">
      <c r="A38" s="461"/>
      <c r="B38" s="460"/>
      <c r="C38" s="460"/>
      <c r="D38" s="460"/>
      <c r="E38" s="460"/>
      <c r="F38" s="460"/>
      <c r="G38" s="460"/>
      <c r="H38" s="460"/>
      <c r="I38" s="460"/>
      <c r="J38" s="460"/>
      <c r="K38" s="460"/>
      <c r="L38" s="459"/>
      <c r="M38" s="1038">
        <f>'Input data'!F31</f>
        <v>0</v>
      </c>
      <c r="N38" s="1039"/>
      <c r="O38" s="1039"/>
      <c r="P38" s="1039"/>
      <c r="Q38" s="1039"/>
      <c r="R38" s="1039"/>
      <c r="S38" s="1039"/>
      <c r="T38" s="1039"/>
      <c r="U38" s="1040"/>
      <c r="V38" s="1038">
        <f>'Input data'!F35</f>
        <v>0</v>
      </c>
      <c r="W38" s="1039"/>
      <c r="X38" s="1039"/>
      <c r="Y38" s="1039"/>
      <c r="Z38" s="1039"/>
      <c r="AA38" s="1039"/>
      <c r="AB38" s="1039"/>
      <c r="AC38" s="1040"/>
      <c r="AD38" s="1041">
        <f>'Input data'!F39</f>
        <v>0</v>
      </c>
      <c r="AE38" s="1039"/>
      <c r="AF38" s="1039"/>
      <c r="AG38" s="1039"/>
      <c r="AH38" s="1039"/>
      <c r="AI38" s="1039"/>
      <c r="AJ38" s="1039"/>
      <c r="AK38" s="1039"/>
      <c r="AL38" s="1042"/>
    </row>
    <row r="39" spans="1:38" s="446" customFormat="1" x14ac:dyDescent="0.2">
      <c r="A39" s="449"/>
      <c r="B39" s="449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887"/>
      <c r="N39" s="887"/>
      <c r="O39" s="887"/>
      <c r="P39" s="887"/>
      <c r="Q39" s="887"/>
      <c r="R39" s="887"/>
      <c r="S39" s="887"/>
      <c r="T39" s="887"/>
      <c r="U39" s="887"/>
      <c r="V39" s="449"/>
      <c r="W39" s="448"/>
      <c r="X39" s="448"/>
      <c r="Y39" s="448"/>
      <c r="Z39" s="448"/>
      <c r="AA39" s="448"/>
      <c r="AB39" s="448"/>
      <c r="AC39" s="448"/>
      <c r="AD39" s="449"/>
      <c r="AE39" s="449"/>
      <c r="AF39" s="449"/>
      <c r="AG39" s="449"/>
      <c r="AH39" s="449"/>
      <c r="AI39" s="449"/>
      <c r="AJ39" s="449"/>
      <c r="AK39" s="449"/>
      <c r="AL39" s="449"/>
    </row>
    <row r="40" spans="1:38" s="446" customFormat="1" x14ac:dyDescent="0.2">
      <c r="A40" s="449"/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887"/>
      <c r="N40" s="887"/>
      <c r="O40" s="887"/>
      <c r="P40" s="887"/>
      <c r="Q40" s="887"/>
      <c r="R40" s="887"/>
      <c r="S40" s="887"/>
      <c r="T40" s="887"/>
      <c r="U40" s="887"/>
      <c r="V40" s="449"/>
      <c r="W40" s="448"/>
      <c r="X40" s="448"/>
      <c r="Y40" s="448"/>
      <c r="Z40" s="448"/>
      <c r="AA40" s="448"/>
      <c r="AB40" s="448"/>
      <c r="AC40" s="448"/>
      <c r="AD40" s="449"/>
      <c r="AE40" s="449"/>
      <c r="AF40" s="449"/>
      <c r="AG40" s="449"/>
      <c r="AH40" s="449"/>
      <c r="AI40" s="449"/>
      <c r="AJ40" s="449"/>
      <c r="AK40" s="449"/>
      <c r="AL40" s="449"/>
    </row>
    <row r="41" spans="1:38" s="446" customFormat="1" x14ac:dyDescent="0.25"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</row>
    <row r="42" spans="1:38" ht="13.5" thickBot="1" x14ac:dyDescent="0.3"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</row>
    <row r="43" spans="1:38" s="446" customFormat="1" x14ac:dyDescent="0.25">
      <c r="B43" s="458" t="s">
        <v>1718</v>
      </c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457"/>
      <c r="S43" s="457"/>
      <c r="T43" s="457"/>
      <c r="U43" s="457"/>
      <c r="V43" s="457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5"/>
      <c r="AK43" s="441"/>
    </row>
    <row r="44" spans="1:38" s="446" customFormat="1" x14ac:dyDescent="0.25">
      <c r="B44" s="450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7"/>
      <c r="AK44" s="441"/>
    </row>
    <row r="45" spans="1:38" x14ac:dyDescent="0.25">
      <c r="B45" s="454"/>
      <c r="C45" s="825"/>
      <c r="D45" s="825"/>
      <c r="E45" s="825"/>
      <c r="F45" s="825"/>
      <c r="G45" s="825"/>
      <c r="H45" s="825"/>
      <c r="I45" s="825"/>
      <c r="J45" s="825"/>
      <c r="K45" s="825"/>
      <c r="L45" s="825"/>
      <c r="M45" s="825"/>
      <c r="N45" s="825"/>
      <c r="O45" s="825"/>
      <c r="P45" s="825"/>
      <c r="Q45" s="825"/>
      <c r="R45" s="825"/>
      <c r="S45" s="825"/>
      <c r="T45" s="825"/>
      <c r="U45" s="825"/>
      <c r="V45" s="825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7"/>
      <c r="AK45" s="441"/>
    </row>
    <row r="46" spans="1:38" s="446" customFormat="1" x14ac:dyDescent="0.25">
      <c r="B46" s="450"/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  <c r="V46" s="449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7"/>
      <c r="AK46" s="441"/>
    </row>
    <row r="47" spans="1:38" s="440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7"/>
      <c r="AK47" s="441"/>
    </row>
    <row r="48" spans="1:38" s="440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7"/>
      <c r="AK48" s="441"/>
    </row>
    <row r="49" spans="2:37" s="446" customFormat="1" x14ac:dyDescent="0.25">
      <c r="B49" s="450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7"/>
      <c r="AK49" s="441"/>
    </row>
    <row r="50" spans="2:37" s="446" customFormat="1" x14ac:dyDescent="0.25">
      <c r="B50" s="450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7"/>
      <c r="AK50" s="441"/>
    </row>
    <row r="51" spans="2:37" s="446" customFormat="1" x14ac:dyDescent="0.25">
      <c r="B51" s="450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7"/>
      <c r="AK51" s="441"/>
    </row>
    <row r="52" spans="2:37" s="446" customFormat="1" x14ac:dyDescent="0.25">
      <c r="B52" s="450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7"/>
      <c r="AK52" s="441"/>
    </row>
    <row r="53" spans="2:37" s="440" customFormat="1" ht="13.5" thickBot="1" x14ac:dyDescent="0.3">
      <c r="B53" s="445"/>
      <c r="C53" s="444"/>
      <c r="D53" s="444"/>
      <c r="E53" s="444"/>
      <c r="F53" s="444"/>
      <c r="G53" s="444" t="s">
        <v>1719</v>
      </c>
      <c r="H53" s="444"/>
      <c r="I53" s="444"/>
      <c r="J53" s="444"/>
      <c r="K53" s="444"/>
      <c r="L53" s="444"/>
      <c r="M53" s="444"/>
      <c r="N53" s="444"/>
      <c r="O53" s="444"/>
      <c r="P53" s="444"/>
      <c r="Q53" s="444"/>
      <c r="R53" s="444"/>
      <c r="S53" s="444"/>
      <c r="T53" s="444"/>
      <c r="U53" s="444" t="s">
        <v>1720</v>
      </c>
      <c r="V53" s="444"/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3"/>
      <c r="AH53" s="443"/>
      <c r="AI53" s="443"/>
      <c r="AJ53" s="442"/>
      <c r="AK53" s="441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J66"/>
  <sheetViews>
    <sheetView view="pageLayout" zoomScaleSheetLayoutView="100" workbookViewId="0">
      <selection activeCell="E2" sqref="E2"/>
    </sheetView>
  </sheetViews>
  <sheetFormatPr defaultRowHeight="10.5" x14ac:dyDescent="0.25"/>
  <cols>
    <col min="1" max="1" width="4.85546875" style="585" customWidth="1"/>
    <col min="2" max="2" width="36.85546875" style="585" customWidth="1"/>
    <col min="3" max="3" width="1.7109375" style="585" customWidth="1"/>
    <col min="4" max="4" width="7.5703125" style="585" customWidth="1"/>
    <col min="5" max="6" width="29.5703125" style="585" customWidth="1"/>
    <col min="7" max="16384" width="9.140625" style="585"/>
  </cols>
  <sheetData>
    <row r="1" spans="1:10" s="551" customFormat="1" ht="7.5" customHeight="1" x14ac:dyDescent="0.25">
      <c r="A1" s="550"/>
      <c r="H1" s="494"/>
      <c r="I1" s="494"/>
    </row>
    <row r="2" spans="1:10" s="551" customFormat="1" ht="17.25" customHeight="1" x14ac:dyDescent="0.25">
      <c r="A2" s="550"/>
      <c r="B2" s="576" t="s">
        <v>1850</v>
      </c>
      <c r="C2" s="863"/>
      <c r="D2" s="890" t="s">
        <v>1721</v>
      </c>
      <c r="E2" s="865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2  0  2  2  3  0  4  1  5  2</v>
      </c>
    </row>
    <row r="3" spans="1:10" s="551" customFormat="1" ht="7.5" customHeight="1" thickBot="1" x14ac:dyDescent="0.3">
      <c r="A3" s="550"/>
      <c r="B3" s="630"/>
      <c r="C3" s="494"/>
      <c r="D3" s="494"/>
    </row>
    <row r="4" spans="1:10" s="610" customFormat="1" ht="11.25" customHeight="1" x14ac:dyDescent="0.25">
      <c r="A4" s="629"/>
      <c r="B4" s="628"/>
      <c r="C4" s="627"/>
      <c r="D4" s="626"/>
      <c r="E4" s="1605" t="s">
        <v>1852</v>
      </c>
      <c r="F4" s="1624"/>
    </row>
    <row r="5" spans="1:10" s="610" customFormat="1" ht="33.75" customHeight="1" x14ac:dyDescent="0.25">
      <c r="A5" s="814" t="s">
        <v>1722</v>
      </c>
      <c r="B5" s="806" t="s">
        <v>1385</v>
      </c>
      <c r="C5" s="840"/>
      <c r="D5" s="815" t="s">
        <v>1724</v>
      </c>
      <c r="E5" s="807" t="s">
        <v>1853</v>
      </c>
      <c r="F5" s="620" t="s">
        <v>1854</v>
      </c>
    </row>
    <row r="6" spans="1:10" s="610" customFormat="1" ht="29.65" customHeight="1" x14ac:dyDescent="0.25">
      <c r="A6" s="818" t="s">
        <v>813</v>
      </c>
      <c r="B6" s="850" t="s">
        <v>1855</v>
      </c>
      <c r="C6" s="851"/>
      <c r="D6" s="808" t="s">
        <v>814</v>
      </c>
      <c r="E6" s="589">
        <f>'P&amp;L'!D9</f>
        <v>0</v>
      </c>
      <c r="F6" s="589">
        <f>'P&amp;L'!E9</f>
        <v>0</v>
      </c>
    </row>
    <row r="7" spans="1:10" s="610" customFormat="1" ht="29.65" customHeight="1" x14ac:dyDescent="0.25">
      <c r="A7" s="818" t="s">
        <v>815</v>
      </c>
      <c r="B7" s="850" t="s">
        <v>1856</v>
      </c>
      <c r="C7" s="851"/>
      <c r="D7" s="808" t="s">
        <v>817</v>
      </c>
      <c r="E7" s="805">
        <f>'P&amp;L'!D10</f>
        <v>0</v>
      </c>
      <c r="F7" s="589">
        <f>'P&amp;L'!E10</f>
        <v>0</v>
      </c>
    </row>
    <row r="8" spans="1:10" s="615" customFormat="1" ht="29.65" customHeight="1" x14ac:dyDescent="0.25">
      <c r="A8" s="812" t="s">
        <v>818</v>
      </c>
      <c r="B8" s="848" t="s">
        <v>1857</v>
      </c>
      <c r="C8" s="849"/>
      <c r="D8" s="813" t="s">
        <v>820</v>
      </c>
      <c r="E8" s="805">
        <f>'P&amp;L'!D11</f>
        <v>0</v>
      </c>
      <c r="F8" s="589">
        <f>'P&amp;L'!E11</f>
        <v>0</v>
      </c>
    </row>
    <row r="9" spans="1:10" s="615" customFormat="1" ht="29.65" customHeight="1" x14ac:dyDescent="0.25">
      <c r="A9" s="812" t="s">
        <v>821</v>
      </c>
      <c r="B9" s="848" t="s">
        <v>1858</v>
      </c>
      <c r="C9" s="849"/>
      <c r="D9" s="813" t="s">
        <v>823</v>
      </c>
      <c r="E9" s="805">
        <f>'P&amp;L'!D12</f>
        <v>11330433</v>
      </c>
      <c r="F9" s="589">
        <f>'P&amp;L'!E12</f>
        <v>10716651</v>
      </c>
    </row>
    <row r="10" spans="1:10" s="610" customFormat="1" ht="29.65" customHeight="1" x14ac:dyDescent="0.25">
      <c r="A10" s="809" t="s">
        <v>824</v>
      </c>
      <c r="B10" s="850" t="s">
        <v>1859</v>
      </c>
      <c r="C10" s="851"/>
      <c r="D10" s="808" t="s">
        <v>826</v>
      </c>
      <c r="E10" s="805">
        <f>'P&amp;L'!D13</f>
        <v>11330433</v>
      </c>
      <c r="F10" s="589">
        <f>'P&amp;L'!E13</f>
        <v>10716651</v>
      </c>
    </row>
    <row r="11" spans="1:10" s="610" customFormat="1" ht="31.5" customHeight="1" x14ac:dyDescent="0.25">
      <c r="A11" s="809" t="s">
        <v>532</v>
      </c>
      <c r="B11" s="850" t="s">
        <v>1860</v>
      </c>
      <c r="C11" s="851"/>
      <c r="D11" s="808" t="s">
        <v>828</v>
      </c>
      <c r="E11" s="805">
        <f>'P&amp;L'!D14</f>
        <v>0</v>
      </c>
      <c r="F11" s="589">
        <f>'P&amp;L'!E14</f>
        <v>0</v>
      </c>
    </row>
    <row r="12" spans="1:10" s="610" customFormat="1" ht="29.65" customHeight="1" x14ac:dyDescent="0.25">
      <c r="A12" s="809" t="s">
        <v>535</v>
      </c>
      <c r="B12" s="850" t="s">
        <v>1861</v>
      </c>
      <c r="C12" s="851"/>
      <c r="D12" s="808" t="s">
        <v>830</v>
      </c>
      <c r="E12" s="805">
        <f>'P&amp;L'!D15</f>
        <v>0</v>
      </c>
      <c r="F12" s="589">
        <f>'P&amp;L'!E15</f>
        <v>0</v>
      </c>
    </row>
    <row r="13" spans="1:10" s="615" customFormat="1" ht="29.65" customHeight="1" x14ac:dyDescent="0.25">
      <c r="A13" s="812" t="s">
        <v>594</v>
      </c>
      <c r="B13" s="848" t="s">
        <v>1862</v>
      </c>
      <c r="C13" s="849"/>
      <c r="D13" s="813" t="s">
        <v>832</v>
      </c>
      <c r="E13" s="805">
        <f>'P&amp;L'!D16</f>
        <v>10076854</v>
      </c>
      <c r="F13" s="589">
        <f>'P&amp;L'!E16</f>
        <v>9642113</v>
      </c>
      <c r="J13" s="610"/>
    </row>
    <row r="14" spans="1:10" s="610" customFormat="1" ht="29.65" customHeight="1" x14ac:dyDescent="0.25">
      <c r="A14" s="818" t="s">
        <v>833</v>
      </c>
      <c r="B14" s="850" t="s">
        <v>1863</v>
      </c>
      <c r="C14" s="851"/>
      <c r="D14" s="808" t="s">
        <v>835</v>
      </c>
      <c r="E14" s="805">
        <f>'P&amp;L'!D17</f>
        <v>38243</v>
      </c>
      <c r="F14" s="589">
        <f>'P&amp;L'!E17</f>
        <v>63661</v>
      </c>
    </row>
    <row r="15" spans="1:10" s="610" customFormat="1" ht="29.65" customHeight="1" x14ac:dyDescent="0.25">
      <c r="A15" s="818" t="s">
        <v>836</v>
      </c>
      <c r="B15" s="850" t="s">
        <v>1864</v>
      </c>
      <c r="C15" s="851"/>
      <c r="D15" s="808" t="s">
        <v>838</v>
      </c>
      <c r="E15" s="805">
        <f>'P&amp;L'!D18</f>
        <v>10038611</v>
      </c>
      <c r="F15" s="589">
        <f>'P&amp;L'!E18</f>
        <v>9578452</v>
      </c>
    </row>
    <row r="16" spans="1:10" s="615" customFormat="1" ht="29.65" customHeight="1" x14ac:dyDescent="0.25">
      <c r="A16" s="812" t="s">
        <v>818</v>
      </c>
      <c r="B16" s="848" t="s">
        <v>1865</v>
      </c>
      <c r="C16" s="849"/>
      <c r="D16" s="813" t="s">
        <v>840</v>
      </c>
      <c r="E16" s="805">
        <f>'P&amp;L'!D19</f>
        <v>1253579</v>
      </c>
      <c r="F16" s="589">
        <f>'P&amp;L'!E19</f>
        <v>1074538</v>
      </c>
    </row>
    <row r="17" spans="1:6" s="610" customFormat="1" ht="29.65" customHeight="1" x14ac:dyDescent="0.25">
      <c r="A17" s="818" t="s">
        <v>663</v>
      </c>
      <c r="B17" s="850" t="s">
        <v>1866</v>
      </c>
      <c r="C17" s="851"/>
      <c r="D17" s="808" t="s">
        <v>842</v>
      </c>
      <c r="E17" s="805">
        <f>'P&amp;L'!D20</f>
        <v>409980</v>
      </c>
      <c r="F17" s="589">
        <f>'P&amp;L'!E20</f>
        <v>394269</v>
      </c>
    </row>
    <row r="18" spans="1:6" s="610" customFormat="1" ht="29.65" customHeight="1" x14ac:dyDescent="0.25">
      <c r="A18" s="818" t="s">
        <v>666</v>
      </c>
      <c r="B18" s="850" t="s">
        <v>1867</v>
      </c>
      <c r="C18" s="851"/>
      <c r="D18" s="808" t="s">
        <v>844</v>
      </c>
      <c r="E18" s="805">
        <f>'P&amp;L'!D21</f>
        <v>296866</v>
      </c>
      <c r="F18" s="589">
        <f>'P&amp;L'!E21</f>
        <v>300410</v>
      </c>
    </row>
    <row r="19" spans="1:6" s="610" customFormat="1" ht="29.65" customHeight="1" x14ac:dyDescent="0.25">
      <c r="A19" s="818" t="s">
        <v>836</v>
      </c>
      <c r="B19" s="850" t="s">
        <v>1868</v>
      </c>
      <c r="C19" s="851"/>
      <c r="D19" s="808" t="s">
        <v>846</v>
      </c>
      <c r="E19" s="805">
        <f>'P&amp;L'!D22</f>
        <v>0</v>
      </c>
      <c r="F19" s="589">
        <f>'P&amp;L'!E22</f>
        <v>0</v>
      </c>
    </row>
    <row r="20" spans="1:6" s="610" customFormat="1" ht="29.65" customHeight="1" x14ac:dyDescent="0.25">
      <c r="A20" s="818" t="s">
        <v>847</v>
      </c>
      <c r="B20" s="850" t="s">
        <v>1869</v>
      </c>
      <c r="C20" s="851"/>
      <c r="D20" s="808" t="s">
        <v>849</v>
      </c>
      <c r="E20" s="805">
        <f>'P&amp;L'!D23</f>
        <v>106327</v>
      </c>
      <c r="F20" s="589">
        <f>'P&amp;L'!E23</f>
        <v>87584</v>
      </c>
    </row>
    <row r="21" spans="1:6" s="610" customFormat="1" ht="29.65" customHeight="1" x14ac:dyDescent="0.25">
      <c r="A21" s="818" t="s">
        <v>850</v>
      </c>
      <c r="B21" s="850" t="s">
        <v>1870</v>
      </c>
      <c r="C21" s="851"/>
      <c r="D21" s="808" t="s">
        <v>852</v>
      </c>
      <c r="E21" s="805">
        <f>'P&amp;L'!D24</f>
        <v>6787</v>
      </c>
      <c r="F21" s="589">
        <f>'P&amp;L'!E24</f>
        <v>6275</v>
      </c>
    </row>
    <row r="22" spans="1:6" s="610" customFormat="1" ht="29.65" customHeight="1" x14ac:dyDescent="0.25">
      <c r="A22" s="818" t="s">
        <v>853</v>
      </c>
      <c r="B22" s="850" t="s">
        <v>1871</v>
      </c>
      <c r="C22" s="851"/>
      <c r="D22" s="808" t="s">
        <v>855</v>
      </c>
      <c r="E22" s="805">
        <f>'P&amp;L'!D25</f>
        <v>921</v>
      </c>
      <c r="F22" s="589">
        <f>'P&amp;L'!E25</f>
        <v>1043</v>
      </c>
    </row>
    <row r="23" spans="1:6" s="610" customFormat="1" ht="29.65" customHeight="1" x14ac:dyDescent="0.25">
      <c r="A23" s="818" t="s">
        <v>856</v>
      </c>
      <c r="B23" s="850" t="s">
        <v>1872</v>
      </c>
      <c r="C23" s="851"/>
      <c r="D23" s="808" t="s">
        <v>858</v>
      </c>
      <c r="E23" s="805">
        <f>'P&amp;L'!D26</f>
        <v>24621</v>
      </c>
      <c r="F23" s="589">
        <f>'P&amp;L'!E26</f>
        <v>17258</v>
      </c>
    </row>
    <row r="24" spans="1:6" s="610" customFormat="1" ht="29.65" customHeight="1" x14ac:dyDescent="0.25">
      <c r="A24" s="818" t="s">
        <v>859</v>
      </c>
      <c r="B24" s="850" t="s">
        <v>1873</v>
      </c>
      <c r="C24" s="851"/>
      <c r="D24" s="808" t="s">
        <v>861</v>
      </c>
      <c r="E24" s="805">
        <f>'P&amp;L'!D27</f>
        <v>0</v>
      </c>
      <c r="F24" s="589">
        <f>'P&amp;L'!E27</f>
        <v>0</v>
      </c>
    </row>
    <row r="25" spans="1:6" s="610" customFormat="1" ht="29.65" customHeight="1" x14ac:dyDescent="0.25">
      <c r="A25" s="818" t="s">
        <v>862</v>
      </c>
      <c r="B25" s="850" t="s">
        <v>1874</v>
      </c>
      <c r="C25" s="851"/>
      <c r="D25" s="808" t="s">
        <v>864</v>
      </c>
      <c r="E25" s="805">
        <f>'P&amp;L'!D28</f>
        <v>0</v>
      </c>
      <c r="F25" s="589">
        <f>'P&amp;L'!E28</f>
        <v>0</v>
      </c>
    </row>
    <row r="26" spans="1:6" s="610" customFormat="1" ht="29.65" customHeight="1" x14ac:dyDescent="0.25">
      <c r="A26" s="818" t="s">
        <v>865</v>
      </c>
      <c r="B26" s="850" t="s">
        <v>1875</v>
      </c>
      <c r="C26" s="618"/>
      <c r="D26" s="808" t="s">
        <v>867</v>
      </c>
      <c r="E26" s="805">
        <f>'P&amp;L'!D29</f>
        <v>18068</v>
      </c>
      <c r="F26" s="589">
        <f>'P&amp;L'!E29</f>
        <v>0</v>
      </c>
    </row>
    <row r="27" spans="1:6" s="610" customFormat="1" ht="29.65" customHeight="1" x14ac:dyDescent="0.25">
      <c r="A27" s="818" t="s">
        <v>868</v>
      </c>
      <c r="B27" s="850" t="s">
        <v>1876</v>
      </c>
      <c r="C27" s="851"/>
      <c r="D27" s="808" t="s">
        <v>870</v>
      </c>
      <c r="E27" s="805">
        <f>'P&amp;L'!D30</f>
        <v>1082</v>
      </c>
      <c r="F27" s="589">
        <f>'P&amp;L'!E30</f>
        <v>132466</v>
      </c>
    </row>
    <row r="28" spans="1:6" s="610" customFormat="1" ht="29.65" customHeight="1" x14ac:dyDescent="0.25">
      <c r="A28" s="818" t="s">
        <v>871</v>
      </c>
      <c r="B28" s="619" t="s">
        <v>1877</v>
      </c>
      <c r="C28" s="618"/>
      <c r="D28" s="808" t="s">
        <v>873</v>
      </c>
      <c r="E28" s="805">
        <f>'P&amp;L'!D31</f>
        <v>1262</v>
      </c>
      <c r="F28" s="589">
        <f>'P&amp;L'!E31</f>
        <v>2251</v>
      </c>
    </row>
    <row r="29" spans="1:6" s="610" customFormat="1" ht="29.65" customHeight="1" x14ac:dyDescent="0.25">
      <c r="A29" s="818" t="s">
        <v>874</v>
      </c>
      <c r="B29" s="850" t="s">
        <v>1878</v>
      </c>
      <c r="C29" s="851"/>
      <c r="D29" s="808" t="s">
        <v>876</v>
      </c>
      <c r="E29" s="805">
        <f>'P&amp;L'!D32</f>
        <v>0</v>
      </c>
      <c r="F29" s="589">
        <f>'P&amp;L'!E32</f>
        <v>0</v>
      </c>
    </row>
    <row r="30" spans="1:6" s="610" customFormat="1" ht="29.65" customHeight="1" x14ac:dyDescent="0.25">
      <c r="A30" s="818" t="s">
        <v>877</v>
      </c>
      <c r="B30" s="850" t="s">
        <v>1879</v>
      </c>
      <c r="C30" s="851"/>
      <c r="D30" s="808" t="s">
        <v>879</v>
      </c>
      <c r="E30" s="805">
        <f>'P&amp;L'!D33</f>
        <v>0</v>
      </c>
      <c r="F30" s="589">
        <f>'P&amp;L'!E33</f>
        <v>0</v>
      </c>
    </row>
    <row r="31" spans="1:6" s="615" customFormat="1" ht="33.75" customHeight="1" x14ac:dyDescent="0.25">
      <c r="A31" s="812" t="s">
        <v>880</v>
      </c>
      <c r="B31" s="617" t="s">
        <v>1880</v>
      </c>
      <c r="C31" s="616"/>
      <c r="D31" s="813" t="s">
        <v>882</v>
      </c>
      <c r="E31" s="805">
        <f>'P&amp;L'!D34</f>
        <v>799809</v>
      </c>
      <c r="F31" s="589">
        <f>'P&amp;L'!E34</f>
        <v>792183</v>
      </c>
    </row>
    <row r="32" spans="1:6" s="610" customFormat="1" ht="29.65" customHeight="1" thickBot="1" x14ac:dyDescent="0.3">
      <c r="A32" s="614" t="s">
        <v>883</v>
      </c>
      <c r="B32" s="852" t="s">
        <v>1881</v>
      </c>
      <c r="C32" s="853"/>
      <c r="D32" s="611" t="s">
        <v>885</v>
      </c>
      <c r="E32" s="866">
        <f>'P&amp;L'!D35</f>
        <v>0</v>
      </c>
      <c r="F32" s="867">
        <f>'P&amp;L'!E35</f>
        <v>0</v>
      </c>
    </row>
    <row r="33" spans="1:6" ht="24.75" customHeight="1" x14ac:dyDescent="0.25">
      <c r="A33" s="847" t="s">
        <v>886</v>
      </c>
      <c r="B33" s="601" t="s">
        <v>1882</v>
      </c>
      <c r="C33" s="600"/>
      <c r="D33" s="811" t="s">
        <v>888</v>
      </c>
      <c r="E33" s="845">
        <f>'P&amp;L'!D36</f>
        <v>0</v>
      </c>
      <c r="F33" s="868">
        <f>'P&amp;L'!E36</f>
        <v>0</v>
      </c>
    </row>
    <row r="34" spans="1:6" ht="30.75" customHeight="1" x14ac:dyDescent="0.25">
      <c r="A34" s="847" t="s">
        <v>889</v>
      </c>
      <c r="B34" s="609" t="s">
        <v>1883</v>
      </c>
      <c r="C34" s="608"/>
      <c r="D34" s="811" t="s">
        <v>891</v>
      </c>
      <c r="E34" s="845">
        <f>'P&amp;L'!D37</f>
        <v>0</v>
      </c>
      <c r="F34" s="868">
        <f>'P&amp;L'!E37</f>
        <v>0</v>
      </c>
    </row>
    <row r="35" spans="1:6" ht="36.75" customHeight="1" x14ac:dyDescent="0.25">
      <c r="A35" s="818" t="s">
        <v>892</v>
      </c>
      <c r="B35" s="850" t="s">
        <v>1884</v>
      </c>
      <c r="C35" s="851"/>
      <c r="D35" s="808" t="s">
        <v>894</v>
      </c>
      <c r="E35" s="805">
        <f>'P&amp;L'!D38</f>
        <v>0</v>
      </c>
      <c r="F35" s="589">
        <f>'P&amp;L'!E38</f>
        <v>0</v>
      </c>
    </row>
    <row r="36" spans="1:6" ht="30.75" customHeight="1" x14ac:dyDescent="0.25">
      <c r="A36" s="818" t="s">
        <v>895</v>
      </c>
      <c r="B36" s="850" t="s">
        <v>1885</v>
      </c>
      <c r="C36" s="851"/>
      <c r="D36" s="808" t="s">
        <v>897</v>
      </c>
      <c r="E36" s="805">
        <f>'P&amp;L'!D39</f>
        <v>0</v>
      </c>
      <c r="F36" s="589">
        <f>'P&amp;L'!E39</f>
        <v>0</v>
      </c>
    </row>
    <row r="37" spans="1:6" ht="30" customHeight="1" x14ac:dyDescent="0.25">
      <c r="A37" s="818" t="s">
        <v>898</v>
      </c>
      <c r="B37" s="850" t="s">
        <v>1886</v>
      </c>
      <c r="C37" s="851"/>
      <c r="D37" s="808" t="s">
        <v>900</v>
      </c>
      <c r="E37" s="805">
        <f>'P&amp;L'!D40</f>
        <v>0</v>
      </c>
      <c r="F37" s="589">
        <f>'P&amp;L'!E40</f>
        <v>0</v>
      </c>
    </row>
    <row r="38" spans="1:6" ht="26.25" customHeight="1" x14ac:dyDescent="0.25">
      <c r="A38" s="818" t="s">
        <v>901</v>
      </c>
      <c r="B38" s="850" t="s">
        <v>1887</v>
      </c>
      <c r="C38" s="851"/>
      <c r="D38" s="808" t="s">
        <v>903</v>
      </c>
      <c r="E38" s="805">
        <f>'P&amp;L'!D41</f>
        <v>0</v>
      </c>
      <c r="F38" s="589">
        <f>'P&amp;L'!E41</f>
        <v>0</v>
      </c>
    </row>
    <row r="39" spans="1:6" ht="22.5" customHeight="1" x14ac:dyDescent="0.25">
      <c r="A39" s="818" t="s">
        <v>904</v>
      </c>
      <c r="B39" s="850" t="s">
        <v>1888</v>
      </c>
      <c r="C39" s="851"/>
      <c r="D39" s="808" t="s">
        <v>906</v>
      </c>
      <c r="E39" s="805">
        <f>'P&amp;L'!D42</f>
        <v>0</v>
      </c>
      <c r="F39" s="589">
        <f>'P&amp;L'!E42</f>
        <v>0</v>
      </c>
    </row>
    <row r="40" spans="1:6" ht="30.75" customHeight="1" x14ac:dyDescent="0.25">
      <c r="A40" s="818" t="s">
        <v>907</v>
      </c>
      <c r="B40" s="850" t="s">
        <v>1889</v>
      </c>
      <c r="C40" s="851"/>
      <c r="D40" s="808" t="s">
        <v>909</v>
      </c>
      <c r="E40" s="805">
        <f>'P&amp;L'!D43</f>
        <v>0</v>
      </c>
      <c r="F40" s="589">
        <f>'P&amp;L'!E43</f>
        <v>0</v>
      </c>
    </row>
    <row r="41" spans="1:6" ht="33.75" customHeight="1" x14ac:dyDescent="0.25">
      <c r="A41" s="818" t="s">
        <v>910</v>
      </c>
      <c r="B41" s="850" t="s">
        <v>1890</v>
      </c>
      <c r="C41" s="851"/>
      <c r="D41" s="808" t="s">
        <v>912</v>
      </c>
      <c r="E41" s="805">
        <f>'P&amp;L'!D44</f>
        <v>0</v>
      </c>
      <c r="F41" s="589">
        <f>'P&amp;L'!E44</f>
        <v>0</v>
      </c>
    </row>
    <row r="42" spans="1:6" ht="32.25" customHeight="1" x14ac:dyDescent="0.25">
      <c r="A42" s="818" t="s">
        <v>913</v>
      </c>
      <c r="B42" s="850" t="s">
        <v>1891</v>
      </c>
      <c r="C42" s="851"/>
      <c r="D42" s="808" t="s">
        <v>915</v>
      </c>
      <c r="E42" s="805">
        <f>'P&amp;L'!D45</f>
        <v>0</v>
      </c>
      <c r="F42" s="589">
        <f>'P&amp;L'!E45</f>
        <v>0</v>
      </c>
    </row>
    <row r="43" spans="1:6" ht="24" customHeight="1" x14ac:dyDescent="0.25">
      <c r="A43" s="818" t="s">
        <v>916</v>
      </c>
      <c r="B43" s="850" t="s">
        <v>1892</v>
      </c>
      <c r="C43" s="851"/>
      <c r="D43" s="808" t="s">
        <v>918</v>
      </c>
      <c r="E43" s="805">
        <f>'P&amp;L'!D46</f>
        <v>70</v>
      </c>
      <c r="F43" s="589">
        <f>'P&amp;L'!E46</f>
        <v>3749</v>
      </c>
    </row>
    <row r="44" spans="1:6" ht="26.25" customHeight="1" x14ac:dyDescent="0.25">
      <c r="A44" s="818" t="s">
        <v>919</v>
      </c>
      <c r="B44" s="850" t="s">
        <v>1893</v>
      </c>
      <c r="C44" s="851"/>
      <c r="D44" s="808" t="s">
        <v>921</v>
      </c>
      <c r="E44" s="805">
        <f>'P&amp;L'!D47</f>
        <v>433</v>
      </c>
      <c r="F44" s="589">
        <f>'P&amp;L'!E47</f>
        <v>619</v>
      </c>
    </row>
    <row r="45" spans="1:6" ht="24.75" customHeight="1" x14ac:dyDescent="0.25">
      <c r="A45" s="818" t="s">
        <v>922</v>
      </c>
      <c r="B45" s="850" t="s">
        <v>1894</v>
      </c>
      <c r="C45" s="851"/>
      <c r="D45" s="808" t="s">
        <v>924</v>
      </c>
      <c r="E45" s="805">
        <f>'P&amp;L'!D48</f>
        <v>369</v>
      </c>
      <c r="F45" s="589">
        <f>'P&amp;L'!E48</f>
        <v>99</v>
      </c>
    </row>
    <row r="46" spans="1:6" ht="27" customHeight="1" x14ac:dyDescent="0.25">
      <c r="A46" s="818" t="s">
        <v>925</v>
      </c>
      <c r="B46" s="850" t="s">
        <v>1895</v>
      </c>
      <c r="C46" s="851"/>
      <c r="D46" s="808" t="s">
        <v>927</v>
      </c>
      <c r="E46" s="805">
        <f>'P&amp;L'!D49</f>
        <v>1704</v>
      </c>
      <c r="F46" s="589">
        <f>'P&amp;L'!E49</f>
        <v>2014</v>
      </c>
    </row>
    <row r="47" spans="1:6" ht="29.25" customHeight="1" x14ac:dyDescent="0.25">
      <c r="A47" s="818" t="s">
        <v>928</v>
      </c>
      <c r="B47" s="850" t="s">
        <v>1896</v>
      </c>
      <c r="C47" s="851"/>
      <c r="D47" s="808" t="s">
        <v>930</v>
      </c>
      <c r="E47" s="805">
        <f>'P&amp;L'!D50</f>
        <v>0</v>
      </c>
      <c r="F47" s="589">
        <f>'P&amp;L'!E50</f>
        <v>0</v>
      </c>
    </row>
    <row r="48" spans="1:6" ht="27.75" customHeight="1" x14ac:dyDescent="0.25">
      <c r="A48" s="818" t="s">
        <v>931</v>
      </c>
      <c r="B48" s="850" t="s">
        <v>1897</v>
      </c>
      <c r="C48" s="851"/>
      <c r="D48" s="808" t="s">
        <v>933</v>
      </c>
      <c r="E48" s="805">
        <f>'P&amp;L'!D51</f>
        <v>7572</v>
      </c>
      <c r="F48" s="589">
        <f>'P&amp;L'!E51</f>
        <v>10091</v>
      </c>
    </row>
    <row r="49" spans="1:6" ht="27.75" customHeight="1" x14ac:dyDescent="0.25">
      <c r="A49" s="818" t="s">
        <v>934</v>
      </c>
      <c r="B49" s="850" t="s">
        <v>1898</v>
      </c>
      <c r="C49" s="851"/>
      <c r="D49" s="808" t="s">
        <v>936</v>
      </c>
      <c r="E49" s="805">
        <f>'P&amp;L'!D52</f>
        <v>0</v>
      </c>
      <c r="F49" s="589">
        <f>'P&amp;L'!E52</f>
        <v>0</v>
      </c>
    </row>
    <row r="50" spans="1:6" ht="27.75" customHeight="1" x14ac:dyDescent="0.25">
      <c r="A50" s="818" t="s">
        <v>937</v>
      </c>
      <c r="B50" s="850" t="s">
        <v>1899</v>
      </c>
      <c r="C50" s="851"/>
      <c r="D50" s="808" t="s">
        <v>939</v>
      </c>
      <c r="E50" s="805">
        <f>'P&amp;L'!D53</f>
        <v>0</v>
      </c>
      <c r="F50" s="589">
        <f>'P&amp;L'!E53</f>
        <v>0</v>
      </c>
    </row>
    <row r="51" spans="1:6" s="586" customFormat="1" ht="36.75" customHeight="1" x14ac:dyDescent="0.25">
      <c r="A51" s="605" t="s">
        <v>880</v>
      </c>
      <c r="B51" s="607" t="s">
        <v>1900</v>
      </c>
      <c r="C51" s="606"/>
      <c r="D51" s="813" t="s">
        <v>941</v>
      </c>
      <c r="E51" s="805">
        <f>'P&amp;L'!D54</f>
        <v>-9270</v>
      </c>
      <c r="F51" s="589">
        <f>'P&amp;L'!E54</f>
        <v>-8876</v>
      </c>
    </row>
    <row r="52" spans="1:6" s="586" customFormat="1" ht="29.25" customHeight="1" x14ac:dyDescent="0.25">
      <c r="A52" s="605" t="s">
        <v>942</v>
      </c>
      <c r="B52" s="604" t="s">
        <v>1901</v>
      </c>
      <c r="C52" s="603"/>
      <c r="D52" s="813" t="s">
        <v>944</v>
      </c>
      <c r="E52" s="805">
        <f>'P&amp;L'!D55</f>
        <v>790539</v>
      </c>
      <c r="F52" s="589">
        <f>'P&amp;L'!E55</f>
        <v>783307</v>
      </c>
    </row>
    <row r="53" spans="1:6" ht="30.75" customHeight="1" x14ac:dyDescent="0.25">
      <c r="A53" s="818" t="s">
        <v>945</v>
      </c>
      <c r="B53" s="850" t="s">
        <v>1902</v>
      </c>
      <c r="C53" s="851"/>
      <c r="D53" s="808" t="s">
        <v>947</v>
      </c>
      <c r="E53" s="805">
        <f>'P&amp;L'!D56</f>
        <v>188035</v>
      </c>
      <c r="F53" s="589">
        <f>'P&amp;L'!E56</f>
        <v>151714</v>
      </c>
    </row>
    <row r="54" spans="1:6" ht="28.5" customHeight="1" x14ac:dyDescent="0.25">
      <c r="A54" s="810" t="s">
        <v>948</v>
      </c>
      <c r="B54" s="619" t="s">
        <v>1903</v>
      </c>
      <c r="C54" s="851"/>
      <c r="D54" s="808" t="s">
        <v>950</v>
      </c>
      <c r="E54" s="805">
        <f>'P&amp;L'!D57</f>
        <v>179297</v>
      </c>
      <c r="F54" s="589">
        <f>'P&amp;L'!E57</f>
        <v>146331</v>
      </c>
    </row>
    <row r="55" spans="1:6" ht="28.5" customHeight="1" x14ac:dyDescent="0.25">
      <c r="A55" s="818" t="s">
        <v>836</v>
      </c>
      <c r="B55" s="619" t="s">
        <v>1904</v>
      </c>
      <c r="C55" s="851"/>
      <c r="D55" s="808" t="s">
        <v>952</v>
      </c>
      <c r="E55" s="805">
        <f>'P&amp;L'!D58</f>
        <v>8738</v>
      </c>
      <c r="F55" s="589">
        <f>'P&amp;L'!E58</f>
        <v>5383</v>
      </c>
    </row>
    <row r="56" spans="1:6" s="586" customFormat="1" ht="31.5" customHeight="1" x14ac:dyDescent="0.25">
      <c r="A56" s="605" t="s">
        <v>942</v>
      </c>
      <c r="B56" s="604" t="s">
        <v>1905</v>
      </c>
      <c r="C56" s="603"/>
      <c r="D56" s="813" t="s">
        <v>954</v>
      </c>
      <c r="E56" s="805">
        <f>'P&amp;L'!D59</f>
        <v>602504</v>
      </c>
      <c r="F56" s="589">
        <f>'P&amp;L'!E59</f>
        <v>631593</v>
      </c>
    </row>
    <row r="57" spans="1:6" ht="29.25" customHeight="1" x14ac:dyDescent="0.25">
      <c r="A57" s="818" t="s">
        <v>955</v>
      </c>
      <c r="B57" s="850" t="s">
        <v>1906</v>
      </c>
      <c r="C57" s="851"/>
      <c r="D57" s="808" t="s">
        <v>957</v>
      </c>
      <c r="E57" s="805">
        <f>'P&amp;L'!D60</f>
        <v>0</v>
      </c>
      <c r="F57" s="589">
        <f>'P&amp;L'!E60</f>
        <v>0</v>
      </c>
    </row>
    <row r="58" spans="1:6" ht="28.5" customHeight="1" x14ac:dyDescent="0.25">
      <c r="A58" s="818" t="s">
        <v>958</v>
      </c>
      <c r="B58" s="850" t="s">
        <v>1907</v>
      </c>
      <c r="C58" s="851"/>
      <c r="D58" s="808" t="s">
        <v>960</v>
      </c>
      <c r="E58" s="805">
        <f>'P&amp;L'!D61</f>
        <v>0</v>
      </c>
      <c r="F58" s="589">
        <f>'P&amp;L'!E61</f>
        <v>0</v>
      </c>
    </row>
    <row r="59" spans="1:6" ht="30.75" customHeight="1" thickBot="1" x14ac:dyDescent="0.3">
      <c r="A59" s="561" t="s">
        <v>880</v>
      </c>
      <c r="B59" s="588" t="s">
        <v>1908</v>
      </c>
      <c r="C59" s="587"/>
      <c r="D59" s="560" t="s">
        <v>962</v>
      </c>
      <c r="E59" s="866">
        <f>'P&amp;L'!D62</f>
        <v>0</v>
      </c>
      <c r="F59" s="867">
        <f>'P&amp;L'!E62</f>
        <v>0</v>
      </c>
    </row>
    <row r="60" spans="1:6" ht="27.75" customHeight="1" x14ac:dyDescent="0.25">
      <c r="A60" s="847" t="s">
        <v>963</v>
      </c>
      <c r="B60" s="601" t="s">
        <v>1909</v>
      </c>
      <c r="C60" s="600"/>
      <c r="D60" s="811" t="s">
        <v>965</v>
      </c>
      <c r="E60" s="845">
        <f>'P&amp;L'!D63</f>
        <v>0</v>
      </c>
      <c r="F60" s="868">
        <f>'P&amp;L'!E63</f>
        <v>0</v>
      </c>
    </row>
    <row r="61" spans="1:6" ht="27.75" customHeight="1" x14ac:dyDescent="0.25">
      <c r="A61" s="810" t="s">
        <v>966</v>
      </c>
      <c r="B61" s="619" t="s">
        <v>1910</v>
      </c>
      <c r="C61" s="851"/>
      <c r="D61" s="808" t="s">
        <v>968</v>
      </c>
      <c r="E61" s="805">
        <f>'P&amp;L'!D64</f>
        <v>0</v>
      </c>
      <c r="F61" s="589">
        <f>'P&amp;L'!E64</f>
        <v>0</v>
      </c>
    </row>
    <row r="62" spans="1:6" ht="27.75" customHeight="1" x14ac:dyDescent="0.25">
      <c r="A62" s="818" t="s">
        <v>836</v>
      </c>
      <c r="B62" s="619" t="s">
        <v>1911</v>
      </c>
      <c r="C62" s="851"/>
      <c r="D62" s="808" t="s">
        <v>970</v>
      </c>
      <c r="E62" s="805">
        <f>'P&amp;L'!D65</f>
        <v>0</v>
      </c>
      <c r="F62" s="589">
        <f>'P&amp;L'!E65</f>
        <v>0</v>
      </c>
    </row>
    <row r="63" spans="1:6" s="586" customFormat="1" ht="27.75" customHeight="1" x14ac:dyDescent="0.25">
      <c r="A63" s="841" t="s">
        <v>880</v>
      </c>
      <c r="B63" s="596" t="s">
        <v>1912</v>
      </c>
      <c r="C63" s="595"/>
      <c r="D63" s="817">
        <v>58</v>
      </c>
      <c r="E63" s="845">
        <f>'P&amp;L'!D66</f>
        <v>0</v>
      </c>
      <c r="F63" s="868">
        <f>'P&amp;L'!E66</f>
        <v>0</v>
      </c>
    </row>
    <row r="64" spans="1:6" s="586" customFormat="1" ht="27.75" customHeight="1" x14ac:dyDescent="0.25">
      <c r="A64" s="812" t="s">
        <v>973</v>
      </c>
      <c r="B64" s="848" t="s">
        <v>1913</v>
      </c>
      <c r="C64" s="849"/>
      <c r="D64" s="813" t="s">
        <v>975</v>
      </c>
      <c r="E64" s="805">
        <f>'P&amp;L'!D67</f>
        <v>790539</v>
      </c>
      <c r="F64" s="589">
        <f>'P&amp;L'!E67</f>
        <v>783307</v>
      </c>
    </row>
    <row r="65" spans="1:6" ht="27.75" customHeight="1" x14ac:dyDescent="0.25">
      <c r="A65" s="818" t="s">
        <v>976</v>
      </c>
      <c r="B65" s="850" t="s">
        <v>1914</v>
      </c>
      <c r="C65" s="851"/>
      <c r="D65" s="808" t="s">
        <v>978</v>
      </c>
      <c r="E65" s="805">
        <f>'P&amp;L'!D68</f>
        <v>0</v>
      </c>
      <c r="F65" s="589">
        <f>'P&amp;L'!E68</f>
        <v>0</v>
      </c>
    </row>
    <row r="66" spans="1:6" s="586" customFormat="1" ht="27.75" customHeight="1" thickBot="1" x14ac:dyDescent="0.3">
      <c r="A66" s="561" t="s">
        <v>973</v>
      </c>
      <c r="B66" s="588" t="s">
        <v>1915</v>
      </c>
      <c r="C66" s="587"/>
      <c r="D66" s="560" t="s">
        <v>980</v>
      </c>
      <c r="E66" s="866">
        <f>'P&amp;L'!D69</f>
        <v>602504</v>
      </c>
      <c r="F66" s="867">
        <f>'P&amp;L'!E69</f>
        <v>631593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24219/3/2008/1&amp;RSeite &amp;P</oddFooter>
  </headerFooter>
  <rowBreaks count="2" manualBreakCount="2">
    <brk id="32" max="5" man="1"/>
    <brk id="59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A9" sqref="A9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10" t="s">
        <v>1</v>
      </c>
      <c r="B2" s="11" t="s">
        <v>2</v>
      </c>
      <c r="C2" s="11" t="s">
        <v>3</v>
      </c>
    </row>
    <row r="3" spans="1:3" ht="22.5" customHeight="1" thickTop="1" thickBot="1" x14ac:dyDescent="0.3">
      <c r="A3" s="12" t="s">
        <v>4</v>
      </c>
      <c r="B3" s="13"/>
      <c r="C3" s="13"/>
    </row>
    <row r="4" spans="1:3" ht="22.5" customHeight="1" thickBot="1" x14ac:dyDescent="0.3">
      <c r="A4" s="14" t="s">
        <v>5</v>
      </c>
      <c r="B4" s="15"/>
      <c r="C4" s="15"/>
    </row>
    <row r="5" spans="1:3" ht="22.5" customHeight="1" thickBot="1" x14ac:dyDescent="0.3">
      <c r="A5" s="16" t="s">
        <v>6</v>
      </c>
      <c r="B5" s="17"/>
      <c r="C5" s="17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1328" t="s">
        <v>9</v>
      </c>
      <c r="B3" s="1197" t="s">
        <v>10</v>
      </c>
      <c r="C3" s="1199"/>
      <c r="D3" s="1328" t="s">
        <v>11</v>
      </c>
      <c r="E3" s="1328" t="s">
        <v>454</v>
      </c>
      <c r="F3" s="20"/>
      <c r="G3" s="20"/>
    </row>
    <row r="4" spans="1:7" ht="15" customHeight="1" thickTop="1" thickBot="1" x14ac:dyDescent="0.3">
      <c r="A4" s="1330"/>
      <c r="B4" s="21" t="s">
        <v>13</v>
      </c>
      <c r="C4" s="21" t="s">
        <v>12</v>
      </c>
      <c r="D4" s="1330"/>
      <c r="E4" s="1330"/>
      <c r="F4" s="20"/>
      <c r="G4" s="20"/>
    </row>
    <row r="5" spans="1:7" ht="16.5" thickTop="1" thickBot="1" x14ac:dyDescent="0.3">
      <c r="A5" s="14"/>
      <c r="B5" s="22"/>
      <c r="C5" s="23"/>
      <c r="D5" s="23"/>
      <c r="E5" s="24"/>
      <c r="F5" s="20"/>
      <c r="G5" s="20"/>
    </row>
    <row r="6" spans="1:7" ht="15.75" thickBot="1" x14ac:dyDescent="0.3">
      <c r="A6" s="14"/>
      <c r="B6" s="22"/>
      <c r="C6" s="23"/>
      <c r="D6" s="23"/>
      <c r="E6" s="24"/>
      <c r="F6" s="20"/>
      <c r="G6" s="20"/>
    </row>
    <row r="7" spans="1:7" ht="15.75" thickBot="1" x14ac:dyDescent="0.3">
      <c r="A7" s="14"/>
      <c r="B7" s="22"/>
      <c r="C7" s="23"/>
      <c r="D7" s="23"/>
      <c r="E7" s="24"/>
      <c r="F7" s="20"/>
      <c r="G7" s="20"/>
    </row>
    <row r="8" spans="1:7" ht="15.75" thickBot="1" x14ac:dyDescent="0.3">
      <c r="A8" s="14"/>
      <c r="B8" s="22"/>
      <c r="C8" s="23"/>
      <c r="D8" s="23"/>
      <c r="E8" s="24"/>
      <c r="F8" s="20"/>
      <c r="G8" s="20"/>
    </row>
    <row r="9" spans="1:7" ht="15.75" thickBot="1" x14ac:dyDescent="0.3">
      <c r="A9" s="14"/>
      <c r="B9" s="22"/>
      <c r="C9" s="23"/>
      <c r="D9" s="23"/>
      <c r="E9" s="24"/>
      <c r="F9" s="20"/>
      <c r="G9" s="20"/>
    </row>
    <row r="10" spans="1:7" ht="15.75" thickBot="1" x14ac:dyDescent="0.3">
      <c r="A10" s="25" t="s">
        <v>14</v>
      </c>
      <c r="B10" s="26">
        <f>SUM(B5:B9)</f>
        <v>0</v>
      </c>
      <c r="C10" s="27">
        <f>SUM(C5:C9)</f>
        <v>0</v>
      </c>
      <c r="D10" s="28">
        <f t="shared" ref="D10:E10" si="0">SUM(D5:D9)</f>
        <v>0</v>
      </c>
      <c r="E10" s="29">
        <f t="shared" si="0"/>
        <v>0</v>
      </c>
      <c r="F10" s="20"/>
      <c r="G10" s="20"/>
    </row>
    <row r="11" spans="1:7" ht="15.75" thickTop="1" x14ac:dyDescent="0.25">
      <c r="A11" s="20"/>
      <c r="B11" s="20"/>
      <c r="C11" s="20"/>
      <c r="D11" s="20"/>
      <c r="E11" s="20"/>
      <c r="F11" s="20"/>
      <c r="G11" s="20"/>
    </row>
    <row r="12" spans="1:7" x14ac:dyDescent="0.25">
      <c r="A12" s="37">
        <v>7</v>
      </c>
      <c r="B12" s="37">
        <v>4</v>
      </c>
      <c r="C12" s="37">
        <v>4</v>
      </c>
      <c r="D12" s="37">
        <v>4</v>
      </c>
      <c r="E12" s="37">
        <v>4</v>
      </c>
      <c r="F12" s="37"/>
      <c r="G12" s="37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24</vt:i4>
      </vt:variant>
    </vt:vector>
  </HeadingPairs>
  <TitlesOfParts>
    <vt:vector size="96" baseType="lpstr">
      <vt:lpstr>Input data</vt:lpstr>
      <vt:lpstr>VYSVETLIVKY</vt:lpstr>
      <vt:lpstr>Notes-SK Cover sheet</vt:lpstr>
      <vt:lpstr>Notes Template</vt:lpstr>
      <vt:lpstr>BS</vt:lpstr>
      <vt:lpstr>P&amp;L</vt:lpstr>
      <vt:lpstr>Cash Flow</vt:lpstr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BS-SK Cover sheet</vt:lpstr>
      <vt:lpstr>BS-SK Statutory </vt:lpstr>
      <vt:lpstr>IS-SK Cover sheet</vt:lpstr>
      <vt:lpstr>IS-SK Statutory </vt:lpstr>
      <vt:lpstr>BS-E Cover sheet</vt:lpstr>
      <vt:lpstr>BS- E Statutory</vt:lpstr>
      <vt:lpstr>IS-E Cover sheet</vt:lpstr>
      <vt:lpstr>IS-E Statutory</vt:lpstr>
      <vt:lpstr>BS-G Cover sheet</vt:lpstr>
      <vt:lpstr>BS - G Statutory</vt:lpstr>
      <vt:lpstr>IS-G Cover sheet</vt:lpstr>
      <vt:lpstr>IS-G Statutory</vt:lpstr>
      <vt:lpstr>'Notes Template'!_Toc474124192</vt:lpstr>
      <vt:lpstr>BS!Print_Area</vt:lpstr>
      <vt:lpstr>'BS - G Statutory'!Print_Area</vt:lpstr>
      <vt:lpstr>'BS- E Statutory'!Print_Area</vt:lpstr>
      <vt:lpstr>'BS-E Cover sheet'!Print_Area</vt:lpstr>
      <vt:lpstr>'BS-G Cover sheet'!Print_Area</vt:lpstr>
      <vt:lpstr>'BS-SK Cover sheet'!Print_Area</vt:lpstr>
      <vt:lpstr>'BS-SK Statutory '!Print_Area</vt:lpstr>
      <vt:lpstr>'Cash Flow'!Print_Area</vt:lpstr>
      <vt:lpstr>'IS-E Cover sheet'!Print_Area</vt:lpstr>
      <vt:lpstr>'IS-E Statutory'!Print_Area</vt:lpstr>
      <vt:lpstr>'IS-G Cover sheet'!Print_Area</vt:lpstr>
      <vt:lpstr>'IS-G Statutory'!Print_Area</vt:lpstr>
      <vt:lpstr>'IS-SK Cover sheet'!Print_Area</vt:lpstr>
      <vt:lpstr>'IS-SK Statutory '!Print_Area</vt:lpstr>
      <vt:lpstr>'Notes Template'!Print_Area</vt:lpstr>
      <vt:lpstr>'Notes-SK Cover sheet'!Print_Area</vt:lpstr>
      <vt:lpstr>'P&amp;L'!Print_Area</vt:lpstr>
      <vt:lpstr>'BS - G Statutory'!Print_Titles</vt:lpstr>
      <vt:lpstr>'BS- E Statutory'!Print_Titles</vt:lpstr>
      <vt:lpstr>'BS-SK Statutory '!Print_Titles</vt:lpstr>
      <vt:lpstr>'IS-E Statutory'!Print_Titles</vt:lpstr>
      <vt:lpstr>'IS-G Statutory'!Print_Titles</vt:lpstr>
      <vt:lpstr>'IS-SK Statutory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2014-06-27T09:41:18Z</dcterms:modified>
</cp:coreProperties>
</file>