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120" yWindow="300" windowWidth="21060" windowHeight="9315" tabRatio="948" activeTab="3"/>
  </bookViews>
  <sheets>
    <sheet name="Input data" sheetId="69" r:id="rId1"/>
    <sheet name="VYSVETLIVKY" sheetId="51" r:id="rId2"/>
    <sheet name="Notes-SK Cover sheet" sheetId="85" r:id="rId3"/>
    <sheet name="Notes Template" sheetId="71" r:id="rId4"/>
    <sheet name="BS" sheetId="60" r:id="rId5"/>
    <sheet name="P&amp;L" sheetId="61" r:id="rId6"/>
    <sheet name="Cash Flow" sheetId="62" r:id="rId7"/>
    <sheet name="1" sheetId="1" state="hidden" r:id="rId8"/>
    <sheet name="2" sheetId="4" state="hidden" r:id="rId9"/>
    <sheet name="2_tabulka 2" sheetId="52" state="hidden" r:id="rId10"/>
    <sheet name="3" sheetId="5" state="hidden" r:id="rId11"/>
    <sheet name="4" sheetId="6" state="hidden" r:id="rId12"/>
    <sheet name="5" sheetId="7" state="hidden" r:id="rId13"/>
    <sheet name="6" sheetId="8" state="hidden" r:id="rId14"/>
    <sheet name="7" sheetId="9" state="hidden" r:id="rId15"/>
    <sheet name="8" sheetId="10" state="hidden" r:id="rId16"/>
    <sheet name="9" sheetId="11" state="hidden" r:id="rId17"/>
    <sheet name="10" sheetId="12" state="hidden" r:id="rId18"/>
    <sheet name="11" sheetId="13" state="hidden" r:id="rId19"/>
    <sheet name="12" sheetId="14" state="hidden" r:id="rId20"/>
    <sheet name="12_tabulka c.2" sheetId="53" state="hidden" r:id="rId21"/>
    <sheet name="13" sheetId="15" state="hidden" r:id="rId22"/>
    <sheet name="14_tabulka 1 a 3" sheetId="56" state="hidden" r:id="rId23"/>
    <sheet name="14_tabulka 2 a 4" sheetId="57" state="hidden" r:id="rId24"/>
    <sheet name="15" sheetId="17" state="hidden" r:id="rId25"/>
    <sheet name="16" sheetId="18" state="hidden" r:id="rId26"/>
    <sheet name="16_tabulka c.2" sheetId="54" state="hidden" r:id="rId27"/>
    <sheet name="17" sheetId="19" state="hidden" r:id="rId28"/>
    <sheet name="18" sheetId="20" state="hidden" r:id="rId29"/>
    <sheet name="18_tabulka c.2" sheetId="55" state="hidden" r:id="rId30"/>
    <sheet name="19" sheetId="21" state="hidden" r:id="rId31"/>
    <sheet name="20" sheetId="22" state="hidden" r:id="rId32"/>
    <sheet name="21" sheetId="23" state="hidden" r:id="rId33"/>
    <sheet name="22" sheetId="24" state="hidden" r:id="rId34"/>
    <sheet name="23" sheetId="25" state="hidden" r:id="rId35"/>
    <sheet name="24" sheetId="26" state="hidden" r:id="rId36"/>
    <sheet name="24_tabulky 3 a 4" sheetId="50" state="hidden" r:id="rId37"/>
    <sheet name="25" sheetId="27" state="hidden" r:id="rId38"/>
    <sheet name="26" sheetId="28" state="hidden" r:id="rId39"/>
    <sheet name="27" sheetId="30" state="hidden" r:id="rId40"/>
    <sheet name="28" sheetId="31" state="hidden" r:id="rId41"/>
    <sheet name="29" sheetId="32" state="hidden" r:id="rId42"/>
    <sheet name="30" sheetId="29" state="hidden" r:id="rId43"/>
    <sheet name="31" sheetId="33" state="hidden" r:id="rId44"/>
    <sheet name="32" sheetId="34" state="hidden" r:id="rId45"/>
    <sheet name="32_tabulka 2" sheetId="59" state="hidden" r:id="rId46"/>
    <sheet name="33" sheetId="35" state="hidden" r:id="rId47"/>
    <sheet name="34" sheetId="36" state="hidden" r:id="rId48"/>
    <sheet name="42" sheetId="44" state="hidden" r:id="rId49"/>
    <sheet name="43" sheetId="45" state="hidden" r:id="rId50"/>
    <sheet name="44" sheetId="46" state="hidden" r:id="rId51"/>
    <sheet name="35" sheetId="37" state="hidden" r:id="rId52"/>
    <sheet name="36" sheetId="38" state="hidden" r:id="rId53"/>
    <sheet name="37" sheetId="39" state="hidden" r:id="rId54"/>
    <sheet name="38" sheetId="40" state="hidden" r:id="rId55"/>
    <sheet name="39" sheetId="41" state="hidden" r:id="rId56"/>
    <sheet name="40" sheetId="42" state="hidden" r:id="rId57"/>
    <sheet name="41" sheetId="43" state="hidden" r:id="rId58"/>
    <sheet name="45" sheetId="47" state="hidden" r:id="rId59"/>
    <sheet name="46" sheetId="48" state="hidden" r:id="rId60"/>
    <sheet name="BS-SK Cover sheet" sheetId="65" r:id="rId61"/>
    <sheet name="BS-SK Statutory " sheetId="66" r:id="rId62"/>
    <sheet name="IS-SK Cover sheet" sheetId="67" r:id="rId63"/>
    <sheet name="IS-SK Statutory " sheetId="68" r:id="rId64"/>
    <sheet name="BS-E Cover sheet" sheetId="72" r:id="rId65"/>
    <sheet name="BS- E Statutory" sheetId="78" r:id="rId66"/>
    <sheet name="IS-E Cover sheet" sheetId="75" r:id="rId67"/>
    <sheet name="IS-E Statutory" sheetId="76" r:id="rId68"/>
    <sheet name="BS-G Cover sheet" sheetId="83" r:id="rId69"/>
    <sheet name="BS - G Statutory" sheetId="80" r:id="rId70"/>
    <sheet name="IS-G Cover sheet" sheetId="84" r:id="rId71"/>
    <sheet name="IS-G Statutory" sheetId="82" r:id="rId72"/>
  </sheets>
  <externalReferences>
    <externalReference r:id="rId73"/>
  </externalReferences>
  <definedNames>
    <definedName name="_Fill" localSheetId="69" hidden="1">#REF!</definedName>
    <definedName name="_Fill" localSheetId="68" hidden="1">#REF!</definedName>
    <definedName name="_Fill" localSheetId="60" hidden="1">#REF!</definedName>
    <definedName name="_Fill" localSheetId="61" hidden="1">#REF!</definedName>
    <definedName name="_Fill" localSheetId="0" hidden="1">#REF!</definedName>
    <definedName name="_Fill" localSheetId="70" hidden="1">#REF!</definedName>
    <definedName name="_Fill" localSheetId="71" hidden="1">#REF!</definedName>
    <definedName name="_Fill" localSheetId="62" hidden="1">#REF!</definedName>
    <definedName name="_Fill" localSheetId="63" hidden="1">#REF!</definedName>
    <definedName name="_Fill" localSheetId="2" hidden="1">#REF!</definedName>
    <definedName name="_Fill" hidden="1">#REF!</definedName>
    <definedName name="_Toc474124192" localSheetId="3">'Notes Template'!#REF!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Print" localSheetId="2">#REF!</definedName>
    <definedName name="Print">#REF!</definedName>
    <definedName name="_xlnm.Print_Area" localSheetId="4">BS!$A$5:$G$142</definedName>
    <definedName name="_xlnm.Print_Area" localSheetId="69">'BS - G Statutory'!$A$1:$J$210</definedName>
    <definedName name="_xlnm.Print_Area" localSheetId="65">'BS- E Statutory'!$A$1:$J$210</definedName>
    <definedName name="_xlnm.Print_Area" localSheetId="64">'BS-E Cover sheet'!$A$1:$AN$53</definedName>
    <definedName name="_xlnm.Print_Area" localSheetId="68">'BS-G Cover sheet'!$A$1:$AM$54</definedName>
    <definedName name="_xlnm.Print_Area" localSheetId="60">'BS-SK Cover sheet'!$A$1:$AM$55</definedName>
    <definedName name="_xlnm.Print_Area" localSheetId="61">'BS-SK Statutory '!$A$1:$J$210</definedName>
    <definedName name="_xlnm.Print_Area" localSheetId="6">'Cash Flow'!$A$1:$G$96</definedName>
    <definedName name="_xlnm.Print_Area" localSheetId="66">'IS-E Cover sheet'!$A$1:$AN$53</definedName>
    <definedName name="_xlnm.Print_Area" localSheetId="67">'IS-E Statutory'!$A$1:$F$66</definedName>
    <definedName name="_xlnm.Print_Area" localSheetId="70">'IS-G Cover sheet'!$A$1:$AM$55</definedName>
    <definedName name="_xlnm.Print_Area" localSheetId="71">'IS-G Statutory'!$A$1:$F$66</definedName>
    <definedName name="_xlnm.Print_Area" localSheetId="62">'IS-SK Cover sheet'!$A$1:$AM$55</definedName>
    <definedName name="_xlnm.Print_Area" localSheetId="63">'IS-SK Statutory '!$A$1:$F$66</definedName>
    <definedName name="_xlnm.Print_Area" localSheetId="3">'Notes Template'!$B$2:$AH$547</definedName>
    <definedName name="_xlnm.Print_Area" localSheetId="2">'Notes-SK Cover sheet'!$A$1:$AM$55</definedName>
    <definedName name="_xlnm.Print_Area" localSheetId="5">'P&amp;L'!$A$4:$E$68</definedName>
    <definedName name="_xlnm.Print_Area">#REF!</definedName>
    <definedName name="_xlnm.Print_Titles" localSheetId="69">'BS - G Statutory'!$1:$3</definedName>
    <definedName name="_xlnm.Print_Titles" localSheetId="65">'BS- E Statutory'!$1:$3</definedName>
    <definedName name="_xlnm.Print_Titles" localSheetId="61">'BS-SK Statutory '!$1:$3</definedName>
    <definedName name="_xlnm.Print_Titles" localSheetId="67">'IS-E Statutory'!$1:$5</definedName>
    <definedName name="_xlnm.Print_Titles" localSheetId="71">'IS-G Statutory'!$1:$5</definedName>
    <definedName name="_xlnm.Print_Titles" localSheetId="63">'IS-SK Statutory '!$1:$5</definedName>
    <definedName name="Účty">[1]Sheet3!$A$4:$BF$371</definedName>
    <definedName name="VER_CF_BALANCES" localSheetId="69">#REF!</definedName>
    <definedName name="VER_CF_BALANCES" localSheetId="65">#REF!</definedName>
    <definedName name="VER_CF_BALANCES" localSheetId="64">#REF!</definedName>
    <definedName name="VER_CF_BALANCES" localSheetId="68">#REF!</definedName>
    <definedName name="VER_CF_BALANCES" localSheetId="60">#REF!</definedName>
    <definedName name="VER_CF_BALANCES" localSheetId="61">#REF!</definedName>
    <definedName name="VER_CF_BALANCES" localSheetId="0">#REF!</definedName>
    <definedName name="VER_CF_BALANCES" localSheetId="66">#REF!</definedName>
    <definedName name="VER_CF_BALANCES" localSheetId="67">#REF!</definedName>
    <definedName name="VER_CF_BALANCES" localSheetId="70">#REF!</definedName>
    <definedName name="VER_CF_BALANCES" localSheetId="71">#REF!</definedName>
    <definedName name="VER_CF_BALANCES" localSheetId="62">#REF!</definedName>
    <definedName name="VER_CF_BALANCES" localSheetId="63">#REF!</definedName>
    <definedName name="VER_CF_BALANCES" localSheetId="2">#REF!</definedName>
    <definedName name="VER_CF_BALANCES">#REF!</definedName>
    <definedName name="VER_SH_RATIOS" localSheetId="69">#REF!</definedName>
    <definedName name="VER_SH_RATIOS" localSheetId="65">#REF!</definedName>
    <definedName name="VER_SH_RATIOS" localSheetId="64">#REF!</definedName>
    <definedName name="VER_SH_RATIOS" localSheetId="68">#REF!</definedName>
    <definedName name="VER_SH_RATIOS" localSheetId="60">#REF!</definedName>
    <definedName name="VER_SH_RATIOS" localSheetId="61">#REF!</definedName>
    <definedName name="VER_SH_RATIOS" localSheetId="0">#REF!</definedName>
    <definedName name="VER_SH_RATIOS" localSheetId="66">#REF!</definedName>
    <definedName name="VER_SH_RATIOS" localSheetId="67">#REF!</definedName>
    <definedName name="VER_SH_RATIOS" localSheetId="70">#REF!</definedName>
    <definedName name="VER_SH_RATIOS" localSheetId="71">#REF!</definedName>
    <definedName name="VER_SH_RATIOS" localSheetId="62">#REF!</definedName>
    <definedName name="VER_SH_RATIOS" localSheetId="63">#REF!</definedName>
    <definedName name="VER_SH_RATIOS" localSheetId="2">#REF!</definedName>
    <definedName name="VER_SH_RATIOS">#REF!</definedName>
    <definedName name="VER_SCH_10" localSheetId="69">#REF!</definedName>
    <definedName name="VER_SCH_10" localSheetId="65">#REF!</definedName>
    <definedName name="VER_SCH_10" localSheetId="64">#REF!</definedName>
    <definedName name="VER_SCH_10" localSheetId="68">#REF!</definedName>
    <definedName name="VER_SCH_10" localSheetId="60">#REF!</definedName>
    <definedName name="VER_SCH_10" localSheetId="61">#REF!</definedName>
    <definedName name="VER_SCH_10" localSheetId="0">#REF!</definedName>
    <definedName name="VER_SCH_10" localSheetId="66">#REF!</definedName>
    <definedName name="VER_SCH_10" localSheetId="67">#REF!</definedName>
    <definedName name="VER_SCH_10" localSheetId="70">#REF!</definedName>
    <definedName name="VER_SCH_10" localSheetId="71">#REF!</definedName>
    <definedName name="VER_SCH_10" localSheetId="62">#REF!</definedName>
    <definedName name="VER_SCH_10" localSheetId="63">#REF!</definedName>
    <definedName name="VER_SCH_10" localSheetId="2">#REF!</definedName>
    <definedName name="VER_SCH_10">#REF!</definedName>
    <definedName name="VER_SCH_14" localSheetId="2">#REF!</definedName>
    <definedName name="VER_SCH_14">#REF!</definedName>
    <definedName name="VER_SCH_2" localSheetId="2">#REF!</definedName>
    <definedName name="VER_SCH_2">#REF!</definedName>
    <definedName name="VER_SCH_7" localSheetId="2">#REF!</definedName>
    <definedName name="VER_SCH_7">#REF!</definedName>
    <definedName name="Visit">[1]Sheet2!$I$3</definedName>
    <definedName name="YearEnd">[1]Sheet2!$I$2</definedName>
    <definedName name="Z_4D14509E_B826_11D1_8159_444553540000_.wvu.Cols" localSheetId="4" hidden="1">BS!#REF!</definedName>
    <definedName name="Z_4D14509E_B826_11D1_8159_444553540000_.wvu.Cols" localSheetId="5" hidden="1">'P&amp;L'!#REF!</definedName>
  </definedNames>
  <calcPr calcId="145621"/>
</workbook>
</file>

<file path=xl/calcChain.xml><?xml version="1.0" encoding="utf-8"?>
<calcChain xmlns="http://schemas.openxmlformats.org/spreadsheetml/2006/main">
  <c r="Z442" i="71" l="1"/>
  <c r="Z441" i="71"/>
  <c r="N401" i="71" l="1"/>
  <c r="N406" i="71"/>
  <c r="Z476" i="71" l="1"/>
  <c r="Z474" i="71"/>
  <c r="X259" i="71" l="1"/>
  <c r="S259" i="71"/>
  <c r="N259" i="71"/>
  <c r="AC260" i="71"/>
  <c r="N273" i="71" l="1"/>
  <c r="AC263" i="71" l="1"/>
  <c r="Z446" i="71" l="1"/>
  <c r="N446" i="71"/>
  <c r="AC38" i="85" l="1"/>
  <c r="U38" i="85"/>
  <c r="L38" i="85"/>
  <c r="J37" i="85"/>
  <c r="I37" i="85"/>
  <c r="H37" i="85"/>
  <c r="G37" i="85"/>
  <c r="E37" i="85"/>
  <c r="D37" i="85"/>
  <c r="B37" i="85"/>
  <c r="A37" i="85"/>
  <c r="J34" i="85"/>
  <c r="I34" i="85"/>
  <c r="H34" i="85"/>
  <c r="G34" i="85"/>
  <c r="E34" i="85"/>
  <c r="D34" i="85"/>
  <c r="B34" i="85"/>
  <c r="A34" i="85"/>
  <c r="AK31" i="85"/>
  <c r="AJ31" i="85"/>
  <c r="AI31" i="85"/>
  <c r="AH31" i="85"/>
  <c r="AG31" i="85"/>
  <c r="AF31" i="85"/>
  <c r="AE31" i="85"/>
  <c r="AD31" i="85"/>
  <c r="AC31" i="85"/>
  <c r="AB31" i="85"/>
  <c r="AA31" i="85"/>
  <c r="Z31" i="85"/>
  <c r="Y31" i="85"/>
  <c r="X31" i="85"/>
  <c r="W31" i="85"/>
  <c r="V31" i="85"/>
  <c r="U31" i="85"/>
  <c r="T31" i="85"/>
  <c r="S31" i="85"/>
  <c r="R31" i="85"/>
  <c r="Q31" i="85"/>
  <c r="P31" i="85"/>
  <c r="O31" i="85"/>
  <c r="N31" i="85"/>
  <c r="M31" i="85"/>
  <c r="L31" i="85"/>
  <c r="K31" i="85"/>
  <c r="J31" i="85"/>
  <c r="I31" i="85"/>
  <c r="H31" i="85"/>
  <c r="G31" i="85"/>
  <c r="F31" i="85"/>
  <c r="E31" i="85"/>
  <c r="D31" i="85"/>
  <c r="C31" i="85"/>
  <c r="B31" i="85"/>
  <c r="A31" i="85"/>
  <c r="AA29" i="85"/>
  <c r="Z29" i="85"/>
  <c r="Y29" i="85"/>
  <c r="X29" i="85"/>
  <c r="W29" i="85"/>
  <c r="V29" i="85"/>
  <c r="U29" i="85"/>
  <c r="T29" i="85"/>
  <c r="R29" i="85"/>
  <c r="Q29" i="85"/>
  <c r="P29" i="85"/>
  <c r="M29" i="85"/>
  <c r="L29" i="85"/>
  <c r="K29" i="85"/>
  <c r="J29" i="85"/>
  <c r="I29" i="85"/>
  <c r="H29" i="85"/>
  <c r="G29" i="85"/>
  <c r="F29" i="85"/>
  <c r="D29" i="85"/>
  <c r="C29" i="85"/>
  <c r="B29" i="85"/>
  <c r="AK27" i="85"/>
  <c r="AJ27" i="85"/>
  <c r="AI27" i="85"/>
  <c r="AH27" i="85"/>
  <c r="AG27" i="85"/>
  <c r="AF27" i="85"/>
  <c r="AE27" i="85"/>
  <c r="AD27" i="85"/>
  <c r="AC27" i="85"/>
  <c r="AB27" i="85"/>
  <c r="AA27" i="85"/>
  <c r="Z27" i="85"/>
  <c r="Y27" i="85"/>
  <c r="X27" i="85"/>
  <c r="W27" i="85"/>
  <c r="V27" i="85"/>
  <c r="U27" i="85"/>
  <c r="T27" i="85"/>
  <c r="S27" i="85"/>
  <c r="R27" i="85"/>
  <c r="Q27" i="85"/>
  <c r="P27" i="85"/>
  <c r="O27" i="85"/>
  <c r="N27" i="85"/>
  <c r="M27" i="85"/>
  <c r="L27" i="85"/>
  <c r="K27" i="85"/>
  <c r="J27" i="85"/>
  <c r="I27" i="85"/>
  <c r="H27" i="85"/>
  <c r="G27" i="85"/>
  <c r="E27" i="85"/>
  <c r="D27" i="85"/>
  <c r="C27" i="85"/>
  <c r="B27" i="85"/>
  <c r="A27" i="85"/>
  <c r="AK25" i="85"/>
  <c r="AJ25" i="85"/>
  <c r="AI25" i="85"/>
  <c r="AH25" i="85"/>
  <c r="AG25" i="85"/>
  <c r="AF25" i="85"/>
  <c r="AE25" i="85"/>
  <c r="AD25" i="85"/>
  <c r="AB25" i="85"/>
  <c r="AA25" i="85"/>
  <c r="Z25" i="85"/>
  <c r="Y25" i="85"/>
  <c r="X25" i="85"/>
  <c r="W25" i="85"/>
  <c r="V25" i="85"/>
  <c r="U25" i="85"/>
  <c r="T25" i="85"/>
  <c r="S25" i="85"/>
  <c r="R25" i="85"/>
  <c r="Q25" i="85"/>
  <c r="P25" i="85"/>
  <c r="O25" i="85"/>
  <c r="N25" i="85"/>
  <c r="M25" i="85"/>
  <c r="L25" i="85"/>
  <c r="K25" i="85"/>
  <c r="J25" i="85"/>
  <c r="I25" i="85"/>
  <c r="H25" i="85"/>
  <c r="G25" i="85"/>
  <c r="F25" i="85"/>
  <c r="E25" i="85"/>
  <c r="D25" i="85"/>
  <c r="C25" i="85"/>
  <c r="B25" i="85"/>
  <c r="A25" i="85"/>
  <c r="AK22" i="85"/>
  <c r="AJ22" i="85"/>
  <c r="AI22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K20" i="85"/>
  <c r="AJ20" i="85"/>
  <c r="AI20" i="85"/>
  <c r="AH20" i="85"/>
  <c r="AG20" i="85"/>
  <c r="AF20" i="85"/>
  <c r="AE20" i="85"/>
  <c r="AD20" i="85"/>
  <c r="AC20" i="85"/>
  <c r="AB20" i="85"/>
  <c r="AA20" i="85"/>
  <c r="Z20" i="85"/>
  <c r="Y20" i="85"/>
  <c r="X20" i="85"/>
  <c r="W20" i="85"/>
  <c r="V20" i="85"/>
  <c r="U20" i="85"/>
  <c r="T20" i="85"/>
  <c r="S20" i="85"/>
  <c r="R20" i="85"/>
  <c r="Q20" i="85"/>
  <c r="P20" i="85"/>
  <c r="O20" i="85"/>
  <c r="N20" i="85"/>
  <c r="M20" i="85"/>
  <c r="L20" i="85"/>
  <c r="K20" i="85"/>
  <c r="J20" i="85"/>
  <c r="I20" i="85"/>
  <c r="H20" i="85"/>
  <c r="G20" i="85"/>
  <c r="F20" i="85"/>
  <c r="E20" i="85"/>
  <c r="D20" i="85"/>
  <c r="C20" i="85"/>
  <c r="B20" i="85"/>
  <c r="A20" i="85"/>
  <c r="AK19" i="85"/>
  <c r="AJ19" i="85"/>
  <c r="AI19" i="85"/>
  <c r="AH19" i="85"/>
  <c r="AG19" i="85"/>
  <c r="AF19" i="85"/>
  <c r="AE19" i="85"/>
  <c r="AD19" i="85"/>
  <c r="AC19" i="85"/>
  <c r="AB19" i="85"/>
  <c r="AA19" i="85"/>
  <c r="Z19" i="85"/>
  <c r="Y19" i="85"/>
  <c r="X19" i="85"/>
  <c r="W19" i="85"/>
  <c r="V19" i="85"/>
  <c r="U19" i="85"/>
  <c r="T19" i="85"/>
  <c r="S19" i="85"/>
  <c r="R19" i="85"/>
  <c r="Q19" i="85"/>
  <c r="P19" i="85"/>
  <c r="O19" i="85"/>
  <c r="N19" i="85"/>
  <c r="M19" i="85"/>
  <c r="L19" i="85"/>
  <c r="K19" i="85"/>
  <c r="J19" i="85"/>
  <c r="I19" i="85"/>
  <c r="H19" i="85"/>
  <c r="G19" i="85"/>
  <c r="F19" i="85"/>
  <c r="E19" i="85"/>
  <c r="D19" i="85"/>
  <c r="C19" i="85"/>
  <c r="B19" i="85"/>
  <c r="A19" i="85"/>
  <c r="G15" i="85"/>
  <c r="E15" i="85"/>
  <c r="D15" i="85"/>
  <c r="B15" i="85"/>
  <c r="A15" i="85"/>
  <c r="R12" i="85"/>
  <c r="L12" i="85"/>
  <c r="H13" i="85"/>
  <c r="G13" i="85"/>
  <c r="F13" i="85"/>
  <c r="E13" i="85"/>
  <c r="D13" i="85"/>
  <c r="C13" i="85"/>
  <c r="B13" i="85"/>
  <c r="A13" i="85"/>
  <c r="R11" i="85"/>
  <c r="L11" i="85"/>
  <c r="J11" i="85"/>
  <c r="I11" i="85"/>
  <c r="H11" i="85"/>
  <c r="G11" i="85"/>
  <c r="F11" i="85"/>
  <c r="E11" i="85"/>
  <c r="D11" i="85"/>
  <c r="C11" i="85"/>
  <c r="B11" i="85"/>
  <c r="A11" i="85"/>
  <c r="AD36" i="72" l="1"/>
  <c r="V36" i="72"/>
  <c r="M36" i="72"/>
  <c r="AD36" i="75"/>
  <c r="V36" i="75"/>
  <c r="M36" i="75"/>
  <c r="E6" i="82"/>
  <c r="E6" i="68"/>
  <c r="AD38" i="84" l="1"/>
  <c r="V38" i="84"/>
  <c r="M38" i="84"/>
  <c r="J37" i="84"/>
  <c r="I37" i="84"/>
  <c r="H37" i="84"/>
  <c r="G37" i="84"/>
  <c r="E37" i="84"/>
  <c r="D37" i="84"/>
  <c r="B37" i="84"/>
  <c r="A37" i="84"/>
  <c r="J34" i="84"/>
  <c r="I34" i="84"/>
  <c r="H34" i="84"/>
  <c r="G34" i="84"/>
  <c r="E34" i="84"/>
  <c r="D34" i="84"/>
  <c r="B34" i="84"/>
  <c r="A34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Q31" i="84"/>
  <c r="P31" i="84"/>
  <c r="O31" i="84"/>
  <c r="N31" i="84"/>
  <c r="M31" i="84"/>
  <c r="L31" i="84"/>
  <c r="K31" i="84"/>
  <c r="J31" i="84"/>
  <c r="I31" i="84"/>
  <c r="H31" i="84"/>
  <c r="G31" i="84"/>
  <c r="F31" i="84"/>
  <c r="E31" i="84"/>
  <c r="D31" i="84"/>
  <c r="C31" i="84"/>
  <c r="B31" i="84"/>
  <c r="A31" i="84"/>
  <c r="AA29" i="84"/>
  <c r="Z29" i="84"/>
  <c r="Y29" i="84"/>
  <c r="X29" i="84"/>
  <c r="W29" i="84"/>
  <c r="V29" i="84"/>
  <c r="U29" i="84"/>
  <c r="T29" i="84"/>
  <c r="R29" i="84"/>
  <c r="Q29" i="84"/>
  <c r="P29" i="84"/>
  <c r="M29" i="84"/>
  <c r="L29" i="84"/>
  <c r="K29" i="84"/>
  <c r="J29" i="84"/>
  <c r="I29" i="84"/>
  <c r="H29" i="84"/>
  <c r="G29" i="84"/>
  <c r="F29" i="84"/>
  <c r="D29" i="84"/>
  <c r="C29" i="84"/>
  <c r="B29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Q27" i="84"/>
  <c r="P27" i="84"/>
  <c r="O27" i="84"/>
  <c r="N27" i="84"/>
  <c r="M27" i="84"/>
  <c r="L27" i="84"/>
  <c r="K27" i="84"/>
  <c r="J27" i="84"/>
  <c r="I27" i="84"/>
  <c r="H27" i="84"/>
  <c r="G27" i="84"/>
  <c r="E27" i="84"/>
  <c r="D27" i="84"/>
  <c r="C27" i="84"/>
  <c r="B27" i="84"/>
  <c r="A27" i="84"/>
  <c r="AK25" i="84"/>
  <c r="AJ25" i="84"/>
  <c r="AI25" i="84"/>
  <c r="AH25" i="84"/>
  <c r="AG25" i="84"/>
  <c r="AF25" i="84"/>
  <c r="AE25" i="84"/>
  <c r="AD25" i="84"/>
  <c r="AB25" i="84"/>
  <c r="AA25" i="84"/>
  <c r="Z25" i="84"/>
  <c r="Y25" i="84"/>
  <c r="X25" i="84"/>
  <c r="W25" i="84"/>
  <c r="V25" i="84"/>
  <c r="U25" i="84"/>
  <c r="T25" i="84"/>
  <c r="S25" i="84"/>
  <c r="R25" i="84"/>
  <c r="Q25" i="84"/>
  <c r="P25" i="84"/>
  <c r="O25" i="84"/>
  <c r="N25" i="84"/>
  <c r="M25" i="84"/>
  <c r="L25" i="84"/>
  <c r="K25" i="84"/>
  <c r="J25" i="84"/>
  <c r="I25" i="84"/>
  <c r="H25" i="84"/>
  <c r="G25" i="84"/>
  <c r="F25" i="84"/>
  <c r="E25" i="84"/>
  <c r="D25" i="84"/>
  <c r="C25" i="84"/>
  <c r="B25" i="84"/>
  <c r="A25" i="84"/>
  <c r="AK22" i="84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Q22" i="84"/>
  <c r="P22" i="84"/>
  <c r="O22" i="84"/>
  <c r="N22" i="84"/>
  <c r="M22" i="84"/>
  <c r="L22" i="84"/>
  <c r="K22" i="84"/>
  <c r="J22" i="84"/>
  <c r="I22" i="84"/>
  <c r="H22" i="84"/>
  <c r="G22" i="84"/>
  <c r="F22" i="84"/>
  <c r="E22" i="84"/>
  <c r="D22" i="84"/>
  <c r="C22" i="84"/>
  <c r="B22" i="84"/>
  <c r="A22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Q21" i="84"/>
  <c r="P21" i="84"/>
  <c r="O21" i="84"/>
  <c r="N21" i="84"/>
  <c r="M21" i="84"/>
  <c r="L21" i="84"/>
  <c r="K21" i="84"/>
  <c r="J21" i="84"/>
  <c r="I21" i="84"/>
  <c r="H21" i="84"/>
  <c r="G21" i="84"/>
  <c r="F21" i="84"/>
  <c r="E21" i="84"/>
  <c r="D21" i="84"/>
  <c r="C21" i="84"/>
  <c r="B21" i="84"/>
  <c r="A21" i="84"/>
  <c r="R15" i="84"/>
  <c r="K15" i="84"/>
  <c r="H15" i="84"/>
  <c r="G15" i="84"/>
  <c r="F15" i="84"/>
  <c r="E15" i="84"/>
  <c r="D15" i="84"/>
  <c r="C15" i="84"/>
  <c r="B15" i="84"/>
  <c r="A15" i="84"/>
  <c r="R14" i="84"/>
  <c r="K14" i="84"/>
  <c r="J13" i="84"/>
  <c r="I13" i="84"/>
  <c r="H13" i="84"/>
  <c r="G13" i="84"/>
  <c r="F13" i="84"/>
  <c r="E13" i="84"/>
  <c r="D13" i="84"/>
  <c r="C13" i="84"/>
  <c r="B13" i="84"/>
  <c r="A13" i="84"/>
  <c r="AD37" i="83"/>
  <c r="V37" i="83"/>
  <c r="M37" i="83"/>
  <c r="J36" i="83"/>
  <c r="I36" i="83"/>
  <c r="H36" i="83"/>
  <c r="G36" i="83"/>
  <c r="E36" i="83"/>
  <c r="D36" i="83"/>
  <c r="B36" i="83"/>
  <c r="A36" i="83"/>
  <c r="J33" i="83"/>
  <c r="I33" i="83"/>
  <c r="H33" i="83"/>
  <c r="G33" i="83"/>
  <c r="E33" i="83"/>
  <c r="D33" i="83"/>
  <c r="B33" i="83"/>
  <c r="A33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O30" i="83"/>
  <c r="N30" i="83"/>
  <c r="M30" i="83"/>
  <c r="L30" i="83"/>
  <c r="K30" i="83"/>
  <c r="J30" i="83"/>
  <c r="I30" i="83"/>
  <c r="H30" i="83"/>
  <c r="G30" i="83"/>
  <c r="F30" i="83"/>
  <c r="E30" i="83"/>
  <c r="D30" i="83"/>
  <c r="C30" i="83"/>
  <c r="B30" i="83"/>
  <c r="A30" i="83"/>
  <c r="AA28" i="83"/>
  <c r="Z28" i="83"/>
  <c r="Y28" i="83"/>
  <c r="X28" i="83"/>
  <c r="W28" i="83"/>
  <c r="V28" i="83"/>
  <c r="U28" i="83"/>
  <c r="T28" i="83"/>
  <c r="R28" i="83"/>
  <c r="Q28" i="83"/>
  <c r="P28" i="83"/>
  <c r="M28" i="83"/>
  <c r="L28" i="83"/>
  <c r="K28" i="83"/>
  <c r="J28" i="83"/>
  <c r="I28" i="83"/>
  <c r="H28" i="83"/>
  <c r="G28" i="83"/>
  <c r="F28" i="83"/>
  <c r="D28" i="83"/>
  <c r="C28" i="83"/>
  <c r="B28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O26" i="83"/>
  <c r="N26" i="83"/>
  <c r="M26" i="83"/>
  <c r="L26" i="83"/>
  <c r="K26" i="83"/>
  <c r="J26" i="83"/>
  <c r="I26" i="83"/>
  <c r="H26" i="83"/>
  <c r="G26" i="83"/>
  <c r="E26" i="83"/>
  <c r="D26" i="83"/>
  <c r="C26" i="83"/>
  <c r="B26" i="83"/>
  <c r="A26" i="83"/>
  <c r="AK24" i="83"/>
  <c r="AJ24" i="83"/>
  <c r="AI24" i="83"/>
  <c r="AH24" i="83"/>
  <c r="AG24" i="83"/>
  <c r="AF24" i="83"/>
  <c r="AE24" i="83"/>
  <c r="AD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O24" i="83"/>
  <c r="N24" i="83"/>
  <c r="M24" i="83"/>
  <c r="L24" i="83"/>
  <c r="K24" i="83"/>
  <c r="J24" i="83"/>
  <c r="I24" i="83"/>
  <c r="H24" i="83"/>
  <c r="G24" i="83"/>
  <c r="F24" i="83"/>
  <c r="E24" i="83"/>
  <c r="D24" i="83"/>
  <c r="C24" i="83"/>
  <c r="B24" i="83"/>
  <c r="A24" i="83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A21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A20" i="83"/>
  <c r="R14" i="83"/>
  <c r="K14" i="83"/>
  <c r="H14" i="83"/>
  <c r="G14" i="83"/>
  <c r="F14" i="83"/>
  <c r="E14" i="83"/>
  <c r="D14" i="83"/>
  <c r="C14" i="83"/>
  <c r="B14" i="83"/>
  <c r="A14" i="83"/>
  <c r="R13" i="83"/>
  <c r="K13" i="83"/>
  <c r="J12" i="83"/>
  <c r="I12" i="83"/>
  <c r="H12" i="83"/>
  <c r="G12" i="83"/>
  <c r="F12" i="83"/>
  <c r="E12" i="83"/>
  <c r="D12" i="83"/>
  <c r="C12" i="83"/>
  <c r="B12" i="83"/>
  <c r="A12" i="83"/>
  <c r="F66" i="82" l="1"/>
  <c r="E66" i="82"/>
  <c r="F65" i="82"/>
  <c r="E65" i="82"/>
  <c r="F64" i="82"/>
  <c r="E64" i="82"/>
  <c r="F63" i="82"/>
  <c r="E63" i="82"/>
  <c r="F62" i="82"/>
  <c r="E62" i="82"/>
  <c r="F61" i="82"/>
  <c r="E61" i="82"/>
  <c r="F60" i="82"/>
  <c r="E60" i="82"/>
  <c r="F59" i="82"/>
  <c r="E59" i="82"/>
  <c r="F58" i="82"/>
  <c r="E58" i="82"/>
  <c r="F57" i="82"/>
  <c r="E57" i="82"/>
  <c r="F56" i="82"/>
  <c r="E56" i="82"/>
  <c r="F55" i="82"/>
  <c r="E55" i="82"/>
  <c r="F54" i="82"/>
  <c r="E54" i="82"/>
  <c r="F53" i="82"/>
  <c r="E53" i="82"/>
  <c r="F52" i="82"/>
  <c r="E52" i="82"/>
  <c r="F51" i="82"/>
  <c r="E51" i="82"/>
  <c r="F50" i="82"/>
  <c r="E50" i="82"/>
  <c r="F49" i="82"/>
  <c r="E49" i="82"/>
  <c r="F48" i="82"/>
  <c r="E48" i="82"/>
  <c r="F47" i="82"/>
  <c r="E47" i="82"/>
  <c r="F46" i="82"/>
  <c r="E46" i="82"/>
  <c r="F45" i="82"/>
  <c r="E45" i="82"/>
  <c r="F44" i="82"/>
  <c r="E44" i="82"/>
  <c r="F43" i="82"/>
  <c r="E43" i="82"/>
  <c r="F42" i="82"/>
  <c r="E42" i="82"/>
  <c r="F41" i="82"/>
  <c r="E41" i="82"/>
  <c r="F40" i="82"/>
  <c r="E40" i="82"/>
  <c r="F39" i="82"/>
  <c r="E39" i="82"/>
  <c r="F38" i="82"/>
  <c r="E38" i="82"/>
  <c r="F37" i="82"/>
  <c r="E37" i="82"/>
  <c r="F36" i="82"/>
  <c r="E36" i="82"/>
  <c r="F35" i="82"/>
  <c r="E35" i="82"/>
  <c r="F34" i="82"/>
  <c r="E34" i="82"/>
  <c r="F33" i="82"/>
  <c r="E33" i="82"/>
  <c r="F32" i="82"/>
  <c r="E32" i="82"/>
  <c r="F31" i="82"/>
  <c r="E31" i="82"/>
  <c r="F30" i="82"/>
  <c r="E30" i="82"/>
  <c r="F29" i="82"/>
  <c r="E29" i="82"/>
  <c r="F28" i="82"/>
  <c r="E28" i="82"/>
  <c r="F27" i="82"/>
  <c r="E27" i="82"/>
  <c r="F26" i="82"/>
  <c r="E26" i="82"/>
  <c r="F25" i="82"/>
  <c r="E25" i="82"/>
  <c r="F24" i="82"/>
  <c r="E24" i="82"/>
  <c r="F23" i="82"/>
  <c r="E23" i="82"/>
  <c r="F22" i="82"/>
  <c r="E22" i="82"/>
  <c r="F21" i="82"/>
  <c r="E21" i="82"/>
  <c r="F20" i="82"/>
  <c r="E20" i="82"/>
  <c r="F19" i="82"/>
  <c r="E19" i="82"/>
  <c r="F18" i="82"/>
  <c r="E18" i="82"/>
  <c r="F17" i="82"/>
  <c r="E17" i="82"/>
  <c r="F16" i="82"/>
  <c r="E16" i="82"/>
  <c r="F15" i="82"/>
  <c r="E15" i="82"/>
  <c r="F14" i="82"/>
  <c r="E14" i="82"/>
  <c r="F13" i="82"/>
  <c r="E13" i="82"/>
  <c r="F12" i="82"/>
  <c r="E12" i="82"/>
  <c r="F11" i="82"/>
  <c r="E11" i="82"/>
  <c r="F10" i="82"/>
  <c r="E10" i="82"/>
  <c r="F9" i="82"/>
  <c r="E9" i="82"/>
  <c r="F8" i="82"/>
  <c r="E8" i="82"/>
  <c r="F7" i="82"/>
  <c r="E7" i="82"/>
  <c r="F6" i="82"/>
  <c r="I210" i="80"/>
  <c r="G210" i="80"/>
  <c r="I209" i="80"/>
  <c r="G209" i="80"/>
  <c r="I208" i="80"/>
  <c r="G208" i="80"/>
  <c r="I207" i="80"/>
  <c r="G207" i="80"/>
  <c r="I206" i="80"/>
  <c r="G206" i="80"/>
  <c r="I205" i="80"/>
  <c r="G205" i="80"/>
  <c r="I204" i="80"/>
  <c r="G204" i="80"/>
  <c r="I203" i="80"/>
  <c r="G203" i="80"/>
  <c r="I202" i="80"/>
  <c r="G202" i="80"/>
  <c r="I201" i="80"/>
  <c r="G201" i="80"/>
  <c r="I200" i="80"/>
  <c r="G200" i="80"/>
  <c r="I199" i="80"/>
  <c r="G199" i="80"/>
  <c r="I198" i="80"/>
  <c r="G198" i="80"/>
  <c r="I197" i="80"/>
  <c r="G197" i="80"/>
  <c r="I196" i="80"/>
  <c r="G196" i="80"/>
  <c r="I195" i="80"/>
  <c r="G195" i="80"/>
  <c r="I194" i="80"/>
  <c r="G194" i="80"/>
  <c r="I193" i="80"/>
  <c r="G193" i="80"/>
  <c r="I192" i="80"/>
  <c r="G192" i="80"/>
  <c r="I191" i="80"/>
  <c r="G191" i="80"/>
  <c r="I190" i="80"/>
  <c r="G190" i="80"/>
  <c r="I189" i="80"/>
  <c r="G189" i="80"/>
  <c r="I188" i="80"/>
  <c r="G188" i="80"/>
  <c r="I187" i="80"/>
  <c r="G187" i="80"/>
  <c r="I186" i="80"/>
  <c r="G186" i="80"/>
  <c r="I185" i="80"/>
  <c r="G185" i="80"/>
  <c r="I184" i="80"/>
  <c r="G184" i="80"/>
  <c r="I183" i="80"/>
  <c r="G183" i="80"/>
  <c r="I182" i="80"/>
  <c r="G182" i="80"/>
  <c r="I181" i="80"/>
  <c r="G181" i="80"/>
  <c r="I180" i="80"/>
  <c r="G180" i="80"/>
  <c r="I178" i="80"/>
  <c r="G178" i="80"/>
  <c r="I177" i="80"/>
  <c r="G177" i="80"/>
  <c r="I176" i="80"/>
  <c r="G176" i="80"/>
  <c r="I175" i="80"/>
  <c r="G175" i="80"/>
  <c r="I174" i="80"/>
  <c r="G174" i="80"/>
  <c r="I173" i="80"/>
  <c r="G173" i="80"/>
  <c r="I172" i="80"/>
  <c r="G172" i="80"/>
  <c r="I170" i="80"/>
  <c r="G170" i="80"/>
  <c r="I169" i="80"/>
  <c r="G169" i="80"/>
  <c r="I168" i="80"/>
  <c r="G168" i="80"/>
  <c r="I167" i="80"/>
  <c r="G167" i="80"/>
  <c r="I166" i="80"/>
  <c r="G166" i="80"/>
  <c r="I165" i="80"/>
  <c r="G165" i="80"/>
  <c r="I164" i="80"/>
  <c r="G164" i="80"/>
  <c r="I163" i="80"/>
  <c r="G163" i="80"/>
  <c r="I162" i="80"/>
  <c r="G162" i="80"/>
  <c r="I161" i="80"/>
  <c r="G161" i="80"/>
  <c r="I160" i="80"/>
  <c r="G160" i="80"/>
  <c r="I159" i="80"/>
  <c r="G159" i="80"/>
  <c r="I158" i="80"/>
  <c r="G158" i="80"/>
  <c r="I157" i="80"/>
  <c r="G157" i="80"/>
  <c r="I156" i="80"/>
  <c r="G156" i="80"/>
  <c r="I155" i="80"/>
  <c r="G155" i="80"/>
  <c r="I154" i="80"/>
  <c r="G154" i="80"/>
  <c r="I153" i="80"/>
  <c r="G153" i="80"/>
  <c r="I152" i="80"/>
  <c r="G152" i="80"/>
  <c r="H148" i="80"/>
  <c r="D148" i="80"/>
  <c r="G147" i="80"/>
  <c r="D147" i="80"/>
  <c r="H146" i="80"/>
  <c r="D146" i="80"/>
  <c r="G145" i="80"/>
  <c r="D145" i="80"/>
  <c r="H144" i="80"/>
  <c r="D144" i="80"/>
  <c r="G143" i="80"/>
  <c r="D143" i="80"/>
  <c r="H142" i="80"/>
  <c r="D142" i="80"/>
  <c r="G141" i="80"/>
  <c r="D141" i="80"/>
  <c r="H140" i="80"/>
  <c r="D140" i="80"/>
  <c r="G139" i="80"/>
  <c r="D139" i="80"/>
  <c r="H138" i="80"/>
  <c r="D138" i="80"/>
  <c r="G137" i="80"/>
  <c r="D137" i="80"/>
  <c r="H136" i="80"/>
  <c r="D136" i="80"/>
  <c r="G135" i="80"/>
  <c r="D135" i="80"/>
  <c r="H134" i="80"/>
  <c r="D134" i="80"/>
  <c r="G133" i="80"/>
  <c r="D133" i="80"/>
  <c r="H132" i="80"/>
  <c r="D132" i="80"/>
  <c r="G131" i="80"/>
  <c r="D131" i="80"/>
  <c r="H127" i="80"/>
  <c r="D127" i="80"/>
  <c r="G126" i="80"/>
  <c r="D126" i="80"/>
  <c r="H125" i="80"/>
  <c r="D125" i="80"/>
  <c r="G124" i="80"/>
  <c r="D124" i="80"/>
  <c r="H123" i="80"/>
  <c r="D123" i="80"/>
  <c r="G122" i="80"/>
  <c r="D122" i="80"/>
  <c r="H121" i="80"/>
  <c r="D121" i="80"/>
  <c r="G120" i="80"/>
  <c r="D120" i="80"/>
  <c r="H119" i="80"/>
  <c r="D119" i="80"/>
  <c r="G118" i="80"/>
  <c r="D118" i="80"/>
  <c r="H117" i="80"/>
  <c r="D117" i="80"/>
  <c r="G116" i="80"/>
  <c r="D116" i="80"/>
  <c r="H115" i="80"/>
  <c r="D115" i="80"/>
  <c r="G114" i="80"/>
  <c r="D114" i="80"/>
  <c r="H113" i="80"/>
  <c r="D113" i="80"/>
  <c r="G112" i="80"/>
  <c r="D112" i="80"/>
  <c r="H111" i="80"/>
  <c r="D111" i="80"/>
  <c r="G110" i="80"/>
  <c r="D110" i="80"/>
  <c r="H109" i="80"/>
  <c r="D109" i="80"/>
  <c r="G108" i="80"/>
  <c r="D108" i="80"/>
  <c r="H107" i="80"/>
  <c r="D107" i="80"/>
  <c r="G106" i="80"/>
  <c r="D106" i="80"/>
  <c r="H105" i="80"/>
  <c r="D105" i="80"/>
  <c r="G104" i="80"/>
  <c r="D104" i="80"/>
  <c r="H103" i="80"/>
  <c r="D103" i="80"/>
  <c r="G102" i="80"/>
  <c r="D102" i="80"/>
  <c r="H101" i="80"/>
  <c r="D101" i="80"/>
  <c r="G100" i="80"/>
  <c r="D100" i="80"/>
  <c r="H99" i="80"/>
  <c r="D99" i="80"/>
  <c r="G98" i="80"/>
  <c r="D98" i="80"/>
  <c r="H94" i="80"/>
  <c r="D94" i="80"/>
  <c r="G93" i="80"/>
  <c r="D93" i="80"/>
  <c r="H92" i="80"/>
  <c r="D92" i="80"/>
  <c r="G91" i="80"/>
  <c r="D91" i="80"/>
  <c r="H90" i="80"/>
  <c r="D90" i="80"/>
  <c r="G89" i="80"/>
  <c r="D89" i="80"/>
  <c r="H88" i="80"/>
  <c r="D88" i="80"/>
  <c r="G87" i="80"/>
  <c r="D87" i="80"/>
  <c r="H86" i="80"/>
  <c r="D86" i="80"/>
  <c r="G85" i="80"/>
  <c r="D85" i="80"/>
  <c r="H84" i="80"/>
  <c r="D84" i="80"/>
  <c r="G83" i="80"/>
  <c r="D83" i="80"/>
  <c r="H82" i="80"/>
  <c r="D82" i="80"/>
  <c r="G81" i="80"/>
  <c r="D81" i="80"/>
  <c r="H80" i="80"/>
  <c r="D80" i="80"/>
  <c r="G79" i="80"/>
  <c r="D79" i="80"/>
  <c r="H78" i="80"/>
  <c r="D78" i="80"/>
  <c r="G77" i="80"/>
  <c r="D77" i="80"/>
  <c r="H76" i="80"/>
  <c r="D76" i="80"/>
  <c r="G75" i="80"/>
  <c r="D75" i="80"/>
  <c r="H74" i="80"/>
  <c r="D74" i="80"/>
  <c r="G73" i="80"/>
  <c r="D73" i="80"/>
  <c r="H72" i="80"/>
  <c r="D72" i="80"/>
  <c r="G71" i="80"/>
  <c r="D71" i="80"/>
  <c r="H70" i="80"/>
  <c r="D70" i="80"/>
  <c r="G69" i="80"/>
  <c r="D69" i="80"/>
  <c r="H68" i="80"/>
  <c r="D68" i="80"/>
  <c r="G67" i="80"/>
  <c r="D67" i="80"/>
  <c r="H63" i="80"/>
  <c r="D63" i="80"/>
  <c r="G62" i="80"/>
  <c r="D62" i="80"/>
  <c r="H61" i="80"/>
  <c r="D61" i="80"/>
  <c r="G60" i="80"/>
  <c r="D60" i="80"/>
  <c r="H59" i="80"/>
  <c r="D59" i="80"/>
  <c r="G58" i="80"/>
  <c r="D58" i="80"/>
  <c r="H57" i="80"/>
  <c r="D57" i="80"/>
  <c r="G56" i="80"/>
  <c r="D56" i="80"/>
  <c r="H55" i="80"/>
  <c r="D55" i="80"/>
  <c r="G54" i="80"/>
  <c r="D54" i="80"/>
  <c r="H53" i="80"/>
  <c r="D53" i="80"/>
  <c r="G52" i="80"/>
  <c r="D52" i="80"/>
  <c r="H51" i="80"/>
  <c r="D51" i="80"/>
  <c r="G50" i="80"/>
  <c r="D50" i="80"/>
  <c r="H49" i="80"/>
  <c r="D49" i="80"/>
  <c r="G48" i="80"/>
  <c r="D48" i="80"/>
  <c r="H47" i="80"/>
  <c r="D47" i="80"/>
  <c r="G46" i="80"/>
  <c r="D46" i="80"/>
  <c r="H45" i="80"/>
  <c r="D45" i="80"/>
  <c r="G44" i="80"/>
  <c r="D44" i="80"/>
  <c r="H43" i="80"/>
  <c r="D43" i="80"/>
  <c r="G42" i="80"/>
  <c r="D42" i="80"/>
  <c r="H41" i="80"/>
  <c r="D41" i="80"/>
  <c r="G40" i="80"/>
  <c r="D40" i="80"/>
  <c r="H39" i="80"/>
  <c r="D39" i="80"/>
  <c r="G38" i="80"/>
  <c r="D38" i="80"/>
  <c r="H37" i="80"/>
  <c r="D37" i="80"/>
  <c r="G36" i="80"/>
  <c r="D36" i="80"/>
  <c r="H32" i="80"/>
  <c r="D32" i="80"/>
  <c r="G31" i="80"/>
  <c r="D31" i="80"/>
  <c r="H30" i="80"/>
  <c r="D30" i="80"/>
  <c r="G29" i="80"/>
  <c r="D29" i="80"/>
  <c r="H28" i="80"/>
  <c r="D28" i="80"/>
  <c r="G27" i="80"/>
  <c r="D27" i="80"/>
  <c r="H26" i="80"/>
  <c r="D26" i="80"/>
  <c r="G25" i="80"/>
  <c r="D25" i="80"/>
  <c r="H24" i="80"/>
  <c r="D24" i="80"/>
  <c r="G23" i="80"/>
  <c r="D23" i="80"/>
  <c r="H22" i="80"/>
  <c r="D22" i="80"/>
  <c r="G21" i="80"/>
  <c r="D21" i="80"/>
  <c r="H20" i="80"/>
  <c r="D20" i="80"/>
  <c r="G19" i="80"/>
  <c r="D19" i="80"/>
  <c r="H18" i="80"/>
  <c r="D18" i="80"/>
  <c r="G17" i="80"/>
  <c r="D17" i="80"/>
  <c r="H16" i="80"/>
  <c r="D16" i="80"/>
  <c r="G15" i="80"/>
  <c r="D15" i="80"/>
  <c r="H14" i="80"/>
  <c r="D14" i="80"/>
  <c r="G13" i="80"/>
  <c r="D13" i="80"/>
  <c r="H12" i="80"/>
  <c r="D12" i="80"/>
  <c r="G11" i="80"/>
  <c r="D11" i="80"/>
  <c r="H10" i="80"/>
  <c r="D10" i="80"/>
  <c r="G9" i="80"/>
  <c r="D9" i="80"/>
  <c r="H8" i="80"/>
  <c r="D8" i="80"/>
  <c r="G7" i="80"/>
  <c r="D7" i="80"/>
  <c r="F66" i="76" l="1"/>
  <c r="E66" i="76"/>
  <c r="F65" i="76"/>
  <c r="E65" i="76"/>
  <c r="F64" i="76"/>
  <c r="E64" i="76"/>
  <c r="F63" i="76"/>
  <c r="E63" i="76"/>
  <c r="F62" i="76"/>
  <c r="E62" i="76"/>
  <c r="F61" i="76"/>
  <c r="E61" i="76"/>
  <c r="F60" i="76"/>
  <c r="E60" i="76"/>
  <c r="F59" i="76"/>
  <c r="E59" i="76"/>
  <c r="F58" i="76"/>
  <c r="E58" i="76"/>
  <c r="F57" i="76"/>
  <c r="E57" i="76"/>
  <c r="F56" i="76"/>
  <c r="E56" i="76"/>
  <c r="F55" i="76"/>
  <c r="E55" i="76"/>
  <c r="F54" i="76"/>
  <c r="E54" i="76"/>
  <c r="F53" i="76"/>
  <c r="E53" i="76"/>
  <c r="F52" i="76"/>
  <c r="E52" i="76"/>
  <c r="F51" i="76"/>
  <c r="E51" i="76"/>
  <c r="F50" i="76"/>
  <c r="E50" i="76"/>
  <c r="F49" i="76"/>
  <c r="E49" i="76"/>
  <c r="F48" i="76"/>
  <c r="E48" i="76"/>
  <c r="F47" i="76"/>
  <c r="E47" i="76"/>
  <c r="F46" i="76"/>
  <c r="E46" i="76"/>
  <c r="F45" i="76"/>
  <c r="E45" i="76"/>
  <c r="F44" i="76"/>
  <c r="E44" i="76"/>
  <c r="F43" i="76"/>
  <c r="E43" i="76"/>
  <c r="F42" i="76"/>
  <c r="E42" i="76"/>
  <c r="F41" i="76"/>
  <c r="E41" i="76"/>
  <c r="F40" i="76"/>
  <c r="E40" i="76"/>
  <c r="F39" i="76"/>
  <c r="E39" i="76"/>
  <c r="F38" i="76"/>
  <c r="E38" i="76"/>
  <c r="F37" i="76"/>
  <c r="E37" i="76"/>
  <c r="F36" i="76"/>
  <c r="E36" i="76"/>
  <c r="F35" i="76"/>
  <c r="E35" i="76"/>
  <c r="F34" i="76"/>
  <c r="E34" i="76"/>
  <c r="F33" i="76"/>
  <c r="E33" i="76"/>
  <c r="F32" i="76"/>
  <c r="E32" i="76"/>
  <c r="F31" i="76"/>
  <c r="E31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7" i="76"/>
  <c r="E17" i="76"/>
  <c r="F16" i="76"/>
  <c r="E16" i="76"/>
  <c r="F15" i="76"/>
  <c r="E15" i="76"/>
  <c r="F14" i="76"/>
  <c r="E14" i="76"/>
  <c r="F13" i="76"/>
  <c r="E13" i="76"/>
  <c r="F12" i="76"/>
  <c r="E12" i="76"/>
  <c r="F11" i="76"/>
  <c r="E11" i="76"/>
  <c r="F10" i="76"/>
  <c r="E10" i="76"/>
  <c r="F9" i="76"/>
  <c r="E9" i="76"/>
  <c r="F8" i="76"/>
  <c r="E8" i="76"/>
  <c r="F7" i="76"/>
  <c r="E7" i="76"/>
  <c r="F6" i="76"/>
  <c r="E6" i="76"/>
  <c r="I210" i="78"/>
  <c r="G210" i="78"/>
  <c r="I209" i="78"/>
  <c r="G209" i="78"/>
  <c r="I208" i="78"/>
  <c r="G208" i="78"/>
  <c r="I207" i="78"/>
  <c r="G207" i="78"/>
  <c r="I206" i="78"/>
  <c r="G206" i="78"/>
  <c r="I205" i="78"/>
  <c r="G205" i="78"/>
  <c r="I204" i="78"/>
  <c r="G204" i="78"/>
  <c r="I203" i="78"/>
  <c r="G203" i="78"/>
  <c r="I202" i="78"/>
  <c r="G202" i="78"/>
  <c r="I201" i="78"/>
  <c r="G201" i="78"/>
  <c r="I200" i="78"/>
  <c r="G200" i="78"/>
  <c r="I199" i="78"/>
  <c r="G199" i="78"/>
  <c r="I198" i="78"/>
  <c r="G198" i="78"/>
  <c r="I197" i="78"/>
  <c r="G197" i="78"/>
  <c r="I196" i="78"/>
  <c r="G196" i="78"/>
  <c r="I195" i="78"/>
  <c r="G195" i="78"/>
  <c r="I194" i="78"/>
  <c r="G194" i="78"/>
  <c r="I193" i="78"/>
  <c r="G193" i="78"/>
  <c r="I192" i="78"/>
  <c r="G192" i="78"/>
  <c r="I191" i="78"/>
  <c r="G191" i="78"/>
  <c r="I190" i="78"/>
  <c r="G190" i="78"/>
  <c r="I189" i="78"/>
  <c r="G189" i="78"/>
  <c r="I188" i="78"/>
  <c r="G188" i="78"/>
  <c r="I187" i="78"/>
  <c r="G187" i="78"/>
  <c r="I186" i="78"/>
  <c r="G186" i="78"/>
  <c r="I185" i="78"/>
  <c r="G185" i="78"/>
  <c r="I184" i="78"/>
  <c r="G184" i="78"/>
  <c r="I183" i="78"/>
  <c r="G183" i="78"/>
  <c r="I182" i="78"/>
  <c r="G182" i="78"/>
  <c r="I181" i="78"/>
  <c r="G181" i="78"/>
  <c r="I180" i="78"/>
  <c r="G180" i="78"/>
  <c r="I178" i="78"/>
  <c r="G178" i="78"/>
  <c r="I177" i="78"/>
  <c r="G177" i="78"/>
  <c r="I176" i="78"/>
  <c r="G176" i="78"/>
  <c r="I175" i="78"/>
  <c r="G175" i="78"/>
  <c r="I174" i="78"/>
  <c r="G174" i="78"/>
  <c r="I173" i="78"/>
  <c r="G173" i="78"/>
  <c r="I172" i="78"/>
  <c r="G172" i="78"/>
  <c r="I170" i="78"/>
  <c r="G170" i="78"/>
  <c r="I169" i="78"/>
  <c r="G169" i="78"/>
  <c r="I168" i="78"/>
  <c r="G168" i="78"/>
  <c r="I167" i="78"/>
  <c r="G167" i="78"/>
  <c r="I166" i="78"/>
  <c r="G166" i="78"/>
  <c r="I165" i="78"/>
  <c r="G165" i="78"/>
  <c r="I164" i="78"/>
  <c r="G164" i="78"/>
  <c r="I163" i="78"/>
  <c r="G163" i="78"/>
  <c r="I162" i="78"/>
  <c r="G162" i="78"/>
  <c r="I161" i="78"/>
  <c r="G161" i="78"/>
  <c r="I160" i="78"/>
  <c r="G160" i="78"/>
  <c r="I159" i="78"/>
  <c r="G159" i="78"/>
  <c r="I158" i="78"/>
  <c r="G158" i="78"/>
  <c r="I157" i="78"/>
  <c r="G157" i="78"/>
  <c r="I156" i="78"/>
  <c r="G156" i="78"/>
  <c r="I155" i="78"/>
  <c r="G155" i="78"/>
  <c r="I154" i="78"/>
  <c r="G154" i="78"/>
  <c r="I153" i="78"/>
  <c r="G153" i="78"/>
  <c r="I152" i="78"/>
  <c r="G152" i="78"/>
  <c r="H148" i="78"/>
  <c r="D148" i="78"/>
  <c r="G147" i="78"/>
  <c r="D147" i="78"/>
  <c r="H146" i="78"/>
  <c r="D146" i="78"/>
  <c r="G145" i="78"/>
  <c r="D145" i="78"/>
  <c r="H144" i="78"/>
  <c r="D144" i="78"/>
  <c r="G143" i="78"/>
  <c r="D143" i="78"/>
  <c r="H142" i="78"/>
  <c r="D142" i="78"/>
  <c r="G141" i="78"/>
  <c r="D141" i="78"/>
  <c r="H140" i="78"/>
  <c r="D140" i="78"/>
  <c r="G139" i="78"/>
  <c r="D139" i="78"/>
  <c r="H138" i="78"/>
  <c r="D138" i="78"/>
  <c r="G137" i="78"/>
  <c r="D137" i="78"/>
  <c r="H136" i="78"/>
  <c r="D136" i="78"/>
  <c r="G135" i="78"/>
  <c r="D135" i="78"/>
  <c r="H134" i="78"/>
  <c r="D134" i="78"/>
  <c r="G133" i="78"/>
  <c r="D133" i="78"/>
  <c r="H132" i="78"/>
  <c r="D132" i="78"/>
  <c r="G131" i="78"/>
  <c r="D131" i="78"/>
  <c r="H127" i="78"/>
  <c r="D127" i="78"/>
  <c r="G126" i="78"/>
  <c r="D126" i="78"/>
  <c r="H125" i="78"/>
  <c r="D125" i="78"/>
  <c r="G124" i="78"/>
  <c r="D124" i="78"/>
  <c r="H123" i="78"/>
  <c r="D123" i="78"/>
  <c r="G122" i="78"/>
  <c r="D122" i="78"/>
  <c r="H121" i="78"/>
  <c r="D121" i="78"/>
  <c r="G120" i="78"/>
  <c r="D120" i="78"/>
  <c r="H119" i="78"/>
  <c r="D119" i="78"/>
  <c r="G118" i="78"/>
  <c r="D118" i="78"/>
  <c r="H117" i="78"/>
  <c r="D117" i="78"/>
  <c r="G116" i="78"/>
  <c r="D116" i="78"/>
  <c r="H115" i="78"/>
  <c r="D115" i="78"/>
  <c r="G114" i="78"/>
  <c r="D114" i="78"/>
  <c r="H113" i="78"/>
  <c r="D113" i="78"/>
  <c r="G112" i="78"/>
  <c r="D112" i="78"/>
  <c r="H111" i="78"/>
  <c r="D111" i="78"/>
  <c r="G110" i="78"/>
  <c r="D110" i="78"/>
  <c r="H109" i="78"/>
  <c r="D109" i="78"/>
  <c r="G108" i="78"/>
  <c r="D108" i="78"/>
  <c r="H107" i="78"/>
  <c r="D107" i="78"/>
  <c r="G106" i="78"/>
  <c r="D106" i="78"/>
  <c r="H105" i="78"/>
  <c r="D105" i="78"/>
  <c r="G104" i="78"/>
  <c r="D104" i="78"/>
  <c r="H103" i="78"/>
  <c r="D103" i="78"/>
  <c r="G102" i="78"/>
  <c r="D102" i="78"/>
  <c r="H101" i="78"/>
  <c r="D101" i="78"/>
  <c r="G100" i="78"/>
  <c r="D100" i="78"/>
  <c r="H99" i="78"/>
  <c r="D99" i="78"/>
  <c r="G98" i="78"/>
  <c r="D98" i="78"/>
  <c r="H94" i="78"/>
  <c r="D94" i="78"/>
  <c r="G93" i="78"/>
  <c r="D93" i="78"/>
  <c r="H92" i="78"/>
  <c r="D92" i="78"/>
  <c r="G91" i="78"/>
  <c r="D91" i="78"/>
  <c r="H90" i="78"/>
  <c r="D90" i="78"/>
  <c r="G89" i="78"/>
  <c r="D89" i="78"/>
  <c r="H88" i="78"/>
  <c r="D88" i="78"/>
  <c r="G87" i="78"/>
  <c r="D87" i="78"/>
  <c r="H86" i="78"/>
  <c r="D86" i="78"/>
  <c r="G85" i="78"/>
  <c r="D85" i="78"/>
  <c r="H84" i="78"/>
  <c r="D84" i="78"/>
  <c r="G83" i="78"/>
  <c r="D83" i="78"/>
  <c r="H82" i="78"/>
  <c r="D82" i="78"/>
  <c r="G81" i="78"/>
  <c r="D81" i="78"/>
  <c r="H80" i="78"/>
  <c r="D80" i="78"/>
  <c r="G79" i="78"/>
  <c r="D79" i="78"/>
  <c r="H78" i="78"/>
  <c r="D78" i="78"/>
  <c r="G77" i="78"/>
  <c r="D77" i="78"/>
  <c r="H76" i="78"/>
  <c r="D76" i="78"/>
  <c r="G75" i="78"/>
  <c r="D75" i="78"/>
  <c r="H74" i="78"/>
  <c r="D74" i="78"/>
  <c r="G73" i="78"/>
  <c r="D73" i="78"/>
  <c r="H72" i="78"/>
  <c r="D72" i="78"/>
  <c r="G71" i="78"/>
  <c r="D71" i="78"/>
  <c r="H70" i="78"/>
  <c r="D70" i="78"/>
  <c r="G69" i="78"/>
  <c r="D69" i="78"/>
  <c r="H68" i="78"/>
  <c r="D68" i="78"/>
  <c r="G67" i="78"/>
  <c r="D67" i="78"/>
  <c r="H63" i="78"/>
  <c r="D63" i="78"/>
  <c r="G62" i="78"/>
  <c r="D62" i="78"/>
  <c r="H61" i="78"/>
  <c r="D61" i="78"/>
  <c r="G60" i="78"/>
  <c r="D60" i="78"/>
  <c r="H59" i="78"/>
  <c r="D59" i="78"/>
  <c r="G58" i="78"/>
  <c r="D58" i="78"/>
  <c r="H57" i="78"/>
  <c r="D57" i="78"/>
  <c r="G56" i="78"/>
  <c r="D56" i="78"/>
  <c r="H55" i="78"/>
  <c r="D55" i="78"/>
  <c r="G54" i="78"/>
  <c r="D54" i="78"/>
  <c r="H53" i="78"/>
  <c r="D53" i="78"/>
  <c r="G52" i="78"/>
  <c r="D52" i="78"/>
  <c r="H51" i="78"/>
  <c r="D51" i="78"/>
  <c r="G50" i="78"/>
  <c r="D50" i="78"/>
  <c r="H49" i="78"/>
  <c r="D49" i="78"/>
  <c r="G48" i="78"/>
  <c r="D48" i="78"/>
  <c r="H47" i="78"/>
  <c r="D47" i="78"/>
  <c r="G46" i="78"/>
  <c r="D46" i="78"/>
  <c r="H45" i="78"/>
  <c r="D45" i="78"/>
  <c r="G44" i="78"/>
  <c r="D44" i="78"/>
  <c r="H43" i="78"/>
  <c r="D43" i="78"/>
  <c r="G42" i="78"/>
  <c r="D42" i="78"/>
  <c r="H41" i="78"/>
  <c r="D41" i="78"/>
  <c r="G40" i="78"/>
  <c r="D40" i="78"/>
  <c r="H39" i="78"/>
  <c r="D39" i="78"/>
  <c r="G38" i="78"/>
  <c r="D38" i="78"/>
  <c r="H37" i="78"/>
  <c r="D37" i="78"/>
  <c r="G36" i="78"/>
  <c r="D36" i="78"/>
  <c r="H32" i="78"/>
  <c r="D32" i="78"/>
  <c r="G31" i="78"/>
  <c r="D31" i="78"/>
  <c r="H30" i="78"/>
  <c r="D30" i="78"/>
  <c r="G29" i="78"/>
  <c r="D29" i="78"/>
  <c r="H28" i="78"/>
  <c r="D28" i="78"/>
  <c r="G27" i="78"/>
  <c r="D27" i="78"/>
  <c r="H26" i="78"/>
  <c r="D26" i="78"/>
  <c r="G25" i="78"/>
  <c r="D25" i="78"/>
  <c r="H24" i="78"/>
  <c r="D24" i="78"/>
  <c r="G23" i="78"/>
  <c r="D23" i="78"/>
  <c r="H22" i="78"/>
  <c r="D22" i="78"/>
  <c r="G21" i="78"/>
  <c r="D21" i="78"/>
  <c r="H20" i="78"/>
  <c r="D20" i="78"/>
  <c r="G19" i="78"/>
  <c r="D19" i="78"/>
  <c r="H18" i="78"/>
  <c r="D18" i="78"/>
  <c r="G17" i="78"/>
  <c r="D17" i="78"/>
  <c r="H16" i="78"/>
  <c r="D16" i="78"/>
  <c r="G15" i="78"/>
  <c r="D15" i="78"/>
  <c r="H14" i="78"/>
  <c r="D14" i="78"/>
  <c r="G13" i="78"/>
  <c r="D13" i="78"/>
  <c r="H12" i="78"/>
  <c r="D12" i="78"/>
  <c r="G11" i="78"/>
  <c r="D11" i="78"/>
  <c r="H10" i="78"/>
  <c r="D10" i="78"/>
  <c r="G9" i="78"/>
  <c r="D9" i="78"/>
  <c r="H8" i="78"/>
  <c r="D8" i="78"/>
  <c r="G7" i="78"/>
  <c r="D7" i="78"/>
  <c r="D7" i="66"/>
  <c r="J35" i="75"/>
  <c r="I35" i="75"/>
  <c r="H35" i="75"/>
  <c r="G35" i="75"/>
  <c r="E35" i="75"/>
  <c r="D35" i="75"/>
  <c r="B35" i="75"/>
  <c r="A35" i="75"/>
  <c r="J32" i="75"/>
  <c r="I32" i="75"/>
  <c r="H32" i="75"/>
  <c r="G32" i="75"/>
  <c r="E32" i="75"/>
  <c r="D32" i="75"/>
  <c r="B32" i="75"/>
  <c r="A32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B29" i="75"/>
  <c r="A29" i="75"/>
  <c r="AA27" i="75"/>
  <c r="Z27" i="75"/>
  <c r="Y27" i="75"/>
  <c r="X27" i="75"/>
  <c r="W27" i="75"/>
  <c r="V27" i="75"/>
  <c r="U27" i="75"/>
  <c r="T27" i="75"/>
  <c r="R27" i="75"/>
  <c r="Q27" i="75"/>
  <c r="P27" i="75"/>
  <c r="M27" i="75"/>
  <c r="L27" i="75"/>
  <c r="K27" i="75"/>
  <c r="J27" i="75"/>
  <c r="I27" i="75"/>
  <c r="H27" i="75"/>
  <c r="G27" i="75"/>
  <c r="F27" i="75"/>
  <c r="D27" i="75"/>
  <c r="C27" i="75"/>
  <c r="B27" i="75"/>
  <c r="AK25" i="75"/>
  <c r="AJ25" i="75"/>
  <c r="AI25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E25" i="75"/>
  <c r="D25" i="75"/>
  <c r="C25" i="75"/>
  <c r="B25" i="75"/>
  <c r="A25" i="75"/>
  <c r="AK23" i="75"/>
  <c r="AJ23" i="75"/>
  <c r="AI23" i="75"/>
  <c r="AH23" i="75"/>
  <c r="AG23" i="75"/>
  <c r="AF23" i="75"/>
  <c r="AE23" i="75"/>
  <c r="AD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B23" i="75"/>
  <c r="A23" i="75"/>
  <c r="AK20" i="75"/>
  <c r="AJ20" i="75"/>
  <c r="AI20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B20" i="75"/>
  <c r="A20" i="75"/>
  <c r="AK19" i="75"/>
  <c r="AJ19" i="75"/>
  <c r="AI19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B19" i="75"/>
  <c r="A19" i="75"/>
  <c r="F15" i="75"/>
  <c r="C15" i="75"/>
  <c r="R13" i="75"/>
  <c r="L13" i="75"/>
  <c r="H13" i="75"/>
  <c r="G13" i="75"/>
  <c r="F13" i="75"/>
  <c r="E13" i="75"/>
  <c r="D13" i="75"/>
  <c r="C13" i="75"/>
  <c r="B13" i="75"/>
  <c r="A13" i="75"/>
  <c r="R12" i="75"/>
  <c r="L12" i="75"/>
  <c r="J11" i="75"/>
  <c r="I11" i="75"/>
  <c r="H11" i="75"/>
  <c r="G11" i="75"/>
  <c r="F11" i="75"/>
  <c r="E11" i="75"/>
  <c r="D11" i="75"/>
  <c r="C11" i="75"/>
  <c r="B11" i="75"/>
  <c r="A11" i="75"/>
  <c r="J35" i="72" l="1"/>
  <c r="I35" i="72"/>
  <c r="H35" i="72"/>
  <c r="G35" i="72"/>
  <c r="E35" i="72"/>
  <c r="D35" i="72"/>
  <c r="B35" i="72"/>
  <c r="A35" i="72"/>
  <c r="J32" i="72"/>
  <c r="I32" i="72"/>
  <c r="H32" i="72"/>
  <c r="G32" i="72"/>
  <c r="E32" i="72"/>
  <c r="D32" i="72"/>
  <c r="B32" i="72"/>
  <c r="A32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B29" i="72"/>
  <c r="A29" i="72"/>
  <c r="AA27" i="72"/>
  <c r="Z27" i="72"/>
  <c r="Y27" i="72"/>
  <c r="X27" i="72"/>
  <c r="W27" i="72"/>
  <c r="V27" i="72"/>
  <c r="U27" i="72"/>
  <c r="T27" i="72"/>
  <c r="R27" i="72"/>
  <c r="Q27" i="72"/>
  <c r="P27" i="72"/>
  <c r="M27" i="72"/>
  <c r="L27" i="72"/>
  <c r="K27" i="72"/>
  <c r="J27" i="72"/>
  <c r="I27" i="72"/>
  <c r="H27" i="72"/>
  <c r="G27" i="72"/>
  <c r="F27" i="72"/>
  <c r="D27" i="72"/>
  <c r="C27" i="72"/>
  <c r="B27" i="72"/>
  <c r="AK25" i="72"/>
  <c r="AJ25" i="72"/>
  <c r="AI25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E25" i="72"/>
  <c r="D25" i="72"/>
  <c r="C25" i="72"/>
  <c r="B25" i="72"/>
  <c r="A25" i="72"/>
  <c r="AK23" i="72"/>
  <c r="AJ23" i="72"/>
  <c r="AI23" i="72"/>
  <c r="AH23" i="72"/>
  <c r="AG23" i="72"/>
  <c r="AF23" i="72"/>
  <c r="AE23" i="72"/>
  <c r="AD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B23" i="72"/>
  <c r="A23" i="72"/>
  <c r="AK20" i="72"/>
  <c r="AJ20" i="72"/>
  <c r="AI20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B20" i="72"/>
  <c r="A20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B19" i="72"/>
  <c r="A19" i="72"/>
  <c r="R13" i="72"/>
  <c r="L13" i="72"/>
  <c r="H13" i="72"/>
  <c r="G13" i="72"/>
  <c r="F13" i="72"/>
  <c r="E13" i="72"/>
  <c r="D13" i="72"/>
  <c r="C13" i="72"/>
  <c r="B13" i="72"/>
  <c r="A13" i="72"/>
  <c r="R12" i="72"/>
  <c r="L12" i="72"/>
  <c r="J11" i="72"/>
  <c r="I11" i="72"/>
  <c r="H11" i="72"/>
  <c r="G11" i="72"/>
  <c r="F11" i="72"/>
  <c r="E11" i="72"/>
  <c r="D11" i="72"/>
  <c r="C11" i="72"/>
  <c r="B11" i="72"/>
  <c r="A11" i="72"/>
  <c r="F65" i="68" l="1"/>
  <c r="E65" i="68"/>
  <c r="F62" i="68"/>
  <c r="E62" i="68"/>
  <c r="F61" i="68"/>
  <c r="E61" i="68"/>
  <c r="F58" i="68"/>
  <c r="E58" i="68"/>
  <c r="F57" i="68"/>
  <c r="E57" i="68"/>
  <c r="F55" i="68"/>
  <c r="E55" i="68"/>
  <c r="F54" i="68"/>
  <c r="E54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AC38" i="67"/>
  <c r="U38" i="67"/>
  <c r="L38" i="67"/>
  <c r="J37" i="67"/>
  <c r="I37" i="67"/>
  <c r="H37" i="67"/>
  <c r="G37" i="67"/>
  <c r="E37" i="67"/>
  <c r="D37" i="67"/>
  <c r="B37" i="67"/>
  <c r="A37" i="67"/>
  <c r="J34" i="67"/>
  <c r="I34" i="67"/>
  <c r="H34" i="67"/>
  <c r="G34" i="67"/>
  <c r="E34" i="67"/>
  <c r="D34" i="67"/>
  <c r="B34" i="67"/>
  <c r="A34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A29" i="67"/>
  <c r="Z29" i="67"/>
  <c r="Y29" i="67"/>
  <c r="X29" i="67"/>
  <c r="W29" i="67"/>
  <c r="V29" i="67"/>
  <c r="U29" i="67"/>
  <c r="T29" i="67"/>
  <c r="R29" i="67"/>
  <c r="Q29" i="67"/>
  <c r="P29" i="67"/>
  <c r="M29" i="67"/>
  <c r="L29" i="67"/>
  <c r="K29" i="67"/>
  <c r="J29" i="67"/>
  <c r="I29" i="67"/>
  <c r="H29" i="67"/>
  <c r="G29" i="67"/>
  <c r="F29" i="67"/>
  <c r="D29" i="67"/>
  <c r="C29" i="67"/>
  <c r="B29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E27" i="67"/>
  <c r="D27" i="67"/>
  <c r="C27" i="67"/>
  <c r="B27" i="67"/>
  <c r="A27" i="67"/>
  <c r="AK25" i="67"/>
  <c r="AJ25" i="67"/>
  <c r="AI25" i="67"/>
  <c r="AH25" i="67"/>
  <c r="AG25" i="67"/>
  <c r="AF25" i="67"/>
  <c r="AE25" i="67"/>
  <c r="AD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A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A19" i="67"/>
  <c r="G15" i="67"/>
  <c r="E15" i="67"/>
  <c r="D15" i="67"/>
  <c r="B15" i="67"/>
  <c r="A15" i="67"/>
  <c r="R13" i="67"/>
  <c r="L13" i="67"/>
  <c r="H13" i="67"/>
  <c r="G13" i="67"/>
  <c r="F13" i="67"/>
  <c r="E13" i="67"/>
  <c r="D13" i="67"/>
  <c r="C13" i="67"/>
  <c r="B13" i="67"/>
  <c r="A13" i="67"/>
  <c r="R12" i="67"/>
  <c r="L12" i="67"/>
  <c r="J11" i="67"/>
  <c r="I11" i="67"/>
  <c r="H11" i="67"/>
  <c r="G11" i="67"/>
  <c r="F11" i="67"/>
  <c r="E11" i="67"/>
  <c r="D11" i="67"/>
  <c r="C11" i="67"/>
  <c r="B11" i="67"/>
  <c r="A11" i="67"/>
  <c r="I210" i="66"/>
  <c r="G210" i="66"/>
  <c r="I209" i="66"/>
  <c r="G209" i="66"/>
  <c r="I208" i="66"/>
  <c r="G208" i="66"/>
  <c r="I207" i="66"/>
  <c r="G207" i="66"/>
  <c r="I205" i="66"/>
  <c r="G205" i="66"/>
  <c r="I204" i="66"/>
  <c r="G204" i="66"/>
  <c r="I201" i="66"/>
  <c r="G201" i="66"/>
  <c r="I200" i="66"/>
  <c r="G200" i="66"/>
  <c r="I199" i="66"/>
  <c r="G199" i="66"/>
  <c r="I198" i="66"/>
  <c r="G198" i="66"/>
  <c r="I197" i="66"/>
  <c r="G197" i="66"/>
  <c r="I196" i="66"/>
  <c r="G196" i="66"/>
  <c r="I195" i="66"/>
  <c r="G195" i="66"/>
  <c r="I194" i="66"/>
  <c r="G194" i="66"/>
  <c r="I193" i="66"/>
  <c r="G193" i="66"/>
  <c r="I192" i="66"/>
  <c r="G192" i="66"/>
  <c r="I190" i="66"/>
  <c r="G190" i="66"/>
  <c r="I189" i="66"/>
  <c r="G189" i="66"/>
  <c r="I188" i="66"/>
  <c r="G188" i="66"/>
  <c r="I187" i="66"/>
  <c r="G187" i="66"/>
  <c r="I186" i="66"/>
  <c r="G186" i="66"/>
  <c r="I185" i="66"/>
  <c r="G185" i="66"/>
  <c r="I184" i="66"/>
  <c r="G184" i="66"/>
  <c r="I183" i="66"/>
  <c r="G183" i="66"/>
  <c r="I182" i="66"/>
  <c r="G182" i="66"/>
  <c r="I181" i="66"/>
  <c r="G181" i="66"/>
  <c r="I180" i="66"/>
  <c r="G180" i="66"/>
  <c r="I177" i="66"/>
  <c r="G177" i="66"/>
  <c r="I176" i="66"/>
  <c r="G176" i="66"/>
  <c r="I175" i="66"/>
  <c r="G175" i="66"/>
  <c r="I174" i="66"/>
  <c r="G174" i="66"/>
  <c r="I170" i="66"/>
  <c r="G170" i="66"/>
  <c r="I169" i="66"/>
  <c r="G169" i="66"/>
  <c r="I167" i="66"/>
  <c r="G167" i="66"/>
  <c r="I166" i="66"/>
  <c r="G166" i="66"/>
  <c r="I165" i="66"/>
  <c r="G165" i="66"/>
  <c r="I163" i="66"/>
  <c r="G163" i="66"/>
  <c r="I162" i="66"/>
  <c r="G162" i="66"/>
  <c r="I161" i="66"/>
  <c r="G161" i="66"/>
  <c r="I160" i="66"/>
  <c r="G160" i="66"/>
  <c r="I159" i="66"/>
  <c r="G159" i="66"/>
  <c r="I158" i="66"/>
  <c r="G158" i="66"/>
  <c r="I156" i="66"/>
  <c r="G156" i="66"/>
  <c r="I155" i="66"/>
  <c r="G155" i="66"/>
  <c r="I154" i="66"/>
  <c r="G154" i="66"/>
  <c r="I153" i="66"/>
  <c r="G153" i="66"/>
  <c r="H148" i="66"/>
  <c r="D148" i="66"/>
  <c r="G147" i="66"/>
  <c r="D147" i="66"/>
  <c r="H146" i="66"/>
  <c r="D146" i="66"/>
  <c r="G145" i="66"/>
  <c r="D145" i="66"/>
  <c r="H144" i="66"/>
  <c r="D144" i="66"/>
  <c r="D143" i="66"/>
  <c r="H142" i="66"/>
  <c r="D142" i="66"/>
  <c r="D141" i="66"/>
  <c r="D138" i="66"/>
  <c r="D137" i="66"/>
  <c r="D136" i="66"/>
  <c r="D135" i="66"/>
  <c r="H134" i="66"/>
  <c r="D134" i="66"/>
  <c r="D133" i="66"/>
  <c r="H132" i="66"/>
  <c r="D132" i="66"/>
  <c r="D131" i="66"/>
  <c r="H127" i="66"/>
  <c r="D127" i="66"/>
  <c r="D126" i="66"/>
  <c r="D124" i="66"/>
  <c r="H123" i="66"/>
  <c r="D123" i="66"/>
  <c r="D122" i="66"/>
  <c r="H121" i="66"/>
  <c r="D121" i="66"/>
  <c r="D120" i="66"/>
  <c r="H119" i="66"/>
  <c r="D119" i="66"/>
  <c r="D118" i="66"/>
  <c r="H117" i="66"/>
  <c r="D117" i="66"/>
  <c r="D116" i="66"/>
  <c r="H115" i="66"/>
  <c r="D115" i="66"/>
  <c r="D114" i="66"/>
  <c r="H113" i="66"/>
  <c r="D113" i="66"/>
  <c r="D112" i="66"/>
  <c r="H111" i="66"/>
  <c r="D111" i="66"/>
  <c r="D110" i="66"/>
  <c r="H109" i="66"/>
  <c r="D109" i="66"/>
  <c r="D108" i="66"/>
  <c r="H105" i="66"/>
  <c r="D105" i="66"/>
  <c r="D104" i="66"/>
  <c r="H103" i="66"/>
  <c r="D103" i="66"/>
  <c r="D102" i="66"/>
  <c r="H101" i="66"/>
  <c r="D101" i="66"/>
  <c r="G100" i="66"/>
  <c r="D100" i="66"/>
  <c r="H99" i="66"/>
  <c r="D99" i="66"/>
  <c r="G98" i="66"/>
  <c r="D98" i="66"/>
  <c r="H94" i="66"/>
  <c r="D94" i="66"/>
  <c r="D93" i="66"/>
  <c r="H92" i="66"/>
  <c r="D92" i="66"/>
  <c r="D91" i="66"/>
  <c r="H90" i="66"/>
  <c r="D90" i="66"/>
  <c r="G89" i="66"/>
  <c r="D89" i="66"/>
  <c r="H86" i="66"/>
  <c r="D86" i="66"/>
  <c r="D85" i="66"/>
  <c r="H84" i="66"/>
  <c r="D84" i="66"/>
  <c r="D83" i="66"/>
  <c r="H82" i="66"/>
  <c r="D82" i="66"/>
  <c r="D81" i="66"/>
  <c r="H80" i="66"/>
  <c r="D80" i="66"/>
  <c r="D79" i="66"/>
  <c r="H78" i="66"/>
  <c r="D78" i="66"/>
  <c r="D77" i="66"/>
  <c r="H76" i="66"/>
  <c r="D76" i="66"/>
  <c r="D75" i="66"/>
  <c r="H70" i="66"/>
  <c r="D70" i="66"/>
  <c r="D69" i="66"/>
  <c r="H68" i="66"/>
  <c r="D68" i="66"/>
  <c r="D67" i="66"/>
  <c r="H63" i="66"/>
  <c r="D63" i="66"/>
  <c r="D62" i="66"/>
  <c r="H61" i="66"/>
  <c r="D61" i="66"/>
  <c r="D60" i="66"/>
  <c r="H59" i="66"/>
  <c r="D59" i="66"/>
  <c r="D58" i="66"/>
  <c r="H57" i="66"/>
  <c r="D57" i="66"/>
  <c r="D56" i="66"/>
  <c r="H55" i="66"/>
  <c r="D55" i="66"/>
  <c r="D54" i="66"/>
  <c r="H53" i="66"/>
  <c r="D53" i="66"/>
  <c r="D52" i="66"/>
  <c r="H49" i="66"/>
  <c r="D49" i="66"/>
  <c r="D48" i="66"/>
  <c r="H47" i="66"/>
  <c r="D47" i="66"/>
  <c r="D46" i="66"/>
  <c r="H45" i="66"/>
  <c r="D45" i="66"/>
  <c r="D44" i="66"/>
  <c r="H43" i="66"/>
  <c r="D43" i="66"/>
  <c r="D42" i="66"/>
  <c r="H41" i="66"/>
  <c r="D41" i="66"/>
  <c r="D40" i="66"/>
  <c r="H39" i="66"/>
  <c r="D39" i="66"/>
  <c r="D38" i="66"/>
  <c r="H37" i="66"/>
  <c r="D37" i="66"/>
  <c r="D36" i="66"/>
  <c r="H32" i="66"/>
  <c r="D32" i="66"/>
  <c r="D31" i="66"/>
  <c r="H30" i="66"/>
  <c r="D30" i="66"/>
  <c r="D29" i="66"/>
  <c r="D27" i="66"/>
  <c r="H26" i="66"/>
  <c r="D26" i="66"/>
  <c r="D25" i="66"/>
  <c r="H24" i="66"/>
  <c r="D24" i="66"/>
  <c r="D23" i="66"/>
  <c r="H22" i="66"/>
  <c r="D22" i="66"/>
  <c r="D21" i="66"/>
  <c r="H20" i="66"/>
  <c r="D20" i="66"/>
  <c r="D19" i="66"/>
  <c r="H18" i="66"/>
  <c r="D18" i="66"/>
  <c r="D17" i="66"/>
  <c r="H16" i="66"/>
  <c r="D16" i="66"/>
  <c r="D15" i="66"/>
  <c r="H14" i="66"/>
  <c r="D14" i="66"/>
  <c r="D13" i="66"/>
  <c r="AC38" i="65"/>
  <c r="U38" i="65"/>
  <c r="L38" i="65"/>
  <c r="J37" i="65"/>
  <c r="I37" i="65"/>
  <c r="H37" i="65"/>
  <c r="G37" i="65"/>
  <c r="E37" i="65"/>
  <c r="D37" i="65"/>
  <c r="B37" i="65"/>
  <c r="A37" i="65"/>
  <c r="J34" i="65"/>
  <c r="I34" i="65"/>
  <c r="H34" i="65"/>
  <c r="G34" i="65"/>
  <c r="E34" i="65"/>
  <c r="D34" i="65"/>
  <c r="B34" i="65"/>
  <c r="A34" i="65"/>
  <c r="AK31" i="65"/>
  <c r="AJ31" i="65"/>
  <c r="AI31" i="65"/>
  <c r="AH31" i="65"/>
  <c r="AG31" i="65"/>
  <c r="AF31" i="65"/>
  <c r="AE31" i="65"/>
  <c r="AD31" i="65"/>
  <c r="AC31" i="65"/>
  <c r="AB31" i="65"/>
  <c r="AA31" i="65"/>
  <c r="Z31" i="65"/>
  <c r="Y31" i="65"/>
  <c r="X31" i="65"/>
  <c r="W31" i="65"/>
  <c r="V31" i="65"/>
  <c r="U31" i="65"/>
  <c r="T31" i="65"/>
  <c r="S31" i="65"/>
  <c r="R31" i="65"/>
  <c r="Q31" i="65"/>
  <c r="P31" i="65"/>
  <c r="O31" i="65"/>
  <c r="N31" i="65"/>
  <c r="M31" i="65"/>
  <c r="L31" i="65"/>
  <c r="K31" i="65"/>
  <c r="J31" i="65"/>
  <c r="I31" i="65"/>
  <c r="H31" i="65"/>
  <c r="G31" i="65"/>
  <c r="F31" i="65"/>
  <c r="E31" i="65"/>
  <c r="D31" i="65"/>
  <c r="C31" i="65"/>
  <c r="B31" i="65"/>
  <c r="A31" i="65"/>
  <c r="AA29" i="65"/>
  <c r="Z29" i="65"/>
  <c r="Y29" i="65"/>
  <c r="X29" i="65"/>
  <c r="W29" i="65"/>
  <c r="V29" i="65"/>
  <c r="U29" i="65"/>
  <c r="T29" i="65"/>
  <c r="R29" i="65"/>
  <c r="Q29" i="65"/>
  <c r="P29" i="65"/>
  <c r="M29" i="65"/>
  <c r="L29" i="65"/>
  <c r="K29" i="65"/>
  <c r="J29" i="65"/>
  <c r="I29" i="65"/>
  <c r="H29" i="65"/>
  <c r="G29" i="65"/>
  <c r="F29" i="65"/>
  <c r="D29" i="65"/>
  <c r="C29" i="65"/>
  <c r="B29" i="65"/>
  <c r="AK27" i="65"/>
  <c r="AJ27" i="65"/>
  <c r="AI27" i="65"/>
  <c r="AH27" i="65"/>
  <c r="AG27" i="65"/>
  <c r="AF27" i="65"/>
  <c r="AE27" i="65"/>
  <c r="AD27" i="65"/>
  <c r="AC27" i="65"/>
  <c r="AB27" i="65"/>
  <c r="AA27" i="65"/>
  <c r="Z27" i="65"/>
  <c r="Y27" i="65"/>
  <c r="X27" i="65"/>
  <c r="W27" i="65"/>
  <c r="V27" i="65"/>
  <c r="U27" i="65"/>
  <c r="T27" i="65"/>
  <c r="S27" i="65"/>
  <c r="R27" i="65"/>
  <c r="Q27" i="65"/>
  <c r="P27" i="65"/>
  <c r="O27" i="65"/>
  <c r="N27" i="65"/>
  <c r="M27" i="65"/>
  <c r="L27" i="65"/>
  <c r="K27" i="65"/>
  <c r="J27" i="65"/>
  <c r="I27" i="65"/>
  <c r="H27" i="65"/>
  <c r="G27" i="65"/>
  <c r="E27" i="65"/>
  <c r="D27" i="65"/>
  <c r="C27" i="65"/>
  <c r="B27" i="65"/>
  <c r="A27" i="65"/>
  <c r="AK25" i="65"/>
  <c r="AJ25" i="65"/>
  <c r="AI25" i="65"/>
  <c r="AH25" i="65"/>
  <c r="AG25" i="65"/>
  <c r="AF25" i="65"/>
  <c r="AE25" i="65"/>
  <c r="AD25" i="65"/>
  <c r="AB25" i="65"/>
  <c r="AA25" i="65"/>
  <c r="Z25" i="65"/>
  <c r="Y25" i="65"/>
  <c r="X25" i="65"/>
  <c r="W25" i="65"/>
  <c r="V25" i="65"/>
  <c r="U25" i="65"/>
  <c r="T25" i="65"/>
  <c r="S25" i="65"/>
  <c r="R25" i="65"/>
  <c r="Q25" i="65"/>
  <c r="P25" i="65"/>
  <c r="O25" i="65"/>
  <c r="N25" i="65"/>
  <c r="M25" i="65"/>
  <c r="L25" i="65"/>
  <c r="K25" i="65"/>
  <c r="J25" i="65"/>
  <c r="I25" i="65"/>
  <c r="H25" i="65"/>
  <c r="G25" i="65"/>
  <c r="F25" i="65"/>
  <c r="E25" i="65"/>
  <c r="D25" i="65"/>
  <c r="C25" i="65"/>
  <c r="B25" i="65"/>
  <c r="A25" i="65"/>
  <c r="AK22" i="65"/>
  <c r="AJ22" i="65"/>
  <c r="AI22" i="65"/>
  <c r="AH22" i="65"/>
  <c r="AG22" i="65"/>
  <c r="AF22" i="65"/>
  <c r="AE22" i="65"/>
  <c r="AD22" i="65"/>
  <c r="AC22" i="65"/>
  <c r="AB22" i="65"/>
  <c r="AA22" i="65"/>
  <c r="Z22" i="65"/>
  <c r="Y22" i="65"/>
  <c r="X22" i="65"/>
  <c r="W22" i="65"/>
  <c r="V22" i="65"/>
  <c r="U22" i="65"/>
  <c r="T22" i="65"/>
  <c r="S22" i="65"/>
  <c r="R22" i="65"/>
  <c r="Q22" i="65"/>
  <c r="P22" i="65"/>
  <c r="O22" i="65"/>
  <c r="N22" i="65"/>
  <c r="M22" i="65"/>
  <c r="L22" i="65"/>
  <c r="K22" i="65"/>
  <c r="J22" i="65"/>
  <c r="I22" i="65"/>
  <c r="H22" i="65"/>
  <c r="G22" i="65"/>
  <c r="AK20" i="65"/>
  <c r="AJ20" i="65"/>
  <c r="AI20" i="65"/>
  <c r="AH20" i="65"/>
  <c r="AG20" i="65"/>
  <c r="AF20" i="65"/>
  <c r="AE20" i="65"/>
  <c r="AD20" i="65"/>
  <c r="AC20" i="65"/>
  <c r="AB20" i="65"/>
  <c r="AA20" i="65"/>
  <c r="Z20" i="65"/>
  <c r="Y20" i="65"/>
  <c r="X20" i="65"/>
  <c r="W20" i="65"/>
  <c r="V20" i="65"/>
  <c r="U20" i="65"/>
  <c r="T20" i="65"/>
  <c r="S20" i="65"/>
  <c r="R20" i="65"/>
  <c r="Q20" i="65"/>
  <c r="P20" i="65"/>
  <c r="O20" i="65"/>
  <c r="N20" i="65"/>
  <c r="M20" i="65"/>
  <c r="L20" i="65"/>
  <c r="K20" i="65"/>
  <c r="J20" i="65"/>
  <c r="I20" i="65"/>
  <c r="H20" i="65"/>
  <c r="G20" i="65"/>
  <c r="F20" i="65"/>
  <c r="E20" i="65"/>
  <c r="D20" i="65"/>
  <c r="C20" i="65"/>
  <c r="B20" i="65"/>
  <c r="A20" i="65"/>
  <c r="AK19" i="65"/>
  <c r="AJ19" i="65"/>
  <c r="AI19" i="65"/>
  <c r="AH19" i="65"/>
  <c r="AG19" i="65"/>
  <c r="AF19" i="65"/>
  <c r="AE19" i="65"/>
  <c r="AD19" i="65"/>
  <c r="AC19" i="65"/>
  <c r="AB19" i="65"/>
  <c r="AA19" i="65"/>
  <c r="Z19" i="65"/>
  <c r="Y19" i="65"/>
  <c r="X19" i="65"/>
  <c r="W19" i="65"/>
  <c r="V19" i="65"/>
  <c r="U19" i="65"/>
  <c r="T19" i="65"/>
  <c r="S19" i="65"/>
  <c r="R19" i="65"/>
  <c r="Q19" i="65"/>
  <c r="P19" i="65"/>
  <c r="O19" i="65"/>
  <c r="N19" i="65"/>
  <c r="M19" i="65"/>
  <c r="L19" i="65"/>
  <c r="K19" i="65"/>
  <c r="J19" i="65"/>
  <c r="I19" i="65"/>
  <c r="H19" i="65"/>
  <c r="G19" i="65"/>
  <c r="F19" i="65"/>
  <c r="E19" i="65"/>
  <c r="D19" i="65"/>
  <c r="C19" i="65"/>
  <c r="B19" i="65"/>
  <c r="A19" i="65"/>
  <c r="G15" i="65"/>
  <c r="E15" i="65"/>
  <c r="D15" i="65"/>
  <c r="B15" i="65"/>
  <c r="A15" i="65"/>
  <c r="R13" i="65"/>
  <c r="L13" i="65"/>
  <c r="H13" i="65"/>
  <c r="G13" i="65"/>
  <c r="F13" i="65"/>
  <c r="E13" i="65"/>
  <c r="D13" i="65"/>
  <c r="C13" i="65"/>
  <c r="B13" i="65"/>
  <c r="A13" i="65"/>
  <c r="R12" i="65"/>
  <c r="L12" i="65"/>
  <c r="J11" i="65"/>
  <c r="I11" i="65"/>
  <c r="H11" i="65"/>
  <c r="G11" i="65"/>
  <c r="F11" i="65"/>
  <c r="E11" i="65"/>
  <c r="D11" i="65"/>
  <c r="C11" i="65"/>
  <c r="B11" i="65"/>
  <c r="A11" i="65"/>
  <c r="B22" i="69"/>
  <c r="B21" i="69"/>
  <c r="B19" i="69"/>
  <c r="B18" i="69"/>
  <c r="B16" i="69"/>
  <c r="B14" i="69"/>
  <c r="B13" i="69"/>
  <c r="B12" i="69"/>
  <c r="B11" i="69"/>
  <c r="B9" i="69"/>
  <c r="B8" i="69"/>
  <c r="B6" i="69"/>
  <c r="F12" i="43"/>
  <c r="C12" i="43"/>
  <c r="K11" i="43"/>
  <c r="J11" i="43"/>
  <c r="K10" i="43"/>
  <c r="J10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C9" i="40"/>
  <c r="F9" i="40" s="1"/>
  <c r="B9" i="40"/>
  <c r="E9" i="40" s="1"/>
  <c r="I7" i="40"/>
  <c r="H7" i="40"/>
  <c r="I5" i="40"/>
  <c r="H5" i="40"/>
  <c r="I3" i="40"/>
  <c r="I4" i="40" s="1"/>
  <c r="H3" i="40"/>
  <c r="H4" i="40" s="1"/>
  <c r="F17" i="39"/>
  <c r="E17" i="39"/>
  <c r="F11" i="39"/>
  <c r="E11" i="39"/>
  <c r="R12" i="38"/>
  <c r="Q12" i="38"/>
  <c r="F7" i="38"/>
  <c r="L12" i="38" s="1"/>
  <c r="E7" i="38"/>
  <c r="K12" i="38" s="1"/>
  <c r="D7" i="38"/>
  <c r="J7" i="38" s="1"/>
  <c r="C7" i="38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G7" i="36"/>
  <c r="O7" i="36" s="1"/>
  <c r="F7" i="36"/>
  <c r="N7" i="36" s="1"/>
  <c r="E7" i="36"/>
  <c r="M7" i="36" s="1"/>
  <c r="D7" i="36"/>
  <c r="L7" i="36" s="1"/>
  <c r="C7" i="36"/>
  <c r="K7" i="36" s="1"/>
  <c r="B7" i="36"/>
  <c r="J7" i="36" s="1"/>
  <c r="C8" i="35"/>
  <c r="B8" i="35"/>
  <c r="C13" i="33"/>
  <c r="F13" i="33" s="1"/>
  <c r="B13" i="33"/>
  <c r="C9" i="33"/>
  <c r="I9" i="33" s="1"/>
  <c r="B9" i="33"/>
  <c r="C6" i="33"/>
  <c r="B6" i="33"/>
  <c r="H6" i="33" s="1"/>
  <c r="F3" i="33"/>
  <c r="C3" i="33"/>
  <c r="I3" i="33" s="1"/>
  <c r="B3" i="33"/>
  <c r="H3" i="33" s="1"/>
  <c r="H19" i="32"/>
  <c r="I8" i="32"/>
  <c r="H8" i="32"/>
  <c r="I4" i="32"/>
  <c r="H4" i="32"/>
  <c r="C7" i="30"/>
  <c r="C9" i="30" s="1"/>
  <c r="B7" i="30"/>
  <c r="E7" i="30" s="1"/>
  <c r="C8" i="28"/>
  <c r="B8" i="28"/>
  <c r="E8" i="28" s="1"/>
  <c r="C5" i="28"/>
  <c r="F5" i="28" s="1"/>
  <c r="B5" i="28"/>
  <c r="E5" i="28" s="1"/>
  <c r="F35" i="27"/>
  <c r="F34" i="27"/>
  <c r="L34" i="27" s="1"/>
  <c r="F33" i="27"/>
  <c r="F32" i="27"/>
  <c r="L32" i="27" s="1"/>
  <c r="F31" i="27"/>
  <c r="F30" i="27"/>
  <c r="L30" i="27" s="1"/>
  <c r="E29" i="27"/>
  <c r="K29" i="27" s="1"/>
  <c r="D29" i="27"/>
  <c r="J29" i="27" s="1"/>
  <c r="C29" i="27"/>
  <c r="I29" i="27" s="1"/>
  <c r="B29" i="27"/>
  <c r="H29" i="27" s="1"/>
  <c r="F28" i="27"/>
  <c r="L27" i="27"/>
  <c r="F27" i="27"/>
  <c r="F26" i="27"/>
  <c r="L26" i="27" s="1"/>
  <c r="F25" i="27"/>
  <c r="L25" i="27" s="1"/>
  <c r="F24" i="27"/>
  <c r="N6" i="27" s="1"/>
  <c r="E23" i="27"/>
  <c r="K23" i="27" s="1"/>
  <c r="D23" i="27"/>
  <c r="J23" i="27" s="1"/>
  <c r="C23" i="27"/>
  <c r="I23" i="27" s="1"/>
  <c r="B23" i="27"/>
  <c r="H23" i="27" s="1"/>
  <c r="F17" i="27"/>
  <c r="L17" i="27" s="1"/>
  <c r="F16" i="27"/>
  <c r="L16" i="27" s="1"/>
  <c r="F15" i="27"/>
  <c r="L15" i="27" s="1"/>
  <c r="F14" i="27"/>
  <c r="L14" i="27" s="1"/>
  <c r="F13" i="27"/>
  <c r="L13" i="27" s="1"/>
  <c r="N12" i="27"/>
  <c r="F12" i="27"/>
  <c r="L12" i="27" s="1"/>
  <c r="E11" i="27"/>
  <c r="K11" i="27" s="1"/>
  <c r="D11" i="27"/>
  <c r="J11" i="27" s="1"/>
  <c r="C11" i="27"/>
  <c r="I11" i="27" s="1"/>
  <c r="B11" i="27"/>
  <c r="H11" i="27" s="1"/>
  <c r="F10" i="27"/>
  <c r="L10" i="27" s="1"/>
  <c r="N9" i="27"/>
  <c r="F9" i="27"/>
  <c r="L9" i="27" s="1"/>
  <c r="F8" i="27"/>
  <c r="L8" i="27" s="1"/>
  <c r="N7" i="27"/>
  <c r="F7" i="27"/>
  <c r="L7" i="27" s="1"/>
  <c r="F6" i="27"/>
  <c r="L6" i="27" s="1"/>
  <c r="E5" i="27"/>
  <c r="K5" i="27" s="1"/>
  <c r="D5" i="27"/>
  <c r="J5" i="27" s="1"/>
  <c r="C5" i="27"/>
  <c r="I5" i="27" s="1"/>
  <c r="B5" i="27"/>
  <c r="I44" i="50"/>
  <c r="F44" i="50"/>
  <c r="F43" i="50"/>
  <c r="F42" i="50"/>
  <c r="K20" i="50" s="1"/>
  <c r="F41" i="50"/>
  <c r="I41" i="50" s="1"/>
  <c r="F40" i="50"/>
  <c r="I40" i="50" s="1"/>
  <c r="F39" i="50"/>
  <c r="M39" i="50" s="1"/>
  <c r="M38" i="50"/>
  <c r="I38" i="50"/>
  <c r="F38" i="50"/>
  <c r="F37" i="50"/>
  <c r="I37" i="50" s="1"/>
  <c r="F36" i="50"/>
  <c r="I36" i="50" s="1"/>
  <c r="F35" i="50"/>
  <c r="M35" i="50" s="1"/>
  <c r="F34" i="50"/>
  <c r="F33" i="50"/>
  <c r="F32" i="50"/>
  <c r="M32" i="50" s="1"/>
  <c r="F31" i="50"/>
  <c r="F30" i="50"/>
  <c r="I30" i="50" s="1"/>
  <c r="F29" i="50"/>
  <c r="M29" i="50" s="1"/>
  <c r="F28" i="50"/>
  <c r="F27" i="50"/>
  <c r="K22" i="50"/>
  <c r="F22" i="50"/>
  <c r="I22" i="50" s="1"/>
  <c r="F21" i="50"/>
  <c r="I21" i="50" s="1"/>
  <c r="F20" i="50"/>
  <c r="I20" i="50" s="1"/>
  <c r="F19" i="50"/>
  <c r="I19" i="50" s="1"/>
  <c r="F18" i="50"/>
  <c r="F17" i="50"/>
  <c r="K16" i="50"/>
  <c r="F16" i="50"/>
  <c r="M16" i="50" s="1"/>
  <c r="F15" i="50"/>
  <c r="F14" i="50"/>
  <c r="I14" i="50" s="1"/>
  <c r="F13" i="50"/>
  <c r="I13" i="50" s="1"/>
  <c r="F12" i="50"/>
  <c r="M12" i="50" s="1"/>
  <c r="F11" i="50"/>
  <c r="F10" i="50"/>
  <c r="M10" i="50" s="1"/>
  <c r="F9" i="50"/>
  <c r="M9" i="50" s="1"/>
  <c r="F8" i="50"/>
  <c r="K7" i="50"/>
  <c r="F7" i="50"/>
  <c r="I6" i="50"/>
  <c r="F6" i="50"/>
  <c r="M6" i="50" s="1"/>
  <c r="F5" i="50"/>
  <c r="B26" i="26"/>
  <c r="D26" i="26" s="1"/>
  <c r="B14" i="26"/>
  <c r="D14" i="26" s="1"/>
  <c r="G7" i="25"/>
  <c r="O7" i="25" s="1"/>
  <c r="F7" i="25"/>
  <c r="N7" i="25" s="1"/>
  <c r="E7" i="25"/>
  <c r="M7" i="25" s="1"/>
  <c r="D7" i="25"/>
  <c r="L7" i="25" s="1"/>
  <c r="C7" i="25"/>
  <c r="K7" i="25" s="1"/>
  <c r="B7" i="25"/>
  <c r="J7" i="25" s="1"/>
  <c r="C12" i="24"/>
  <c r="I12" i="24" s="1"/>
  <c r="B12" i="24"/>
  <c r="C9" i="24"/>
  <c r="F9" i="24" s="1"/>
  <c r="B9" i="24"/>
  <c r="C6" i="24"/>
  <c r="I6" i="24" s="1"/>
  <c r="B6" i="24"/>
  <c r="H6" i="24" s="1"/>
  <c r="C3" i="24"/>
  <c r="F3" i="24" s="1"/>
  <c r="B3" i="24"/>
  <c r="K5" i="21"/>
  <c r="E5" i="21"/>
  <c r="L5" i="21" s="1"/>
  <c r="D5" i="21"/>
  <c r="C5" i="21"/>
  <c r="J5" i="21" s="1"/>
  <c r="B5" i="21"/>
  <c r="I5" i="21" s="1"/>
  <c r="F4" i="21"/>
  <c r="M4" i="21" s="1"/>
  <c r="F3" i="21"/>
  <c r="M3" i="21" s="1"/>
  <c r="D13" i="55"/>
  <c r="I13" i="55" s="1"/>
  <c r="C13" i="55"/>
  <c r="H13" i="55" s="1"/>
  <c r="B13" i="55"/>
  <c r="G13" i="55" s="1"/>
  <c r="E12" i="55"/>
  <c r="J12" i="55" s="1"/>
  <c r="E11" i="55"/>
  <c r="J11" i="55" s="1"/>
  <c r="E10" i="55"/>
  <c r="J10" i="55" s="1"/>
  <c r="E9" i="55"/>
  <c r="J9" i="55" s="1"/>
  <c r="E8" i="55"/>
  <c r="J8" i="55" s="1"/>
  <c r="E7" i="55"/>
  <c r="C8" i="20"/>
  <c r="I8" i="20" s="1"/>
  <c r="B8" i="20"/>
  <c r="I6" i="20"/>
  <c r="H6" i="20"/>
  <c r="I5" i="20"/>
  <c r="H5" i="20"/>
  <c r="I4" i="20"/>
  <c r="I7" i="20" s="1"/>
  <c r="H4" i="20"/>
  <c r="H7" i="20" s="1"/>
  <c r="C10" i="54"/>
  <c r="B10" i="54"/>
  <c r="C7" i="54"/>
  <c r="F7" i="54" s="1"/>
  <c r="B7" i="54"/>
  <c r="C19" i="18"/>
  <c r="G19" i="18" s="1"/>
  <c r="B19" i="18"/>
  <c r="F19" i="18" s="1"/>
  <c r="D18" i="18"/>
  <c r="D17" i="18"/>
  <c r="D16" i="18"/>
  <c r="J16" i="18" s="1"/>
  <c r="D15" i="18"/>
  <c r="J15" i="18" s="1"/>
  <c r="D14" i="18"/>
  <c r="D13" i="18"/>
  <c r="D12" i="18"/>
  <c r="C10" i="18"/>
  <c r="G10" i="18" s="1"/>
  <c r="B10" i="18"/>
  <c r="F10" i="18" s="1"/>
  <c r="D9" i="18"/>
  <c r="D8" i="18"/>
  <c r="J7" i="18"/>
  <c r="H7" i="18"/>
  <c r="D7" i="18"/>
  <c r="D6" i="18"/>
  <c r="H6" i="18" s="1"/>
  <c r="D5" i="18"/>
  <c r="E9" i="17"/>
  <c r="D9" i="17"/>
  <c r="C9" i="17"/>
  <c r="B9" i="17"/>
  <c r="F8" i="17"/>
  <c r="L8" i="17" s="1"/>
  <c r="F7" i="17"/>
  <c r="N7" i="17" s="1"/>
  <c r="F6" i="17"/>
  <c r="F5" i="17"/>
  <c r="F4" i="17"/>
  <c r="D13" i="56"/>
  <c r="J13" i="56" s="1"/>
  <c r="C13" i="56"/>
  <c r="I13" i="56" s="1"/>
  <c r="B13" i="56"/>
  <c r="H13" i="56" s="1"/>
  <c r="D6" i="56"/>
  <c r="J6" i="56" s="1"/>
  <c r="C6" i="56"/>
  <c r="I6" i="56" s="1"/>
  <c r="B6" i="56"/>
  <c r="H6" i="56" s="1"/>
  <c r="E12" i="14"/>
  <c r="K12" i="14" s="1"/>
  <c r="D12" i="14"/>
  <c r="J12" i="14" s="1"/>
  <c r="C12" i="14"/>
  <c r="I12" i="14" s="1"/>
  <c r="B12" i="14"/>
  <c r="H12" i="14" s="1"/>
  <c r="F11" i="14"/>
  <c r="N11" i="14" s="1"/>
  <c r="F10" i="14"/>
  <c r="L10" i="14" s="1"/>
  <c r="F9" i="14"/>
  <c r="N9" i="14" s="1"/>
  <c r="F8" i="14"/>
  <c r="F7" i="14"/>
  <c r="F6" i="14"/>
  <c r="F5" i="14"/>
  <c r="N5" i="14" s="1"/>
  <c r="E7" i="13"/>
  <c r="K7" i="13" s="1"/>
  <c r="D7" i="13"/>
  <c r="J7" i="13" s="1"/>
  <c r="C7" i="13"/>
  <c r="I7" i="13" s="1"/>
  <c r="B7" i="13"/>
  <c r="H7" i="13" s="1"/>
  <c r="F6" i="13"/>
  <c r="L6" i="13" s="1"/>
  <c r="F5" i="13"/>
  <c r="L5" i="13" s="1"/>
  <c r="F4" i="13"/>
  <c r="L4" i="13" s="1"/>
  <c r="F3" i="13"/>
  <c r="F7" i="12"/>
  <c r="L7" i="12" s="1"/>
  <c r="E7" i="12"/>
  <c r="K7" i="12" s="1"/>
  <c r="D7" i="12"/>
  <c r="J7" i="12" s="1"/>
  <c r="C7" i="12"/>
  <c r="I7" i="12" s="1"/>
  <c r="G6" i="12"/>
  <c r="M6" i="12" s="1"/>
  <c r="G5" i="12"/>
  <c r="M5" i="12" s="1"/>
  <c r="G4" i="12"/>
  <c r="M4" i="12" s="1"/>
  <c r="G3" i="12"/>
  <c r="F19" i="11"/>
  <c r="M46" i="9"/>
  <c r="I46" i="9"/>
  <c r="S46" i="9" s="1"/>
  <c r="H46" i="9"/>
  <c r="R46" i="9" s="1"/>
  <c r="G46" i="9"/>
  <c r="Q46" i="9" s="1"/>
  <c r="F46" i="9"/>
  <c r="P46" i="9" s="1"/>
  <c r="E46" i="9"/>
  <c r="O46" i="9" s="1"/>
  <c r="D46" i="9"/>
  <c r="N46" i="9" s="1"/>
  <c r="C46" i="9"/>
  <c r="B46" i="9"/>
  <c r="L46" i="9" s="1"/>
  <c r="I44" i="9"/>
  <c r="S44" i="9" s="1"/>
  <c r="H44" i="9"/>
  <c r="R44" i="9" s="1"/>
  <c r="G44" i="9"/>
  <c r="F44" i="9"/>
  <c r="P44" i="9" s="1"/>
  <c r="E44" i="9"/>
  <c r="O44" i="9" s="1"/>
  <c r="D44" i="9"/>
  <c r="N44" i="9" s="1"/>
  <c r="C44" i="9"/>
  <c r="W17" i="9" s="1"/>
  <c r="B44" i="9"/>
  <c r="L44" i="9" s="1"/>
  <c r="J43" i="9"/>
  <c r="T43" i="9" s="1"/>
  <c r="J42" i="9"/>
  <c r="T42" i="9" s="1"/>
  <c r="J41" i="9"/>
  <c r="I39" i="9"/>
  <c r="S39" i="9" s="1"/>
  <c r="H39" i="9"/>
  <c r="G39" i="9"/>
  <c r="Q39" i="9" s="1"/>
  <c r="F39" i="9"/>
  <c r="P39" i="9" s="1"/>
  <c r="E39" i="9"/>
  <c r="O39" i="9" s="1"/>
  <c r="D39" i="9"/>
  <c r="C39" i="9"/>
  <c r="B39" i="9"/>
  <c r="L39" i="9" s="1"/>
  <c r="J38" i="9"/>
  <c r="T38" i="9" s="1"/>
  <c r="T37" i="9"/>
  <c r="J37" i="9"/>
  <c r="J36" i="9"/>
  <c r="I34" i="9"/>
  <c r="S34" i="9" s="1"/>
  <c r="H34" i="9"/>
  <c r="G34" i="9"/>
  <c r="Q34" i="9" s="1"/>
  <c r="F34" i="9"/>
  <c r="P34" i="9" s="1"/>
  <c r="E34" i="9"/>
  <c r="O34" i="9" s="1"/>
  <c r="D34" i="9"/>
  <c r="C34" i="9"/>
  <c r="W6" i="9" s="1"/>
  <c r="B34" i="9"/>
  <c r="J33" i="9"/>
  <c r="T33" i="9" s="1"/>
  <c r="J32" i="9"/>
  <c r="T32" i="9" s="1"/>
  <c r="J31" i="9"/>
  <c r="T31" i="9" s="1"/>
  <c r="J30" i="9"/>
  <c r="T30" i="9" s="1"/>
  <c r="I22" i="9"/>
  <c r="S22" i="9" s="1"/>
  <c r="H22" i="9"/>
  <c r="R22" i="9" s="1"/>
  <c r="G22" i="9"/>
  <c r="Q22" i="9" s="1"/>
  <c r="F22" i="9"/>
  <c r="E22" i="9"/>
  <c r="D22" i="9"/>
  <c r="N22" i="9" s="1"/>
  <c r="C22" i="9"/>
  <c r="M22" i="9" s="1"/>
  <c r="B22" i="9"/>
  <c r="I20" i="9"/>
  <c r="S20" i="9" s="1"/>
  <c r="H20" i="9"/>
  <c r="R20" i="9" s="1"/>
  <c r="G20" i="9"/>
  <c r="Q20" i="9" s="1"/>
  <c r="F20" i="9"/>
  <c r="P20" i="9" s="1"/>
  <c r="E20" i="9"/>
  <c r="O20" i="9" s="1"/>
  <c r="D20" i="9"/>
  <c r="N20" i="9" s="1"/>
  <c r="C20" i="9"/>
  <c r="B20" i="9"/>
  <c r="L20" i="9" s="1"/>
  <c r="J19" i="9"/>
  <c r="T19" i="9" s="1"/>
  <c r="J18" i="9"/>
  <c r="T18" i="9" s="1"/>
  <c r="Z17" i="9"/>
  <c r="Y17" i="9"/>
  <c r="X17" i="9"/>
  <c r="J17" i="9"/>
  <c r="Q15" i="9"/>
  <c r="I15" i="9"/>
  <c r="H15" i="9"/>
  <c r="G15" i="9"/>
  <c r="F15" i="9"/>
  <c r="E15" i="9"/>
  <c r="D15" i="9"/>
  <c r="C15" i="9"/>
  <c r="M15" i="9" s="1"/>
  <c r="B15" i="9"/>
  <c r="T14" i="9"/>
  <c r="J14" i="9"/>
  <c r="J13" i="9"/>
  <c r="T13" i="9" s="1"/>
  <c r="AC12" i="9"/>
  <c r="AA12" i="9"/>
  <c r="Z12" i="9"/>
  <c r="V12" i="9"/>
  <c r="T12" i="9"/>
  <c r="J12" i="9"/>
  <c r="I10" i="9"/>
  <c r="AM10" i="9" s="1"/>
  <c r="H10" i="9"/>
  <c r="G10" i="9"/>
  <c r="Q10" i="9" s="1"/>
  <c r="F10" i="9"/>
  <c r="E10" i="9"/>
  <c r="O10" i="9" s="1"/>
  <c r="D10" i="9"/>
  <c r="C10" i="9"/>
  <c r="B10" i="9"/>
  <c r="AF10" i="9" s="1"/>
  <c r="J9" i="9"/>
  <c r="T9" i="9" s="1"/>
  <c r="J8" i="9"/>
  <c r="T8" i="9" s="1"/>
  <c r="J7" i="9"/>
  <c r="Y6" i="9"/>
  <c r="V6" i="9"/>
  <c r="J6" i="9"/>
  <c r="T6" i="9" s="1"/>
  <c r="I46" i="7"/>
  <c r="S46" i="7" s="1"/>
  <c r="H46" i="7"/>
  <c r="R46" i="7" s="1"/>
  <c r="G46" i="7"/>
  <c r="Q46" i="7" s="1"/>
  <c r="F46" i="7"/>
  <c r="P46" i="7" s="1"/>
  <c r="E46" i="7"/>
  <c r="O46" i="7" s="1"/>
  <c r="D46" i="7"/>
  <c r="N46" i="7" s="1"/>
  <c r="C46" i="7"/>
  <c r="M46" i="7" s="1"/>
  <c r="B46" i="7"/>
  <c r="L46" i="7" s="1"/>
  <c r="I44" i="7"/>
  <c r="H44" i="7"/>
  <c r="R44" i="7" s="1"/>
  <c r="G44" i="7"/>
  <c r="Q44" i="7" s="1"/>
  <c r="F44" i="7"/>
  <c r="Z17" i="7" s="1"/>
  <c r="E44" i="7"/>
  <c r="Y17" i="7" s="1"/>
  <c r="D44" i="7"/>
  <c r="C44" i="7"/>
  <c r="B44" i="7"/>
  <c r="V17" i="7" s="1"/>
  <c r="J43" i="7"/>
  <c r="T43" i="7" s="1"/>
  <c r="J42" i="7"/>
  <c r="J41" i="7"/>
  <c r="T41" i="7" s="1"/>
  <c r="R39" i="7"/>
  <c r="I39" i="7"/>
  <c r="H39" i="7"/>
  <c r="G39" i="7"/>
  <c r="F39" i="7"/>
  <c r="Z12" i="7" s="1"/>
  <c r="E39" i="7"/>
  <c r="O39" i="7" s="1"/>
  <c r="D39" i="7"/>
  <c r="N39" i="7" s="1"/>
  <c r="C39" i="7"/>
  <c r="B39" i="7"/>
  <c r="J38" i="7"/>
  <c r="T38" i="7" s="1"/>
  <c r="J37" i="7"/>
  <c r="T37" i="7" s="1"/>
  <c r="T36" i="7"/>
  <c r="J36" i="7"/>
  <c r="I34" i="7"/>
  <c r="S34" i="7" s="1"/>
  <c r="H34" i="7"/>
  <c r="G34" i="7"/>
  <c r="F34" i="7"/>
  <c r="E34" i="7"/>
  <c r="O34" i="7" s="1"/>
  <c r="D34" i="7"/>
  <c r="N34" i="7" s="1"/>
  <c r="C34" i="7"/>
  <c r="B34" i="7"/>
  <c r="J33" i="7"/>
  <c r="T33" i="7" s="1"/>
  <c r="T32" i="7"/>
  <c r="J32" i="7"/>
  <c r="J31" i="7"/>
  <c r="T31" i="7" s="1"/>
  <c r="J30" i="7"/>
  <c r="T30" i="7" s="1"/>
  <c r="I22" i="7"/>
  <c r="H22" i="7"/>
  <c r="R22" i="7" s="1"/>
  <c r="G22" i="7"/>
  <c r="Q22" i="7" s="1"/>
  <c r="F22" i="7"/>
  <c r="P22" i="7" s="1"/>
  <c r="E22" i="7"/>
  <c r="D22" i="7"/>
  <c r="C22" i="7"/>
  <c r="M22" i="7" s="1"/>
  <c r="B22" i="7"/>
  <c r="L22" i="7" s="1"/>
  <c r="R20" i="7"/>
  <c r="I20" i="7"/>
  <c r="S20" i="7" s="1"/>
  <c r="H20" i="7"/>
  <c r="G20" i="7"/>
  <c r="Q20" i="7" s="1"/>
  <c r="F20" i="7"/>
  <c r="P20" i="7" s="1"/>
  <c r="E20" i="7"/>
  <c r="O20" i="7" s="1"/>
  <c r="D20" i="7"/>
  <c r="N20" i="7" s="1"/>
  <c r="C20" i="7"/>
  <c r="B20" i="7"/>
  <c r="L20" i="7" s="1"/>
  <c r="T19" i="7"/>
  <c r="J19" i="7"/>
  <c r="J18" i="7"/>
  <c r="AB17" i="7"/>
  <c r="J17" i="7"/>
  <c r="I15" i="7"/>
  <c r="H15" i="7"/>
  <c r="R15" i="7" s="1"/>
  <c r="G15" i="7"/>
  <c r="AK15" i="7" s="1"/>
  <c r="F15" i="7"/>
  <c r="P15" i="7" s="1"/>
  <c r="E15" i="7"/>
  <c r="D15" i="7"/>
  <c r="C15" i="7"/>
  <c r="M15" i="7" s="1"/>
  <c r="B15" i="7"/>
  <c r="J14" i="7"/>
  <c r="T14" i="7" s="1"/>
  <c r="J13" i="7"/>
  <c r="T13" i="7" s="1"/>
  <c r="AB12" i="7"/>
  <c r="X12" i="7"/>
  <c r="J12" i="7"/>
  <c r="T12" i="7" s="1"/>
  <c r="O10" i="7"/>
  <c r="I10" i="7"/>
  <c r="AM10" i="7" s="1"/>
  <c r="H10" i="7"/>
  <c r="G10" i="7"/>
  <c r="F10" i="7"/>
  <c r="E10" i="7"/>
  <c r="AI10" i="7" s="1"/>
  <c r="D10" i="7"/>
  <c r="AH10" i="7" s="1"/>
  <c r="C10" i="7"/>
  <c r="B10" i="7"/>
  <c r="L10" i="7" s="1"/>
  <c r="J9" i="7"/>
  <c r="T9" i="7" s="1"/>
  <c r="J8" i="7"/>
  <c r="T8" i="7" s="1"/>
  <c r="J7" i="7"/>
  <c r="T7" i="7" s="1"/>
  <c r="Z6" i="7"/>
  <c r="Y6" i="7"/>
  <c r="V6" i="7"/>
  <c r="J6" i="7"/>
  <c r="M47" i="5"/>
  <c r="H47" i="5"/>
  <c r="Q47" i="5" s="1"/>
  <c r="G47" i="5"/>
  <c r="P47" i="5" s="1"/>
  <c r="F47" i="5"/>
  <c r="O47" i="5" s="1"/>
  <c r="E47" i="5"/>
  <c r="N47" i="5" s="1"/>
  <c r="D47" i="5"/>
  <c r="C47" i="5"/>
  <c r="L47" i="5" s="1"/>
  <c r="B47" i="5"/>
  <c r="K47" i="5" s="1"/>
  <c r="M45" i="5"/>
  <c r="H45" i="5"/>
  <c r="Q45" i="5" s="1"/>
  <c r="G45" i="5"/>
  <c r="P45" i="5" s="1"/>
  <c r="F45" i="5"/>
  <c r="E45" i="5"/>
  <c r="N45" i="5" s="1"/>
  <c r="D45" i="5"/>
  <c r="V17" i="5" s="1"/>
  <c r="C45" i="5"/>
  <c r="L45" i="5" s="1"/>
  <c r="B45" i="5"/>
  <c r="K45" i="5" s="1"/>
  <c r="I44" i="5"/>
  <c r="R44" i="5" s="1"/>
  <c r="I43" i="5"/>
  <c r="R43" i="5" s="1"/>
  <c r="I42" i="5"/>
  <c r="H40" i="5"/>
  <c r="Q40" i="5" s="1"/>
  <c r="G40" i="5"/>
  <c r="P40" i="5" s="1"/>
  <c r="F40" i="5"/>
  <c r="O40" i="5" s="1"/>
  <c r="E40" i="5"/>
  <c r="D40" i="5"/>
  <c r="C40" i="5"/>
  <c r="B40" i="5"/>
  <c r="T12" i="5" s="1"/>
  <c r="I39" i="5"/>
  <c r="R39" i="5" s="1"/>
  <c r="I38" i="5"/>
  <c r="R38" i="5" s="1"/>
  <c r="R37" i="5"/>
  <c r="I37" i="5"/>
  <c r="H35" i="5"/>
  <c r="Q35" i="5" s="1"/>
  <c r="G35" i="5"/>
  <c r="Y6" i="5" s="1"/>
  <c r="F35" i="5"/>
  <c r="X6" i="5" s="1"/>
  <c r="E35" i="5"/>
  <c r="D35" i="5"/>
  <c r="V6" i="5" s="1"/>
  <c r="C35" i="5"/>
  <c r="U6" i="5" s="1"/>
  <c r="B35" i="5"/>
  <c r="T6" i="5" s="1"/>
  <c r="I34" i="5"/>
  <c r="R34" i="5" s="1"/>
  <c r="I33" i="5"/>
  <c r="R33" i="5" s="1"/>
  <c r="I32" i="5"/>
  <c r="R32" i="5" s="1"/>
  <c r="I31" i="5"/>
  <c r="R31" i="5" s="1"/>
  <c r="H22" i="5"/>
  <c r="G22" i="5"/>
  <c r="P22" i="5" s="1"/>
  <c r="F22" i="5"/>
  <c r="E22" i="5"/>
  <c r="D22" i="5"/>
  <c r="M22" i="5" s="1"/>
  <c r="C22" i="5"/>
  <c r="B22" i="5"/>
  <c r="K22" i="5" s="1"/>
  <c r="H20" i="5"/>
  <c r="Q20" i="5" s="1"/>
  <c r="G20" i="5"/>
  <c r="P20" i="5" s="1"/>
  <c r="F20" i="5"/>
  <c r="O20" i="5" s="1"/>
  <c r="E20" i="5"/>
  <c r="N20" i="5" s="1"/>
  <c r="D20" i="5"/>
  <c r="M20" i="5" s="1"/>
  <c r="C20" i="5"/>
  <c r="L20" i="5" s="1"/>
  <c r="B20" i="5"/>
  <c r="K20" i="5" s="1"/>
  <c r="I19" i="5"/>
  <c r="R19" i="5" s="1"/>
  <c r="I18" i="5"/>
  <c r="R18" i="5" s="1"/>
  <c r="U17" i="5"/>
  <c r="I17" i="5"/>
  <c r="H15" i="5"/>
  <c r="G15" i="5"/>
  <c r="F15" i="5"/>
  <c r="E15" i="5"/>
  <c r="N15" i="5" s="1"/>
  <c r="D15" i="5"/>
  <c r="AE15" i="5" s="1"/>
  <c r="C15" i="5"/>
  <c r="B15" i="5"/>
  <c r="K15" i="5" s="1"/>
  <c r="I14" i="5"/>
  <c r="R14" i="5" s="1"/>
  <c r="I13" i="5"/>
  <c r="I12" i="5"/>
  <c r="R12" i="5" s="1"/>
  <c r="H10" i="5"/>
  <c r="G10" i="5"/>
  <c r="F10" i="5"/>
  <c r="O10" i="5" s="1"/>
  <c r="E10" i="5"/>
  <c r="D10" i="5"/>
  <c r="C10" i="5"/>
  <c r="B10" i="5"/>
  <c r="K10" i="5" s="1"/>
  <c r="I9" i="5"/>
  <c r="R9" i="5" s="1"/>
  <c r="I8" i="5"/>
  <c r="R8" i="5" s="1"/>
  <c r="I7" i="5"/>
  <c r="R7" i="5" s="1"/>
  <c r="W6" i="5"/>
  <c r="I6" i="5"/>
  <c r="R6" i="5" s="1"/>
  <c r="F9" i="52"/>
  <c r="E9" i="52"/>
  <c r="D9" i="52"/>
  <c r="C9" i="52"/>
  <c r="E10" i="4"/>
  <c r="D10" i="4"/>
  <c r="C10" i="4"/>
  <c r="B10" i="4"/>
  <c r="E71" i="62"/>
  <c r="D71" i="62"/>
  <c r="D88" i="62" s="1"/>
  <c r="E61" i="62"/>
  <c r="D61" i="62"/>
  <c r="D29" i="62"/>
  <c r="D15" i="62"/>
  <c r="F60" i="68"/>
  <c r="F59" i="68"/>
  <c r="E59" i="68"/>
  <c r="E53" i="68"/>
  <c r="E51" i="68"/>
  <c r="F17" i="68"/>
  <c r="E17" i="68"/>
  <c r="F13" i="68"/>
  <c r="E13" i="68"/>
  <c r="F9" i="68"/>
  <c r="E9" i="68"/>
  <c r="I206" i="66"/>
  <c r="G206" i="66"/>
  <c r="I203" i="66"/>
  <c r="G203" i="66"/>
  <c r="G202" i="66"/>
  <c r="I191" i="66"/>
  <c r="G191" i="66"/>
  <c r="I178" i="66"/>
  <c r="G178" i="66"/>
  <c r="I173" i="66"/>
  <c r="I172" i="66"/>
  <c r="I168" i="66"/>
  <c r="G168" i="66"/>
  <c r="I164" i="66"/>
  <c r="G164" i="66"/>
  <c r="I157" i="66"/>
  <c r="G157" i="66"/>
  <c r="I152" i="66"/>
  <c r="G143" i="66"/>
  <c r="H140" i="66"/>
  <c r="D140" i="66"/>
  <c r="D139" i="66"/>
  <c r="H138" i="66"/>
  <c r="G137" i="66"/>
  <c r="H136" i="66"/>
  <c r="G135" i="66"/>
  <c r="G133" i="66"/>
  <c r="G131" i="66"/>
  <c r="G126" i="66"/>
  <c r="D125" i="66"/>
  <c r="G122" i="66"/>
  <c r="G120" i="66"/>
  <c r="G118" i="66"/>
  <c r="G116" i="66"/>
  <c r="G114" i="66"/>
  <c r="G112" i="66"/>
  <c r="G110" i="66"/>
  <c r="G108" i="66"/>
  <c r="H107" i="66"/>
  <c r="G106" i="66"/>
  <c r="D107" i="66"/>
  <c r="D106" i="66"/>
  <c r="G104" i="66"/>
  <c r="G102" i="66"/>
  <c r="G93" i="66"/>
  <c r="G91" i="66"/>
  <c r="H88" i="66"/>
  <c r="D88" i="66"/>
  <c r="D87" i="66"/>
  <c r="G85" i="66"/>
  <c r="G83" i="66"/>
  <c r="G81" i="66"/>
  <c r="G79" i="66"/>
  <c r="G77" i="66"/>
  <c r="H74" i="66"/>
  <c r="D74" i="66"/>
  <c r="D73" i="66"/>
  <c r="D72" i="66"/>
  <c r="D71" i="66"/>
  <c r="G69" i="66"/>
  <c r="G67" i="66"/>
  <c r="G62" i="66"/>
  <c r="G60" i="66"/>
  <c r="G58" i="66"/>
  <c r="G56" i="66"/>
  <c r="G54" i="66"/>
  <c r="H51" i="66"/>
  <c r="D51" i="66"/>
  <c r="D50" i="66"/>
  <c r="G48" i="66"/>
  <c r="G46" i="66"/>
  <c r="G44" i="66"/>
  <c r="G42" i="66"/>
  <c r="G40" i="66"/>
  <c r="G38" i="66"/>
  <c r="G36" i="66"/>
  <c r="G31" i="66"/>
  <c r="G29" i="66"/>
  <c r="H28" i="66"/>
  <c r="G25" i="66"/>
  <c r="G23" i="66"/>
  <c r="G21" i="66"/>
  <c r="G19" i="66"/>
  <c r="G17" i="66"/>
  <c r="G15" i="66"/>
  <c r="H12" i="66"/>
  <c r="D12" i="66"/>
  <c r="Q10" i="60"/>
  <c r="Q9" i="60"/>
  <c r="Q8" i="60"/>
  <c r="Q7" i="60"/>
  <c r="Q6" i="60"/>
  <c r="Q5" i="60"/>
  <c r="AP446" i="71"/>
  <c r="AO446" i="71"/>
  <c r="AP445" i="71"/>
  <c r="AO445" i="71"/>
  <c r="AP444" i="71"/>
  <c r="AO444" i="71"/>
  <c r="AP414" i="71"/>
  <c r="AO414" i="71"/>
  <c r="AM414" i="71"/>
  <c r="AL414" i="71"/>
  <c r="AM411" i="71"/>
  <c r="AL411" i="71"/>
  <c r="AP409" i="71"/>
  <c r="AO409" i="71"/>
  <c r="AP408" i="71"/>
  <c r="AO408" i="71"/>
  <c r="AM408" i="71"/>
  <c r="AL408" i="71"/>
  <c r="AM407" i="71"/>
  <c r="AL407" i="71"/>
  <c r="AM401" i="71"/>
  <c r="AL401" i="71"/>
  <c r="AM395" i="71"/>
  <c r="AL395" i="71"/>
  <c r="AP394" i="71"/>
  <c r="AO394" i="71"/>
  <c r="AM394" i="71"/>
  <c r="AL394" i="71"/>
  <c r="X379" i="71"/>
  <c r="N379" i="71"/>
  <c r="AP375" i="71"/>
  <c r="AO375" i="71"/>
  <c r="AP373" i="71"/>
  <c r="AP374" i="71" s="1"/>
  <c r="AO373" i="71"/>
  <c r="AO374" i="71" s="1"/>
  <c r="AP367" i="71"/>
  <c r="AO367" i="71"/>
  <c r="AP363" i="71"/>
  <c r="AO363" i="71"/>
  <c r="AP362" i="71"/>
  <c r="AO362" i="71"/>
  <c r="N350" i="71"/>
  <c r="J350" i="71"/>
  <c r="X331" i="71"/>
  <c r="AP333" i="71" s="1"/>
  <c r="N331" i="71"/>
  <c r="AO333" i="71" s="1"/>
  <c r="AP295" i="71"/>
  <c r="AL295" i="71"/>
  <c r="AM280" i="71"/>
  <c r="AM279" i="71"/>
  <c r="AM275" i="71"/>
  <c r="AM274" i="71"/>
  <c r="AO273" i="71"/>
  <c r="AC272" i="71"/>
  <c r="AL258" i="71" s="1"/>
  <c r="AM267" i="71"/>
  <c r="AM264" i="71"/>
  <c r="AM263" i="71"/>
  <c r="AC262" i="71"/>
  <c r="AC259" i="71" s="1"/>
  <c r="AL261" i="71"/>
  <c r="AM261" i="71"/>
  <c r="AM260" i="71"/>
  <c r="AC258" i="71"/>
  <c r="AD521" i="71"/>
  <c r="AM521" i="71" s="1"/>
  <c r="AD520" i="71"/>
  <c r="AM520" i="71" s="1"/>
  <c r="AD519" i="71"/>
  <c r="AM519" i="71" s="1"/>
  <c r="AD518" i="71"/>
  <c r="AM518" i="71" s="1"/>
  <c r="AD517" i="71"/>
  <c r="AO517" i="71" s="1"/>
  <c r="AD516" i="71"/>
  <c r="AL494" i="71" s="1"/>
  <c r="AD515" i="71"/>
  <c r="AO515" i="71" s="1"/>
  <c r="AD514" i="71"/>
  <c r="AO514" i="71" s="1"/>
  <c r="AD513" i="71"/>
  <c r="AO513" i="71" s="1"/>
  <c r="AD512" i="71"/>
  <c r="AD511" i="71"/>
  <c r="AM511" i="71" s="1"/>
  <c r="AD510" i="71"/>
  <c r="AO510" i="71" s="1"/>
  <c r="AD509" i="71"/>
  <c r="AO509" i="71" s="1"/>
  <c r="AD508" i="71"/>
  <c r="AD507" i="71"/>
  <c r="AM507" i="71" s="1"/>
  <c r="AD506" i="71"/>
  <c r="AO506" i="71" s="1"/>
  <c r="AD505" i="71"/>
  <c r="AL483" i="71" s="1"/>
  <c r="AD504" i="71"/>
  <c r="AD499" i="71"/>
  <c r="AM499" i="71" s="1"/>
  <c r="AD498" i="71"/>
  <c r="AM498" i="71" s="1"/>
  <c r="AD497" i="71"/>
  <c r="AM497" i="71" s="1"/>
  <c r="AD496" i="71"/>
  <c r="AD495" i="71"/>
  <c r="AD494" i="71"/>
  <c r="AD493" i="71"/>
  <c r="AD492" i="71"/>
  <c r="AD491" i="71"/>
  <c r="AD490" i="71"/>
  <c r="AD489" i="71"/>
  <c r="AD488" i="71"/>
  <c r="AD487" i="71"/>
  <c r="AD486" i="71"/>
  <c r="AD485" i="71"/>
  <c r="AD484" i="71"/>
  <c r="AD483" i="71"/>
  <c r="AD482" i="71"/>
  <c r="R250" i="71"/>
  <c r="AM250" i="71" s="1"/>
  <c r="R239" i="71"/>
  <c r="AM239" i="71" s="1"/>
  <c r="AP214" i="71"/>
  <c r="AO214" i="71"/>
  <c r="AM214" i="71"/>
  <c r="AL214" i="71"/>
  <c r="AP211" i="71"/>
  <c r="AO211" i="71"/>
  <c r="AM211" i="71"/>
  <c r="AL211" i="71"/>
  <c r="AP208" i="71"/>
  <c r="AO208" i="71"/>
  <c r="AM208" i="71"/>
  <c r="AL208" i="71"/>
  <c r="AP205" i="71"/>
  <c r="AO205" i="71"/>
  <c r="AM205" i="71"/>
  <c r="AL205" i="71"/>
  <c r="X194" i="71"/>
  <c r="N194" i="71"/>
  <c r="AO194" i="71" s="1"/>
  <c r="AP192" i="71"/>
  <c r="AO192" i="71"/>
  <c r="AP191" i="71"/>
  <c r="AO191" i="71"/>
  <c r="AP190" i="71"/>
  <c r="AP193" i="71" s="1"/>
  <c r="AO190" i="71"/>
  <c r="AO193" i="71" s="1"/>
  <c r="AM184" i="71"/>
  <c r="AL184" i="71"/>
  <c r="Y184" i="71"/>
  <c r="AP184" i="71" s="1"/>
  <c r="P184" i="71"/>
  <c r="AO184" i="71" s="1"/>
  <c r="AM181" i="71"/>
  <c r="AL181" i="71"/>
  <c r="Y181" i="71"/>
  <c r="AP181" i="71" s="1"/>
  <c r="P181" i="71"/>
  <c r="AO181" i="71" s="1"/>
  <c r="T176" i="71"/>
  <c r="AL176" i="71" s="1"/>
  <c r="M176" i="71"/>
  <c r="AK176" i="71" s="1"/>
  <c r="AA175" i="71"/>
  <c r="AA174" i="71"/>
  <c r="AM174" i="71" s="1"/>
  <c r="AA173" i="71"/>
  <c r="AM173" i="71" s="1"/>
  <c r="AA172" i="71"/>
  <c r="AO172" i="71" s="1"/>
  <c r="AA171" i="71"/>
  <c r="AA170" i="71"/>
  <c r="AM170" i="71" s="1"/>
  <c r="AA169" i="71"/>
  <c r="AO169" i="71" s="1"/>
  <c r="T167" i="71"/>
  <c r="AL167" i="71" s="1"/>
  <c r="M167" i="71"/>
  <c r="AK167" i="71" s="1"/>
  <c r="AA166" i="71"/>
  <c r="AA165" i="71"/>
  <c r="AA164" i="71"/>
  <c r="AM164" i="71" s="1"/>
  <c r="AA163" i="71"/>
  <c r="AO163" i="71" s="1"/>
  <c r="AA162" i="71"/>
  <c r="X153" i="71"/>
  <c r="AL153" i="71" s="1"/>
  <c r="S153" i="71"/>
  <c r="AK153" i="71" s="1"/>
  <c r="N153" i="71"/>
  <c r="AJ153" i="71" s="1"/>
  <c r="I153" i="71"/>
  <c r="AI153" i="71" s="1"/>
  <c r="AC152" i="71"/>
  <c r="AM152" i="71" s="1"/>
  <c r="AC151" i="71"/>
  <c r="AC150" i="71"/>
  <c r="AC149" i="71"/>
  <c r="AC148" i="71"/>
  <c r="AM148" i="71" s="1"/>
  <c r="AC31" i="71"/>
  <c r="X31" i="71"/>
  <c r="S31" i="71"/>
  <c r="N31" i="71"/>
  <c r="J39" i="7" l="1"/>
  <c r="AD12" i="7" s="1"/>
  <c r="M13" i="50"/>
  <c r="N14" i="27"/>
  <c r="F23" i="9"/>
  <c r="AJ23" i="9" s="1"/>
  <c r="L5" i="14"/>
  <c r="E6" i="24"/>
  <c r="M14" i="50"/>
  <c r="AC6" i="9"/>
  <c r="P10" i="9"/>
  <c r="AC15" i="5"/>
  <c r="L35" i="5"/>
  <c r="I23" i="7"/>
  <c r="AM23" i="7" s="1"/>
  <c r="AI10" i="9"/>
  <c r="AL15" i="9"/>
  <c r="V17" i="9"/>
  <c r="AC17" i="9"/>
  <c r="F8" i="20"/>
  <c r="K10" i="50"/>
  <c r="Z6" i="5"/>
  <c r="H16" i="18"/>
  <c r="I9" i="24"/>
  <c r="M30" i="50"/>
  <c r="AL488" i="71"/>
  <c r="Y12" i="5"/>
  <c r="AD15" i="5"/>
  <c r="AH15" i="5"/>
  <c r="M35" i="5"/>
  <c r="AC6" i="7"/>
  <c r="Q15" i="7"/>
  <c r="Z6" i="9"/>
  <c r="AJ10" i="9"/>
  <c r="Y12" i="9"/>
  <c r="L9" i="14"/>
  <c r="L11" i="14"/>
  <c r="L7" i="17"/>
  <c r="N8" i="17"/>
  <c r="J6" i="18"/>
  <c r="H15" i="18"/>
  <c r="F6" i="24"/>
  <c r="I10" i="50"/>
  <c r="I12" i="50"/>
  <c r="I29" i="50"/>
  <c r="L24" i="27"/>
  <c r="AF15" i="5"/>
  <c r="W17" i="5"/>
  <c r="T17" i="5"/>
  <c r="X6" i="7"/>
  <c r="N10" i="7"/>
  <c r="G47" i="7"/>
  <c r="AK47" i="7" s="1"/>
  <c r="O44" i="7"/>
  <c r="AB17" i="9"/>
  <c r="K8" i="50"/>
  <c r="N8" i="27"/>
  <c r="N6" i="14"/>
  <c r="L6" i="14"/>
  <c r="N4" i="17"/>
  <c r="L4" i="17"/>
  <c r="J12" i="18"/>
  <c r="H12" i="18"/>
  <c r="H8" i="20"/>
  <c r="E8" i="20"/>
  <c r="AM262" i="71"/>
  <c r="AO259" i="71"/>
  <c r="M40" i="5"/>
  <c r="V12" i="5"/>
  <c r="O45" i="5"/>
  <c r="X17" i="5"/>
  <c r="C48" i="5"/>
  <c r="AD48" i="5" s="1"/>
  <c r="AF15" i="7"/>
  <c r="AB6" i="7"/>
  <c r="R34" i="7"/>
  <c r="T39" i="7"/>
  <c r="S39" i="7"/>
  <c r="AC12" i="7"/>
  <c r="AC17" i="7"/>
  <c r="S44" i="7"/>
  <c r="D47" i="7"/>
  <c r="AH47" i="7" s="1"/>
  <c r="N15" i="9"/>
  <c r="AH15" i="9"/>
  <c r="L3" i="13"/>
  <c r="F7" i="13"/>
  <c r="L7" i="13" s="1"/>
  <c r="E13" i="55"/>
  <c r="J13" i="55" s="1"/>
  <c r="J7" i="55"/>
  <c r="M34" i="50"/>
  <c r="I34" i="50"/>
  <c r="K12" i="50"/>
  <c r="K15" i="50"/>
  <c r="M37" i="50"/>
  <c r="L39" i="7"/>
  <c r="V12" i="7"/>
  <c r="M17" i="50"/>
  <c r="I17" i="50"/>
  <c r="I27" i="50"/>
  <c r="K5" i="50"/>
  <c r="L31" i="27"/>
  <c r="N13" i="27"/>
  <c r="E9" i="33"/>
  <c r="H9" i="33"/>
  <c r="AE11" i="85"/>
  <c r="AD11" i="85"/>
  <c r="AE11" i="65"/>
  <c r="AE12" i="85"/>
  <c r="S4" i="85"/>
  <c r="AD12" i="85"/>
  <c r="R4" i="85"/>
  <c r="AG14" i="65"/>
  <c r="AH14" i="85"/>
  <c r="AG14" i="85"/>
  <c r="AJ14" i="85"/>
  <c r="AI14" i="85"/>
  <c r="O15" i="5"/>
  <c r="AG15" i="5"/>
  <c r="J22" i="7"/>
  <c r="T22" i="7" s="1"/>
  <c r="T6" i="7"/>
  <c r="AL10" i="7"/>
  <c r="R10" i="7"/>
  <c r="AJ15" i="7"/>
  <c r="J20" i="7"/>
  <c r="T20" i="7" s="1"/>
  <c r="T18" i="7"/>
  <c r="X22" i="7"/>
  <c r="F23" i="7"/>
  <c r="AJ23" i="7" s="1"/>
  <c r="P39" i="7"/>
  <c r="AA6" i="9"/>
  <c r="G7" i="12"/>
  <c r="M7" i="12" s="1"/>
  <c r="M3" i="12"/>
  <c r="J5" i="18"/>
  <c r="H5" i="18"/>
  <c r="H7" i="54"/>
  <c r="E7" i="54"/>
  <c r="M27" i="50"/>
  <c r="I42" i="50"/>
  <c r="N16" i="27"/>
  <c r="Z12" i="5"/>
  <c r="Y17" i="5"/>
  <c r="L40" i="5"/>
  <c r="U12" i="5"/>
  <c r="E23" i="7"/>
  <c r="AI23" i="7" s="1"/>
  <c r="Y12" i="7"/>
  <c r="N44" i="7"/>
  <c r="X17" i="7"/>
  <c r="R15" i="9"/>
  <c r="M39" i="9"/>
  <c r="W12" i="9"/>
  <c r="N8" i="14"/>
  <c r="L8" i="14"/>
  <c r="N6" i="17"/>
  <c r="L6" i="17"/>
  <c r="J14" i="18"/>
  <c r="H14" i="18"/>
  <c r="I3" i="24"/>
  <c r="M5" i="50"/>
  <c r="I5" i="50"/>
  <c r="N10" i="27"/>
  <c r="L28" i="27"/>
  <c r="E13" i="33"/>
  <c r="H13" i="33"/>
  <c r="L7" i="38"/>
  <c r="AH11" i="85"/>
  <c r="AG11" i="85"/>
  <c r="AJ11" i="85"/>
  <c r="AI11" i="85"/>
  <c r="AH12" i="85"/>
  <c r="V4" i="85"/>
  <c r="AG12" i="85"/>
  <c r="U4" i="85"/>
  <c r="AJ12" i="85"/>
  <c r="X4" i="85"/>
  <c r="AI12" i="85"/>
  <c r="W4" i="85"/>
  <c r="I40" i="5"/>
  <c r="AA12" i="5" s="1"/>
  <c r="D48" i="5"/>
  <c r="M48" i="5" s="1"/>
  <c r="L15" i="7"/>
  <c r="J44" i="7"/>
  <c r="T44" i="7" s="1"/>
  <c r="L44" i="7"/>
  <c r="S10" i="9"/>
  <c r="F12" i="14"/>
  <c r="L12" i="14" s="1"/>
  <c r="F9" i="33"/>
  <c r="M4" i="67"/>
  <c r="P4" i="85"/>
  <c r="O4" i="85"/>
  <c r="AI15" i="85"/>
  <c r="AH15" i="85"/>
  <c r="AG15" i="85"/>
  <c r="AJ15" i="85"/>
  <c r="I7" i="38"/>
  <c r="AD15" i="85"/>
  <c r="AE15" i="85"/>
  <c r="AM510" i="71"/>
  <c r="AC10" i="5"/>
  <c r="G48" i="5"/>
  <c r="AH48" i="5" s="1"/>
  <c r="J10" i="7"/>
  <c r="T10" i="7" s="1"/>
  <c r="S10" i="7"/>
  <c r="J46" i="7"/>
  <c r="B47" i="7"/>
  <c r="V22" i="7" s="1"/>
  <c r="L34" i="7"/>
  <c r="T42" i="7"/>
  <c r="L10" i="9"/>
  <c r="AG15" i="9"/>
  <c r="B47" i="9"/>
  <c r="F47" i="9"/>
  <c r="Z22" i="9" s="1"/>
  <c r="L34" i="9"/>
  <c r="F12" i="24"/>
  <c r="I9" i="50"/>
  <c r="I16" i="50"/>
  <c r="I32" i="50"/>
  <c r="F7" i="30"/>
  <c r="E3" i="33"/>
  <c r="E6" i="33"/>
  <c r="I13" i="33"/>
  <c r="AE14" i="85"/>
  <c r="AD14" i="85"/>
  <c r="AL498" i="71"/>
  <c r="AL497" i="71"/>
  <c r="AM292" i="71"/>
  <c r="AO292" i="71"/>
  <c r="AL260" i="71"/>
  <c r="AL331" i="71"/>
  <c r="AL485" i="71"/>
  <c r="AL491" i="71"/>
  <c r="AO295" i="71"/>
  <c r="AM331" i="71"/>
  <c r="AM295" i="71"/>
  <c r="AL259" i="71"/>
  <c r="AL263" i="71"/>
  <c r="AO170" i="71"/>
  <c r="AO164" i="71"/>
  <c r="AL484" i="71"/>
  <c r="AM506" i="71"/>
  <c r="AL493" i="71"/>
  <c r="AM163" i="71"/>
  <c r="AO174" i="71"/>
  <c r="AM515" i="71"/>
  <c r="AM273" i="71"/>
  <c r="AL499" i="71"/>
  <c r="AO507" i="71"/>
  <c r="AO511" i="71"/>
  <c r="AO148" i="71"/>
  <c r="AM169" i="71"/>
  <c r="AO152" i="71"/>
  <c r="AL194" i="71"/>
  <c r="AL487" i="71"/>
  <c r="AL489" i="71"/>
  <c r="AM513" i="71"/>
  <c r="AL264" i="71"/>
  <c r="AM281" i="71"/>
  <c r="AL267" i="71"/>
  <c r="AM165" i="71"/>
  <c r="AO165" i="71"/>
  <c r="AL496" i="71"/>
  <c r="AM514" i="71"/>
  <c r="AM194" i="71"/>
  <c r="AP194" i="71"/>
  <c r="AM149" i="71"/>
  <c r="AO149" i="71"/>
  <c r="AL492" i="71"/>
  <c r="AO379" i="71"/>
  <c r="AL379" i="71"/>
  <c r="AA176" i="71"/>
  <c r="AO176" i="71" s="1"/>
  <c r="AM172" i="71"/>
  <c r="AE12" i="65"/>
  <c r="AG14" i="67"/>
  <c r="E2" i="82"/>
  <c r="G2" i="80"/>
  <c r="G2" i="78"/>
  <c r="E2" i="76"/>
  <c r="AE15" i="65"/>
  <c r="AE17" i="84"/>
  <c r="AE16" i="83"/>
  <c r="AD17" i="84"/>
  <c r="AD16" i="83"/>
  <c r="AD15" i="75"/>
  <c r="AE15" i="75"/>
  <c r="AD15" i="72"/>
  <c r="AE15" i="72"/>
  <c r="AJ17" i="84"/>
  <c r="AJ16" i="83"/>
  <c r="AI16" i="83"/>
  <c r="AH16" i="83"/>
  <c r="AG17" i="84"/>
  <c r="AG16" i="83"/>
  <c r="AI17" i="84"/>
  <c r="AH17" i="84"/>
  <c r="AI15" i="75"/>
  <c r="AH15" i="75"/>
  <c r="AJ15" i="75"/>
  <c r="AG15" i="75"/>
  <c r="AG15" i="72"/>
  <c r="AJ15" i="72"/>
  <c r="AH15" i="72"/>
  <c r="AI15" i="72"/>
  <c r="AD15" i="67"/>
  <c r="AJ14" i="67"/>
  <c r="AH16" i="84"/>
  <c r="AJ15" i="83"/>
  <c r="AG16" i="84"/>
  <c r="AH15" i="83"/>
  <c r="AI16" i="84"/>
  <c r="AG15" i="83"/>
  <c r="AI15" i="83"/>
  <c r="AJ16" i="84"/>
  <c r="AI14" i="75"/>
  <c r="AG14" i="75"/>
  <c r="AJ14" i="75"/>
  <c r="AH14" i="75"/>
  <c r="AI14" i="72"/>
  <c r="AG14" i="72"/>
  <c r="AJ14" i="72"/>
  <c r="AH14" i="72"/>
  <c r="AJ14" i="65"/>
  <c r="AH14" i="67"/>
  <c r="AE15" i="83"/>
  <c r="AD15" i="83"/>
  <c r="AE16" i="84"/>
  <c r="AD16" i="84"/>
  <c r="AD14" i="75"/>
  <c r="AE14" i="75"/>
  <c r="AD14" i="72"/>
  <c r="AE14" i="72"/>
  <c r="R4" i="65"/>
  <c r="AH14" i="84"/>
  <c r="U5" i="84"/>
  <c r="AH13" i="83"/>
  <c r="U4" i="83"/>
  <c r="T5" i="84"/>
  <c r="T4" i="83"/>
  <c r="S5" i="84"/>
  <c r="S4" i="83"/>
  <c r="AI14" i="84"/>
  <c r="R5" i="84"/>
  <c r="AI13" i="83"/>
  <c r="R4" i="83"/>
  <c r="AG14" i="84"/>
  <c r="AG13" i="83"/>
  <c r="AJ14" i="84"/>
  <c r="AJ13" i="83"/>
  <c r="AI12" i="75"/>
  <c r="R4" i="75"/>
  <c r="U4" i="75"/>
  <c r="AG12" i="75"/>
  <c r="AJ12" i="75"/>
  <c r="S4" i="75"/>
  <c r="AH12" i="75"/>
  <c r="T4" i="75"/>
  <c r="AI12" i="72"/>
  <c r="R4" i="72"/>
  <c r="AH12" i="72"/>
  <c r="U4" i="72"/>
  <c r="AG12" i="72"/>
  <c r="AJ12" i="72"/>
  <c r="S4" i="72"/>
  <c r="T4" i="72"/>
  <c r="AE12" i="67"/>
  <c r="P5" i="84"/>
  <c r="P4" i="83"/>
  <c r="AE14" i="84"/>
  <c r="AE13" i="83"/>
  <c r="AD14" i="84"/>
  <c r="AD13" i="83"/>
  <c r="O5" i="84"/>
  <c r="O4" i="83"/>
  <c r="AD12" i="75"/>
  <c r="O4" i="75"/>
  <c r="AE12" i="75"/>
  <c r="P4" i="75"/>
  <c r="AD12" i="72"/>
  <c r="P4" i="72"/>
  <c r="O4" i="72"/>
  <c r="AE12" i="72"/>
  <c r="L5" i="84"/>
  <c r="L4" i="83"/>
  <c r="M5" i="84"/>
  <c r="M4" i="83"/>
  <c r="L4" i="75"/>
  <c r="M4" i="75"/>
  <c r="L4" i="72"/>
  <c r="M4" i="72"/>
  <c r="P4" i="65"/>
  <c r="AE11" i="67"/>
  <c r="AE12" i="83"/>
  <c r="AD12" i="83"/>
  <c r="AE13" i="84"/>
  <c r="AD13" i="84"/>
  <c r="AE11" i="75"/>
  <c r="AD11" i="75"/>
  <c r="AD11" i="72"/>
  <c r="AE11" i="72"/>
  <c r="AG11" i="67"/>
  <c r="AH13" i="84"/>
  <c r="AJ12" i="83"/>
  <c r="AJ13" i="84"/>
  <c r="AI13" i="84"/>
  <c r="AG13" i="84"/>
  <c r="AI12" i="83"/>
  <c r="AH12" i="83"/>
  <c r="AG12" i="83"/>
  <c r="AI11" i="75"/>
  <c r="AG11" i="75"/>
  <c r="AJ11" i="75"/>
  <c r="AH11" i="75"/>
  <c r="AI11" i="72"/>
  <c r="AH11" i="72"/>
  <c r="AJ11" i="72"/>
  <c r="AG11" i="72"/>
  <c r="A17" i="84"/>
  <c r="A16" i="83"/>
  <c r="A15" i="72"/>
  <c r="A15" i="75" s="1"/>
  <c r="G17" i="84"/>
  <c r="G16" i="83"/>
  <c r="G15" i="72"/>
  <c r="G15" i="75" s="1"/>
  <c r="D16" i="83"/>
  <c r="D17" i="84"/>
  <c r="D15" i="72"/>
  <c r="D15" i="75" s="1"/>
  <c r="E16" i="83"/>
  <c r="E17" i="84"/>
  <c r="E15" i="72"/>
  <c r="E15" i="75" s="1"/>
  <c r="B16" i="83"/>
  <c r="B17" i="84"/>
  <c r="B15" i="72"/>
  <c r="B15" i="75" s="1"/>
  <c r="AO150" i="71"/>
  <c r="AM150" i="71"/>
  <c r="AO485" i="71"/>
  <c r="AM485" i="71"/>
  <c r="I202" i="66"/>
  <c r="I19" i="32"/>
  <c r="P10" i="5"/>
  <c r="G23" i="5"/>
  <c r="AH23" i="5" s="1"/>
  <c r="AH10" i="5"/>
  <c r="K40" i="5"/>
  <c r="AA17" i="9"/>
  <c r="Q44" i="9"/>
  <c r="G47" i="9"/>
  <c r="Q47" i="9" s="1"/>
  <c r="AL333" i="71"/>
  <c r="G173" i="66"/>
  <c r="G172" i="66"/>
  <c r="AE10" i="5"/>
  <c r="D23" i="5"/>
  <c r="AE23" i="5" s="1"/>
  <c r="M10" i="5"/>
  <c r="I15" i="5"/>
  <c r="R15" i="5" s="1"/>
  <c r="M44" i="7"/>
  <c r="W17" i="7"/>
  <c r="AO491" i="71"/>
  <c r="AM491" i="71"/>
  <c r="AO493" i="71"/>
  <c r="AM493" i="71"/>
  <c r="AO495" i="71"/>
  <c r="AM495" i="71"/>
  <c r="AO504" i="71"/>
  <c r="AM504" i="71"/>
  <c r="AL482" i="71"/>
  <c r="AO508" i="71"/>
  <c r="AM508" i="71"/>
  <c r="AL486" i="71"/>
  <c r="H10" i="66"/>
  <c r="G13" i="66"/>
  <c r="D28" i="66"/>
  <c r="G124" i="66"/>
  <c r="D91" i="62"/>
  <c r="G139" i="66"/>
  <c r="G141" i="66"/>
  <c r="E60" i="68"/>
  <c r="J12" i="43"/>
  <c r="L22" i="5"/>
  <c r="M20" i="7"/>
  <c r="AG15" i="7"/>
  <c r="C47" i="7"/>
  <c r="M47" i="7" s="1"/>
  <c r="M34" i="7"/>
  <c r="W6" i="7"/>
  <c r="Q47" i="7"/>
  <c r="Q34" i="7"/>
  <c r="AA6" i="7"/>
  <c r="P23" i="9"/>
  <c r="H9" i="24"/>
  <c r="E9" i="24"/>
  <c r="M28" i="50"/>
  <c r="I28" i="50"/>
  <c r="K6" i="50"/>
  <c r="AO483" i="71"/>
  <c r="AM483" i="71"/>
  <c r="AM379" i="71"/>
  <c r="AP379" i="71"/>
  <c r="F8" i="68"/>
  <c r="C23" i="5"/>
  <c r="AD23" i="5" s="1"/>
  <c r="L10" i="5"/>
  <c r="AD10" i="5"/>
  <c r="R13" i="5"/>
  <c r="Q15" i="5"/>
  <c r="AI15" i="5"/>
  <c r="AA22" i="7"/>
  <c r="M44" i="9"/>
  <c r="AO151" i="71"/>
  <c r="AM151" i="71"/>
  <c r="AM517" i="71"/>
  <c r="Q10" i="5"/>
  <c r="H23" i="5"/>
  <c r="AI23" i="5" s="1"/>
  <c r="AI10" i="5"/>
  <c r="X12" i="5"/>
  <c r="M15" i="5"/>
  <c r="AO487" i="71"/>
  <c r="AM487" i="71"/>
  <c r="AO489" i="71"/>
  <c r="AM489" i="71"/>
  <c r="AL495" i="71"/>
  <c r="AO505" i="71"/>
  <c r="AM505" i="71"/>
  <c r="D11" i="66"/>
  <c r="G27" i="66"/>
  <c r="G75" i="66"/>
  <c r="G87" i="66"/>
  <c r="Q22" i="5"/>
  <c r="AA17" i="7"/>
  <c r="AK15" i="9"/>
  <c r="G23" i="9"/>
  <c r="AK23" i="9" s="1"/>
  <c r="M20" i="9"/>
  <c r="E10" i="54"/>
  <c r="H10" i="54"/>
  <c r="AC153" i="71"/>
  <c r="AO162" i="71"/>
  <c r="AA167" i="71"/>
  <c r="AM162" i="71"/>
  <c r="AO171" i="71"/>
  <c r="AM171" i="71"/>
  <c r="AO482" i="71"/>
  <c r="AM482" i="71"/>
  <c r="AO484" i="71"/>
  <c r="AM484" i="71"/>
  <c r="AO486" i="71"/>
  <c r="AM486" i="71"/>
  <c r="AO488" i="71"/>
  <c r="AM488" i="71"/>
  <c r="AO490" i="71"/>
  <c r="AM490" i="71"/>
  <c r="AO492" i="71"/>
  <c r="AM492" i="71"/>
  <c r="AO494" i="71"/>
  <c r="AM494" i="71"/>
  <c r="AM496" i="71"/>
  <c r="AO512" i="71"/>
  <c r="AM512" i="71"/>
  <c r="AO272" i="71"/>
  <c r="AM272" i="71"/>
  <c r="AM333" i="71"/>
  <c r="I45" i="5"/>
  <c r="R45" i="5" s="1"/>
  <c r="R42" i="5"/>
  <c r="N22" i="7"/>
  <c r="J18" i="18"/>
  <c r="H18" i="18"/>
  <c r="I7" i="54"/>
  <c r="F10" i="54"/>
  <c r="I10" i="54"/>
  <c r="AO166" i="71"/>
  <c r="AM166" i="71"/>
  <c r="AO173" i="71"/>
  <c r="AO175" i="71"/>
  <c r="AM175" i="71"/>
  <c r="AL490" i="71"/>
  <c r="AM509" i="71"/>
  <c r="AO516" i="71"/>
  <c r="AM516" i="71"/>
  <c r="AO258" i="71"/>
  <c r="AM258" i="71"/>
  <c r="AM276" i="71"/>
  <c r="AL262" i="71"/>
  <c r="E8" i="68"/>
  <c r="W12" i="5"/>
  <c r="N40" i="5"/>
  <c r="D23" i="7"/>
  <c r="AH23" i="7" s="1"/>
  <c r="AH15" i="7"/>
  <c r="H23" i="7"/>
  <c r="AL15" i="7"/>
  <c r="N15" i="7"/>
  <c r="F47" i="7"/>
  <c r="AI15" i="9"/>
  <c r="O15" i="9"/>
  <c r="AM15" i="9"/>
  <c r="S15" i="9"/>
  <c r="E12" i="24"/>
  <c r="H12" i="24"/>
  <c r="I15" i="50"/>
  <c r="M15" i="50"/>
  <c r="I31" i="50"/>
  <c r="M31" i="50"/>
  <c r="K9" i="50"/>
  <c r="F11" i="27"/>
  <c r="I9" i="30"/>
  <c r="F9" i="30"/>
  <c r="E34" i="68"/>
  <c r="E10" i="39"/>
  <c r="Z17" i="5"/>
  <c r="P35" i="5"/>
  <c r="H48" i="5"/>
  <c r="AI48" i="5" s="1"/>
  <c r="AF10" i="7"/>
  <c r="AJ10" i="7"/>
  <c r="P10" i="7"/>
  <c r="AI15" i="7"/>
  <c r="O15" i="7"/>
  <c r="AM15" i="7"/>
  <c r="S15" i="7"/>
  <c r="T17" i="7"/>
  <c r="O22" i="7"/>
  <c r="S22" i="7"/>
  <c r="B23" i="7"/>
  <c r="AF23" i="7" s="1"/>
  <c r="S23" i="7"/>
  <c r="M39" i="7"/>
  <c r="W12" i="7"/>
  <c r="Q39" i="7"/>
  <c r="AA12" i="7"/>
  <c r="AH10" i="9"/>
  <c r="D23" i="9"/>
  <c r="AH23" i="9" s="1"/>
  <c r="N10" i="9"/>
  <c r="AL10" i="9"/>
  <c r="H23" i="9"/>
  <c r="AL23" i="9" s="1"/>
  <c r="R10" i="9"/>
  <c r="J20" i="9"/>
  <c r="T20" i="9" s="1"/>
  <c r="J22" i="9"/>
  <c r="T17" i="9"/>
  <c r="J39" i="9"/>
  <c r="AD12" i="9" s="1"/>
  <c r="T36" i="9"/>
  <c r="J46" i="9"/>
  <c r="T46" i="9" s="1"/>
  <c r="J8" i="18"/>
  <c r="H8" i="18"/>
  <c r="D10" i="18"/>
  <c r="L13" i="55"/>
  <c r="F5" i="21"/>
  <c r="E3" i="24"/>
  <c r="H3" i="24"/>
  <c r="G52" i="66"/>
  <c r="G50" i="66"/>
  <c r="F34" i="68"/>
  <c r="F10" i="39"/>
  <c r="F51" i="68"/>
  <c r="E63" i="68"/>
  <c r="I22" i="5"/>
  <c r="I10" i="5"/>
  <c r="B23" i="5"/>
  <c r="AC23" i="5" s="1"/>
  <c r="F23" i="5"/>
  <c r="AG23" i="5" s="1"/>
  <c r="AG10" i="5"/>
  <c r="I20" i="5"/>
  <c r="R20" i="5" s="1"/>
  <c r="R17" i="5"/>
  <c r="O22" i="5"/>
  <c r="I47" i="5"/>
  <c r="R47" i="5" s="1"/>
  <c r="AG10" i="7"/>
  <c r="C23" i="7"/>
  <c r="AG23" i="7" s="1"/>
  <c r="M10" i="7"/>
  <c r="AK10" i="7"/>
  <c r="G23" i="7"/>
  <c r="AK23" i="7" s="1"/>
  <c r="Q10" i="7"/>
  <c r="T46" i="7"/>
  <c r="J34" i="7"/>
  <c r="T34" i="7" s="1"/>
  <c r="P34" i="7"/>
  <c r="P44" i="7"/>
  <c r="E23" i="9"/>
  <c r="AI23" i="9" s="1"/>
  <c r="I23" i="9"/>
  <c r="AM23" i="9" s="1"/>
  <c r="J34" i="9"/>
  <c r="T34" i="9" s="1"/>
  <c r="N47" i="9"/>
  <c r="N34" i="9"/>
  <c r="X6" i="9"/>
  <c r="D47" i="9"/>
  <c r="R34" i="9"/>
  <c r="AB6" i="9"/>
  <c r="J44" i="9"/>
  <c r="T44" i="9" s="1"/>
  <c r="T41" i="9"/>
  <c r="H47" i="9"/>
  <c r="R47" i="9" s="1"/>
  <c r="J9" i="18"/>
  <c r="H9" i="18"/>
  <c r="J17" i="18"/>
  <c r="H17" i="18"/>
  <c r="D19" i="18"/>
  <c r="M8" i="50"/>
  <c r="I8" i="50"/>
  <c r="M33" i="50"/>
  <c r="K11" i="50"/>
  <c r="I33" i="50"/>
  <c r="N17" i="27"/>
  <c r="L35" i="27"/>
  <c r="G152" i="66"/>
  <c r="F53" i="68"/>
  <c r="K12" i="43"/>
  <c r="F63" i="68"/>
  <c r="N10" i="5"/>
  <c r="AF10" i="5"/>
  <c r="L15" i="5"/>
  <c r="P15" i="5"/>
  <c r="N22" i="5"/>
  <c r="E23" i="5"/>
  <c r="AF23" i="5" s="1"/>
  <c r="I35" i="5"/>
  <c r="AA6" i="5" s="1"/>
  <c r="N35" i="5"/>
  <c r="E48" i="5"/>
  <c r="AF48" i="5" s="1"/>
  <c r="J15" i="7"/>
  <c r="AN15" i="7" s="1"/>
  <c r="N47" i="7"/>
  <c r="H47" i="7"/>
  <c r="AL47" i="7" s="1"/>
  <c r="J10" i="9"/>
  <c r="T7" i="9"/>
  <c r="AF15" i="9"/>
  <c r="L15" i="9"/>
  <c r="AJ15" i="9"/>
  <c r="P15" i="9"/>
  <c r="J15" i="9"/>
  <c r="O22" i="9"/>
  <c r="B23" i="9"/>
  <c r="C47" i="9"/>
  <c r="M47" i="9" s="1"/>
  <c r="N5" i="17"/>
  <c r="L5" i="17"/>
  <c r="M11" i="50"/>
  <c r="I11" i="50"/>
  <c r="M18" i="50"/>
  <c r="I18" i="50"/>
  <c r="F23" i="27"/>
  <c r="N5" i="27" s="1"/>
  <c r="I5" i="28"/>
  <c r="F8" i="28"/>
  <c r="I8" i="28"/>
  <c r="F6" i="33"/>
  <c r="I6" i="33"/>
  <c r="K35" i="5"/>
  <c r="O35" i="5"/>
  <c r="B48" i="5"/>
  <c r="AC48" i="5" s="1"/>
  <c r="F48" i="5"/>
  <c r="AG48" i="5" s="1"/>
  <c r="E47" i="7"/>
  <c r="AI47" i="7" s="1"/>
  <c r="I47" i="7"/>
  <c r="AM47" i="7" s="1"/>
  <c r="AG10" i="9"/>
  <c r="AK10" i="9"/>
  <c r="M10" i="9"/>
  <c r="V22" i="9"/>
  <c r="L22" i="9"/>
  <c r="P22" i="9"/>
  <c r="C23" i="9"/>
  <c r="AG23" i="9" s="1"/>
  <c r="M34" i="9"/>
  <c r="N39" i="9"/>
  <c r="X12" i="9"/>
  <c r="R39" i="9"/>
  <c r="AB12" i="9"/>
  <c r="N7" i="14"/>
  <c r="L7" i="14"/>
  <c r="F9" i="17"/>
  <c r="J13" i="18"/>
  <c r="H13" i="18"/>
  <c r="M7" i="50"/>
  <c r="I7" i="50"/>
  <c r="AJ11" i="67"/>
  <c r="AI11" i="65"/>
  <c r="AI11" i="67"/>
  <c r="AH11" i="65"/>
  <c r="AH11" i="67"/>
  <c r="AJ11" i="65"/>
  <c r="AJ12" i="67"/>
  <c r="U4" i="67"/>
  <c r="AI12" i="65"/>
  <c r="T4" i="65"/>
  <c r="AI12" i="67"/>
  <c r="T4" i="67"/>
  <c r="AH12" i="65"/>
  <c r="S4" i="65"/>
  <c r="AJ12" i="65"/>
  <c r="AH12" i="67"/>
  <c r="S4" i="67"/>
  <c r="AG12" i="65"/>
  <c r="AG12" i="67"/>
  <c r="U4" i="65"/>
  <c r="AG11" i="65"/>
  <c r="R4" i="67"/>
  <c r="E47" i="9"/>
  <c r="AI47" i="9" s="1"/>
  <c r="I47" i="9"/>
  <c r="AM47" i="9" s="1"/>
  <c r="H5" i="27"/>
  <c r="F5" i="27"/>
  <c r="B9" i="30"/>
  <c r="H9" i="30" s="1"/>
  <c r="M4" i="65"/>
  <c r="L4" i="67"/>
  <c r="L4" i="65"/>
  <c r="AG15" i="67"/>
  <c r="AJ15" i="65"/>
  <c r="AJ15" i="67"/>
  <c r="AI15" i="65"/>
  <c r="AH15" i="65"/>
  <c r="AI15" i="67"/>
  <c r="AG15" i="65"/>
  <c r="AH15" i="67"/>
  <c r="M36" i="50"/>
  <c r="K14" i="50"/>
  <c r="I39" i="50"/>
  <c r="K17" i="50"/>
  <c r="K19" i="50"/>
  <c r="I43" i="50"/>
  <c r="K21" i="50"/>
  <c r="F29" i="27"/>
  <c r="N15" i="27"/>
  <c r="L33" i="27"/>
  <c r="H5" i="28"/>
  <c r="H8" i="28"/>
  <c r="E9" i="30"/>
  <c r="H7" i="38"/>
  <c r="K7" i="38"/>
  <c r="I35" i="50"/>
  <c r="K13" i="50"/>
  <c r="M40" i="50"/>
  <c r="K18" i="50"/>
  <c r="AE14" i="67"/>
  <c r="AD14" i="65"/>
  <c r="AD14" i="67"/>
  <c r="G2" i="66"/>
  <c r="E2" i="68"/>
  <c r="AE14" i="65"/>
  <c r="AH14" i="65"/>
  <c r="AD15" i="65"/>
  <c r="O4" i="67"/>
  <c r="AD11" i="67"/>
  <c r="AD12" i="67"/>
  <c r="AI14" i="67"/>
  <c r="AE15" i="67"/>
  <c r="O4" i="65"/>
  <c r="AD11" i="65"/>
  <c r="AD12" i="65"/>
  <c r="AI14" i="65"/>
  <c r="P4" i="67"/>
  <c r="Q23" i="7" l="1"/>
  <c r="M23" i="7"/>
  <c r="AA17" i="5"/>
  <c r="AN15" i="9"/>
  <c r="AD17" i="9"/>
  <c r="M23" i="5"/>
  <c r="L47" i="7"/>
  <c r="P23" i="5"/>
  <c r="AF47" i="7"/>
  <c r="R40" i="5"/>
  <c r="AM259" i="71"/>
  <c r="R23" i="9"/>
  <c r="N23" i="9"/>
  <c r="AD17" i="7"/>
  <c r="N12" i="14"/>
  <c r="Q23" i="9"/>
  <c r="Y22" i="9"/>
  <c r="R35" i="5"/>
  <c r="L48" i="5"/>
  <c r="T15" i="7"/>
  <c r="AE48" i="5"/>
  <c r="AN10" i="7"/>
  <c r="AJ47" i="9"/>
  <c r="P47" i="9"/>
  <c r="O23" i="7"/>
  <c r="Y22" i="5"/>
  <c r="P48" i="5"/>
  <c r="L47" i="9"/>
  <c r="AF47" i="9"/>
  <c r="K23" i="5"/>
  <c r="T39" i="9"/>
  <c r="S47" i="7"/>
  <c r="X22" i="5"/>
  <c r="P23" i="7"/>
  <c r="N23" i="7"/>
  <c r="Q23" i="5"/>
  <c r="S47" i="9"/>
  <c r="U22" i="5"/>
  <c r="V22" i="5"/>
  <c r="AL292" i="71"/>
  <c r="AP292" i="71"/>
  <c r="AM176" i="71"/>
  <c r="L23" i="27"/>
  <c r="P23" i="27"/>
  <c r="AO167" i="71"/>
  <c r="AM167" i="71"/>
  <c r="G11" i="66"/>
  <c r="T15" i="9"/>
  <c r="R47" i="7"/>
  <c r="J19" i="18"/>
  <c r="H19" i="18"/>
  <c r="E16" i="68"/>
  <c r="D9" i="66"/>
  <c r="P5" i="27"/>
  <c r="L5" i="27"/>
  <c r="M23" i="9"/>
  <c r="O47" i="7"/>
  <c r="AC22" i="9"/>
  <c r="AL47" i="9"/>
  <c r="AB22" i="9"/>
  <c r="J47" i="7"/>
  <c r="AD6" i="7"/>
  <c r="T22" i="5"/>
  <c r="R22" i="5"/>
  <c r="L23" i="7"/>
  <c r="W22" i="5"/>
  <c r="P11" i="27"/>
  <c r="L11" i="27"/>
  <c r="O23" i="9"/>
  <c r="AB22" i="7"/>
  <c r="O48" i="5"/>
  <c r="AM153" i="71"/>
  <c r="AO153" i="71"/>
  <c r="Z22" i="5"/>
  <c r="L23" i="5"/>
  <c r="D10" i="66"/>
  <c r="N48" i="5"/>
  <c r="O47" i="9"/>
  <c r="AF23" i="9"/>
  <c r="L23" i="9"/>
  <c r="I23" i="5"/>
  <c r="AJ10" i="5"/>
  <c r="N23" i="5"/>
  <c r="AJ47" i="7"/>
  <c r="Z22" i="7"/>
  <c r="P29" i="27"/>
  <c r="L29" i="27"/>
  <c r="N11" i="27"/>
  <c r="N9" i="17"/>
  <c r="L9" i="17"/>
  <c r="AH47" i="9"/>
  <c r="X22" i="9"/>
  <c r="J47" i="9"/>
  <c r="AD22" i="9" s="1"/>
  <c r="AD6" i="9"/>
  <c r="O23" i="5"/>
  <c r="R10" i="5"/>
  <c r="J10" i="18"/>
  <c r="H10" i="18"/>
  <c r="Y22" i="7"/>
  <c r="G71" i="66"/>
  <c r="G73" i="66"/>
  <c r="P47" i="7"/>
  <c r="AG47" i="9"/>
  <c r="W22" i="9"/>
  <c r="J23" i="9"/>
  <c r="T10" i="9"/>
  <c r="AN10" i="9"/>
  <c r="I48" i="5"/>
  <c r="O5" i="21"/>
  <c r="M5" i="21"/>
  <c r="T22" i="9"/>
  <c r="AC22" i="7"/>
  <c r="Q48" i="5"/>
  <c r="S23" i="9"/>
  <c r="AL23" i="7"/>
  <c r="R23" i="7"/>
  <c r="K48" i="5"/>
  <c r="H125" i="66"/>
  <c r="E91" i="62"/>
  <c r="D90" i="62"/>
  <c r="F16" i="68"/>
  <c r="AG47" i="7"/>
  <c r="W22" i="7"/>
  <c r="J23" i="7"/>
  <c r="AJ15" i="5"/>
  <c r="AK47" i="9"/>
  <c r="AA22" i="9"/>
  <c r="AN23" i="9" l="1"/>
  <c r="T23" i="9"/>
  <c r="G9" i="66"/>
  <c r="AJ48" i="5"/>
  <c r="R48" i="5"/>
  <c r="AA22" i="5"/>
  <c r="AJ23" i="5"/>
  <c r="R23" i="5"/>
  <c r="D8" i="66"/>
  <c r="E31" i="68"/>
  <c r="T47" i="7"/>
  <c r="AN47" i="7"/>
  <c r="AD22" i="7"/>
  <c r="AN23" i="7"/>
  <c r="T23" i="7"/>
  <c r="F31" i="68"/>
  <c r="H72" i="66"/>
  <c r="AN47" i="9"/>
  <c r="T47" i="9"/>
  <c r="E52" i="68" l="1"/>
  <c r="AO435" i="71"/>
  <c r="E64" i="68"/>
  <c r="D13" i="62"/>
  <c r="D41" i="62" s="1"/>
  <c r="D89" i="62" s="1"/>
  <c r="D93" i="62" s="1"/>
  <c r="D99" i="62" s="1"/>
  <c r="J4" i="43"/>
  <c r="F52" i="68"/>
  <c r="K4" i="43"/>
  <c r="AP435" i="71"/>
  <c r="E13" i="62"/>
  <c r="E41" i="62" s="1"/>
  <c r="E89" i="62" s="1"/>
  <c r="E93" i="62" s="1"/>
  <c r="E99" i="62" s="1"/>
  <c r="F64" i="68"/>
  <c r="G7" i="66"/>
  <c r="H8" i="66"/>
  <c r="G171" i="80" l="1"/>
  <c r="G171" i="78"/>
  <c r="I171" i="80"/>
  <c r="I171" i="78"/>
  <c r="F56" i="68"/>
  <c r="F66" i="68"/>
  <c r="I171" i="66"/>
  <c r="AO518" i="71"/>
  <c r="M41" i="50"/>
  <c r="E56" i="68"/>
  <c r="E66" i="68"/>
  <c r="G171" i="66"/>
  <c r="M19" i="50"/>
  <c r="AO496" i="71"/>
  <c r="I151" i="80" l="1"/>
  <c r="I151" i="78"/>
  <c r="G151" i="80"/>
  <c r="G151" i="78"/>
  <c r="I151" i="66"/>
  <c r="G151" i="66"/>
  <c r="G150" i="80" l="1"/>
  <c r="G150" i="78"/>
  <c r="I150" i="80"/>
  <c r="I150" i="78"/>
  <c r="I150" i="66"/>
  <c r="G150" i="66"/>
</calcChain>
</file>

<file path=xl/comments1.xml><?xml version="1.0" encoding="utf-8"?>
<comments xmlns="http://schemas.openxmlformats.org/spreadsheetml/2006/main">
  <authors>
    <author>Author</author>
  </authors>
  <commentList>
    <comment ref="E6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D8, D9, D10</t>
        </r>
      </text>
    </comment>
    <comment ref="B7" authorId="0">
      <text>
        <r>
          <rPr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E12" authorId="0">
      <text>
        <r>
          <rPr>
            <sz val="8"/>
            <color indexed="81"/>
            <rFont val="Tahoma"/>
            <family val="2"/>
            <charset val="238"/>
          </rPr>
          <t xml:space="preserve">Clasification of economic activities in sheet "SK NACE". </t>
        </r>
        <r>
          <rPr>
            <b/>
            <sz val="8"/>
            <color indexed="81"/>
            <rFont val="Tahoma"/>
            <family val="2"/>
            <charset val="238"/>
          </rPr>
          <t>Use values from column A (without dots)</t>
        </r>
      </text>
    </comment>
    <comment ref="E15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D17, D18</t>
        </r>
      </text>
    </comment>
    <comment ref="B1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2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25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date on which the FS are prepared </t>
        </r>
      </text>
    </comment>
    <comment ref="F27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leave blank if not approved yet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D178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Vyhodene
Nariadenie ani nevyžaduje vykazovat vekovu strukturu pohladavok 1-5 rokov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O4" authorId="0">
      <text>
        <r>
          <rPr>
            <b/>
            <sz val="8"/>
            <color indexed="81"/>
            <rFont val="Tahoma"/>
            <family val="2"/>
            <charset val="238"/>
          </rPr>
          <t>Author: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sharedStrings.xml><?xml version="1.0" encoding="utf-8"?>
<sst xmlns="http://schemas.openxmlformats.org/spreadsheetml/2006/main" count="4837" uniqueCount="1976">
  <si>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</si>
  <si>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</si>
  <si>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</si>
  <si>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</si>
  <si>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</si>
  <si>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</si>
  <si>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</si>
  <si>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</si>
  <si>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</si>
  <si>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Spoločník, akcionár</t>
  </si>
  <si>
    <t>Výška podielu na základnom imaní</t>
  </si>
  <si>
    <t>Podiel na hlasovacích právach v %</t>
  </si>
  <si>
    <t>v %</t>
  </si>
  <si>
    <t>absolútne</t>
  </si>
  <si>
    <t>Spolu</t>
  </si>
  <si>
    <t>Tabuľka č. 2</t>
  </si>
  <si>
    <t>Spoločník, akcionár do dňa zmeny  v štruktúre spoločníkov, akcionárov</t>
  </si>
  <si>
    <t>Dátum zmeny</t>
  </si>
  <si>
    <t>x</t>
  </si>
  <si>
    <t>3. Informácie k časti F. písm. a) prílohy č. 3 o dlhodobom nehmotnom majetku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</si>
  <si>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</si>
  <si>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</si>
  <si>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</si>
  <si>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</si>
  <si>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</si>
  <si>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</si>
  <si>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</si>
  <si>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</si>
  <si>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</si>
  <si>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</si>
  <si>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</si>
  <si>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</si>
  <si>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</si>
  <si>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</si>
  <si>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</si>
  <si>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4. Informácie k časti F. písm. c) prílohy č. 3 o dlhodobom nehmotnom majetku</t>
  </si>
  <si>
    <t>Hodnota za bežné účtovné obdobie</t>
  </si>
  <si>
    <t>Dlhodobý nehmotný majetok, na ktorý je zriadené záložné právo</t>
  </si>
  <si>
    <t>Dlhodobý nehmotný majetok, pri ktorom má účtovná jednotka obmedzené právo s ním nakladať</t>
  </si>
  <si>
    <t>5.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</si>
  <si>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</si>
  <si>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</si>
  <si>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</si>
  <si>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</si>
  <si>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</si>
  <si>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</si>
  <si>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</si>
  <si>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</si>
  <si>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</si>
  <si>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</si>
  <si>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</si>
  <si>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</si>
  <si>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</si>
  <si>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</si>
  <si>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</si>
  <si>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</si>
  <si>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</si>
  <si>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</si>
  <si>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</si>
  <si>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</si>
  <si>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</si>
  <si>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</si>
  <si>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</si>
  <si>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</si>
  <si>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</si>
  <si>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</si>
  <si>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</si>
  <si>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</si>
  <si>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</si>
  <si>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</si>
  <si>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</si>
  <si>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</si>
  <si>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</si>
  <si>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</si>
  <si>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</si>
  <si>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</si>
  <si>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</si>
  <si>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</si>
  <si>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</si>
  <si>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</si>
  <si>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</si>
  <si>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</si>
  <si>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</si>
  <si>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</si>
  <si>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</si>
  <si>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</si>
  <si>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</si>
  <si>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</si>
  <si>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</si>
  <si>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</si>
  <si>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</si>
  <si>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</si>
  <si>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</si>
  <si>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</si>
  <si>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</si>
  <si>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</si>
  <si>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</si>
  <si>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</si>
  <si>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</si>
  <si>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</si>
  <si>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</si>
  <si>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</si>
  <si>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</si>
  <si>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</si>
  <si>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</si>
  <si>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</si>
  <si>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</si>
  <si>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</si>
  <si>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</si>
  <si>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</si>
  <si>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</si>
  <si>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</si>
  <si>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</si>
  <si>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</si>
  <si>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</si>
  <si>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</si>
  <si>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</si>
  <si>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</si>
  <si>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</si>
  <si>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</si>
  <si>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</si>
  <si>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</si>
  <si>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</si>
  <si>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</si>
  <si>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</si>
  <si>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</si>
  <si>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</si>
  <si>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</si>
  <si>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</si>
  <si>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</si>
  <si>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</si>
  <si>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</si>
  <si>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</si>
  <si>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</si>
  <si>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</si>
  <si>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</si>
  <si>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</si>
  <si>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</si>
  <si>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</si>
  <si>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</si>
  <si>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</si>
  <si>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</si>
  <si>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</si>
  <si>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</si>
  <si>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</si>
  <si>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</si>
  <si>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</si>
  <si>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</si>
  <si>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</si>
  <si>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</si>
  <si>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</si>
  <si>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</si>
  <si>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</si>
  <si>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</si>
  <si>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</si>
  <si>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</si>
  <si>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</si>
  <si>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</si>
  <si>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</si>
  <si>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</si>
  <si>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</si>
  <si>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</si>
  <si>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</si>
  <si>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</si>
  <si>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</si>
  <si>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</si>
  <si>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</si>
  <si>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</si>
  <si>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</si>
  <si>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</si>
  <si>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</si>
  <si>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</si>
  <si>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</si>
  <si>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</si>
  <si>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</si>
  <si>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</si>
  <si>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</si>
  <si>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</si>
  <si>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</si>
  <si>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</si>
  <si>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</si>
  <si>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</si>
  <si>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</si>
  <si>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</si>
  <si>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</si>
  <si>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</si>
  <si>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</si>
  <si>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</si>
  <si>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</si>
  <si>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</si>
  <si>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</si>
  <si>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</si>
  <si>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</si>
  <si>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</si>
  <si>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</si>
  <si>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</si>
  <si>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</si>
  <si>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</si>
  <si>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</si>
  <si>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</si>
  <si>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</si>
  <si>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</si>
  <si>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</si>
  <si>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</si>
  <si>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</si>
  <si>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</si>
  <si>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</si>
  <si>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</si>
  <si>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</si>
  <si>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</si>
  <si>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</si>
  <si>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</si>
  <si>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</si>
  <si>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</si>
  <si>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</si>
  <si>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</si>
  <si>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</si>
  <si>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</si>
  <si>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</si>
  <si>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</si>
  <si>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</si>
  <si>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</si>
  <si>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</si>
  <si>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</si>
  <si>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</si>
  <si>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</si>
  <si>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</si>
  <si>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</si>
  <si>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</si>
  <si>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</si>
  <si>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</si>
  <si>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</si>
  <si>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</si>
  <si>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</si>
  <si>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</si>
  <si>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</si>
  <si>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</si>
  <si>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</si>
  <si>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</si>
  <si>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</si>
  <si>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</si>
  <si>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</si>
  <si>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</si>
  <si>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</si>
  <si>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</si>
  <si>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</si>
  <si>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</si>
  <si>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</si>
  <si>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</si>
  <si>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</si>
  <si>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</si>
  <si>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</si>
  <si>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</si>
  <si>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</si>
  <si>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</si>
  <si>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</si>
  <si>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</si>
  <si>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</si>
  <si>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</si>
  <si>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</si>
  <si>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</si>
  <si>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</si>
  <si>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</si>
  <si>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</si>
  <si>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</si>
  <si>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</si>
  <si>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</si>
  <si>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</si>
  <si>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</si>
  <si>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</si>
  <si>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</si>
  <si>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</si>
  <si>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</si>
  <si>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</si>
  <si>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</si>
  <si>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</si>
  <si>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</si>
  <si>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</si>
  <si>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</si>
  <si>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</si>
  <si>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</si>
  <si>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</si>
  <si>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</si>
  <si>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</si>
  <si>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</si>
  <si>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</si>
  <si>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</si>
  <si>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</si>
  <si>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</si>
  <si>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</si>
  <si>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</si>
  <si>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</si>
  <si>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</si>
  <si>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</si>
  <si>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</si>
  <si>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</si>
  <si>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</si>
  <si>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</si>
  <si>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</si>
  <si>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</si>
  <si>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</si>
  <si>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</si>
  <si>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</si>
  <si>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</si>
  <si>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</si>
  <si>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</si>
  <si>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</si>
  <si>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</si>
  <si>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</si>
  <si>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</si>
  <si>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</si>
  <si>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</si>
  <si>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</si>
  <si>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</si>
  <si>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</si>
  <si>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</si>
  <si>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</si>
  <si>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</si>
  <si>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</si>
  <si>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</si>
  <si>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</si>
  <si>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</si>
  <si>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</si>
  <si>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</si>
  <si>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</si>
  <si>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</si>
  <si>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</si>
  <si>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</si>
  <si>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</si>
  <si>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</si>
  <si>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</si>
  <si>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</si>
  <si>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</si>
  <si>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</si>
  <si>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</si>
  <si>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</si>
  <si>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</si>
  <si>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</si>
  <si>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</si>
  <si>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</si>
  <si>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</si>
  <si>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</si>
  <si>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</si>
  <si>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</si>
  <si>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</si>
  <si>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</si>
  <si>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</si>
  <si>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</si>
  <si>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</si>
  <si>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</si>
  <si>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</si>
  <si>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</si>
  <si>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</si>
  <si>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</si>
  <si>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</si>
  <si>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</si>
  <si>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</si>
  <si>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</si>
  <si>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</si>
  <si>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</si>
  <si>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</si>
  <si>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</si>
  <si>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</si>
  <si>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</si>
  <si>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</si>
  <si>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</si>
  <si>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</si>
  <si>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</si>
  <si>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</si>
  <si>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</si>
  <si>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</si>
  <si>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</si>
  <si>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</si>
  <si>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</si>
  <si>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</si>
  <si>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</si>
  <si>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</si>
  <si>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</si>
  <si>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</si>
  <si>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</si>
  <si>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</si>
  <si>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</si>
  <si>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</si>
  <si>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</si>
  <si>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</si>
  <si>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</si>
  <si>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</si>
  <si>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</si>
  <si>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</si>
  <si>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</si>
  <si>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</si>
  <si>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</si>
  <si>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</si>
  <si>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</si>
  <si>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</si>
  <si>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</si>
  <si>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</si>
  <si>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</si>
  <si>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</si>
  <si>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</si>
  <si>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</si>
  <si>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</si>
  <si>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</si>
  <si>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</si>
  <si>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</si>
  <si>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</si>
  <si>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</si>
  <si>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</si>
  <si>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</si>
  <si>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</si>
  <si>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</si>
  <si>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</si>
  <si>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</si>
  <si>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</si>
  <si>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</si>
  <si>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</si>
  <si>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</si>
  <si>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</si>
  <si>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</si>
  <si>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</si>
  <si>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</si>
  <si>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</si>
  <si>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</si>
  <si>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</si>
  <si>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</si>
  <si>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</si>
  <si>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</si>
  <si>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</si>
  <si>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</si>
  <si>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</si>
  <si>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</si>
  <si>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</si>
  <si>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</si>
  <si>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</si>
  <si>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</si>
  <si>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</si>
  <si>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</si>
  <si>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</si>
  <si>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</si>
  <si>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</si>
  <si>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</si>
  <si>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</si>
  <si>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</si>
  <si>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</si>
  <si>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</si>
  <si>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</si>
  <si>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</si>
  <si>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</si>
  <si>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</si>
  <si>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</si>
  <si>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</si>
  <si>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</si>
  <si>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</si>
  <si>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</si>
  <si>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Iný podiel na ostatných položkách VI ako na ZI v %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</si>
  <si>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</si>
  <si>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</si>
  <si>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</si>
  <si>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</si>
  <si>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</si>
  <si>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</si>
  <si>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</si>
  <si>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</si>
  <si>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</si>
  <si>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</si>
  <si>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</si>
  <si>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</si>
  <si>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</si>
  <si>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</si>
  <si>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</si>
  <si>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</si>
  <si>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</si>
  <si>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</si>
  <si>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</si>
  <si>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</si>
  <si>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</si>
  <si>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</si>
  <si>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</si>
  <si>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</si>
  <si>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</si>
  <si>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</si>
  <si>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</si>
  <si>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</si>
  <si>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</si>
  <si>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</si>
  <si>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</si>
  <si>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</si>
  <si>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</si>
  <si>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</si>
  <si>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</si>
  <si>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</si>
  <si>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</si>
  <si>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</si>
  <si>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</si>
  <si>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</si>
  <si>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</si>
  <si>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</si>
  <si>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</si>
  <si>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</si>
  <si>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</si>
  <si>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</si>
  <si>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</si>
  <si>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</si>
  <si>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</si>
  <si>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</si>
  <si>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</si>
  <si>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</si>
  <si>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</si>
  <si>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</si>
  <si>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</si>
  <si>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</si>
  <si>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</si>
  <si>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</si>
  <si>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</si>
  <si>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</si>
  <si>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</si>
  <si>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</si>
  <si>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</si>
  <si>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</si>
  <si>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</si>
  <si>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</si>
  <si>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</si>
  <si>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</si>
  <si>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</si>
  <si>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</si>
  <si>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</si>
  <si>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</si>
  <si>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</si>
  <si>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</si>
  <si>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</si>
  <si>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</si>
  <si>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</si>
  <si>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</si>
  <si>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</si>
  <si>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</si>
  <si>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</si>
  <si>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</si>
  <si>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</si>
  <si>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</si>
  <si>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</si>
  <si>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</si>
  <si>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</si>
  <si>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</si>
  <si>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</si>
  <si>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</si>
  <si>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</si>
  <si>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</si>
  <si>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</si>
  <si>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</si>
  <si>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</si>
  <si>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</si>
  <si>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</si>
  <si>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</si>
  <si>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</si>
  <si>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</si>
  <si>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</si>
  <si>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</si>
  <si>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</si>
  <si>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</si>
  <si>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</si>
  <si>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</si>
  <si>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</si>
  <si>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</si>
  <si>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</si>
  <si>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</si>
  <si>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</si>
  <si>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</si>
  <si>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</si>
  <si>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</si>
  <si>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</si>
  <si>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</si>
  <si>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</si>
  <si>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</si>
  <si>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</si>
  <si>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</si>
  <si>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</si>
  <si>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</si>
  <si>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</si>
  <si>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</si>
  <si>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</si>
  <si>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</si>
  <si>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</si>
  <si>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</si>
  <si>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</si>
  <si>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</si>
  <si>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</si>
  <si>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</si>
  <si>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</si>
  <si>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</si>
  <si>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</si>
  <si>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</si>
  <si>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</si>
  <si>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</si>
  <si>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</si>
  <si>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</si>
  <si>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</si>
  <si>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</si>
  <si>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</si>
  <si>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</si>
  <si>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</si>
  <si>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</si>
  <si>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</si>
  <si>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</si>
  <si>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</si>
  <si>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</si>
  <si>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</si>
  <si>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</si>
  <si>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</si>
  <si>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</si>
  <si>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</si>
  <si>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</si>
  <si>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</si>
  <si>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</si>
  <si>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</si>
  <si>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</si>
  <si>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</si>
  <si>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</si>
  <si>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</si>
  <si>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</si>
  <si>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</si>
  <si>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</si>
  <si>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</si>
  <si>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</si>
  <si>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</si>
  <si>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</si>
  <si>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</si>
  <si>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</si>
  <si>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</si>
  <si>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</si>
  <si>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</si>
  <si>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</si>
  <si>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</si>
  <si>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</si>
  <si>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</si>
  <si>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</si>
  <si>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</si>
  <si>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</si>
  <si>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</si>
  <si>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</si>
  <si>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</si>
  <si>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</si>
  <si>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</si>
  <si>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</si>
  <si>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</si>
  <si>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</si>
  <si>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</si>
  <si>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</si>
  <si>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</si>
  <si>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</si>
  <si>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</si>
  <si>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</si>
  <si>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</si>
  <si>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</si>
  <si>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</si>
  <si>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</si>
  <si>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</si>
  <si>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</si>
  <si>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</si>
  <si>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</si>
  <si>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</si>
  <si>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</si>
  <si>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</si>
  <si>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</si>
  <si>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</si>
  <si>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</si>
  <si>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</si>
  <si>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</si>
  <si>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</si>
  <si>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</si>
  <si>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</si>
  <si>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</si>
  <si>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</si>
  <si>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</si>
  <si>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</si>
  <si>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</si>
  <si>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</si>
  <si>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</si>
  <si>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</si>
  <si>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</si>
  <si>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</si>
  <si>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</si>
  <si>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</si>
  <si>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</si>
  <si>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</si>
  <si>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</si>
  <si>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</si>
  <si>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</si>
  <si>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</si>
  <si>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</si>
  <si>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</si>
  <si>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</si>
  <si>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</si>
  <si>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</si>
  <si>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</si>
  <si>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</si>
  <si>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</si>
  <si>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</si>
  <si>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</si>
  <si>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</si>
  <si>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</si>
  <si>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</si>
  <si>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</si>
  <si>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</si>
  <si>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</si>
  <si>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</si>
  <si>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</si>
  <si>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</si>
  <si>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</si>
  <si>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</si>
  <si>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</si>
  <si>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</si>
  <si>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</si>
  <si>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</si>
  <si>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</si>
  <si>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</si>
  <si>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</si>
  <si>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</si>
  <si>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</si>
  <si>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</si>
  <si>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</si>
  <si>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</si>
  <si>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</si>
  <si>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</si>
  <si>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</si>
  <si>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</si>
  <si>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</si>
  <si>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</si>
  <si>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</si>
  <si>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</si>
  <si>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</si>
  <si>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</si>
  <si>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</si>
  <si>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</si>
  <si>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</si>
  <si>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</si>
  <si>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</si>
  <si>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</si>
  <si>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</si>
  <si>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</si>
  <si>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</si>
  <si>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</si>
  <si>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</si>
  <si>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</si>
  <si>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</si>
  <si>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</si>
  <si>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</si>
  <si>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</si>
  <si>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</si>
  <si>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</si>
  <si>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</si>
  <si>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</si>
  <si>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</si>
  <si>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</si>
  <si>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</si>
  <si>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</si>
  <si>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</si>
  <si>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</si>
  <si>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</si>
  <si>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</si>
  <si>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</si>
  <si>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</si>
  <si>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</si>
  <si>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</si>
  <si>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</si>
  <si>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</si>
  <si>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</si>
  <si>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</si>
  <si>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</si>
  <si>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</si>
  <si>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</si>
  <si>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</si>
  <si>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</si>
  <si>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</si>
  <si>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</si>
  <si>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</si>
  <si>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</si>
  <si>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</si>
  <si>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</si>
  <si>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</si>
  <si>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</si>
  <si>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</si>
  <si>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</si>
  <si>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</si>
  <si>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</si>
  <si>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</si>
  <si>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</si>
  <si>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</si>
  <si>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</si>
  <si>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</si>
  <si>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</si>
  <si>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</si>
  <si>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</si>
  <si>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</si>
  <si>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</si>
  <si>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</si>
  <si>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</si>
  <si>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</si>
  <si>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</si>
  <si>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</si>
  <si>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</si>
  <si>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</si>
  <si>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</si>
  <si>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</si>
  <si>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</si>
  <si>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</si>
  <si>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</si>
  <si>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</si>
  <si>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</si>
  <si>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</si>
  <si>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</si>
  <si>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</si>
  <si>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</si>
  <si>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</si>
  <si>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</si>
  <si>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</si>
  <si>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</si>
  <si>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</si>
  <si>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</si>
  <si>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</si>
  <si>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</si>
  <si>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</si>
  <si>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</si>
  <si>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</si>
  <si>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</si>
  <si>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</si>
  <si>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</si>
  <si>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</si>
  <si>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</si>
  <si>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</si>
  <si>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</si>
  <si>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</si>
  <si>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</si>
  <si>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</si>
  <si>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</si>
  <si>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</si>
  <si>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</si>
  <si>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</si>
  <si>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</si>
  <si>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</si>
  <si>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</si>
  <si>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</si>
  <si>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</si>
  <si>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</si>
  <si>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</si>
  <si>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</si>
  <si>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</si>
  <si>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</si>
  <si>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</si>
  <si>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</si>
  <si>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</si>
  <si>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</si>
  <si>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</si>
  <si>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</si>
  <si>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</si>
  <si>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</si>
  <si>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</si>
  <si>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</si>
  <si>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</si>
  <si>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</si>
  <si>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</si>
  <si>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</si>
  <si>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</si>
  <si>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</si>
  <si>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</si>
  <si>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</si>
  <si>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</si>
  <si>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</si>
  <si>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</si>
  <si>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</si>
  <si>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</si>
  <si>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</si>
  <si>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</si>
  <si>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</si>
  <si>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</si>
  <si>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</si>
  <si>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</si>
  <si>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</si>
  <si>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</si>
  <si>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</si>
  <si>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</si>
  <si>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</si>
  <si>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</si>
  <si>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</si>
  <si>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</si>
  <si>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</si>
  <si>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</si>
  <si>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</si>
  <si>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</si>
  <si>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</si>
  <si>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</si>
  <si>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</si>
  <si>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</si>
  <si>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</si>
  <si>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</si>
  <si>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</si>
  <si>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</si>
  <si>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</si>
  <si>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</si>
  <si>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</si>
  <si>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</si>
  <si>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</si>
  <si>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</si>
  <si>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</si>
  <si>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</si>
  <si>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</si>
  <si>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</si>
  <si>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</si>
  <si>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</si>
  <si>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</si>
  <si>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</si>
  <si>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</si>
  <si>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</si>
  <si>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</si>
  <si>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</si>
  <si>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</si>
  <si>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</si>
  <si>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</si>
  <si>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</si>
  <si>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</si>
  <si>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</si>
  <si>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</si>
  <si>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</si>
  <si>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</si>
  <si>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</si>
  <si>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</si>
  <si>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</si>
  <si>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</si>
  <si>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</si>
  <si>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</si>
  <si>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</si>
  <si>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</si>
  <si>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</si>
  <si>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</si>
  <si>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</si>
  <si>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</si>
  <si>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</si>
  <si>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</si>
  <si>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</si>
  <si>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</si>
  <si>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</si>
  <si>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</si>
  <si>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</si>
  <si>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</si>
  <si>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</si>
  <si>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</si>
  <si>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</si>
  <si>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</si>
  <si>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</si>
  <si>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</si>
  <si>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</si>
  <si>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</si>
  <si>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</si>
  <si>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</si>
  <si>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</si>
  <si>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</si>
  <si>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</si>
  <si>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</si>
  <si>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</si>
  <si>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</si>
  <si>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</si>
  <si>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</si>
  <si>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</si>
  <si>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</si>
  <si>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</si>
  <si>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</si>
  <si>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</si>
  <si>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</si>
  <si>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</si>
  <si>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</si>
  <si>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</si>
  <si>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</si>
  <si>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</si>
  <si>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</si>
  <si>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</si>
  <si>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</si>
  <si>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</si>
  <si>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</si>
  <si>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</si>
  <si>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</si>
  <si>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</si>
  <si>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</si>
  <si>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Prehľad o peňažných tokoch</t>
  </si>
  <si>
    <t>(v EUR)</t>
  </si>
  <si>
    <t>Označe-nie</t>
  </si>
  <si>
    <t>Text</t>
  </si>
  <si>
    <t>Účtovné obdobie</t>
  </si>
  <si>
    <t>bežné</t>
  </si>
  <si>
    <t>predchádzajúce</t>
  </si>
  <si>
    <t>Z/S</t>
  </si>
  <si>
    <t>Výsledok hospodárenia z bežnej činnosti pred zdanením daňou z príjmov</t>
  </si>
  <si>
    <t>A.1.</t>
  </si>
  <si>
    <t>Nepeňažné operácie ovplyvňujúce hospodársky výsledok z bežnej činnosti</t>
  </si>
  <si>
    <t>A.1.1.</t>
  </si>
  <si>
    <t>Odpisy dlhodobého nehmotného majetku a dlhodobého hmotného majetku</t>
  </si>
  <si>
    <t>A.1.2.</t>
  </si>
  <si>
    <t>Zostatková hodnota dlhodobého nehmotného a hmotného majetku účtovaná pri vyradení (s výnimkou predaja)</t>
  </si>
  <si>
    <t>A.1.3.</t>
  </si>
  <si>
    <t>Odpis opravnej položky k nadobutnutému majetku</t>
  </si>
  <si>
    <t>A.1.4.</t>
  </si>
  <si>
    <t>A.1.5.</t>
  </si>
  <si>
    <t>Zmena stavu opravných položiek</t>
  </si>
  <si>
    <t>A.1.6.</t>
  </si>
  <si>
    <t>Zmena stavu položiek časového rozlíšenia nákladov a výnosov</t>
  </si>
  <si>
    <t>A.1.7.</t>
  </si>
  <si>
    <t>Dividendy a iné podiely na zisku účtované do výnosov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</si>
  <si>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</si>
  <si>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</si>
  <si>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</si>
  <si>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</si>
  <si>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</si>
  <si>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účt. závierky</t>
  </si>
  <si>
    <t>A.1.11.</t>
  </si>
  <si>
    <t>Kurzová strata vyčíslená k peňažným prostriedkom a peňažným ekvivalentom ku dňu účt. závierky</t>
  </si>
  <si>
    <t>A.1.12.</t>
  </si>
  <si>
    <t>Výsledok z predaja dlhodobého majetku s výnimkou majetku, ktorý sa považuje za peňažný ekvivalent</t>
  </si>
  <si>
    <t>A.1.13.</t>
  </si>
  <si>
    <t>Ostatné položky nepeňažného charakteru</t>
  </si>
  <si>
    <t>A.2.</t>
  </si>
  <si>
    <t>Vplyv zmien stavu pracovného kapitálu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</si>
  <si>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</si>
  <si>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</si>
  <si>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</si>
  <si>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</si>
  <si>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</si>
  <si>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</si>
  <si>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</si>
  <si>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 s výnimkou majetku, ktorý je súčasťou peň. prostriedkov</t>
  </si>
  <si>
    <t>A.3.</t>
  </si>
  <si>
    <t>Prijaté úroky,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</si>
  <si>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</si>
  <si>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</si>
  <si>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</si>
  <si>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</t>
  </si>
  <si>
    <t>A.6.</t>
  </si>
  <si>
    <t>Výdavky na vyplatené dividendy a iné podiely na zisku, s výnimkou tých, ktoré sa začleňujú do fin.činností</t>
  </si>
  <si>
    <t>A.7.</t>
  </si>
  <si>
    <t>Výdavky na daň z príjmov účtovnej jednotky, s výnimkou tých, ktoré sa začleňujú do inv.alebo fin.činností</t>
  </si>
  <si>
    <t>A.8.</t>
  </si>
  <si>
    <t>Príjmy mimoriadneho charakteru vzťahujúce sa na prevádzkovú činnosť</t>
  </si>
  <si>
    <t>A.9.</t>
  </si>
  <si>
    <t>Výdavky mimoriadneho charakteru vzťahujúce sa na prevádzkovú činnosť</t>
  </si>
  <si>
    <t>Čisté peňažné toky z prevádzkovej činnosti</t>
  </si>
  <si>
    <t>Výdavky na obstaranie dlhodobého nehmotného majetku</t>
  </si>
  <si>
    <t>B.2.</t>
  </si>
  <si>
    <t>Výdavky na obstaranie dlhodobého hmotného majetku</t>
  </si>
  <si>
    <t>B.3.</t>
  </si>
  <si>
    <t>Výdavky na obstaranie dlhodobých cenných papierov a podielov v iných účtovných jednotkách</t>
  </si>
  <si>
    <t>B.4.</t>
  </si>
  <si>
    <t>Príjmy z predaja dlhodobého nehmotného majetku</t>
  </si>
  <si>
    <t>B.5.</t>
  </si>
  <si>
    <t>Príjmy z predaja dlhodobého hmotného majetku</t>
  </si>
  <si>
    <t>B.6.</t>
  </si>
  <si>
    <t>Príjmy z predaja dlhodobých cenných papierov a podielov v iných účtovných jednotkách</t>
  </si>
  <si>
    <t>B.7.</t>
  </si>
  <si>
    <t>Výdavky na dlhodobé pôžičky poskytnuté účtovnou jednotkou inej účtovnej jednotke v skupine</t>
  </si>
  <si>
    <t xml:space="preserve">B.8. </t>
  </si>
  <si>
    <t>Príjmy zo splácania dlhodobých pôžičiek poskytnutých účtovnou jednotkou inej účtovnej jednotke v skupine</t>
  </si>
  <si>
    <t>B.9.</t>
  </si>
  <si>
    <t>Výdavky na dlhodobé pôžičky poskytnuté účtovnou jednotkou tretím osobám</t>
  </si>
  <si>
    <t>B.10.</t>
  </si>
  <si>
    <t>Príjmy zo splácania dlhodobých pôžičiek poskytnutých účtovnou jednotkou tretím osobám</t>
  </si>
  <si>
    <t>B.11</t>
  </si>
  <si>
    <t>Prijaté úroky, s výnimkou tých, ktoré sa začleňujú do prevádzkových činností</t>
  </si>
  <si>
    <t>B.12.</t>
  </si>
  <si>
    <t>Príjmy z dividend a iných podielov na zisku, s výnimkou tých, ktoré sa začleňujú do prevádzkových činností</t>
  </si>
  <si>
    <t>B.13.</t>
  </si>
  <si>
    <t>Výdavky súvisiace s derivátmi s výnimkou, ak sú určené na predaj alebo na obchodovanie</t>
  </si>
  <si>
    <t>B.14.</t>
  </si>
  <si>
    <t>Príjmy súvisiace s derivátmi s výnimkou, ak sú určené na predaj alebo na obchodovanie</t>
  </si>
  <si>
    <t>B.15.</t>
  </si>
  <si>
    <r>
      <t>Výdavky na daň z príjmov účtovnej jednotky, ak je ju</t>
    </r>
    <r>
      <rPr>
        <sz val="14"/>
        <color indexed="12"/>
        <rFont val="Arial CE"/>
        <family val="2"/>
        <charset val="238"/>
      </rPr>
      <t xml:space="preserve"> </t>
    </r>
    <r>
      <rPr>
        <sz val="14"/>
        <rFont val="Arial CE"/>
        <family val="2"/>
        <charset val="238"/>
      </rPr>
      <t>možné začleniť do investičných činností</t>
    </r>
  </si>
  <si>
    <t>B.16.</t>
  </si>
  <si>
    <t>Príjmy mimoriadneho charakteru vzťahujúce sa na investičnú činnosť</t>
  </si>
  <si>
    <t>B.17.</t>
  </si>
  <si>
    <t>Výdavky mimoriadneho charakteru vzťahujúce sa na investičnú činnosť</t>
  </si>
  <si>
    <t>B.18.</t>
  </si>
  <si>
    <t>Ostatné príjmy vzťahujúce sa na investičnú činnosť</t>
  </si>
  <si>
    <t>B.19.</t>
  </si>
  <si>
    <t>Ostatné výdavky vzťahujúce sa na investičnú činnosť</t>
  </si>
  <si>
    <t>Čisté peňažné toky z investičnej činnosti</t>
  </si>
  <si>
    <t>Peňažné toky vo vlastnom imaní</t>
  </si>
  <si>
    <t>C.1.1.</t>
  </si>
  <si>
    <t>Príjmy z upísaných akcií a obchodných podielov</t>
  </si>
  <si>
    <t>C.1.2.</t>
  </si>
  <si>
    <t>Príjmy z ďalších vkladov do vlastného imania spoločníkmi alebo fyzickou osobou</t>
  </si>
  <si>
    <t>C.1.3.</t>
  </si>
  <si>
    <t>Prijaté peňažné dary</t>
  </si>
  <si>
    <t>C.1.4.</t>
  </si>
  <si>
    <t>Príjmy z úhrady straty spoločníkmi</t>
  </si>
  <si>
    <t>C.1.5</t>
  </si>
  <si>
    <t>Výdavky na obstaranie alebo spätné odkúpenie vlastných akcií a vlastných podielov</t>
  </si>
  <si>
    <t>C.1.6.</t>
  </si>
  <si>
    <t>Výdavky spojené so znížením fondov vytvorených účtovnou jednotkou</t>
  </si>
  <si>
    <t>C.1.7.</t>
  </si>
  <si>
    <t>Výdavky na vyplatenie podielu na vlastnom imaní spoločníkmi účtovnej jednotky a fyzickou osobou</t>
  </si>
  <si>
    <t>C.1.8.</t>
  </si>
  <si>
    <t>Výdavky z iných dôvodov, ktoré súvisia so znížením vlastného imania</t>
  </si>
  <si>
    <t>C.2.</t>
  </si>
  <si>
    <t>Peňažné toky vznikajúce z dlhodobých záväzkov a krátkodobých záväzkov z finančnej činnosti</t>
  </si>
  <si>
    <t>C.2.1.</t>
  </si>
  <si>
    <t>Príjmy z emisie dlhodobých cenných papierov</t>
  </si>
  <si>
    <t>C.2.2.</t>
  </si>
  <si>
    <t>Výdavky na úhradu záväzkov z dlhodobých cenných papierov</t>
  </si>
  <si>
    <t>C.2.3.</t>
  </si>
  <si>
    <t>Príjmy z úverov, ktoré účtovnej jednotke poskytla banka s výnimkou úverov poskytnutých na hlavnú činnosť</t>
  </si>
  <si>
    <t>C.2.4.</t>
  </si>
  <si>
    <t>Výdavky na splácanie úverov s výnimkou úverov poskytnutých na hlavnú činnosť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</si>
  <si>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</si>
  <si>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</si>
  <si>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</si>
  <si>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</si>
  <si>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</si>
  <si>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 ktorý je predmetom zmluvy o kúpe prenajatej veci</t>
  </si>
  <si>
    <t>C.2.8.</t>
  </si>
  <si>
    <t>Príjmy z ostatných dlhodobých a krátkodobých záväzkov vyplývajúcich z finančnej činnosti</t>
  </si>
  <si>
    <t>C.2.9.</t>
  </si>
  <si>
    <t>Výdavky na splácanie ostatných dlhodobých a krátkodobých záväzkov z finančnej činnosti</t>
  </si>
  <si>
    <t>C.3.</t>
  </si>
  <si>
    <t>Výdavky na zaplatené úroky, s výnimkou tých, ktoré sa začleňujú do prevádzkových činností</t>
  </si>
  <si>
    <t>C.4.</t>
  </si>
  <si>
    <t>Výdavky na vyplatené dividendy a iné podiely na zisku, s výnimkou tých, ktoré sa začleňujú do prev.činností</t>
  </si>
  <si>
    <t>C.5.</t>
  </si>
  <si>
    <t>Výdavky súvisiace s derivátmi s výnimkou, ak sú určené na predaj alebo na obchodovanie alebo na inv.činnosť</t>
  </si>
  <si>
    <t>C.6.</t>
  </si>
  <si>
    <t>Príjmy súvisiace s derivátmi s výnimkou, ak sú určené na predaj alebo na obchodovanie alebo na inv.činnosť</t>
  </si>
  <si>
    <t>C.7.</t>
  </si>
  <si>
    <t>Výdavky na daň z príjmov účtovnej jednotky, ak ich možno začleniť do finančných činností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</si>
  <si>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</si>
  <si>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</si>
  <si>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</si>
  <si>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</si>
  <si>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>Čisté peňažné toky z finančnej činnosti</t>
  </si>
  <si>
    <t>Čisté zvýšenie alebo čisté zníženie peňažných prostriedkov</t>
  </si>
  <si>
    <t>Stav peňažných prostriedkov a peňažných ekvivalentov na začiatku účtovného obdobia</t>
  </si>
  <si>
    <t>Stav peňažných prostriedkov a peňažných ekvivalentov na konci účtovného obdobia</t>
  </si>
  <si>
    <t>Kurzové rozdiely vyčíslené k peňažným prostriedkom a peňažným ekvivalentom ku dňu účtovnej závierke</t>
  </si>
  <si>
    <t>Zostatok peňažných prostriedkov a peňažných ekvivalentov na konci účtovného obdobia</t>
  </si>
  <si>
    <t>Musi byt NULA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</si>
  <si>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</si>
  <si>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</si>
  <si>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</si>
  <si>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</si>
  <si>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</si>
  <si>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UVPOD1v11_1</t>
  </si>
  <si>
    <t>Súvaha Úč POD 1 - 01</t>
  </si>
  <si>
    <t>SÚVAHA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</si>
  <si>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</si>
  <si>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</si>
  <si>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</si>
  <si>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</si>
  <si>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</si>
  <si>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</si>
  <si>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</si>
  <si>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</si>
  <si>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</si>
  <si>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</si>
  <si>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</si>
  <si>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</si>
  <si>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</si>
  <si>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</si>
  <si>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</si>
  <si>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</si>
  <si>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</si>
  <si>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</si>
  <si>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</si>
  <si>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</si>
  <si>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</si>
  <si>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</si>
  <si>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</si>
  <si>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</si>
  <si>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</si>
  <si>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</si>
  <si>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</si>
  <si>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</si>
  <si>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</si>
  <si>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</si>
  <si>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</si>
  <si>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</si>
  <si>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</si>
  <si>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</si>
  <si>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</si>
  <si>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</si>
  <si>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</si>
  <si>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</si>
  <si>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</si>
  <si>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</si>
  <si>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</si>
  <si>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</si>
  <si>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</si>
  <si>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</si>
  <si>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</si>
  <si>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</si>
  <si>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</si>
  <si>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</si>
  <si>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</si>
  <si>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</si>
  <si>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</si>
  <si>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</si>
  <si>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</si>
  <si>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</si>
  <si>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</si>
  <si>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</si>
  <si>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</si>
  <si>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</si>
  <si>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</si>
  <si>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</si>
  <si>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</si>
  <si>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</si>
  <si>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</si>
  <si>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</si>
  <si>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</si>
  <si>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</si>
  <si>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</si>
  <si>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</si>
  <si>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</si>
  <si>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</si>
  <si>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</si>
  <si>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</si>
  <si>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</si>
  <si>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</si>
  <si>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</si>
  <si>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</si>
  <si>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</si>
  <si>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</si>
  <si>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</si>
  <si>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</si>
  <si>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</si>
  <si>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</si>
  <si>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</si>
  <si>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</si>
  <si>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</si>
  <si>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</si>
  <si>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</si>
  <si>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</si>
  <si>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</si>
  <si>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</si>
  <si>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</si>
  <si>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</si>
  <si>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</si>
  <si>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</si>
  <si>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</si>
  <si>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</si>
  <si>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</si>
  <si>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</si>
  <si>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</si>
  <si>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</si>
  <si>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</si>
  <si>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</si>
  <si>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</si>
  <si>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</si>
  <si>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</si>
  <si>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</si>
  <si>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</si>
  <si>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</si>
  <si>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</si>
  <si>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</si>
  <si>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</si>
  <si>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</si>
  <si>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</si>
  <si>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</si>
  <si>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</si>
  <si>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</si>
  <si>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</si>
  <si>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</si>
  <si>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</si>
  <si>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</si>
  <si>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</si>
  <si>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</si>
  <si>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</si>
  <si>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</si>
  <si>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</si>
  <si>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</si>
  <si>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</si>
  <si>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</si>
  <si>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</si>
  <si>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</si>
  <si>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</si>
  <si>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</si>
  <si>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</si>
  <si>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</si>
  <si>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</si>
  <si>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</si>
  <si>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</si>
  <si>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</si>
  <si>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</si>
  <si>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</si>
  <si>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</si>
  <si>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</si>
  <si>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</si>
  <si>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</si>
  <si>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</si>
  <si>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</si>
  <si>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</si>
  <si>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</si>
  <si>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</si>
  <si>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</si>
  <si>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</si>
  <si>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</si>
  <si>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</si>
  <si>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</si>
  <si>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</si>
  <si>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</si>
  <si>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</si>
  <si>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</si>
  <si>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</si>
  <si>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</si>
  <si>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</si>
  <si>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</si>
  <si>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</si>
  <si>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</si>
  <si>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</si>
  <si>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</si>
  <si>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</si>
  <si>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</si>
  <si>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</si>
  <si>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Dlhodobý
nehmotný majetok
súčet (r. 004 až
010)</t>
  </si>
  <si>
    <t>Neobežný majetok
r. 003 + r. 011
+ r. 021</t>
  </si>
  <si>
    <t>SPOLU MAJETOK
r. 002 + r. 030
+ r. 061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</si>
  <si>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</si>
  <si>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</si>
  <si>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</si>
  <si>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</si>
  <si>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</si>
  <si>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</si>
  <si>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</si>
  <si>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</si>
  <si>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</si>
  <si>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</si>
  <si>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</si>
  <si>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</si>
  <si>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</si>
  <si>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</si>
  <si>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</si>
  <si>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</si>
  <si>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</si>
  <si>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</si>
  <si>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</si>
  <si>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</si>
  <si>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</si>
  <si>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</si>
  <si>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</si>
  <si>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</si>
  <si>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</si>
  <si>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</si>
  <si>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</si>
  <si>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</si>
  <si>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</si>
  <si>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</si>
  <si>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</si>
  <si>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</si>
  <si>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</si>
  <si>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</si>
  <si>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</si>
  <si>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</si>
  <si>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</si>
  <si>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</si>
  <si>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</si>
  <si>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</si>
  <si>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</si>
  <si>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</si>
  <si>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</si>
  <si>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</si>
  <si>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</si>
  <si>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</si>
  <si>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</si>
  <si>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</si>
  <si>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</si>
  <si>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</si>
  <si>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</si>
  <si>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</si>
  <si>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</si>
  <si>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</si>
  <si>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</si>
  <si>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</si>
  <si>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</si>
  <si>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</si>
  <si>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</si>
  <si>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</si>
  <si>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</si>
  <si>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</si>
  <si>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</si>
  <si>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</si>
  <si>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</si>
  <si>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</si>
  <si>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</si>
  <si>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</si>
  <si>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</si>
  <si>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e-mail :</t>
  </si>
  <si>
    <t>Fax number :</t>
  </si>
  <si>
    <t>Name :</t>
  </si>
  <si>
    <t>or a person that is the accounting entity :</t>
  </si>
  <si>
    <t>Phone number :</t>
  </si>
  <si>
    <t>Name of statutory representative</t>
  </si>
  <si>
    <t>Phone area code :</t>
  </si>
  <si>
    <t>for preparing of financial statements :</t>
  </si>
  <si>
    <t>City</t>
  </si>
  <si>
    <t>Person responsible</t>
  </si>
  <si>
    <t>ZIP</t>
  </si>
  <si>
    <t>for accounting :</t>
  </si>
  <si>
    <t>Street No.</t>
  </si>
  <si>
    <t>Entity address:</t>
  </si>
  <si>
    <t>Approved on:</t>
  </si>
  <si>
    <t>INO ("IČO") :</t>
  </si>
  <si>
    <t>Prepared on:</t>
  </si>
  <si>
    <t>DIČ :</t>
  </si>
  <si>
    <t>Year:</t>
  </si>
  <si>
    <t>Month :</t>
  </si>
  <si>
    <t>Report :</t>
  </si>
  <si>
    <t>End of period</t>
  </si>
  <si>
    <t>approved</t>
  </si>
  <si>
    <t>Start of period</t>
  </si>
  <si>
    <t>prepared</t>
  </si>
  <si>
    <t>Previous period :</t>
  </si>
  <si>
    <t>Type of delivery :</t>
  </si>
  <si>
    <t>End - year</t>
  </si>
  <si>
    <t>End - date</t>
  </si>
  <si>
    <t>Year :</t>
  </si>
  <si>
    <t>extraordinary</t>
  </si>
  <si>
    <t>ordinary</t>
  </si>
  <si>
    <t>Curent period :</t>
  </si>
  <si>
    <t>CLIENT</t>
  </si>
  <si>
    <t>Input data for statutory reports</t>
  </si>
  <si>
    <t>Hlavným predmetom činnosti je:</t>
  </si>
  <si>
    <t>1.</t>
  </si>
  <si>
    <t>Informácie o počte zamestnancov</t>
  </si>
  <si>
    <t>2.1</t>
  </si>
  <si>
    <r>
      <t>3.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VŠEOBECNÉ ÚČTOVNÉ ZÁSADY A METÓDY</t>
    </r>
  </si>
  <si>
    <r>
      <t>2.</t>
    </r>
    <r>
      <rPr>
        <b/>
        <sz val="7"/>
        <color theme="1"/>
        <rFont val="Times New Roman"/>
        <family val="1"/>
        <charset val="238"/>
      </rPr>
      <t xml:space="preserve">       </t>
    </r>
    <r>
      <rPr>
        <b/>
        <u/>
        <sz val="10"/>
        <color theme="1"/>
        <rFont val="Arial"/>
        <family val="2"/>
        <charset val="238"/>
      </rPr>
      <t>ZÁKLADNÉ VÝCHODISKÁ PRE ZOSTAVENIE ÚČTOVNEJ ZÁVIERKY</t>
    </r>
  </si>
  <si>
    <r>
      <t>1.      </t>
    </r>
    <r>
      <rPr>
        <b/>
        <u/>
        <sz val="10"/>
        <color theme="1"/>
        <rFont val="Arial"/>
        <family val="2"/>
        <charset val="238"/>
      </rPr>
      <t>POPIS SPOLOČNOSTI</t>
    </r>
  </si>
  <si>
    <t>-</t>
  </si>
  <si>
    <t>Náklady budúcich období a príjmy budúcich období sa oceňujú ich menovitou hodnotou, pričom sa vykazujú vo výške, ktorá je potrebná na dodržanie zásady vecnej a časovej súvislosti s účtovným obdobím.</t>
  </si>
  <si>
    <t>Rezervy sú záväzky s neurčitým časovým vymedzením alebo výškou, tvoria sa na krytie  známych rizík alebo strát z podnikania. Oceňujú sa v očakávanej výške záväzku.</t>
  </si>
  <si>
    <t>Výdavky budúcich období a výnosy budúcich období sa oceňujú ich menovitou hodnotou, pričom sa vykazujú vo výške, ktorá je potrebná na dodržanie zásady vecnej a časovej súvislosti s účtovným obdobím.</t>
  </si>
  <si>
    <t>Transakcie v cudzej mene sa prepočítavajú na eurá referenčným výmenným kurzom určeným a vyhláseným Európskou centrálnou bankou alebo Národnou bankou Slovenska v deň predchádzajúci dňu uskutočnenia účtovného prípadu.</t>
  </si>
  <si>
    <t>Peňažné aktíva a pasíva vyjadrené v cudzej mene sa prepočítavajú kurzom platným ku dňu zostavenia účtovnej závierky. Vzniknuté kurzové rozdiely sa vykazujú vo výkaze ziskov a strát.</t>
  </si>
  <si>
    <t xml:space="preserve">Kúpa a predaj cudzej meny sa prepočítava na euro kurzom, za ktorý boli tieto hodnoty nakúpené alebo predané.  </t>
  </si>
  <si>
    <t xml:space="preserve">Tržby za vlastné výkony a tovar neobsahujú daň z pridanej hodnoty. Sú tiež znížené o zľavy a zrážky (rabaty, bonusy, skontá, dobropisy a pod.). Tržby sú účtované ku dňu splnenia dodávky alebo služby. </t>
  </si>
  <si>
    <t>Náklad na daň z príjmov sa počíta pomocou platnej daňovej sadzby z účtovného zisku upraveného o trvalé alebo dočasne daňovo neuznateľné náklady a nezdaňované výnosy. Odložené dane (odložená daňová pohľadávka a odložený daňový záväzok)  sa vzťahujú na:</t>
  </si>
  <si>
    <t>možnosti umorovať daňovú stratu v budúcnosti, pod ktorou sa rozumie možnosť odpočítať daňovú stratu od základu dane v budúcnosti,</t>
  </si>
  <si>
    <t>dočasné rozdiely medzi účtovnou hodnotou majetku a účtovnou hodnotou záväzkov vykázanou v súvahe a ich daňovou základňou,</t>
  </si>
  <si>
    <t>možnosť previesť nevyužité daňové odpočty a iné daňové nároky do budúcich období.</t>
  </si>
  <si>
    <t>O odloženom daňovom záväzku účtuje spoločnosť vždy, o pohľadávke účtuje, ak je realizovateľná.</t>
  </si>
  <si>
    <r>
      <t>4.</t>
    </r>
    <r>
      <rPr>
        <b/>
        <sz val="7"/>
        <color theme="1"/>
        <rFont val="Times New Roman"/>
        <family val="1"/>
        <charset val="238"/>
      </rPr>
      <t>      </t>
    </r>
    <r>
      <rPr>
        <b/>
        <u/>
        <sz val="10"/>
        <color theme="1"/>
        <rFont val="Arial"/>
        <family val="2"/>
        <charset val="238"/>
      </rPr>
      <t>DLHODOBÝ MAJETOK</t>
    </r>
  </si>
  <si>
    <t xml:space="preserve">Zúčtovanie OP z dôvodu zániku opodstat-
nenosti
</t>
  </si>
  <si>
    <t>Informácie o vývoji opravnej položky k pohľadávkam</t>
  </si>
  <si>
    <t>Informácie o vekovej štruktúre pohľadávok</t>
  </si>
  <si>
    <t>16.2</t>
  </si>
  <si>
    <t>Informácie o krátkodobom finančnom majetku</t>
  </si>
  <si>
    <t>Informácie o významných položkách časového rozlíšenia</t>
  </si>
  <si>
    <t>24.1</t>
  </si>
  <si>
    <t>24.2.</t>
  </si>
  <si>
    <t>Informácie o rezervách</t>
  </si>
  <si>
    <t>25.1</t>
  </si>
  <si>
    <t>25.2</t>
  </si>
  <si>
    <t>Informácie o záväzkoch</t>
  </si>
  <si>
    <t>Revenues from merchandise (604,607)</t>
  </si>
  <si>
    <t>Tržby</t>
  </si>
  <si>
    <t>Informácie o tržbách</t>
  </si>
  <si>
    <t>Aktivácia</t>
  </si>
  <si>
    <t>Informácie o výnosoch pri aktivácii nákladov a o výnosoch z hospodárskej činnosti, finančnej činnosti a mimoriadnej činnosti</t>
  </si>
  <si>
    <t>Informácie o čistom obrate</t>
  </si>
  <si>
    <t>Náklady</t>
  </si>
  <si>
    <t>Informácie o nákladoch</t>
  </si>
  <si>
    <t>Dane z príjmov</t>
  </si>
  <si>
    <t>Informácie o daniach z príjmov</t>
  </si>
  <si>
    <t>Daň v %</t>
  </si>
  <si>
    <t>Údaje o príjmoch a výhodách členov štatutárnych, dozorných a iných orgánov</t>
  </si>
  <si>
    <t>46.1</t>
  </si>
  <si>
    <t>strana</t>
  </si>
  <si>
    <r>
      <t xml:space="preserve">Please </t>
    </r>
    <r>
      <rPr>
        <b/>
        <i/>
        <sz val="8"/>
        <color indexed="10"/>
        <rFont val="Arial"/>
        <family val="2"/>
      </rPr>
      <t>read</t>
    </r>
    <r>
      <rPr>
        <i/>
        <sz val="8"/>
        <color indexed="10"/>
        <rFont val="Arial"/>
        <family val="2"/>
      </rPr>
      <t xml:space="preserve"> carefully comments for writing data in </t>
    </r>
    <r>
      <rPr>
        <b/>
        <i/>
        <sz val="8"/>
        <color indexed="10"/>
        <rFont val="Arial"/>
        <family val="2"/>
      </rPr>
      <t>correct</t>
    </r>
    <r>
      <rPr>
        <i/>
        <sz val="8"/>
        <color indexed="10"/>
        <rFont val="Arial"/>
        <family val="2"/>
      </rPr>
      <t xml:space="preserve"> format</t>
    </r>
  </si>
  <si>
    <r>
      <t xml:space="preserve">Name of entity </t>
    </r>
    <r>
      <rPr>
        <b/>
        <sz val="8"/>
        <rFont val="Arial"/>
        <family val="2"/>
        <charset val="238"/>
      </rPr>
      <t>(including legal form)</t>
    </r>
    <r>
      <rPr>
        <b/>
        <sz val="8"/>
        <rFont val="Arial"/>
        <family val="2"/>
      </rPr>
      <t xml:space="preserve"> :</t>
    </r>
  </si>
  <si>
    <t>#</t>
  </si>
  <si>
    <r>
      <t>KONTROLA SUC</t>
    </r>
    <r>
      <rPr>
        <sz val="8"/>
        <color theme="1"/>
        <rFont val="Arial"/>
        <family val="2"/>
        <charset val="238"/>
      </rPr>
      <t>T</t>
    </r>
    <r>
      <rPr>
        <b/>
        <sz val="8"/>
        <color theme="1"/>
        <rFont val="Arial"/>
        <family val="2"/>
        <charset val="238"/>
      </rPr>
      <t>OV</t>
    </r>
  </si>
  <si>
    <t>POZNÁMKY</t>
  </si>
  <si>
    <t>priebežná</t>
  </si>
  <si>
    <t>BALANCE SHEET</t>
  </si>
  <si>
    <t>Balance sheet Úč POD 1 - 01</t>
  </si>
  <si>
    <t>as of</t>
  </si>
  <si>
    <t>in full EUR</t>
  </si>
  <si>
    <t>Numerical data must align right, other data must be written from left. Unused rows must be left blank.</t>
  </si>
  <si>
    <t>Data must be written in block letters (based on the example), by typewriter or printer, in black or dark blue ink.</t>
  </si>
  <si>
    <t>Á  Ä  B  Č  D  É  F  G  H  Í  J  K  L  M  N  O  P  Q  R  Š  T  Ú  V  X  Ý  Ž  0  1  2  3  4  5  6  7  8  9</t>
  </si>
  <si>
    <t>Tax identification number</t>
  </si>
  <si>
    <t>Financial statements</t>
  </si>
  <si>
    <t>Month</t>
  </si>
  <si>
    <t>Year</t>
  </si>
  <si>
    <t>For period</t>
  </si>
  <si>
    <t>from</t>
  </si>
  <si>
    <t>Identification number</t>
  </si>
  <si>
    <t>Ordinary</t>
  </si>
  <si>
    <t>Prepared</t>
  </si>
  <si>
    <t>to</t>
  </si>
  <si>
    <t>Extraordinary</t>
  </si>
  <si>
    <t>Approved</t>
  </si>
  <si>
    <t xml:space="preserve">Directly preceding 
period
</t>
  </si>
  <si>
    <t>(marked with x)</t>
  </si>
  <si>
    <t>Business name of entity</t>
  </si>
  <si>
    <t>Registered seat of entity</t>
  </si>
  <si>
    <t>Street</t>
  </si>
  <si>
    <t>Number</t>
  </si>
  <si>
    <t>ZIP Code</t>
  </si>
  <si>
    <t>Town</t>
  </si>
  <si>
    <t>Phone number</t>
  </si>
  <si>
    <t>Fax number</t>
  </si>
  <si>
    <t>E-mail</t>
  </si>
  <si>
    <t>Signature of the person responsible for maintaining the accounting:</t>
  </si>
  <si>
    <t>Signature of the person responsible for the preparation of the financial statements:</t>
  </si>
  <si>
    <t>Signature of the member of the statutory body of the entity or physical person who is the entity:</t>
  </si>
  <si>
    <t>Tax Office records</t>
  </si>
  <si>
    <t>Place for the reference number</t>
  </si>
  <si>
    <t>Stamp of the Tax Office</t>
  </si>
  <si>
    <t>Tax ID</t>
  </si>
  <si>
    <t>Line
a</t>
  </si>
  <si>
    <t>ASSETS
b</t>
  </si>
  <si>
    <t>Line no.
c</t>
  </si>
  <si>
    <t>Current period</t>
  </si>
  <si>
    <t>Prior period</t>
  </si>
  <si>
    <r>
      <t xml:space="preserve">Gross value - </t>
    </r>
    <r>
      <rPr>
        <sz val="7.5"/>
        <rFont val="Arial"/>
        <family val="2"/>
        <charset val="238"/>
      </rPr>
      <t>part 1</t>
    </r>
  </si>
  <si>
    <t>Net value    2</t>
  </si>
  <si>
    <r>
      <t xml:space="preserve">Adjustment - </t>
    </r>
    <r>
      <rPr>
        <sz val="7.5"/>
        <rFont val="Arial"/>
        <family val="2"/>
        <charset val="238"/>
      </rPr>
      <t>part 2</t>
    </r>
  </si>
  <si>
    <t>Net value    3</t>
  </si>
  <si>
    <t>TOTAL ASSETS
l. 002 + l. 030
+ l. 061</t>
  </si>
  <si>
    <t>Non-current assets
l. 003 + l. 011
+ l. 021</t>
  </si>
  <si>
    <t>Non-current intangible assets  total (l. 004 to
010)</t>
  </si>
  <si>
    <t>Capitalized development cost
(012) - /072, 091A/</t>
  </si>
  <si>
    <t>Software
(013) - /073, 091A/</t>
  </si>
  <si>
    <t>Valuable rights
(014) - /074, 091A/</t>
  </si>
  <si>
    <t>Other non-current intangible assets
(019, 01X) - /079,
07X, 091A/</t>
  </si>
  <si>
    <t>Non-current intangible assets under construction
(041) - 093</t>
  </si>
  <si>
    <t>Advance payments for non-current intangible assets
(051) - 095A</t>
  </si>
  <si>
    <t>Land
(031) - 092A</t>
  </si>
  <si>
    <t>Buildings
(021) - /081,092A/</t>
  </si>
  <si>
    <t>Plant and equipment
(022) - /082, 092A/</t>
  </si>
  <si>
    <t>Perennial crops
(025) - /085, 092A/</t>
  </si>
  <si>
    <t>Livestock and draught animals
(026) - /086, 092A/</t>
  </si>
  <si>
    <t>Other non-current tangible assets
(029, 02X, 032) -
/089, 08X, 092A/</t>
  </si>
  <si>
    <t>Non-current tangible assets under construction
(042) - 094</t>
  </si>
  <si>
    <t>Advance payments for non-current tangible assets
(052) - 095A</t>
  </si>
  <si>
    <t>Adjustments for assets acquired
(+/- 097) +/- 098</t>
  </si>
  <si>
    <t>Non-current financial assets  total (l. 022 to 029)</t>
  </si>
  <si>
    <t>Investment in subsidiaries
(061) - 096A</t>
  </si>
  <si>
    <t>Investment in  interest in associates
(062) - 096A</t>
  </si>
  <si>
    <t>Other non-current investments
(063, 065) - 096A</t>
  </si>
  <si>
    <t>Loans to entities in consolidated group
(066A) - 096A</t>
  </si>
  <si>
    <t>Other non-current financial assets
(067A, 069, 06XA)
- 096A</t>
  </si>
  <si>
    <t>Loans with maturity up to one year
(066A, 067A, 06XA)
- 096A</t>
  </si>
  <si>
    <t>Non-current financial assets under construction
(043) - 096A</t>
  </si>
  <si>
    <t>Advance payments for non-current financial assets
(053) - 095A</t>
  </si>
  <si>
    <t>Current assets
l. 031 + l. 038
+ l. 046 + l. 055</t>
  </si>
  <si>
    <t>Raw material
(112, 119, 11X) - /191,19X/</t>
  </si>
  <si>
    <t>Work in progress and semi-finished goods
(121, 122, 12X) -
/192, 193, 19X/</t>
  </si>
  <si>
    <t>Finished goods
(123) - 194</t>
  </si>
  <si>
    <t>Livestock
(124) - 195</t>
  </si>
  <si>
    <t>Merchandise
(132, 13X, 139)
- /196, 19X/</t>
  </si>
  <si>
    <t>Advance payments for inventories
(314A) - 391A</t>
  </si>
  <si>
    <t>Trade receivables
(311A, 312A, 313A,
314A, 315A, 31XA)
- 391A</t>
  </si>
  <si>
    <t>Receivables from subsidiary and controlling entity
(351A) - 391A</t>
  </si>
  <si>
    <t>Other receivables within consolidated group
(351A) - 391A</t>
  </si>
  <si>
    <t>Receivables from partners and consortium members
(354A, 355A, 358A,
35XA) - 391A</t>
  </si>
  <si>
    <t>Other receivables
(335A, 33XA, 371A,
373A, 374A, 375A,
376A, 378A) - 391A</t>
  </si>
  <si>
    <t>Deferred tax asset
(481A)</t>
  </si>
  <si>
    <t>Trade receivables
(311A, 312A, 313A,
314A, 315A, 31XA) -
391A</t>
  </si>
  <si>
    <t>Receivables from subsidiary and controlling enterprise
(351A) - 391A</t>
  </si>
  <si>
    <t>Receivables from partners and consortium members
(354A, 355A, 358A,
35XA, 398A) - 391A</t>
  </si>
  <si>
    <t>Social security receivables
(336) - 391A</t>
  </si>
  <si>
    <t>Tax receivables
(341, 342, 343, 345,
346, 347) - 391A</t>
  </si>
  <si>
    <t>Cash
(211, 213, 21X)</t>
  </si>
  <si>
    <t>Bank accounts
(221A, 22X +/- 261)</t>
  </si>
  <si>
    <t>Term deposits exceeding one year 
22XA</t>
  </si>
  <si>
    <t>Short-term financial assets
(251, 253, 256, 257,
25X) - /291, 29X/</t>
  </si>
  <si>
    <t>Short-term financial assets under construction
(259, 314A) - 291</t>
  </si>
  <si>
    <t>Accruals and prepayments  total
l. 062 and 065</t>
  </si>
  <si>
    <t>Prepaid expenses 
long-term
(381A, 382A)</t>
  </si>
  <si>
    <t>Prepaid expenses 
short-term
(381A, 382A)</t>
  </si>
  <si>
    <t>Accrued revenues 
long-term
(385A)</t>
  </si>
  <si>
    <t>Accrued revenues 
short-term
(385A)</t>
  </si>
  <si>
    <t>LIABILITIES AND EQUITY
b</t>
  </si>
  <si>
    <t>Current period
4</t>
  </si>
  <si>
    <t>Prior period
5</t>
  </si>
  <si>
    <t>SHAREHOLDERS' EQUITY AND LIABILITIES TOTAL
l. 067 + 088 + 121</t>
  </si>
  <si>
    <t>Shareholders' equity 
l. 068+ 073+ 080 + 084+ 087</t>
  </si>
  <si>
    <t>Asset and liabilities revaluation reserve
(+/- 414)</t>
  </si>
  <si>
    <t>Profit or loss from current period /+-/
l. 001 - (068 + 073 + 080 + 084 + 088 + 121)</t>
  </si>
  <si>
    <t>Other non-current liabilities
(474A, 479A, 47XA, 372A, 373A, 377A)</t>
  </si>
  <si>
    <t>Trade payables
(321, 322, 324, 325, 32X, 475A, 478A, 479A, 47XA)</t>
  </si>
  <si>
    <t>Other liabilities within consolidated group
(361A, 36XA, 471A, 47XA)</t>
  </si>
  <si>
    <t>Tax liabilities and subsidies
(341, 342, 343, 345, 346, 347, 34X)</t>
  </si>
  <si>
    <t>Other short-term liabilities
(372A, 373A, 377A, 379A, 474A, 479A, 47X)</t>
  </si>
  <si>
    <t>INCOME STATEMENT</t>
  </si>
  <si>
    <t>Income Statement Úč POD 2-01</t>
  </si>
  <si>
    <t>at</t>
  </si>
  <si>
    <t>Numbers should be justified to the right, other data is justified to the left. Lines not filled out are left blank.</t>
  </si>
  <si>
    <t>The information should be written in block letters (see this example), using a typewriter or printer with black or dark blue ink.</t>
  </si>
  <si>
    <t>(marked with X)</t>
  </si>
  <si>
    <t>Actual result in</t>
  </si>
  <si>
    <t>Line no
c</t>
  </si>
  <si>
    <t>current period
1</t>
  </si>
  <si>
    <t>prior period
2</t>
  </si>
  <si>
    <t>Revnues from merchandise (604)</t>
  </si>
  <si>
    <t>Costs of merchandise sold
(504, 505A)</t>
  </si>
  <si>
    <t>Other operating revenues
(644, 645, 646, 648, 655, 657)</t>
  </si>
  <si>
    <t>Other operating expenses
(543, 544, 545, 546, 548, 549, 555, 557)</t>
  </si>
  <si>
    <t>Income from long-term financial assets
l.30 + 31 + 32</t>
  </si>
  <si>
    <t>Profit/(loss) from financial activities
l. 27 - 28 + 29 + 33 - 34 + 35 - 36 - 37 + 38 - 39
+ 40 - 41 + 42 -43 + (-44) - (-45)</t>
  </si>
  <si>
    <t xml:space="preserve"> - payable (591, 595)</t>
  </si>
  <si>
    <t xml:space="preserve"> - deferred (+/- 592)</t>
  </si>
  <si>
    <t>Net profit/(loss) from ordinary activities after tax
l. 47 - l. 48</t>
  </si>
  <si>
    <t xml:space="preserve"> - payable (593)</t>
  </si>
  <si>
    <t xml:space="preserve"> - deferred (+/ 594)</t>
  </si>
  <si>
    <t>Profit/(loss) share transferred to owners' account
(+/-596)</t>
  </si>
  <si>
    <t>Brutto - časť 1</t>
  </si>
  <si>
    <t>Korekcia - časť 2</t>
  </si>
  <si>
    <t>Bilanz Úč POD 1 - 01</t>
  </si>
  <si>
    <t>BILANZ</t>
  </si>
  <si>
    <t>zum</t>
  </si>
  <si>
    <t>in Euro</t>
  </si>
  <si>
    <t xml:space="preserve">Numerische Angaben werden nach rechts ausgerichtet, sonstige Angaben sind von links zu schreiben. </t>
  </si>
  <si>
    <t>Nicht ausgefüllte Zeilen sollen leer gelassen werden.</t>
  </si>
  <si>
    <t>Die Angaben sind mit Blockschrift  (nach diesem Muster), Schreibmaschine oder Drucker in schwarzer oder dunkelblauer Farbe auszufüllen.</t>
  </si>
  <si>
    <t>Á  Ä  B  Č  D  É  F  G  H  Í  J  K  L  M  N  O  P  Q  R  Š  T  Ú  V  X  Ý  Ž   0  1  2  3  4  5  6  7  8  9</t>
  </si>
  <si>
    <t>Umsatzsteuer-ID</t>
  </si>
  <si>
    <t>Jahresabschluss</t>
  </si>
  <si>
    <t>Monat</t>
  </si>
  <si>
    <t>Jahr</t>
  </si>
  <si>
    <t>Geschäftsjahr</t>
  </si>
  <si>
    <t>von</t>
  </si>
  <si>
    <t>INO</t>
  </si>
  <si>
    <t>Ordnungsmässiger</t>
  </si>
  <si>
    <t>Erstellt</t>
  </si>
  <si>
    <t>bis</t>
  </si>
  <si>
    <t>Ausserordentlicher</t>
  </si>
  <si>
    <t>Genehmigt</t>
  </si>
  <si>
    <t>(bitte ankreuzen)</t>
  </si>
  <si>
    <t>Vorjahr</t>
  </si>
  <si>
    <t>Name des Buchführungspflichtigen</t>
  </si>
  <si>
    <t>Sitz des Buchführungspflichtigen</t>
  </si>
  <si>
    <t>Strasse</t>
  </si>
  <si>
    <t>Nummer</t>
  </si>
  <si>
    <t>Postleitzahl</t>
  </si>
  <si>
    <t>Ort</t>
  </si>
  <si>
    <t>Telefonnummer</t>
  </si>
  <si>
    <t>Fax</t>
  </si>
  <si>
    <t>Email</t>
  </si>
  <si>
    <t>Erstellt am :</t>
  </si>
  <si>
    <t>Verantwortlich für den Jahresabshluss (Name und Unterschrift):</t>
  </si>
  <si>
    <t>Verantwortlich für die Buchführung (Name und Unterschrift)</t>
  </si>
  <si>
    <t>Vertreter des statutarischen Organs oder der buchungspflichtigen natürlichen Person</t>
  </si>
  <si>
    <t>Genehmigt am:</t>
  </si>
  <si>
    <t>Eintragungen des Finanzamtes</t>
  </si>
  <si>
    <t>Platz für die Referenznummer</t>
  </si>
  <si>
    <t>Stempel des Finanzamtes</t>
  </si>
  <si>
    <t>USt-ID</t>
  </si>
  <si>
    <t>Bezei-chnung
a</t>
  </si>
  <si>
    <t>AKTIVA
b</t>
  </si>
  <si>
    <t>Zeile
c</t>
  </si>
  <si>
    <t>Laufendes Jahr</t>
  </si>
  <si>
    <t>Brutto - Teil 1</t>
  </si>
  <si>
    <t>Korrektur - Teil 2</t>
  </si>
  <si>
    <t>Aktiva Gesamt Z. 002+030+061</t>
  </si>
  <si>
    <t>Anlagevermögen Z. 003+011+021</t>
  </si>
  <si>
    <t>Immaterielle Vermögensgegenstände (Z. 004 bis 010)</t>
  </si>
  <si>
    <t>Aktivierte Entwicklungskosten (012) -/072, 091A/</t>
  </si>
  <si>
    <t>Software (013) -/073, 091A/</t>
  </si>
  <si>
    <t>Bewertbare Rechte (014) -/074, 091A/</t>
  </si>
  <si>
    <t>Goodwill (015) -/075, 091A/</t>
  </si>
  <si>
    <t>Sonstige immaterielle Vermögensgegenstände (019, 01x) -/079, 07x, 091A/</t>
  </si>
  <si>
    <t>Im Anschaffungsprozess befindliche immaterielle Vermögensgegenstände (041) - 093</t>
  </si>
  <si>
    <t>Geleistete Anzahlungen auf immaterielle Vermögensgegenstände (051) -095A</t>
  </si>
  <si>
    <t>Sachanlagen (Z. 012 bis 020)</t>
  </si>
  <si>
    <t>Grundstücke (031) -092A</t>
  </si>
  <si>
    <t>Bauten (021) -/081, 092A/</t>
  </si>
  <si>
    <t>Eigenständige bewegliche Sachen und Gesamtheiten von beweglichen Sachen (022) -/082, 092A/</t>
  </si>
  <si>
    <t>Dauerhaft bepflanzte Anbauflächen (025) -/085, 092A/</t>
  </si>
  <si>
    <t>Grundherde und Zugtiere  (026) -/086, 092A/</t>
  </si>
  <si>
    <t>Sonstige Sachanlagen (029, 02x, 032) -/089, 08x, 092A/</t>
  </si>
  <si>
    <t>Sachanlagen im Bau (042) -094</t>
  </si>
  <si>
    <t>Geleistete Anzahlungen auf Sachanlagen (052) -095A</t>
  </si>
  <si>
    <t>Wertberichtigung auf erworbenes Vermögen (+/-097) +/-098</t>
  </si>
  <si>
    <t>Finanzanlagen (Z. 022 bis 029)</t>
  </si>
  <si>
    <t>Anteile an verbundenen Unternehmen (061) –096A</t>
  </si>
  <si>
    <t>Beteiligungen (062) –096A</t>
  </si>
  <si>
    <t>Sonstige Wertpapiere des Anlagevermögens (063, 065) -096A</t>
  </si>
  <si>
    <t>Ausleihungen an verbundene Unternehmen (066) -096A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</si>
  <si>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</si>
  <si>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</si>
  <si>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</si>
  <si>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</si>
  <si>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Umlaufvermögen  Z. 031+038+046+055</t>
  </si>
  <si>
    <t>Vorräte (Z. 032 bis 037)</t>
  </si>
  <si>
    <t>Roh-, Hilfs- und Betriebsstoffe (112,119,11x) -/191,19x/</t>
  </si>
  <si>
    <t>Unfertige Erzeugnisse und Halbfabrikate (121,122,12x) -/192, 193, 19x/</t>
  </si>
  <si>
    <t>Fertige Erzeugnisse (123) –194</t>
  </si>
  <si>
    <t>Tiere (124) –195</t>
  </si>
  <si>
    <t>Waren (132,13x,139) –/196,19x/</t>
  </si>
  <si>
    <t>Geleistete Anzahlungen auf Vorräte (314A) -391A</t>
  </si>
  <si>
    <t>Langfristige Forderungen (Z. 039 bis 045)</t>
  </si>
  <si>
    <t>Forderungen aus Lieferungen und Leistungen  (311A, 312A, 313A, 314A, 315A, 31XA) –391A</t>
  </si>
  <si>
    <t>Nettowert des Fertigungsauftrags
(316A)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</si>
  <si>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</si>
  <si>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</si>
  <si>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</si>
  <si>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</si>
  <si>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Latente Steuerforderung  (481A)</t>
  </si>
  <si>
    <t>Kurzfristige Forderungen (Z. 047 bis 054)</t>
  </si>
  <si>
    <t>Forderungen aus Lieferungen und Leistungen (311A, 312A, 313A, 314A, 315A, 31XA) -391A</t>
  </si>
  <si>
    <t>Forderungen gegen Gesellschafter, Mitglieder und der Vereinigung (354A, 355A, 358A, 35XA, 398A) –391A</t>
  </si>
  <si>
    <t>Forderungen aus der Sozialversicherung (336A) -391A</t>
  </si>
  <si>
    <t>Steuerforderung (341,342,343,345,346,347) -391A</t>
  </si>
  <si>
    <t>Finanzkonten (Z. 056 bis 060)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</si>
  <si>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</si>
  <si>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</si>
  <si>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</si>
  <si>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</si>
  <si>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(259, 314A) - 291</t>
  </si>
  <si>
    <t>Rechnungsabgrenzung  (Z. 062 und 065)</t>
  </si>
  <si>
    <t>Langfristige Aufwendungen künftiger Perioden
(381A, 382A)</t>
  </si>
  <si>
    <t>Kurzfristige Aufwendungen künftiger Perioden
(381A, 382A)</t>
  </si>
  <si>
    <t>Langfristige Einnahmen künftiger Perioden
(385A)</t>
  </si>
  <si>
    <t>Kurzfristige Einnahmen künftiger Perioden
(385A)</t>
  </si>
  <si>
    <t>PASSIVA
b</t>
  </si>
  <si>
    <t>Laufendes Jahr
4</t>
  </si>
  <si>
    <t>Vorjahr
5</t>
  </si>
  <si>
    <t>Summe Passiva Z. 067 + 088 + 121</t>
  </si>
  <si>
    <t>Eigenkapital Z. 068+ 073+ 080 + 084 + 087</t>
  </si>
  <si>
    <t>Grund-/Stammkapital (Z. 069 bis 072)</t>
  </si>
  <si>
    <t>Grund-/Stammkapital (411 bzw. +/-491)</t>
  </si>
  <si>
    <t>Eigene Aktien sowie eigene Geschäftsanteile (/-/252)</t>
  </si>
  <si>
    <t>Änderung des Grund-/Stammkapitals +/- 419</t>
  </si>
  <si>
    <t>Kapitalrücklagen (Z. 074 bis 079)</t>
  </si>
  <si>
    <t>Emmissionsagio (412)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</si>
  <si>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</si>
  <si>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</si>
  <si>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</si>
  <si>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</si>
  <si>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</si>
  <si>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081 bis 083)</t>
  </si>
  <si>
    <t>Gesetzliche Rücklage (421)</t>
  </si>
  <si>
    <t>Unteilbarer Fonds (422)</t>
  </si>
  <si>
    <t>Satzungsmässige und sonstige Rücklagen (423, 427,42X)</t>
  </si>
  <si>
    <t>Ergebnisvortrag  (Z. 085 und 086)</t>
  </si>
  <si>
    <t>Gewinnvortrag (428)</t>
  </si>
  <si>
    <t>Verlustvortrag (/-/429)</t>
  </si>
  <si>
    <t>Ergebnis der laufenden Berichtsperiode 
/+ -/ Z. 001 -(068+ 073+ 080 + 084 + 088 + 121)</t>
  </si>
  <si>
    <t>Verbindlichkeiten Z. 089+094+106+117 + 118</t>
  </si>
  <si>
    <t>Rückstellungen (Z.090 bis 093)</t>
  </si>
  <si>
    <t>Langfristige gesetzliche Rückstellungen (451A)</t>
  </si>
  <si>
    <t>Kurzfristige gesetzliche Rückstellungen (323A, 451A)</t>
  </si>
  <si>
    <t>Sonstige langfristige Rückstellungen (459A, 45XA)</t>
  </si>
  <si>
    <t>Sonstige kurzfristige Rückstellungen (323, 32X, 451A, 459A, 45XA)</t>
  </si>
  <si>
    <t>Langfristige Verbindlichkeiten (Z. 095 bis 104)</t>
  </si>
  <si>
    <t>Langfristige Verbindlichkeiten aus Lieferungen und Leistungen  (479A)</t>
  </si>
  <si>
    <t>Nicht in Rechnung gestellte Lieferungen (476A)</t>
  </si>
  <si>
    <t>Langfristige Verbindlichkeiten gegenüber verbundenen Unternehmen (471A)</t>
  </si>
  <si>
    <t>Sonstige langfristige Verbindlichkeiten innerhalb des Konsolidierungskreises (471A)</t>
  </si>
  <si>
    <t>Langfristige erhaltene Anzahlungen (475A)</t>
  </si>
  <si>
    <t>Langfristige Wechsel zur Einlösung (478A)</t>
  </si>
  <si>
    <t>Emmitierte Schuldverschreibungen (473A, /-/255A)</t>
  </si>
  <si>
    <t>Verbindlichkeiten aus dem Sozialfonds (472)</t>
  </si>
  <si>
    <t>Sonstige langfristige Verbindlichkeiten 
(474A ,479A, 47XA, 372A, 373A, 377A)</t>
  </si>
  <si>
    <t>Latente Steuerverbindlichkeit (481A)</t>
  </si>
  <si>
    <t>Kurzfristige Verbindlichkeiten (Z. 107 bis 116)</t>
  </si>
  <si>
    <t>Kurzfristige Verbindlichkeiten aus Lieferungen und Leistungen  (321, 322, 324, 325, 32X, 475A, 478A, 479A, 47XA)</t>
  </si>
  <si>
    <t>Nicht in Rechnung gestellte Lieferungen (326, 476A)</t>
  </si>
  <si>
    <t>Verbindlichkeiten gegenüber verbundenen Unternehmen (361, 471A)</t>
  </si>
  <si>
    <t>Sonstige Verbindlichkeiten innerhalb des Konsolidierungskreises (361A, 36XA, 471A, 47XA)</t>
  </si>
  <si>
    <t>Verbindlichkeiten gegenüber Gesellschaftern, Mitgliedern und der Vereinigung (364, 365, 366, 367, 368, 398A, 478A, 479A)</t>
  </si>
  <si>
    <t>Verbindlichkeiten gegenüber Arbeitnehmern (331, 333, 33X, 479A)</t>
  </si>
  <si>
    <t>Verbindlichkeiten aus der Sozialversicherung (336, 479A)</t>
  </si>
  <si>
    <t>Steuerverbindlichkeiten und Zuwendungen (341, 342, 343, 345, 346, 347, 34X)</t>
  </si>
  <si>
    <t>Sonstige Verbindlichkeiten (372A, 373A, 377A, 379A, 474A, 479A, 47X)</t>
  </si>
  <si>
    <t>Kurzfristige finanzielle Ausleihungen (241, 249, 24x, 473A, /-/255A)</t>
  </si>
  <si>
    <t>Summe Bankdarlehen (Z. 119 und 120)</t>
  </si>
  <si>
    <t>Langfristige Bankdarlehen (461A, 46XA)</t>
  </si>
  <si>
    <t>Kurzfristige Bankdarlehen (221A, 231, 232, 23X, 461A, 46XA)</t>
  </si>
  <si>
    <t>Rechnungsabgrenzung (Z.122 bis 125)</t>
  </si>
  <si>
    <t>Langfristige Ausgaben künftiger Perioden (383A)</t>
  </si>
  <si>
    <t>Kurzfristige Ausgaben künftiger Perioden (383A)</t>
  </si>
  <si>
    <t>Langfristige Erträge künftiger Perioden (384A)</t>
  </si>
  <si>
    <t>Kurzfristige Erträge künftiger Perioden (384A)</t>
  </si>
  <si>
    <t xml:space="preserve">GEWINN- </t>
  </si>
  <si>
    <t>G. und V. Rechnung Úč POD 2 - 01</t>
  </si>
  <si>
    <t>UND VERLUSTRECHNUNG</t>
  </si>
  <si>
    <t>Stand</t>
  </si>
  <si>
    <t>Laufendes Jahr
1</t>
  </si>
  <si>
    <t>Vorjahr
2</t>
  </si>
  <si>
    <t xml:space="preserve">Umsatzerlöse aus dem Warenverkauf (604)                                       </t>
  </si>
  <si>
    <t xml:space="preserve">Wareneinsatz (504)                       </t>
  </si>
  <si>
    <t xml:space="preserve">Handelsspanne Z. 01-02                          </t>
  </si>
  <si>
    <t xml:space="preserve">Produktion Z. 05+06+07                                     </t>
  </si>
  <si>
    <t xml:space="preserve">Umsatzerlöse aus dem Verkauf eigener Erzeugnisse und Dienstleistungen (601,602,606)          </t>
  </si>
  <si>
    <t xml:space="preserve">Erhöhung/Verminderung des Bestands an fertigen und unfertigen Erzeugnissen (+/- Kontengruppe 61)           </t>
  </si>
  <si>
    <t xml:space="preserve">Aktivierte Eigenleistungen (Kontengruppe 62)                                          </t>
  </si>
  <si>
    <t xml:space="preserve">Materialaufwand Z. 09+10                                     </t>
  </si>
  <si>
    <t xml:space="preserve">Aufwendungen für Roh-, Hilfs- und Betriebsstoffe und Energieverbrauch (501, 502, 503, 505A)                       </t>
  </si>
  <si>
    <t xml:space="preserve">Aufwendungen für bezogene Leistungen (Kontengruppe 51)                                           </t>
  </si>
  <si>
    <t xml:space="preserve">Wertschöpfung  Z. 03+04-08                   </t>
  </si>
  <si>
    <t xml:space="preserve">Personalaufwand geamt Z. 13 bis 16                             </t>
  </si>
  <si>
    <t xml:space="preserve">Löhne und Gehälter  (521, 522)                                        </t>
  </si>
  <si>
    <t xml:space="preserve">Bezüge der Mitglieder der Gesellschafts- und Genossenschaftsorgane (523)              </t>
  </si>
  <si>
    <t xml:space="preserve">Aufwendungen für Sozial- und Krankenversicherung und Altersversorgung  (524, 525, 526)                  </t>
  </si>
  <si>
    <t xml:space="preserve">Sonstige Sozialaufwendungen (527, 528)                                     </t>
  </si>
  <si>
    <t xml:space="preserve">Steuern und Abgaben (Kontengruppe 53)                                    </t>
  </si>
  <si>
    <t xml:space="preserve">Abschreibungen auf immaterielle Vermögensgegenstände und Sachanlagen (551, 553)         </t>
  </si>
  <si>
    <t xml:space="preserve">Erlöse aus dem Verkauf von Anlagevermögen und Material (641, 642)      </t>
  </si>
  <si>
    <t>Restbuchwert des verkauften Anlagevermögens und Materials (541, 542)</t>
  </si>
  <si>
    <t>Zuführung zu und Auflösung von Wertberichtigungen auf Forderungen (+/-547)</t>
  </si>
  <si>
    <t xml:space="preserve">Sonstige betriebliche Erträge (644, 645, 646, 648, 655, 657)                    </t>
  </si>
  <si>
    <t xml:space="preserve">Sonstige betriebliche Aufwendungen (543, 544, 545, 546, 547, 548, 549, 555, 557)                    </t>
  </si>
  <si>
    <t xml:space="preserve">Übertragung von betrieblichen Erträgen (-)(697)                         </t>
  </si>
  <si>
    <t xml:space="preserve">Übertragung von betrieblichen Aufwendungen (-)(597)                         </t>
  </si>
  <si>
    <t>Betriebsergebnis Z. 11-12-17-18+19-20-21+22-23+(-24)-(-25)</t>
  </si>
  <si>
    <t xml:space="preserve">Erlöse aus dem Verkauf von Wertpapieren und Beteiligungen (661)                 </t>
  </si>
  <si>
    <t>Verkaufte Wertpapiere und Beteiligungen (561)</t>
  </si>
  <si>
    <t xml:space="preserve">Erträge aus Finanzanlagen Z. 30+31+32                    </t>
  </si>
  <si>
    <t xml:space="preserve">Erträge aus Wertpapieren und Anteilen an verbundenen Unternehmen (665A) </t>
  </si>
  <si>
    <t>Erträge aus sonstigen Wertpapieren des Anlagevermögens und Anteilen (665A)</t>
  </si>
  <si>
    <t xml:space="preserve">Erträge aus sonstigen Finanzanlagen (665A)                  </t>
  </si>
  <si>
    <t xml:space="preserve">Erträge aus dem Finanzumlaufvermögen (666)                   </t>
  </si>
  <si>
    <t xml:space="preserve">Aufwendungen für das Finanzumlaufvermögen (566)                       </t>
  </si>
  <si>
    <t xml:space="preserve">Erträge aus der Neubewertung von Wertpapieren und Erträge aus Transaktionen mit derivativen Finanzinstrumenten (664, 667)                          </t>
  </si>
  <si>
    <t xml:space="preserve">Aufwendungen für die Neubewertung von Wertpapieren und Aufwendungen für Transaktionen mit derivativen Finanzinstrumenten (564, 567)     </t>
  </si>
  <si>
    <t xml:space="preserve">Bildung und Auflösung von Wertberichtigungen auf finanzielle Vermögenswerte +/- 565                                     </t>
  </si>
  <si>
    <t xml:space="preserve">Zinserträge (662)                                             </t>
  </si>
  <si>
    <t xml:space="preserve">Zinsaufwendungen (562)                                            </t>
  </si>
  <si>
    <t xml:space="preserve">Kursgewinne (663)                                            </t>
  </si>
  <si>
    <t xml:space="preserve">Kursverluste (563)                                </t>
  </si>
  <si>
    <t xml:space="preserve">Sonstige Finanzerträge (668)                               </t>
  </si>
  <si>
    <t xml:space="preserve">Sonstige Finanzaufwendungen (568, 569)                               </t>
  </si>
  <si>
    <t xml:space="preserve">Übertragung der Finanzerträge (-)(698)                               </t>
  </si>
  <si>
    <t xml:space="preserve">Übertragung der Finanzaufwendungen (-)(598)                              </t>
  </si>
  <si>
    <t>Ergebnis aus der Finanzierungstätigkeit
Z. 27 - 28 + 29 + 33 - 34 + 35 - 36 - 37 + 38
- 39  + 40 - 41 + 42 - 43 + (-44) - (-45)</t>
  </si>
  <si>
    <t>Ergebnis aus laufender Geschäftstätigkeit vor Steuern Z.26 + Z.46</t>
  </si>
  <si>
    <t xml:space="preserve">Einkommensteuer aus gewöhnlicher Geschäftstätigkeit Z. 49 + 50                          </t>
  </si>
  <si>
    <t>- fällig (591, 595)</t>
  </si>
  <si>
    <t xml:space="preserve">- latent (+/-592)                                                 </t>
  </si>
  <si>
    <t>Ergebnis aus laufender Geschäftstätigkeit nach Steuern Z. 47 - Z. 48</t>
  </si>
  <si>
    <t xml:space="preserve">Außerordentliche Erträge (Kontengruppe 68)                                 </t>
  </si>
  <si>
    <t xml:space="preserve">Außerordentliche Aufwendungen (Kontengruppe 58)                                </t>
  </si>
  <si>
    <t>Ergebnis aus außergewöhnlicher Tätigkeit vor Steuern Z.52 - Z.53</t>
  </si>
  <si>
    <t xml:space="preserve">Einkommensteuer aus außerordentlicher Geschäftstätigkeit Z. 56 + 57                   </t>
  </si>
  <si>
    <t xml:space="preserve">- fällig (593)                                                 </t>
  </si>
  <si>
    <t xml:space="preserve">- latent (594)                                                 </t>
  </si>
  <si>
    <t>Ergebnis aus außergewöhnlicher Tätigkeit nach Steuern Z.54 - Z.55</t>
  </si>
  <si>
    <t xml:space="preserve">Jahresergebnis vor Steuern (+/-) Z.47+ Z.54         </t>
  </si>
  <si>
    <t xml:space="preserve">Ergebnisanteile der persönlich haftenden Gesellschafter (nur OHG, KG) (+/-596)  </t>
  </si>
  <si>
    <t xml:space="preserve">Jahresüberschuß/Jahresfehlbetrag  
(+/-) Z.51 + Z.58 - Z.60           </t>
  </si>
  <si>
    <t>individuálnej účtovnej závierky</t>
  </si>
  <si>
    <t>zostavenej k</t>
  </si>
  <si>
    <t>UVPOD3_1</t>
  </si>
  <si>
    <t>Poznámky Úč POD 3 - 04</t>
  </si>
  <si>
    <t>v eurocentoch</t>
  </si>
  <si>
    <t>v celých eurách</t>
  </si>
  <si>
    <t>Podpisový záznam člena
štatutárneho orgánu účtovnej
jednotky alebo fyzickej osoby,
ktorá je účtovnou jednotkou:</t>
  </si>
  <si>
    <t>Podpisový záznam osoby
zodpovednej za vedenie
účtovníctva:</t>
  </si>
  <si>
    <t>Pohľadávky voči DÚJ a MÚJ</t>
  </si>
  <si>
    <t>Ostatné pohľadávky v rámci kons. celku</t>
  </si>
  <si>
    <t>Bežné účty v banke alebo v pobočke zahraničnej banky</t>
  </si>
  <si>
    <t>Vkladové účty v banke alebo v pobočke zahraničnej banky termínované</t>
  </si>
  <si>
    <t>Vplyv nevykázanej odloženej daňovej pohľadávky</t>
  </si>
  <si>
    <t>Zmena sadzby dane</t>
  </si>
  <si>
    <t>Vizeum Slovakia, s.r.o.</t>
  </si>
  <si>
    <t>35896281</t>
  </si>
  <si>
    <t>Teslova</t>
  </si>
  <si>
    <t>82102</t>
  </si>
  <si>
    <t>Bratuslava</t>
  </si>
  <si>
    <t>reklamná činnosť v rozsahu voľnej živnosti,</t>
  </si>
  <si>
    <t>marketing a manažment, sprostredkovanie reklamy.</t>
  </si>
  <si>
    <t>Aegis Media (Central Europe &amp; Africa) GmbH</t>
  </si>
  <si>
    <t>Spoločnosť  nie je v žiadnom podniku neobmedzene ručiacim spoločníkom.</t>
  </si>
  <si>
    <t>Členovia štatutárnych orgánov k 31. decembru 2013:</t>
  </si>
  <si>
    <t>Ing. Peter Chajda</t>
  </si>
  <si>
    <t>Ing. Roman Filla</t>
  </si>
  <si>
    <t>doména</t>
  </si>
  <si>
    <t>úroky z účtu ING bank</t>
  </si>
  <si>
    <t>na služby audítorov</t>
  </si>
  <si>
    <t xml:space="preserve">na služby daňového poradcu </t>
  </si>
  <si>
    <t>na nevyčerpané dovolenky</t>
  </si>
  <si>
    <t>na RZZP</t>
  </si>
  <si>
    <t>na bonusy klientov</t>
  </si>
  <si>
    <t>na výskumné dáta</t>
  </si>
  <si>
    <t>na koordinačné fee</t>
  </si>
  <si>
    <t>Slovenská republika</t>
  </si>
  <si>
    <t>EU</t>
  </si>
  <si>
    <t>kreditné úroky</t>
  </si>
  <si>
    <t>ostatné výnosy z hospodárskej činnosti</t>
  </si>
  <si>
    <t>nákup mediálneho priestoru</t>
  </si>
  <si>
    <t>na reklamné služby</t>
  </si>
  <si>
    <t>na nájomné a súvisiace služby</t>
  </si>
  <si>
    <t>ostatné</t>
  </si>
  <si>
    <t>Bankové poplatky</t>
  </si>
  <si>
    <t>Ostatné náklady na finančnú činnosť</t>
  </si>
  <si>
    <t>Aegis Media Czech Republic - predaj médií</t>
  </si>
  <si>
    <t>Vedenie spoločnosti navrhuje rozdeliť zisk  za rok 2013 nasledovne:</t>
  </si>
  <si>
    <t>Po 31. decembri 2013 nenastali také udalosti, ktoré majú významný vplyv na verné zobrazenie skutočností uvádzaných v tejto účtovnej závierke.</t>
  </si>
  <si>
    <t>Informácie o štruktúre spoločníkov ku dňu, ku ktorému sa zostavuje účtovná závierka a o štruktúre spoločníkov do dňa jej zmeny v priebehu účtovného obdobia</t>
  </si>
  <si>
    <t>Funkcia</t>
  </si>
  <si>
    <t>Meno</t>
  </si>
  <si>
    <t xml:space="preserve">Konanie menom spoločnosti </t>
  </si>
  <si>
    <t>Konateľ</t>
  </si>
  <si>
    <t>Prokurista</t>
  </si>
  <si>
    <t>spoločne s prokuristom</t>
  </si>
  <si>
    <t>s konateľom Ing. Chajdom</t>
  </si>
  <si>
    <r>
      <t xml:space="preserve">5.      </t>
    </r>
    <r>
      <rPr>
        <b/>
        <u/>
        <sz val="10"/>
        <color theme="1"/>
        <rFont val="Arial"/>
        <family val="2"/>
        <charset val="238"/>
      </rPr>
      <t>POHĽADÁVKY</t>
    </r>
  </si>
  <si>
    <r>
      <t xml:space="preserve">6.      </t>
    </r>
    <r>
      <rPr>
        <b/>
        <u/>
        <sz val="10"/>
        <color theme="1"/>
        <rFont val="Arial"/>
        <family val="2"/>
        <charset val="238"/>
      </rPr>
      <t>FINANČNÉ ÚČTY</t>
    </r>
  </si>
  <si>
    <t xml:space="preserve">Spoločnosť nemá krátkodobý finančný majetok, na ktorý bolo zriadené záložné právo ani krátkodobý finančný majetok, pri ktorom má spoločnosť obmedzené právo s ním nakladať. </t>
  </si>
  <si>
    <r>
      <t xml:space="preserve">7.      </t>
    </r>
    <r>
      <rPr>
        <b/>
        <u/>
        <sz val="10"/>
        <color theme="1"/>
        <rFont val="Arial"/>
        <family val="2"/>
        <charset val="238"/>
      </rPr>
      <t>ČASOVÉ ROZLÍŠENIE</t>
    </r>
  </si>
  <si>
    <r>
      <t xml:space="preserve">8.      </t>
    </r>
    <r>
      <rPr>
        <b/>
        <u/>
        <sz val="10"/>
        <color theme="1"/>
        <rFont val="Arial"/>
        <family val="2"/>
        <charset val="238"/>
      </rPr>
      <t>VLASTNÉ IMANIE</t>
    </r>
  </si>
  <si>
    <t>Rezervy sú vytvorené z dôvodu zásady opatrnosti. Spoločnosť plánuje použitie jednotlivých rezerv v kalendárnom  roku 2014.</t>
  </si>
  <si>
    <r>
      <t>11.     </t>
    </r>
    <r>
      <rPr>
        <b/>
        <u/>
        <sz val="10"/>
        <color theme="1"/>
        <rFont val="Arial"/>
        <family val="2"/>
        <charset val="238"/>
      </rPr>
      <t>ODLOŽENÁ DAŇ Z PRÍJMOV</t>
    </r>
  </si>
  <si>
    <t xml:space="preserve">Informácie o odloženej daňovej pohľadávke </t>
  </si>
  <si>
    <t>Mediálne služby</t>
  </si>
  <si>
    <t>Spoločnosť neposkytla žiadne príjmy ani výhody súčasným ani bývalým členom štatutárnych orgánov, dozorných orgánov ani 
iných orgánov v bežnom účtovnom období a aj bezprostredne predchádzajúcom období.</t>
  </si>
  <si>
    <t>Aegis Media Austria  Central Services GmbH</t>
  </si>
  <si>
    <t>Aegis Media Central Services, s.r.o.</t>
  </si>
  <si>
    <t>Carat Global Management</t>
  </si>
  <si>
    <t>- vyplatenie dividend</t>
  </si>
  <si>
    <t>Spoločník</t>
  </si>
  <si>
    <t xml:space="preserve">Účtovné zásady a metódy, ktoré spoločnosť používala pri zostavení účtovnej závierky za rok 2013 a 2012 sú nasledovné: </t>
  </si>
  <si>
    <t>na nákup dát pre plánovanie</t>
  </si>
  <si>
    <t>V roku 2013 neboli uskutočnené žiadne významné zmeny v zápise do Obchodného registra.</t>
  </si>
  <si>
    <t>Účtovná závierka bola zostavená podľa Zákona č. 431/2002 Z.z. o účtovníctve v znení neskorších predpisov za predpokladu nepretržitého trvania jej činnosti a je zostavená ako riadna účtovná závierka.</t>
  </si>
  <si>
    <t>Krátkodobý finančný majetok tvoria ceniny, peniaze v hotovosti a na bankových účtoch.</t>
  </si>
  <si>
    <t xml:space="preserve">Pohľadávky sa oceňujú menovitou hodnotou. Postúpené pohľadávky a pohľadávky nadobudnuté vkladom do základného imania sa oceňujú obstarávacou cenou. Ocenenie pochybných pohľadávok sa upravuje na ich realizovateľnú  hodnotu  opravnými  položkami. Spoločnosť vytvára 100% opravnú položku k pohľadávkam po lehote splatnosti viac ako 180 dní. </t>
  </si>
  <si>
    <t>K pochybným pohľadávkam neboli v roku 2013 a 2012 vytvorené opravné položky.</t>
  </si>
  <si>
    <t xml:space="preserve">Prehľad o peňažných tokoch bol spracovaný nepriamou metódou. </t>
  </si>
  <si>
    <t>a)    Finančný majetok</t>
  </si>
  <si>
    <t>b)    Pohľadávky</t>
  </si>
  <si>
    <t>c)    Náklady budúcich období a príjmy budúcich období</t>
  </si>
  <si>
    <t xml:space="preserve">d)    Záväzky </t>
  </si>
  <si>
    <t xml:space="preserve">e)    Rezervy </t>
  </si>
  <si>
    <t>f)    Výdavky budúcich období a výnosy budúcich období</t>
  </si>
  <si>
    <t>g)    Vlastné imanie</t>
  </si>
  <si>
    <t>h)    Transakcie v cudzích menách</t>
  </si>
  <si>
    <t>i)    Výnosy</t>
  </si>
  <si>
    <t>j)   Daň z príjmu</t>
  </si>
  <si>
    <t>k)   Opravy chýb minulých účtovných období</t>
  </si>
  <si>
    <r>
      <t xml:space="preserve">9.      </t>
    </r>
    <r>
      <rPr>
        <b/>
        <u/>
        <sz val="10"/>
        <color theme="1"/>
        <rFont val="Arial"/>
        <family val="2"/>
        <charset val="238"/>
      </rPr>
      <t>REZERVY</t>
    </r>
  </si>
  <si>
    <r>
      <t xml:space="preserve">10.      </t>
    </r>
    <r>
      <rPr>
        <b/>
        <u/>
        <sz val="10"/>
        <color theme="1"/>
        <rFont val="Arial"/>
        <family val="2"/>
        <charset val="238"/>
      </rPr>
      <t>ZÁVÄZKY</t>
    </r>
  </si>
  <si>
    <t>Aegis Media ltd Londýn</t>
  </si>
  <si>
    <t>Aegis Media Czech Republic - nákup médií</t>
  </si>
  <si>
    <t>Carat Slovakia, s.r.o.</t>
  </si>
  <si>
    <t>IC pohľadávky a záväzky k 31.12.2013</t>
  </si>
  <si>
    <t xml:space="preserve">IC pohľadávky a záväzky </t>
  </si>
  <si>
    <t>Suma</t>
  </si>
  <si>
    <t xml:space="preserve">IC pohľadávky spolu </t>
  </si>
  <si>
    <t xml:space="preserve">IC záväzky spolu </t>
  </si>
  <si>
    <t xml:space="preserve">Aegis Media Central Services, s.r.o. </t>
  </si>
  <si>
    <t xml:space="preserve">Vizeum Slovakia, s.r.o. (ďalej len „spoločnosť”) je spoločnosť s ručením obmedzeným, ktorá bola založená dňa 11. augusta 2004. Dňa 11. augusta 2014 bola zapísaná do Obchodného registra vedenom na Okresnom súde Bratislava I, oddiel Sro, vložka 32750/B. Spoločnosť sídli  v Teslova 20, 821 02 Bratislava, Slovenská republika, identifikačné číslo 35 896 281. </t>
  </si>
  <si>
    <t>Účtovná závierka spoločnosti za predchádzajúce účtovné obdobie k 31. decembru 2012 bola schválená valným zhromaždením spoločnosti dňa 14. novembra 2013.</t>
  </si>
  <si>
    <t>Spoločnosť nemá organizačnú zložku v zahraničí.</t>
  </si>
  <si>
    <t>Dlhodobé i krátkodobé záväzky sa vykazujú v menovitých hodnotách.</t>
  </si>
  <si>
    <t xml:space="preserve">Vlastné imanie sa skladá zo základného imania, zákonného rezervného fondu a výsledku hospodárenia v schvaľovacom konaní. </t>
  </si>
  <si>
    <t>Spoločnosť vytvára rezervný fond  do výšky 10% základného imania.</t>
  </si>
  <si>
    <t>Základné imanie spoločnosti sa vykazuje vo výške zapísanej v obchodnom registri okresného súdu. Prípadné zvýšenie alebo zníženie základného imania na základe rozhodnutia valného zhromaždenia, ktoré nebolo ku dňu účtovnej závierky zaregistrované, sa vykazuje ako zmeny základného imania.</t>
  </si>
  <si>
    <t>Spoločnosť v bežnom účtovnom období neúčtovala o oprave významných chýb minulých období.</t>
  </si>
  <si>
    <t xml:space="preserve">Spoločnosť nevlastnila dlhodobý nehmotný, hmotný ani dlhodobý finančný majetok v bežnom </t>
  </si>
  <si>
    <t>ani predchádzajúcom účtovnom období.</t>
  </si>
  <si>
    <t>Základné imanie má hodnotu 6 639 EUR. Základné imanie bolo celé upísané a splatené.</t>
  </si>
  <si>
    <t>Zákonný rezervný fond je tvorený vo výške 13 278 EUR, čo predstavuje 10 % základného imania a dosahuje výšku povinnej minimálnej tvorby podľa Obchodného zákonníka.</t>
  </si>
  <si>
    <t>Informácie o rozdelení účtovného zisku</t>
  </si>
  <si>
    <t>na zam. bonusy</t>
  </si>
  <si>
    <r>
      <t xml:space="preserve">12.      </t>
    </r>
    <r>
      <rPr>
        <b/>
        <u/>
        <sz val="10"/>
        <color theme="1"/>
        <rFont val="Arial"/>
        <family val="2"/>
        <charset val="238"/>
      </rPr>
      <t>INFORMÁCIE O ZÁVAZKOCH ZO SOCIÁLNEHO FONDU</t>
    </r>
  </si>
  <si>
    <r>
      <t>13.     </t>
    </r>
    <r>
      <rPr>
        <b/>
        <u/>
        <sz val="10"/>
        <color theme="1"/>
        <rFont val="Arial"/>
        <family val="2"/>
        <charset val="238"/>
      </rPr>
      <t>VÝNOSY A NÁKLADY</t>
    </r>
  </si>
  <si>
    <r>
      <t>14.     </t>
    </r>
    <r>
      <rPr>
        <b/>
        <u/>
        <sz val="10"/>
        <color theme="1"/>
        <rFont val="Arial"/>
        <family val="2"/>
        <charset val="238"/>
      </rPr>
      <t>INFORMÁCIE O SPRIAZNENÝCH OSOBÁCH</t>
    </r>
  </si>
  <si>
    <r>
      <t>15.     </t>
    </r>
    <r>
      <rPr>
        <b/>
        <u/>
        <sz val="10"/>
        <color theme="1"/>
        <rFont val="Arial"/>
        <family val="2"/>
        <charset val="238"/>
      </rPr>
      <t>INFORMÁCIE O ZMENÁCH VLASTNÉHO IMANIA</t>
    </r>
  </si>
  <si>
    <r>
      <t>16.     </t>
    </r>
    <r>
      <rPr>
        <b/>
        <u/>
        <sz val="10"/>
        <color theme="1"/>
        <rFont val="Arial"/>
        <family val="2"/>
        <charset val="238"/>
      </rPr>
      <t xml:space="preserve">PREHĽAD O PEŇAŽNÝCH TOKOCH </t>
    </r>
  </si>
  <si>
    <r>
      <t>17.     </t>
    </r>
    <r>
      <rPr>
        <b/>
        <u/>
        <sz val="10"/>
        <color theme="1"/>
        <rFont val="Arial"/>
        <family val="2"/>
        <charset val="238"/>
      </rPr>
      <t>VÝZNAMNÉ UDALOSTI, KTORÉ NASTALI PO DNI, KU KTORÉMU SA ZOSTAVUJE ÚČTOVNÁ ZÁVIERKA</t>
    </r>
  </si>
  <si>
    <t>Záväzky voči spriazneným osobám (poznámka číslo 14).</t>
  </si>
  <si>
    <t>Pohľadávky voči spriazneným osobám (poznámka číslo 14).</t>
  </si>
  <si>
    <t xml:space="preserve">Valné zhromaždenie spoločnosti konané dňa 14. novembra 2013 schválilo rozdelenie zisku za rok 2012. </t>
  </si>
  <si>
    <t xml:space="preserve">Zisk na podiel na základnom imaní predstavuje za rok 2013 120 260 EUR a za rok 2012 50 683 EUR.  </t>
  </si>
  <si>
    <t xml:space="preserve">Na základe rozhodnutia Valného zhromaždenia vyplatila spoločnosť podiely na zisku  vo výške 107 192 EUR za rok 2012, tvorila zákonný rezervný fond vo výške 332 EUR a vyrovnala stratu minulých období vo výške 12 736 EUR. </t>
  </si>
  <si>
    <t>za rok končiaci: 31.12.2013</t>
  </si>
  <si>
    <t>Zmena stavu rezerv</t>
  </si>
  <si>
    <t>Spoločnosť Vizeum Slovakia, s.r.o. je dcérskou spoločnosťou AEGIS Media (Central Europe &amp; Africa) GmbH so sídlom vo Wiesbadene, Spolková republika Nemecko, ktorá má 100-percentný podiel na jej základnom imaní. Materská spoločnosť AEGIS Media (Central Europe &amp; Africa) GmbH je dcérskou spoločnosťou spoločnosti AEGIS Group plc, London, ktorá má 100-percentný podiel na jej základnom imaní. Spoločnosť AEGIS Group plc, London zostavuje konsolidovanú účtovnú závierku za všetky skupiny podnikov konsolidovaného celku.</t>
  </si>
  <si>
    <t>Informácie o ekonomických vzťahoch medzi účtovnou jednotkou a spriaznenými osobami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</si>
</sst>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#,##0;\-#,##0;&quot;&quot;"/>
    <numFmt numFmtId="169" formatCode="[&lt;=9999999]###\ ##\ ##;##\ ##\ ##\ ##"/>
    <numFmt numFmtId="170" formatCode="[$-41B]mmmmm;@"/>
    <numFmt numFmtId="171" formatCode="_*\ #,##0__;_(* \-#,##0__;_(&quot;&quot;_);_(@_)"/>
    <numFmt numFmtId="172" formatCode="d/m/yyyy;@"/>
    <numFmt numFmtId="173" formatCode="00"/>
    <numFmt numFmtId="174" formatCode="dd\.mm\.yyyy"/>
    <numFmt numFmtId="175" formatCode="#,##0\ [$EUR]"/>
  </numFmts>
  <fonts count="8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i/>
      <sz val="8"/>
      <name val="Arial"/>
      <family val="2"/>
    </font>
    <font>
      <sz val="10"/>
      <name val="Arial CE"/>
      <family val="2"/>
      <charset val="238"/>
    </font>
    <font>
      <b/>
      <sz val="26"/>
      <name val="Arial CE"/>
      <family val="2"/>
      <charset val="238"/>
    </font>
    <font>
      <sz val="14"/>
      <name val="Arial CE"/>
      <family val="2"/>
      <charset val="238"/>
    </font>
    <font>
      <sz val="20"/>
      <color rgb="FFFF0000"/>
      <name val="Arial CE"/>
      <family val="2"/>
      <charset val="238"/>
    </font>
    <font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8"/>
      <name val="Arial CE"/>
      <family val="2"/>
      <charset val="238"/>
    </font>
    <font>
      <b/>
      <i/>
      <sz val="14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3"/>
      <name val="Arial CE"/>
      <family val="2"/>
      <charset val="238"/>
    </font>
    <font>
      <sz val="14"/>
      <color indexed="12"/>
      <name val="Arial CE"/>
      <family val="2"/>
      <charset val="238"/>
    </font>
    <font>
      <b/>
      <sz val="14"/>
      <color indexed="12"/>
      <name val="Arial CE"/>
      <family val="2"/>
      <charset val="238"/>
    </font>
    <font>
      <i/>
      <sz val="11"/>
      <name val="Arial CE"/>
      <family val="2"/>
      <charset val="238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i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u/>
      <sz val="11"/>
      <color theme="10"/>
      <name val="Calibri"/>
      <family val="2"/>
      <charset val="238"/>
    </font>
    <font>
      <i/>
      <sz val="8.5"/>
      <name val="Arial"/>
      <family val="2"/>
      <charset val="238"/>
    </font>
    <font>
      <i/>
      <sz val="7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15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ck">
        <color rgb="FF999999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64"/>
      </bottom>
      <diagonal/>
    </border>
    <border>
      <left style="thick">
        <color theme="0" tint="-0.499984740745262"/>
      </left>
      <right style="thick">
        <color indexed="64"/>
      </right>
      <top/>
      <bottom style="thick">
        <color indexed="64"/>
      </bottom>
      <diagonal/>
    </border>
    <border>
      <left style="thick">
        <color theme="0" tint="-0.499984740745262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theme="0" tint="-0.499984740745262"/>
      </right>
      <top/>
      <bottom style="thick">
        <color indexed="64"/>
      </bottom>
      <diagonal/>
    </border>
    <border>
      <left style="thick">
        <color theme="0" tint="-0.499984740745262"/>
      </left>
      <right/>
      <top/>
      <bottom style="thick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 style="thin">
        <color indexed="64"/>
      </top>
      <bottom style="thick">
        <color indexed="64"/>
      </bottom>
      <diagonal/>
    </border>
    <border>
      <left style="thick">
        <color theme="0" tint="-0.499984740745262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6">
    <xf numFmtId="0" fontId="0" fillId="0" borderId="0"/>
    <xf numFmtId="9" fontId="12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1" fillId="0" borderId="0"/>
    <xf numFmtId="0" fontId="24" fillId="0" borderId="0"/>
    <xf numFmtId="0" fontId="30" fillId="0" borderId="0"/>
    <xf numFmtId="0" fontId="31" fillId="0" borderId="0"/>
    <xf numFmtId="0" fontId="24" fillId="0" borderId="0"/>
    <xf numFmtId="0" fontId="70" fillId="0" borderId="0"/>
    <xf numFmtId="0" fontId="24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20" fillId="0" borderId="0" applyFont="0" applyFill="0" applyBorder="0" applyAlignment="0" applyProtection="0"/>
    <xf numFmtId="0" fontId="67" fillId="0" borderId="0"/>
    <xf numFmtId="0" fontId="86" fillId="0" borderId="0" applyNumberFormat="0" applyFill="0" applyBorder="0" applyAlignment="0" applyProtection="0">
      <alignment vertical="top"/>
      <protection locked="0"/>
    </xf>
  </cellStyleXfs>
  <cellXfs count="1573">
    <xf numFmtId="0" fontId="0" fillId="0" borderId="0" xfId="0"/>
    <xf numFmtId="0" fontId="13" fillId="0" borderId="0" xfId="0" applyFont="1" applyAlignment="1">
      <alignment horizontal="left"/>
    </xf>
    <xf numFmtId="0" fontId="14" fillId="0" borderId="0" xfId="0" applyFont="1"/>
    <xf numFmtId="0" fontId="13" fillId="0" borderId="0" xfId="0" applyFont="1" applyAlignment="1">
      <alignment horizontal="justify"/>
    </xf>
    <xf numFmtId="0" fontId="0" fillId="0" borderId="0" xfId="0" applyAlignment="1">
      <alignment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15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3" fontId="17" fillId="0" borderId="4" xfId="0" applyNumberFormat="1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3" fontId="17" fillId="0" borderId="6" xfId="0" applyNumberFormat="1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 wrapText="1"/>
    </xf>
    <xf numFmtId="3" fontId="17" fillId="0" borderId="8" xfId="0" applyNumberFormat="1" applyFont="1" applyBorder="1" applyAlignment="1">
      <alignment horizontal="right" vertical="center" wrapText="1"/>
    </xf>
    <xf numFmtId="0" fontId="17" fillId="0" borderId="0" xfId="0" applyFont="1"/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6" fillId="0" borderId="8" xfId="0" applyFont="1" applyBorder="1" applyAlignment="1">
      <alignment horizontal="center" vertical="center" wrapText="1"/>
    </xf>
    <xf numFmtId="3" fontId="17" fillId="0" borderId="13" xfId="0" applyNumberFormat="1" applyFont="1" applyBorder="1" applyAlignment="1">
      <alignment horizontal="right" vertical="center" wrapText="1"/>
    </xf>
    <xf numFmtId="9" fontId="17" fillId="0" borderId="13" xfId="1" applyFont="1" applyBorder="1" applyAlignment="1">
      <alignment horizontal="right" vertical="center" wrapText="1"/>
    </xf>
    <xf numFmtId="9" fontId="17" fillId="0" borderId="6" xfId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 wrapText="1"/>
    </xf>
    <xf numFmtId="3" fontId="17" fillId="0" borderId="14" xfId="0" applyNumberFormat="1" applyFont="1" applyBorder="1" applyAlignment="1">
      <alignment horizontal="right" vertical="center" wrapText="1"/>
    </xf>
    <xf numFmtId="9" fontId="17" fillId="0" borderId="14" xfId="0" applyNumberFormat="1" applyFont="1" applyBorder="1" applyAlignment="1">
      <alignment horizontal="right" vertical="center" wrapText="1"/>
    </xf>
    <xf numFmtId="9" fontId="17" fillId="0" borderId="14" xfId="1" applyFont="1" applyBorder="1" applyAlignment="1">
      <alignment horizontal="right" vertical="center" wrapText="1"/>
    </xf>
    <xf numFmtId="9" fontId="17" fillId="0" borderId="8" xfId="1" applyFont="1" applyBorder="1" applyAlignment="1">
      <alignment horizontal="right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9" fontId="17" fillId="0" borderId="13" xfId="1" applyNumberFormat="1" applyFont="1" applyBorder="1" applyAlignment="1">
      <alignment horizontal="right" vertical="center" wrapText="1"/>
    </xf>
    <xf numFmtId="9" fontId="17" fillId="0" borderId="6" xfId="1" applyNumberFormat="1" applyFont="1" applyBorder="1" applyAlignment="1">
      <alignment horizontal="right" vertical="center" wrapText="1"/>
    </xf>
    <xf numFmtId="0" fontId="17" fillId="0" borderId="14" xfId="0" applyFont="1" applyBorder="1" applyAlignment="1">
      <alignment horizontal="center" vertical="center" wrapText="1"/>
    </xf>
    <xf numFmtId="9" fontId="17" fillId="0" borderId="14" xfId="1" applyNumberFormat="1" applyFont="1" applyBorder="1" applyAlignment="1">
      <alignment horizontal="right" vertical="center" wrapText="1"/>
    </xf>
    <xf numFmtId="9" fontId="17" fillId="0" borderId="8" xfId="1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16" fillId="0" borderId="12" xfId="0" applyFont="1" applyBorder="1" applyAlignment="1">
      <alignment horizontal="center" vertical="center" wrapText="1"/>
    </xf>
    <xf numFmtId="0" fontId="17" fillId="0" borderId="15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3" fontId="17" fillId="0" borderId="16" xfId="0" applyNumberFormat="1" applyFont="1" applyBorder="1" applyAlignment="1">
      <alignment horizontal="right" vertical="center" wrapText="1"/>
    </xf>
    <xf numFmtId="3" fontId="17" fillId="0" borderId="17" xfId="0" applyNumberFormat="1" applyFont="1" applyBorder="1" applyAlignment="1">
      <alignment horizontal="right" vertical="center" wrapText="1"/>
    </xf>
    <xf numFmtId="3" fontId="17" fillId="0" borderId="18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0" fontId="16" fillId="0" borderId="1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9" fontId="17" fillId="0" borderId="13" xfId="1" applyFont="1" applyBorder="1" applyAlignment="1">
      <alignment horizontal="center" vertical="center" wrapText="1"/>
    </xf>
    <xf numFmtId="9" fontId="17" fillId="0" borderId="14" xfId="1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3" fontId="16" fillId="0" borderId="14" xfId="0" applyNumberFormat="1" applyFont="1" applyBorder="1" applyAlignment="1">
      <alignment horizontal="right" vertical="center" wrapText="1"/>
    </xf>
    <xf numFmtId="0" fontId="16" fillId="0" borderId="32" xfId="0" applyFont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horizontal="justify"/>
    </xf>
    <xf numFmtId="0" fontId="16" fillId="0" borderId="15" xfId="0" applyFont="1" applyBorder="1" applyAlignment="1">
      <alignment vertical="center" wrapText="1"/>
    </xf>
    <xf numFmtId="3" fontId="17" fillId="0" borderId="13" xfId="0" applyNumberFormat="1" applyFont="1" applyBorder="1" applyAlignment="1">
      <alignment horizontal="right" vertical="center" wrapText="1" indent="1"/>
    </xf>
    <xf numFmtId="3" fontId="17" fillId="0" borderId="6" xfId="0" applyNumberFormat="1" applyFont="1" applyBorder="1" applyAlignment="1">
      <alignment horizontal="right" vertical="center" wrapText="1" indent="1"/>
    </xf>
    <xf numFmtId="3" fontId="16" fillId="0" borderId="14" xfId="0" applyNumberFormat="1" applyFont="1" applyBorder="1" applyAlignment="1">
      <alignment horizontal="right" vertical="center" wrapText="1" indent="1"/>
    </xf>
    <xf numFmtId="3" fontId="16" fillId="0" borderId="8" xfId="0" applyNumberFormat="1" applyFont="1" applyBorder="1" applyAlignment="1">
      <alignment horizontal="right" vertical="center" wrapText="1" indent="1"/>
    </xf>
    <xf numFmtId="0" fontId="16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32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3" fontId="17" fillId="0" borderId="4" xfId="0" applyNumberFormat="1" applyFont="1" applyBorder="1" applyAlignment="1">
      <alignment horizontal="right" vertical="center"/>
    </xf>
    <xf numFmtId="3" fontId="17" fillId="0" borderId="8" xfId="0" applyNumberFormat="1" applyFont="1" applyBorder="1" applyAlignment="1">
      <alignment horizontal="right" vertical="center"/>
    </xf>
    <xf numFmtId="3" fontId="17" fillId="0" borderId="13" xfId="0" applyNumberFormat="1" applyFont="1" applyBorder="1" applyAlignment="1">
      <alignment horizontal="right" vertical="center"/>
    </xf>
    <xf numFmtId="3" fontId="17" fillId="0" borderId="6" xfId="0" applyNumberFormat="1" applyFont="1" applyBorder="1" applyAlignment="1">
      <alignment horizontal="right" vertical="center"/>
    </xf>
    <xf numFmtId="3" fontId="16" fillId="0" borderId="14" xfId="0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horizontal="right" vertical="center"/>
    </xf>
    <xf numFmtId="0" fontId="16" fillId="0" borderId="10" xfId="0" applyFont="1" applyBorder="1" applyAlignment="1">
      <alignment vertical="center"/>
    </xf>
    <xf numFmtId="0" fontId="16" fillId="0" borderId="32" xfId="0" applyFont="1" applyBorder="1" applyAlignment="1">
      <alignment horizontal="center" vertical="center"/>
    </xf>
    <xf numFmtId="3" fontId="17" fillId="0" borderId="14" xfId="0" applyNumberFormat="1" applyFont="1" applyBorder="1" applyAlignment="1">
      <alignment horizontal="right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11" xfId="0" applyFont="1" applyBorder="1" applyAlignment="1">
      <alignment vertical="center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7" fillId="0" borderId="30" xfId="0" applyFont="1" applyBorder="1" applyAlignment="1">
      <alignment vertical="center" wrapText="1"/>
    </xf>
    <xf numFmtId="0" fontId="17" fillId="0" borderId="46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17" fillId="0" borderId="14" xfId="0" applyFont="1" applyBorder="1" applyAlignment="1">
      <alignment horizontal="right" vertical="center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48" xfId="0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25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16" fillId="0" borderId="20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3" fontId="17" fillId="0" borderId="13" xfId="0" applyNumberFormat="1" applyFont="1" applyBorder="1" applyAlignment="1">
      <alignment horizontal="center" vertical="center"/>
    </xf>
    <xf numFmtId="3" fontId="17" fillId="0" borderId="1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9" fontId="17" fillId="0" borderId="13" xfId="1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6" xfId="0" applyFont="1" applyBorder="1" applyAlignment="1">
      <alignment horizontal="right" vertical="center"/>
    </xf>
    <xf numFmtId="9" fontId="17" fillId="0" borderId="14" xfId="1" applyFont="1" applyBorder="1" applyAlignment="1">
      <alignment horizontal="right" vertical="center"/>
    </xf>
    <xf numFmtId="14" fontId="17" fillId="0" borderId="13" xfId="0" applyNumberFormat="1" applyFont="1" applyBorder="1" applyAlignment="1">
      <alignment horizontal="right" vertical="center"/>
    </xf>
    <xf numFmtId="9" fontId="17" fillId="0" borderId="6" xfId="1" applyFont="1" applyBorder="1" applyAlignment="1">
      <alignment horizontal="right" vertical="center"/>
    </xf>
    <xf numFmtId="0" fontId="17" fillId="0" borderId="34" xfId="0" applyFont="1" applyBorder="1" applyAlignment="1">
      <alignment vertical="center" wrapText="1"/>
    </xf>
    <xf numFmtId="3" fontId="17" fillId="0" borderId="17" xfId="0" applyNumberFormat="1" applyFont="1" applyBorder="1" applyAlignment="1">
      <alignment horizontal="right" vertical="center"/>
    </xf>
    <xf numFmtId="3" fontId="17" fillId="0" borderId="24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right" vertical="center"/>
    </xf>
    <xf numFmtId="3" fontId="17" fillId="0" borderId="12" xfId="0" applyNumberFormat="1" applyFont="1" applyBorder="1" applyAlignment="1">
      <alignment horizontal="right" vertical="center"/>
    </xf>
    <xf numFmtId="3" fontId="17" fillId="0" borderId="26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0" fontId="17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7" fillId="0" borderId="39" xfId="0" applyFont="1" applyBorder="1" applyAlignment="1">
      <alignment horizontal="left" vertical="center"/>
    </xf>
    <xf numFmtId="0" fontId="17" fillId="0" borderId="41" xfId="0" applyFont="1" applyBorder="1" applyAlignment="1">
      <alignment horizontal="left" vertical="center"/>
    </xf>
    <xf numFmtId="0" fontId="17" fillId="0" borderId="42" xfId="0" applyFont="1" applyBorder="1" applyAlignment="1">
      <alignment horizontal="left" vertical="center"/>
    </xf>
    <xf numFmtId="0" fontId="17" fillId="0" borderId="4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vertical="center"/>
    </xf>
    <xf numFmtId="3" fontId="17" fillId="0" borderId="49" xfId="0" applyNumberFormat="1" applyFont="1" applyBorder="1" applyAlignment="1">
      <alignment horizontal="right" vertical="center"/>
    </xf>
    <xf numFmtId="3" fontId="17" fillId="0" borderId="16" xfId="0" applyNumberFormat="1" applyFont="1" applyBorder="1" applyAlignment="1">
      <alignment horizontal="right" vertical="center"/>
    </xf>
    <xf numFmtId="3" fontId="17" fillId="0" borderId="31" xfId="0" applyNumberFormat="1" applyFont="1" applyBorder="1" applyAlignment="1">
      <alignment horizontal="right" vertical="center"/>
    </xf>
    <xf numFmtId="3" fontId="17" fillId="0" borderId="18" xfId="0" applyNumberFormat="1" applyFont="1" applyBorder="1" applyAlignment="1">
      <alignment horizontal="right" vertical="center"/>
    </xf>
    <xf numFmtId="3" fontId="17" fillId="0" borderId="50" xfId="0" applyNumberFormat="1" applyFont="1" applyBorder="1" applyAlignment="1">
      <alignment horizontal="right" vertical="center"/>
    </xf>
    <xf numFmtId="3" fontId="16" fillId="0" borderId="18" xfId="0" applyNumberFormat="1" applyFont="1" applyBorder="1" applyAlignment="1">
      <alignment horizontal="right" vertical="center"/>
    </xf>
    <xf numFmtId="3" fontId="16" fillId="0" borderId="50" xfId="0" applyNumberFormat="1" applyFont="1" applyBorder="1" applyAlignment="1">
      <alignment horizontal="right" vertical="center"/>
    </xf>
    <xf numFmtId="0" fontId="16" fillId="0" borderId="7" xfId="0" applyFont="1" applyBorder="1" applyAlignment="1">
      <alignment horizontal="left" vertical="center"/>
    </xf>
    <xf numFmtId="3" fontId="16" fillId="0" borderId="13" xfId="0" applyNumberFormat="1" applyFont="1" applyBorder="1" applyAlignment="1">
      <alignment horizontal="right" vertical="center"/>
    </xf>
    <xf numFmtId="3" fontId="16" fillId="0" borderId="6" xfId="0" applyNumberFormat="1" applyFont="1" applyBorder="1" applyAlignment="1">
      <alignment horizontal="right" vertical="center"/>
    </xf>
    <xf numFmtId="3" fontId="17" fillId="0" borderId="29" xfId="0" applyNumberFormat="1" applyFont="1" applyBorder="1" applyAlignment="1">
      <alignment horizontal="right" vertical="center"/>
    </xf>
    <xf numFmtId="3" fontId="17" fillId="0" borderId="53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vertical="center"/>
    </xf>
    <xf numFmtId="0" fontId="17" fillId="0" borderId="34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0" borderId="33" xfId="0" applyFont="1" applyBorder="1" applyAlignment="1">
      <alignment vertical="center"/>
    </xf>
    <xf numFmtId="0" fontId="16" fillId="0" borderId="26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3" fontId="17" fillId="0" borderId="45" xfId="0" applyNumberFormat="1" applyFont="1" applyBorder="1" applyAlignment="1">
      <alignment horizontal="right" vertical="center"/>
    </xf>
    <xf numFmtId="3" fontId="17" fillId="0" borderId="44" xfId="0" applyNumberFormat="1" applyFont="1" applyBorder="1" applyAlignment="1">
      <alignment horizontal="right" vertical="center"/>
    </xf>
    <xf numFmtId="3" fontId="17" fillId="0" borderId="52" xfId="0" applyNumberFormat="1" applyFont="1" applyBorder="1" applyAlignment="1">
      <alignment horizontal="right" vertical="center"/>
    </xf>
    <xf numFmtId="3" fontId="17" fillId="0" borderId="9" xfId="0" applyNumberFormat="1" applyFont="1" applyBorder="1" applyAlignment="1">
      <alignment horizontal="right" vertical="center"/>
    </xf>
    <xf numFmtId="0" fontId="17" fillId="0" borderId="17" xfId="0" applyFont="1" applyBorder="1" applyAlignment="1">
      <alignment horizontal="right" vertical="center"/>
    </xf>
    <xf numFmtId="0" fontId="17" fillId="0" borderId="24" xfId="0" applyFont="1" applyBorder="1" applyAlignment="1">
      <alignment horizontal="right" vertical="center"/>
    </xf>
    <xf numFmtId="9" fontId="17" fillId="0" borderId="8" xfId="1" applyFont="1" applyBorder="1" applyAlignment="1">
      <alignment horizontal="right" vertical="center"/>
    </xf>
    <xf numFmtId="3" fontId="17" fillId="0" borderId="6" xfId="0" applyNumberFormat="1" applyFont="1" applyBorder="1" applyAlignment="1">
      <alignment horizontal="center" vertical="center"/>
    </xf>
    <xf numFmtId="3" fontId="17" fillId="0" borderId="36" xfId="0" applyNumberFormat="1" applyFont="1" applyBorder="1" applyAlignment="1">
      <alignment horizontal="right" vertical="center"/>
    </xf>
    <xf numFmtId="3" fontId="17" fillId="0" borderId="37" xfId="0" applyNumberFormat="1" applyFont="1" applyBorder="1" applyAlignment="1">
      <alignment horizontal="right" vertical="center"/>
    </xf>
    <xf numFmtId="3" fontId="17" fillId="0" borderId="38" xfId="0" applyNumberFormat="1" applyFont="1" applyBorder="1" applyAlignment="1">
      <alignment horizontal="right" vertical="center"/>
    </xf>
    <xf numFmtId="0" fontId="16" fillId="0" borderId="0" xfId="0" applyFont="1" applyAlignment="1">
      <alignment horizontal="justify" vertical="center"/>
    </xf>
    <xf numFmtId="3" fontId="17" fillId="0" borderId="38" xfId="0" applyNumberFormat="1" applyFont="1" applyBorder="1" applyAlignment="1">
      <alignment horizontal="right"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1" fillId="0" borderId="0" xfId="2" applyFont="1"/>
    <xf numFmtId="0" fontId="20" fillId="0" borderId="0" xfId="2"/>
    <xf numFmtId="0" fontId="21" fillId="0" borderId="0" xfId="2" applyNumberFormat="1" applyFont="1" applyAlignment="1"/>
    <xf numFmtId="0" fontId="22" fillId="0" borderId="0" xfId="2" applyNumberFormat="1" applyFont="1" applyAlignment="1"/>
    <xf numFmtId="49" fontId="21" fillId="0" borderId="0" xfId="2" applyNumberFormat="1" applyFont="1" applyAlignment="1" applyProtection="1"/>
    <xf numFmtId="0" fontId="21" fillId="0" borderId="0" xfId="2" applyNumberFormat="1" applyFont="1" applyBorder="1" applyAlignment="1"/>
    <xf numFmtId="0" fontId="21" fillId="0" borderId="0" xfId="2" applyNumberFormat="1" applyFont="1" applyBorder="1" applyAlignment="1">
      <alignment horizontal="left"/>
    </xf>
    <xf numFmtId="0" fontId="21" fillId="0" borderId="0" xfId="2" applyNumberFormat="1" applyFont="1" applyAlignment="1">
      <alignment horizontal="left" vertical="center"/>
    </xf>
    <xf numFmtId="0" fontId="21" fillId="0" borderId="0" xfId="2" applyFont="1" applyAlignment="1">
      <alignment vertical="center"/>
    </xf>
    <xf numFmtId="0" fontId="19" fillId="0" borderId="0" xfId="2" applyFont="1"/>
    <xf numFmtId="0" fontId="20" fillId="0" borderId="0" xfId="2" applyAlignment="1">
      <alignment horizontal="right"/>
    </xf>
    <xf numFmtId="0" fontId="22" fillId="3" borderId="0" xfId="2" applyFont="1" applyFill="1" applyAlignment="1">
      <alignment horizontal="centerContinuous"/>
    </xf>
    <xf numFmtId="0" fontId="21" fillId="3" borderId="0" xfId="2" applyFont="1" applyFill="1" applyAlignment="1">
      <alignment horizontal="centerContinuous"/>
    </xf>
    <xf numFmtId="9" fontId="20" fillId="0" borderId="0" xfId="2" applyNumberFormat="1"/>
    <xf numFmtId="165" fontId="20" fillId="0" borderId="0" xfId="2" applyNumberFormat="1"/>
    <xf numFmtId="10" fontId="20" fillId="0" borderId="0" xfId="2" applyNumberFormat="1"/>
    <xf numFmtId="10" fontId="24" fillId="0" borderId="0" xfId="3" applyNumberFormat="1" applyFont="1" applyFill="1"/>
    <xf numFmtId="0" fontId="23" fillId="0" borderId="0" xfId="2" applyFont="1" applyAlignment="1">
      <alignment horizontal="left"/>
    </xf>
    <xf numFmtId="0" fontId="21" fillId="0" borderId="0" xfId="2" applyFont="1" applyAlignment="1">
      <alignment horizontal="centerContinuous"/>
    </xf>
    <xf numFmtId="0" fontId="21" fillId="3" borderId="55" xfId="2" applyFont="1" applyFill="1" applyBorder="1" applyAlignment="1">
      <alignment horizontal="center"/>
    </xf>
    <xf numFmtId="0" fontId="21" fillId="3" borderId="56" xfId="2" applyFont="1" applyFill="1" applyBorder="1" applyAlignment="1">
      <alignment horizontal="center"/>
    </xf>
    <xf numFmtId="0" fontId="21" fillId="3" borderId="57" xfId="2" applyFont="1" applyFill="1" applyBorder="1" applyAlignment="1">
      <alignment horizontal="centerContinuous"/>
    </xf>
    <xf numFmtId="0" fontId="21" fillId="3" borderId="57" xfId="2" applyFont="1" applyFill="1" applyBorder="1" applyAlignment="1">
      <alignment horizontal="center" wrapText="1"/>
    </xf>
    <xf numFmtId="0" fontId="21" fillId="0" borderId="0" xfId="2" applyFont="1" applyAlignment="1">
      <alignment horizontal="center"/>
    </xf>
    <xf numFmtId="0" fontId="21" fillId="3" borderId="59" xfId="2" applyFont="1" applyFill="1" applyBorder="1" applyAlignment="1">
      <alignment horizontal="center" vertical="top"/>
    </xf>
    <xf numFmtId="0" fontId="21" fillId="3" borderId="0" xfId="2" applyFont="1" applyFill="1" applyBorder="1" applyAlignment="1">
      <alignment horizontal="center" vertical="top"/>
    </xf>
    <xf numFmtId="0" fontId="21" fillId="0" borderId="0" xfId="2" applyFont="1" applyAlignment="1">
      <alignment horizontal="center" vertical="top"/>
    </xf>
    <xf numFmtId="0" fontId="21" fillId="3" borderId="60" xfId="2" applyFont="1" applyFill="1" applyBorder="1" applyAlignment="1">
      <alignment horizontal="center" vertical="center"/>
    </xf>
    <xf numFmtId="0" fontId="21" fillId="3" borderId="61" xfId="2" applyFont="1" applyFill="1" applyBorder="1" applyAlignment="1">
      <alignment horizontal="center" vertical="center"/>
    </xf>
    <xf numFmtId="0" fontId="22" fillId="2" borderId="0" xfId="2" applyFont="1" applyFill="1" applyAlignment="1">
      <alignment vertical="center"/>
    </xf>
    <xf numFmtId="0" fontId="22" fillId="2" borderId="62" xfId="2" applyFont="1" applyFill="1" applyBorder="1" applyAlignment="1" applyProtection="1">
      <alignment vertical="center" wrapText="1"/>
    </xf>
    <xf numFmtId="0" fontId="22" fillId="2" borderId="62" xfId="2" quotePrefix="1" applyFont="1" applyFill="1" applyBorder="1" applyAlignment="1" applyProtection="1">
      <alignment horizontal="center" vertical="center"/>
    </xf>
    <xf numFmtId="3" fontId="22" fillId="0" borderId="0" xfId="2" applyNumberFormat="1" applyFont="1" applyAlignment="1">
      <alignment vertical="center"/>
    </xf>
    <xf numFmtId="0" fontId="22" fillId="0" borderId="0" xfId="2" applyFont="1" applyAlignment="1">
      <alignment vertical="center"/>
    </xf>
    <xf numFmtId="0" fontId="22" fillId="2" borderId="62" xfId="2" applyFont="1" applyFill="1" applyBorder="1" applyAlignment="1" applyProtection="1">
      <alignment vertical="center"/>
    </xf>
    <xf numFmtId="0" fontId="22" fillId="2" borderId="62" xfId="2" applyFont="1" applyFill="1" applyBorder="1" applyAlignment="1" applyProtection="1">
      <alignment horizontal="left" vertical="center" wrapText="1"/>
    </xf>
    <xf numFmtId="0" fontId="22" fillId="2" borderId="62" xfId="2" applyFont="1" applyFill="1" applyBorder="1" applyAlignment="1" applyProtection="1">
      <alignment horizontal="left" vertical="center"/>
    </xf>
    <xf numFmtId="0" fontId="21" fillId="3" borderId="62" xfId="2" applyFont="1" applyFill="1" applyBorder="1" applyAlignment="1" applyProtection="1">
      <alignment horizontal="left" vertical="center"/>
    </xf>
    <xf numFmtId="0" fontId="21" fillId="0" borderId="62" xfId="2" applyFont="1" applyBorder="1" applyAlignment="1" applyProtection="1">
      <alignment horizontal="left" vertical="center"/>
    </xf>
    <xf numFmtId="0" fontId="21" fillId="0" borderId="62" xfId="2" quotePrefix="1" applyFont="1" applyBorder="1" applyAlignment="1" applyProtection="1">
      <alignment horizontal="center" vertical="center"/>
    </xf>
    <xf numFmtId="166" fontId="21" fillId="0" borderId="0" xfId="2" applyNumberFormat="1" applyFont="1" applyAlignment="1">
      <alignment vertical="center"/>
    </xf>
    <xf numFmtId="0" fontId="21" fillId="0" borderId="62" xfId="2" applyFont="1" applyBorder="1" applyAlignment="1" applyProtection="1">
      <alignment horizontal="left" vertical="center" wrapText="1"/>
    </xf>
    <xf numFmtId="0" fontId="21" fillId="2" borderId="62" xfId="2" applyFont="1" applyFill="1" applyBorder="1" applyAlignment="1" applyProtection="1">
      <alignment horizontal="left" vertical="center"/>
    </xf>
    <xf numFmtId="0" fontId="22" fillId="3" borderId="62" xfId="2" applyFont="1" applyFill="1" applyBorder="1" applyAlignment="1" applyProtection="1">
      <alignment horizontal="left" vertical="center"/>
    </xf>
    <xf numFmtId="3" fontId="26" fillId="0" borderId="0" xfId="2" applyNumberFormat="1" applyFont="1" applyAlignment="1">
      <alignment vertical="center" wrapText="1"/>
    </xf>
    <xf numFmtId="0" fontId="28" fillId="0" borderId="0" xfId="2" applyFont="1" applyAlignment="1">
      <alignment vertical="center"/>
    </xf>
    <xf numFmtId="0" fontId="21" fillId="0" borderId="62" xfId="2" applyFont="1" applyFill="1" applyBorder="1" applyAlignment="1" applyProtection="1">
      <alignment horizontal="left" vertical="center"/>
    </xf>
    <xf numFmtId="0" fontId="21" fillId="0" borderId="62" xfId="2" applyFont="1" applyFill="1" applyBorder="1" applyAlignment="1" applyProtection="1">
      <alignment horizontal="left" vertical="center" wrapText="1"/>
    </xf>
    <xf numFmtId="0" fontId="21" fillId="0" borderId="62" xfId="2" quotePrefix="1" applyFont="1" applyFill="1" applyBorder="1" applyAlignment="1" applyProtection="1">
      <alignment horizontal="center" vertical="center"/>
    </xf>
    <xf numFmtId="0" fontId="21" fillId="2" borderId="62" xfId="2" applyFont="1" applyFill="1" applyBorder="1" applyAlignment="1" applyProtection="1">
      <alignment vertical="center"/>
    </xf>
    <xf numFmtId="0" fontId="21" fillId="2" borderId="62" xfId="2" applyFont="1" applyFill="1" applyBorder="1" applyAlignment="1" applyProtection="1">
      <alignment horizontal="center" vertical="center"/>
    </xf>
    <xf numFmtId="0" fontId="21" fillId="3" borderId="0" xfId="2" applyFont="1" applyFill="1" applyAlignment="1">
      <alignment vertical="center"/>
    </xf>
    <xf numFmtId="167" fontId="21" fillId="0" borderId="0" xfId="2" applyNumberFormat="1" applyFont="1" applyAlignment="1">
      <alignment vertical="center"/>
    </xf>
    <xf numFmtId="0" fontId="21" fillId="3" borderId="55" xfId="2" applyFont="1" applyFill="1" applyBorder="1" applyAlignment="1" applyProtection="1">
      <alignment horizontal="center" vertical="center"/>
    </xf>
    <xf numFmtId="167" fontId="21" fillId="3" borderId="55" xfId="2" applyNumberFormat="1" applyFont="1" applyFill="1" applyBorder="1" applyAlignment="1" applyProtection="1">
      <alignment horizontal="center" vertical="center"/>
    </xf>
    <xf numFmtId="167" fontId="21" fillId="3" borderId="0" xfId="2" applyNumberFormat="1" applyFont="1" applyFill="1" applyAlignment="1">
      <alignment vertical="center"/>
    </xf>
    <xf numFmtId="0" fontId="21" fillId="3" borderId="59" xfId="2" applyFont="1" applyFill="1" applyBorder="1" applyAlignment="1" applyProtection="1">
      <alignment horizontal="center" vertical="center"/>
    </xf>
    <xf numFmtId="167" fontId="21" fillId="3" borderId="59" xfId="2" applyNumberFormat="1" applyFont="1" applyFill="1" applyBorder="1" applyAlignment="1" applyProtection="1">
      <alignment horizontal="center" vertical="center"/>
    </xf>
    <xf numFmtId="0" fontId="21" fillId="3" borderId="60" xfId="2" applyFont="1" applyFill="1" applyBorder="1" applyAlignment="1" applyProtection="1">
      <alignment horizontal="center" vertical="center"/>
    </xf>
    <xf numFmtId="1" fontId="21" fillId="3" borderId="60" xfId="2" applyNumberFormat="1" applyFont="1" applyFill="1" applyBorder="1" applyAlignment="1" applyProtection="1">
      <alignment horizontal="center" vertical="center"/>
    </xf>
    <xf numFmtId="0" fontId="21" fillId="0" borderId="0" xfId="2" applyFont="1" applyAlignment="1">
      <alignment vertical="top"/>
    </xf>
    <xf numFmtId="37" fontId="22" fillId="2" borderId="62" xfId="2" applyNumberFormat="1" applyFont="1" applyFill="1" applyBorder="1" applyAlignment="1" applyProtection="1">
      <alignment vertical="center"/>
    </xf>
    <xf numFmtId="37" fontId="22" fillId="2" borderId="62" xfId="2" quotePrefix="1" applyNumberFormat="1" applyFont="1" applyFill="1" applyBorder="1" applyAlignment="1" applyProtection="1">
      <alignment horizontal="center" vertical="center"/>
    </xf>
    <xf numFmtId="167" fontId="22" fillId="3" borderId="0" xfId="2" applyNumberFormat="1" applyFont="1" applyFill="1" applyAlignment="1">
      <alignment vertical="center"/>
    </xf>
    <xf numFmtId="37" fontId="21" fillId="3" borderId="62" xfId="2" applyNumberFormat="1" applyFont="1" applyFill="1" applyBorder="1" applyAlignment="1" applyProtection="1">
      <alignment vertical="center"/>
    </xf>
    <xf numFmtId="37" fontId="21" fillId="0" borderId="62" xfId="2" applyNumberFormat="1" applyFont="1" applyBorder="1" applyAlignment="1" applyProtection="1">
      <alignment vertical="center"/>
    </xf>
    <xf numFmtId="37" fontId="21" fillId="0" borderId="62" xfId="2" quotePrefix="1" applyNumberFormat="1" applyFont="1" applyBorder="1" applyAlignment="1" applyProtection="1">
      <alignment horizontal="center" vertical="center"/>
    </xf>
    <xf numFmtId="37" fontId="22" fillId="5" borderId="62" xfId="2" applyNumberFormat="1" applyFont="1" applyFill="1" applyBorder="1" applyAlignment="1" applyProtection="1">
      <alignment vertical="center"/>
    </xf>
    <xf numFmtId="37" fontId="22" fillId="5" borderId="62" xfId="2" quotePrefix="1" applyNumberFormat="1" applyFont="1" applyFill="1" applyBorder="1" applyAlignment="1" applyProtection="1">
      <alignment horizontal="center" vertical="center"/>
    </xf>
    <xf numFmtId="0" fontId="22" fillId="3" borderId="0" xfId="2" applyFont="1" applyFill="1" applyAlignment="1">
      <alignment vertical="center"/>
    </xf>
    <xf numFmtId="167" fontId="29" fillId="3" borderId="0" xfId="2" applyNumberFormat="1" applyFont="1" applyFill="1" applyAlignment="1">
      <alignment vertical="center"/>
    </xf>
    <xf numFmtId="37" fontId="21" fillId="4" borderId="62" xfId="2" applyNumberFormat="1" applyFont="1" applyFill="1" applyBorder="1" applyAlignment="1" applyProtection="1">
      <alignment vertical="center"/>
    </xf>
    <xf numFmtId="37" fontId="21" fillId="4" borderId="62" xfId="2" quotePrefix="1" applyNumberFormat="1" applyFont="1" applyFill="1" applyBorder="1" applyAlignment="1" applyProtection="1">
      <alignment horizontal="center" vertical="center"/>
    </xf>
    <xf numFmtId="0" fontId="21" fillId="4" borderId="62" xfId="2" applyFont="1" applyFill="1" applyBorder="1" applyAlignment="1" applyProtection="1">
      <alignment horizontal="left" vertical="center"/>
    </xf>
    <xf numFmtId="37" fontId="25" fillId="2" borderId="62" xfId="2" applyNumberFormat="1" applyFont="1" applyFill="1" applyBorder="1" applyAlignment="1" applyProtection="1">
      <alignment vertical="center"/>
    </xf>
    <xf numFmtId="37" fontId="25" fillId="2" borderId="62" xfId="2" quotePrefix="1" applyNumberFormat="1" applyFont="1" applyFill="1" applyBorder="1" applyAlignment="1" applyProtection="1">
      <alignment horizontal="center" vertical="center"/>
    </xf>
    <xf numFmtId="37" fontId="21" fillId="2" borderId="62" xfId="2" applyNumberFormat="1" applyFont="1" applyFill="1" applyBorder="1" applyAlignment="1" applyProtection="1">
      <alignment vertical="center"/>
    </xf>
    <xf numFmtId="37" fontId="21" fillId="2" borderId="62" xfId="2" quotePrefix="1" applyNumberFormat="1" applyFont="1" applyFill="1" applyBorder="1" applyAlignment="1" applyProtection="1">
      <alignment horizontal="center" vertical="center"/>
    </xf>
    <xf numFmtId="0" fontId="21" fillId="0" borderId="0" xfId="2" applyFont="1" applyAlignment="1" applyProtection="1">
      <alignment horizontal="left"/>
    </xf>
    <xf numFmtId="0" fontId="21" fillId="0" borderId="0" xfId="2" applyFont="1" applyAlignment="1" applyProtection="1">
      <alignment horizontal="center"/>
    </xf>
    <xf numFmtId="37" fontId="21" fillId="0" borderId="0" xfId="2" applyNumberFormat="1" applyFont="1" applyProtection="1"/>
    <xf numFmtId="0" fontId="22" fillId="0" borderId="0" xfId="2" applyNumberFormat="1" applyFont="1" applyAlignment="1" applyProtection="1"/>
    <xf numFmtId="0" fontId="21" fillId="0" borderId="0" xfId="2" applyNumberFormat="1" applyFont="1" applyBorder="1" applyAlignment="1">
      <alignment vertical="center"/>
    </xf>
    <xf numFmtId="3" fontId="21" fillId="0" borderId="0" xfId="2" applyNumberFormat="1" applyFont="1" applyBorder="1" applyAlignment="1">
      <alignment horizontal="right" vertical="center"/>
    </xf>
    <xf numFmtId="15" fontId="21" fillId="0" borderId="0" xfId="2" applyNumberFormat="1" applyFont="1" applyBorder="1" applyAlignment="1">
      <alignment horizontal="left" vertical="center"/>
    </xf>
    <xf numFmtId="0" fontId="22" fillId="0" borderId="0" xfId="2" applyFont="1"/>
    <xf numFmtId="3" fontId="21" fillId="3" borderId="0" xfId="2" applyNumberFormat="1" applyFont="1" applyFill="1" applyAlignment="1">
      <alignment horizontal="centerContinuous"/>
    </xf>
    <xf numFmtId="0" fontId="21" fillId="3" borderId="0" xfId="2" applyFont="1" applyFill="1" applyBorder="1" applyAlignment="1">
      <alignment horizontal="centerContinuous"/>
    </xf>
    <xf numFmtId="0" fontId="23" fillId="0" borderId="0" xfId="2" applyFont="1" applyAlignment="1">
      <alignment horizontal="centerContinuous"/>
    </xf>
    <xf numFmtId="3" fontId="21" fillId="0" borderId="0" xfId="2" applyNumberFormat="1" applyFont="1" applyAlignment="1">
      <alignment horizontal="centerContinuous"/>
    </xf>
    <xf numFmtId="0" fontId="21" fillId="0" borderId="61" xfId="2" applyFont="1" applyBorder="1" applyAlignment="1">
      <alignment horizontal="centerContinuous"/>
    </xf>
    <xf numFmtId="0" fontId="21" fillId="0" borderId="55" xfId="2" applyFont="1" applyBorder="1" applyAlignment="1">
      <alignment horizontal="center"/>
    </xf>
    <xf numFmtId="0" fontId="21" fillId="0" borderId="56" xfId="2" applyFont="1" applyBorder="1" applyAlignment="1">
      <alignment horizontal="center"/>
    </xf>
    <xf numFmtId="3" fontId="21" fillId="0" borderId="56" xfId="2" applyNumberFormat="1" applyFont="1" applyBorder="1" applyAlignment="1">
      <alignment horizontal="centerContinuous"/>
    </xf>
    <xf numFmtId="0" fontId="21" fillId="0" borderId="57" xfId="2" applyFont="1" applyBorder="1" applyAlignment="1">
      <alignment horizontal="centerContinuous"/>
    </xf>
    <xf numFmtId="0" fontId="21" fillId="0" borderId="59" xfId="2" applyFont="1" applyBorder="1" applyAlignment="1">
      <alignment horizontal="center" vertical="top"/>
    </xf>
    <xf numFmtId="0" fontId="21" fillId="0" borderId="0" xfId="2" applyFont="1" applyBorder="1" applyAlignment="1">
      <alignment horizontal="center" vertical="top"/>
    </xf>
    <xf numFmtId="3" fontId="21" fillId="0" borderId="55" xfId="2" applyNumberFormat="1" applyFont="1" applyBorder="1" applyAlignment="1">
      <alignment horizontal="center" vertical="top"/>
    </xf>
    <xf numFmtId="0" fontId="21" fillId="0" borderId="55" xfId="2" applyFont="1" applyBorder="1" applyAlignment="1">
      <alignment horizontal="center" vertical="top"/>
    </xf>
    <xf numFmtId="0" fontId="21" fillId="0" borderId="60" xfId="2" applyFont="1" applyBorder="1" applyAlignment="1">
      <alignment horizontal="center"/>
    </xf>
    <xf numFmtId="0" fontId="21" fillId="0" borderId="61" xfId="2" applyFont="1" applyBorder="1" applyAlignment="1">
      <alignment horizontal="center"/>
    </xf>
    <xf numFmtId="3" fontId="21" fillId="0" borderId="60" xfId="2" applyNumberFormat="1" applyFont="1" applyBorder="1" applyAlignment="1">
      <alignment horizontal="center"/>
    </xf>
    <xf numFmtId="0" fontId="21" fillId="3" borderId="62" xfId="2" applyFont="1" applyFill="1" applyBorder="1" applyAlignment="1">
      <alignment vertical="center"/>
    </xf>
    <xf numFmtId="0" fontId="21" fillId="0" borderId="62" xfId="2" applyFont="1" applyBorder="1" applyAlignment="1">
      <alignment vertical="center"/>
    </xf>
    <xf numFmtId="0" fontId="21" fillId="0" borderId="62" xfId="2" quotePrefix="1" applyFont="1" applyBorder="1" applyAlignment="1">
      <alignment horizontal="center" vertical="center"/>
    </xf>
    <xf numFmtId="0" fontId="32" fillId="2" borderId="62" xfId="2" applyFont="1" applyFill="1" applyBorder="1" applyAlignment="1">
      <alignment vertical="center"/>
    </xf>
    <xf numFmtId="0" fontId="32" fillId="2" borderId="62" xfId="2" quotePrefix="1" applyFont="1" applyFill="1" applyBorder="1" applyAlignment="1">
      <alignment horizontal="center" vertical="center"/>
    </xf>
    <xf numFmtId="0" fontId="32" fillId="0" borderId="0" xfId="2" applyFont="1" applyAlignment="1">
      <alignment vertical="center"/>
    </xf>
    <xf numFmtId="0" fontId="22" fillId="2" borderId="62" xfId="2" applyFont="1" applyFill="1" applyBorder="1" applyAlignment="1">
      <alignment vertical="center"/>
    </xf>
    <xf numFmtId="0" fontId="22" fillId="2" borderId="62" xfId="2" quotePrefix="1" applyFont="1" applyFill="1" applyBorder="1" applyAlignment="1">
      <alignment horizontal="center" vertical="center"/>
    </xf>
    <xf numFmtId="0" fontId="21" fillId="2" borderId="62" xfId="2" applyFont="1" applyFill="1" applyBorder="1" applyAlignment="1">
      <alignment vertical="center"/>
    </xf>
    <xf numFmtId="0" fontId="25" fillId="2" borderId="62" xfId="2" applyFont="1" applyFill="1" applyBorder="1" applyAlignment="1">
      <alignment vertical="center"/>
    </xf>
    <xf numFmtId="0" fontId="21" fillId="2" borderId="62" xfId="2" quotePrefix="1" applyFont="1" applyFill="1" applyBorder="1" applyAlignment="1">
      <alignment horizontal="center" vertical="center"/>
    </xf>
    <xf numFmtId="0" fontId="21" fillId="0" borderId="62" xfId="2" applyFont="1" applyFill="1" applyBorder="1" applyAlignment="1">
      <alignment vertical="center"/>
    </xf>
    <xf numFmtId="0" fontId="32" fillId="2" borderId="62" xfId="2" applyFont="1" applyFill="1" applyBorder="1" applyAlignment="1">
      <alignment vertical="center" wrapText="1"/>
    </xf>
    <xf numFmtId="0" fontId="25" fillId="2" borderId="62" xfId="2" quotePrefix="1" applyFont="1" applyFill="1" applyBorder="1" applyAlignment="1">
      <alignment horizontal="center" vertical="center"/>
    </xf>
    <xf numFmtId="49" fontId="21" fillId="0" borderId="62" xfId="2" applyNumberFormat="1" applyFont="1" applyFill="1" applyBorder="1" applyAlignment="1">
      <alignment vertical="center"/>
    </xf>
    <xf numFmtId="0" fontId="32" fillId="3" borderId="0" xfId="2" applyFont="1" applyFill="1" applyAlignment="1">
      <alignment vertical="center"/>
    </xf>
    <xf numFmtId="49" fontId="21" fillId="2" borderId="62" xfId="2" applyNumberFormat="1" applyFont="1" applyFill="1" applyBorder="1" applyAlignment="1">
      <alignment vertical="center"/>
    </xf>
    <xf numFmtId="0" fontId="22" fillId="5" borderId="62" xfId="2" applyFont="1" applyFill="1" applyBorder="1" applyAlignment="1">
      <alignment vertical="center"/>
    </xf>
    <xf numFmtId="0" fontId="32" fillId="5" borderId="62" xfId="2" applyFont="1" applyFill="1" applyBorder="1" applyAlignment="1">
      <alignment vertical="center"/>
    </xf>
    <xf numFmtId="0" fontId="25" fillId="5" borderId="62" xfId="2" quotePrefix="1" applyFont="1" applyFill="1" applyBorder="1" applyAlignment="1">
      <alignment horizontal="center" vertical="center"/>
    </xf>
    <xf numFmtId="3" fontId="21" fillId="0" borderId="0" xfId="2" applyNumberFormat="1" applyFont="1"/>
    <xf numFmtId="0" fontId="33" fillId="0" borderId="0" xfId="7" applyFont="1" applyAlignment="1">
      <alignment horizontal="left"/>
    </xf>
    <xf numFmtId="0" fontId="34" fillId="0" borderId="0" xfId="6" applyFont="1" applyFill="1" applyAlignment="1">
      <alignment horizontal="center"/>
    </xf>
    <xf numFmtId="0" fontId="33" fillId="0" borderId="0" xfId="7" applyFont="1"/>
    <xf numFmtId="0" fontId="35" fillId="0" borderId="0" xfId="7" applyFont="1"/>
    <xf numFmtId="0" fontId="35" fillId="0" borderId="0" xfId="7" applyNumberFormat="1" applyFont="1"/>
    <xf numFmtId="0" fontId="36" fillId="0" borderId="0" xfId="7" applyFont="1"/>
    <xf numFmtId="0" fontId="37" fillId="0" borderId="0" xfId="7" applyFont="1"/>
    <xf numFmtId="0" fontId="38" fillId="0" borderId="0" xfId="7" applyFont="1" applyAlignment="1">
      <alignment horizontal="center"/>
    </xf>
    <xf numFmtId="0" fontId="39" fillId="0" borderId="0" xfId="7" applyFont="1" applyAlignment="1">
      <alignment horizontal="center"/>
    </xf>
    <xf numFmtId="0" fontId="40" fillId="0" borderId="0" xfId="7" applyFont="1" applyAlignment="1">
      <alignment horizontal="left"/>
    </xf>
    <xf numFmtId="0" fontId="40" fillId="0" borderId="0" xfId="7" applyFont="1" applyAlignment="1">
      <alignment horizontal="center"/>
    </xf>
    <xf numFmtId="0" fontId="35" fillId="0" borderId="0" xfId="7" applyFont="1" applyAlignment="1">
      <alignment horizontal="center"/>
    </xf>
    <xf numFmtId="0" fontId="41" fillId="0" borderId="0" xfId="7" applyFont="1" applyBorder="1" applyAlignment="1">
      <alignment horizontal="center"/>
    </xf>
    <xf numFmtId="0" fontId="42" fillId="0" borderId="0" xfId="7" applyFont="1" applyAlignment="1">
      <alignment horizontal="left"/>
    </xf>
    <xf numFmtId="0" fontId="40" fillId="0" borderId="0" xfId="7" applyFont="1" applyBorder="1" applyAlignment="1">
      <alignment horizontal="center"/>
    </xf>
    <xf numFmtId="0" fontId="40" fillId="0" borderId="0" xfId="7" applyFont="1" applyBorder="1" applyAlignment="1">
      <alignment horizontal="left"/>
    </xf>
    <xf numFmtId="0" fontId="37" fillId="5" borderId="63" xfId="7" applyFont="1" applyFill="1" applyBorder="1" applyAlignment="1">
      <alignment horizontal="center" vertical="center" wrapText="1"/>
    </xf>
    <xf numFmtId="0" fontId="35" fillId="5" borderId="64" xfId="7" applyFont="1" applyFill="1" applyBorder="1" applyAlignment="1">
      <alignment horizontal="center" vertical="center" wrapText="1"/>
    </xf>
    <xf numFmtId="0" fontId="37" fillId="5" borderId="64" xfId="7" applyFont="1" applyFill="1" applyBorder="1" applyAlignment="1">
      <alignment horizontal="center" vertical="center" wrapText="1"/>
    </xf>
    <xf numFmtId="0" fontId="43" fillId="0" borderId="0" xfId="7" applyFont="1" applyBorder="1" applyAlignment="1">
      <alignment horizontal="center" wrapText="1"/>
    </xf>
    <xf numFmtId="0" fontId="43" fillId="0" borderId="66" xfId="7" applyFont="1" applyBorder="1" applyAlignment="1">
      <alignment horizontal="center" wrapText="1"/>
    </xf>
    <xf numFmtId="0" fontId="44" fillId="0" borderId="0" xfId="7" applyFont="1"/>
    <xf numFmtId="0" fontId="35" fillId="5" borderId="67" xfId="7" applyFont="1" applyFill="1" applyBorder="1" applyAlignment="1">
      <alignment horizontal="center" wrapText="1"/>
    </xf>
    <xf numFmtId="0" fontId="35" fillId="5" borderId="43" xfId="7" applyFont="1" applyFill="1" applyBorder="1" applyAlignment="1">
      <alignment horizontal="center" wrapText="1"/>
    </xf>
    <xf numFmtId="0" fontId="35" fillId="5" borderId="69" xfId="7" applyFont="1" applyFill="1" applyBorder="1" applyAlignment="1">
      <alignment horizontal="center" wrapText="1"/>
    </xf>
    <xf numFmtId="0" fontId="35" fillId="5" borderId="70" xfId="7" applyFont="1" applyFill="1" applyBorder="1" applyAlignment="1">
      <alignment horizontal="center" wrapText="1"/>
    </xf>
    <xf numFmtId="0" fontId="35" fillId="5" borderId="70" xfId="7" applyFont="1" applyFill="1" applyBorder="1" applyAlignment="1">
      <alignment horizontal="center" vertical="center"/>
    </xf>
    <xf numFmtId="0" fontId="35" fillId="5" borderId="58" xfId="7" applyFont="1" applyFill="1" applyBorder="1" applyAlignment="1">
      <alignment horizontal="center" vertical="center"/>
    </xf>
    <xf numFmtId="0" fontId="43" fillId="0" borderId="71" xfId="7" applyFont="1" applyBorder="1" applyAlignment="1">
      <alignment horizontal="center" wrapText="1"/>
    </xf>
    <xf numFmtId="0" fontId="35" fillId="0" borderId="72" xfId="7" applyFont="1" applyFill="1" applyBorder="1" applyAlignment="1">
      <alignment horizontal="left"/>
    </xf>
    <xf numFmtId="0" fontId="35" fillId="0" borderId="73" xfId="7" applyFont="1" applyFill="1" applyBorder="1" applyAlignment="1">
      <alignment horizontal="left"/>
    </xf>
    <xf numFmtId="0" fontId="35" fillId="0" borderId="73" xfId="7" applyFont="1" applyFill="1" applyBorder="1" applyAlignment="1">
      <alignment horizontal="center"/>
    </xf>
    <xf numFmtId="168" fontId="35" fillId="0" borderId="73" xfId="7" applyNumberFormat="1" applyFont="1" applyFill="1" applyBorder="1" applyAlignment="1">
      <alignment horizontal="right"/>
    </xf>
    <xf numFmtId="168" fontId="35" fillId="0" borderId="54" xfId="7" applyNumberFormat="1" applyFont="1" applyFill="1" applyBorder="1" applyAlignment="1">
      <alignment horizontal="right"/>
    </xf>
    <xf numFmtId="0" fontId="44" fillId="0" borderId="0" xfId="7" applyFont="1" applyFill="1" applyBorder="1" applyAlignment="1">
      <alignment horizontal="left"/>
    </xf>
    <xf numFmtId="0" fontId="44" fillId="0" borderId="74" xfId="7" applyFont="1" applyFill="1" applyBorder="1" applyAlignment="1">
      <alignment horizontal="left"/>
    </xf>
    <xf numFmtId="0" fontId="39" fillId="0" borderId="67" xfId="7" applyFont="1" applyFill="1" applyBorder="1" applyAlignment="1">
      <alignment horizontal="left" vertical="center"/>
    </xf>
    <xf numFmtId="0" fontId="39" fillId="0" borderId="43" xfId="7" applyFont="1" applyFill="1" applyBorder="1" applyAlignment="1">
      <alignment horizontal="left" vertical="center"/>
    </xf>
    <xf numFmtId="0" fontId="39" fillId="0" borderId="43" xfId="7" applyFont="1" applyFill="1" applyBorder="1" applyAlignment="1">
      <alignment horizontal="center" vertical="center"/>
    </xf>
    <xf numFmtId="168" fontId="39" fillId="5" borderId="43" xfId="7" applyNumberFormat="1" applyFont="1" applyFill="1" applyBorder="1" applyAlignment="1">
      <alignment horizontal="right" vertical="center"/>
    </xf>
    <xf numFmtId="0" fontId="35" fillId="0" borderId="67" xfId="7" applyFont="1" applyFill="1" applyBorder="1" applyAlignment="1">
      <alignment horizontal="left"/>
    </xf>
    <xf numFmtId="0" fontId="35" fillId="0" borderId="43" xfId="7" applyFont="1" applyFill="1" applyBorder="1" applyAlignment="1">
      <alignment horizontal="left"/>
    </xf>
    <xf numFmtId="0" fontId="35" fillId="0" borderId="43" xfId="7" applyFont="1" applyFill="1" applyBorder="1" applyAlignment="1">
      <alignment horizontal="center"/>
    </xf>
    <xf numFmtId="168" fontId="35" fillId="0" borderId="43" xfId="7" applyNumberFormat="1" applyFont="1" applyFill="1" applyBorder="1" applyAlignment="1">
      <alignment horizontal="right"/>
    </xf>
    <xf numFmtId="168" fontId="35" fillId="0" borderId="68" xfId="7" applyNumberFormat="1" applyFont="1" applyFill="1" applyBorder="1" applyAlignment="1">
      <alignment horizontal="right"/>
    </xf>
    <xf numFmtId="0" fontId="35" fillId="0" borderId="67" xfId="7" applyFont="1" applyBorder="1" applyAlignment="1">
      <alignment horizontal="left"/>
    </xf>
    <xf numFmtId="0" fontId="35" fillId="0" borderId="43" xfId="7" applyFont="1" applyBorder="1" applyAlignment="1">
      <alignment horizontal="left"/>
    </xf>
    <xf numFmtId="0" fontId="35" fillId="0" borderId="43" xfId="7" applyFont="1" applyBorder="1" applyAlignment="1">
      <alignment horizontal="center"/>
    </xf>
    <xf numFmtId="168" fontId="35" fillId="0" borderId="43" xfId="5" applyNumberFormat="1" applyFont="1" applyFill="1" applyBorder="1" applyAlignment="1">
      <alignment horizontal="right" vertical="center"/>
    </xf>
    <xf numFmtId="168" fontId="35" fillId="0" borderId="68" xfId="5" applyNumberFormat="1" applyFont="1" applyFill="1" applyBorder="1" applyAlignment="1">
      <alignment horizontal="right" vertical="center"/>
    </xf>
    <xf numFmtId="0" fontId="44" fillId="0" borderId="0" xfId="7" applyFont="1" applyBorder="1" applyAlignment="1">
      <alignment horizontal="left"/>
    </xf>
    <xf numFmtId="0" fontId="44" fillId="0" borderId="74" xfId="7" applyFont="1" applyBorder="1" applyAlignment="1">
      <alignment horizontal="left"/>
    </xf>
    <xf numFmtId="168" fontId="35" fillId="0" borderId="43" xfId="7" applyNumberFormat="1" applyFont="1" applyBorder="1" applyAlignment="1">
      <alignment horizontal="right"/>
    </xf>
    <xf numFmtId="168" fontId="35" fillId="0" borderId="68" xfId="7" applyNumberFormat="1" applyFont="1" applyBorder="1" applyAlignment="1">
      <alignment horizontal="right"/>
    </xf>
    <xf numFmtId="0" fontId="45" fillId="0" borderId="0" xfId="7" applyFont="1"/>
    <xf numFmtId="0" fontId="35" fillId="0" borderId="0" xfId="7" applyNumberFormat="1" applyFont="1" applyFill="1"/>
    <xf numFmtId="3" fontId="44" fillId="0" borderId="0" xfId="7" applyNumberFormat="1" applyFont="1"/>
    <xf numFmtId="0" fontId="43" fillId="0" borderId="0" xfId="7" applyFont="1" applyFill="1" applyBorder="1" applyAlignment="1">
      <alignment horizontal="left"/>
    </xf>
    <xf numFmtId="0" fontId="43" fillId="0" borderId="74" xfId="7" applyFont="1" applyFill="1" applyBorder="1" applyAlignment="1">
      <alignment horizontal="left"/>
    </xf>
    <xf numFmtId="0" fontId="39" fillId="0" borderId="0" xfId="7" applyNumberFormat="1" applyFont="1" applyFill="1"/>
    <xf numFmtId="0" fontId="43" fillId="0" borderId="0" xfId="7" applyFont="1" applyFill="1"/>
    <xf numFmtId="168" fontId="35" fillId="3" borderId="43" xfId="5" applyNumberFormat="1" applyFont="1" applyFill="1" applyBorder="1" applyAlignment="1">
      <alignment horizontal="right" vertical="center"/>
    </xf>
    <xf numFmtId="168" fontId="35" fillId="3" borderId="68" xfId="5" applyNumberFormat="1" applyFont="1" applyFill="1" applyBorder="1" applyAlignment="1">
      <alignment horizontal="right" vertical="center"/>
    </xf>
    <xf numFmtId="0" fontId="43" fillId="0" borderId="75" xfId="7" applyFont="1" applyFill="1" applyBorder="1" applyAlignment="1">
      <alignment horizontal="left"/>
    </xf>
    <xf numFmtId="3" fontId="39" fillId="0" borderId="43" xfId="7" applyNumberFormat="1" applyFont="1" applyFill="1" applyBorder="1" applyAlignment="1">
      <alignment vertical="center"/>
    </xf>
    <xf numFmtId="168" fontId="39" fillId="0" borderId="43" xfId="7" applyNumberFormat="1" applyFont="1" applyFill="1" applyBorder="1" applyAlignment="1">
      <alignment horizontal="right" vertical="center"/>
    </xf>
    <xf numFmtId="168" fontId="39" fillId="0" borderId="68" xfId="7" applyNumberFormat="1" applyFont="1" applyFill="1" applyBorder="1" applyAlignment="1">
      <alignment horizontal="right" vertical="center"/>
    </xf>
    <xf numFmtId="0" fontId="39" fillId="0" borderId="76" xfId="7" applyFont="1" applyFill="1" applyBorder="1" applyAlignment="1">
      <alignment horizontal="left" vertical="center"/>
    </xf>
    <xf numFmtId="3" fontId="39" fillId="0" borderId="77" xfId="7" applyNumberFormat="1" applyFont="1" applyFill="1" applyBorder="1" applyAlignment="1">
      <alignment vertical="center"/>
    </xf>
    <xf numFmtId="0" fontId="39" fillId="0" borderId="77" xfId="7" applyFont="1" applyFill="1" applyBorder="1" applyAlignment="1">
      <alignment horizontal="center" vertical="center"/>
    </xf>
    <xf numFmtId="0" fontId="43" fillId="0" borderId="0" xfId="7" applyFont="1" applyFill="1" applyAlignment="1">
      <alignment horizontal="left"/>
    </xf>
    <xf numFmtId="3" fontId="44" fillId="0" borderId="0" xfId="7" applyNumberFormat="1" applyFont="1" applyFill="1" applyBorder="1"/>
    <xf numFmtId="49" fontId="44" fillId="0" borderId="0" xfId="7" applyNumberFormat="1" applyFont="1" applyBorder="1" applyAlignment="1">
      <alignment horizontal="center"/>
    </xf>
    <xf numFmtId="3" fontId="35" fillId="0" borderId="0" xfId="7" applyNumberFormat="1" applyFont="1" applyFill="1" applyBorder="1"/>
    <xf numFmtId="0" fontId="35" fillId="0" borderId="0" xfId="7" applyFont="1" applyFill="1" applyBorder="1"/>
    <xf numFmtId="0" fontId="44" fillId="0" borderId="0" xfId="7" applyFont="1" applyFill="1" applyAlignment="1">
      <alignment horizontal="left"/>
    </xf>
    <xf numFmtId="0" fontId="44" fillId="0" borderId="0" xfId="7" applyFont="1" applyFill="1"/>
    <xf numFmtId="3" fontId="35" fillId="0" borderId="0" xfId="7" applyNumberFormat="1" applyFont="1" applyFill="1"/>
    <xf numFmtId="0" fontId="35" fillId="0" borderId="0" xfId="7" applyFont="1" applyFill="1"/>
    <xf numFmtId="0" fontId="46" fillId="6" borderId="0" xfId="7" applyFont="1" applyFill="1"/>
    <xf numFmtId="3" fontId="47" fillId="6" borderId="0" xfId="7" applyNumberFormat="1" applyFont="1" applyFill="1"/>
    <xf numFmtId="0" fontId="33" fillId="0" borderId="0" xfId="7" applyFont="1" applyFill="1" applyAlignment="1">
      <alignment horizontal="left"/>
    </xf>
    <xf numFmtId="0" fontId="33" fillId="0" borderId="0" xfId="7" applyFont="1" applyFill="1"/>
    <xf numFmtId="0" fontId="33" fillId="0" borderId="0" xfId="7" applyFont="1" applyFill="1" applyBorder="1" applyAlignment="1">
      <alignment horizontal="left"/>
    </xf>
    <xf numFmtId="3" fontId="0" fillId="0" borderId="0" xfId="0" applyNumberFormat="1"/>
    <xf numFmtId="0" fontId="0" fillId="0" borderId="79" xfId="0" applyBorder="1"/>
    <xf numFmtId="0" fontId="0" fillId="0" borderId="0" xfId="0" applyBorder="1"/>
    <xf numFmtId="3" fontId="0" fillId="0" borderId="0" xfId="0" applyNumberFormat="1" applyBorder="1"/>
    <xf numFmtId="3" fontId="0" fillId="0" borderId="79" xfId="0" applyNumberFormat="1" applyBorder="1"/>
    <xf numFmtId="0" fontId="15" fillId="0" borderId="81" xfId="0" applyFont="1" applyBorder="1" applyAlignment="1">
      <alignment horizontal="center"/>
    </xf>
    <xf numFmtId="0" fontId="0" fillId="0" borderId="81" xfId="0" applyBorder="1"/>
    <xf numFmtId="3" fontId="0" fillId="0" borderId="81" xfId="0" applyNumberFormat="1" applyBorder="1"/>
    <xf numFmtId="0" fontId="0" fillId="0" borderId="80" xfId="0" applyBorder="1"/>
    <xf numFmtId="0" fontId="15" fillId="0" borderId="79" xfId="0" applyFont="1" applyBorder="1"/>
    <xf numFmtId="0" fontId="0" fillId="0" borderId="81" xfId="0" applyBorder="1" applyAlignment="1">
      <alignment wrapText="1"/>
    </xf>
    <xf numFmtId="0" fontId="15" fillId="0" borderId="0" xfId="0" applyFont="1" applyBorder="1" applyAlignment="1"/>
    <xf numFmtId="0" fontId="16" fillId="0" borderId="82" xfId="0" applyFont="1" applyBorder="1" applyAlignment="1">
      <alignment horizontal="center" vertical="center" wrapText="1"/>
    </xf>
    <xf numFmtId="0" fontId="16" fillId="0" borderId="83" xfId="0" applyFont="1" applyBorder="1" applyAlignment="1">
      <alignment horizontal="center" vertical="center" wrapText="1"/>
    </xf>
    <xf numFmtId="0" fontId="15" fillId="0" borderId="80" xfId="0" applyFont="1" applyBorder="1" applyAlignment="1"/>
    <xf numFmtId="3" fontId="0" fillId="0" borderId="80" xfId="0" applyNumberFormat="1" applyBorder="1"/>
    <xf numFmtId="0" fontId="15" fillId="0" borderId="80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3" fontId="17" fillId="0" borderId="87" xfId="0" applyNumberFormat="1" applyFont="1" applyBorder="1" applyAlignment="1">
      <alignment horizontal="right" vertical="center"/>
    </xf>
    <xf numFmtId="3" fontId="17" fillId="0" borderId="30" xfId="0" applyNumberFormat="1" applyFont="1" applyBorder="1" applyAlignment="1">
      <alignment horizontal="right" vertical="center"/>
    </xf>
    <xf numFmtId="3" fontId="17" fillId="0" borderId="46" xfId="0" applyNumberFormat="1" applyFont="1" applyBorder="1" applyAlignment="1">
      <alignment horizontal="right" vertical="center"/>
    </xf>
    <xf numFmtId="3" fontId="0" fillId="0" borderId="84" xfId="0" applyNumberFormat="1" applyBorder="1"/>
    <xf numFmtId="0" fontId="17" fillId="0" borderId="81" xfId="0" applyFont="1" applyBorder="1" applyAlignment="1">
      <alignment vertical="center"/>
    </xf>
    <xf numFmtId="0" fontId="17" fillId="0" borderId="79" xfId="0" applyFont="1" applyBorder="1" applyAlignment="1">
      <alignment vertical="center"/>
    </xf>
    <xf numFmtId="0" fontId="17" fillId="0" borderId="80" xfId="0" applyFont="1" applyBorder="1" applyAlignment="1">
      <alignment vertical="center"/>
    </xf>
    <xf numFmtId="3" fontId="17" fillId="0" borderId="80" xfId="0" applyNumberFormat="1" applyFont="1" applyBorder="1" applyAlignment="1">
      <alignment vertical="center"/>
    </xf>
    <xf numFmtId="0" fontId="17" fillId="7" borderId="80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79" xfId="0" applyBorder="1" applyAlignment="1">
      <alignment wrapText="1"/>
    </xf>
    <xf numFmtId="0" fontId="0" fillId="0" borderId="80" xfId="0" applyBorder="1" applyAlignment="1">
      <alignment wrapText="1"/>
    </xf>
    <xf numFmtId="0" fontId="0" fillId="0" borderId="81" xfId="0" applyBorder="1" applyAlignment="1">
      <alignment horizontal="center"/>
    </xf>
    <xf numFmtId="3" fontId="17" fillId="0" borderId="81" xfId="0" applyNumberFormat="1" applyFont="1" applyBorder="1" applyAlignment="1">
      <alignment vertical="center"/>
    </xf>
    <xf numFmtId="0" fontId="17" fillId="7" borderId="81" xfId="0" applyFont="1" applyFill="1" applyBorder="1" applyAlignment="1">
      <alignment vertical="center"/>
    </xf>
    <xf numFmtId="3" fontId="17" fillId="0" borderId="79" xfId="0" applyNumberFormat="1" applyFont="1" applyBorder="1" applyAlignment="1">
      <alignment vertical="center"/>
    </xf>
    <xf numFmtId="0" fontId="17" fillId="7" borderId="79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81" xfId="0" applyNumberFormat="1" applyBorder="1" applyAlignment="1">
      <alignment horizontal="centerContinuous"/>
    </xf>
    <xf numFmtId="0" fontId="0" fillId="0" borderId="79" xfId="0" applyNumberFormat="1" applyBorder="1" applyAlignment="1">
      <alignment horizontal="centerContinuous"/>
    </xf>
    <xf numFmtId="0" fontId="16" fillId="0" borderId="32" xfId="0" applyNumberFormat="1" applyFont="1" applyBorder="1" applyAlignment="1">
      <alignment horizontal="centerContinuous" vertical="center" wrapText="1"/>
    </xf>
    <xf numFmtId="0" fontId="0" fillId="0" borderId="79" xfId="0" applyNumberFormat="1" applyBorder="1" applyAlignment="1">
      <alignment horizontal="right"/>
    </xf>
    <xf numFmtId="0" fontId="0" fillId="0" borderId="81" xfId="0" applyNumberFormat="1" applyBorder="1" applyAlignment="1">
      <alignment horizontal="right"/>
    </xf>
    <xf numFmtId="0" fontId="22" fillId="0" borderId="0" xfId="2" applyNumberFormat="1" applyFont="1" applyAlignment="1">
      <alignment horizontal="center"/>
    </xf>
    <xf numFmtId="0" fontId="22" fillId="0" borderId="0" xfId="2" applyFont="1" applyAlignment="1">
      <alignment horizontal="right"/>
    </xf>
    <xf numFmtId="0" fontId="13" fillId="0" borderId="0" xfId="0" applyFont="1" applyAlignment="1">
      <alignment horizontal="left" wrapText="1"/>
    </xf>
    <xf numFmtId="0" fontId="0" fillId="7" borderId="79" xfId="0" applyFill="1" applyBorder="1"/>
    <xf numFmtId="0" fontId="0" fillId="7" borderId="81" xfId="0" applyFill="1" applyBorder="1"/>
    <xf numFmtId="3" fontId="0" fillId="0" borderId="79" xfId="0" applyNumberFormat="1" applyFill="1" applyBorder="1"/>
    <xf numFmtId="3" fontId="0" fillId="0" borderId="81" xfId="0" applyNumberFormat="1" applyFill="1" applyBorder="1"/>
    <xf numFmtId="0" fontId="0" fillId="0" borderId="79" xfId="0" applyFill="1" applyBorder="1"/>
    <xf numFmtId="0" fontId="0" fillId="0" borderId="81" xfId="0" applyFill="1" applyBorder="1"/>
    <xf numFmtId="0" fontId="0" fillId="0" borderId="79" xfId="0" applyBorder="1" applyAlignment="1">
      <alignment horizontal="center"/>
    </xf>
    <xf numFmtId="0" fontId="0" fillId="0" borderId="90" xfId="0" applyBorder="1"/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3" fontId="0" fillId="7" borderId="80" xfId="0" applyNumberFormat="1" applyFill="1" applyBorder="1"/>
    <xf numFmtId="0" fontId="16" fillId="0" borderId="7" xfId="0" applyFont="1" applyBorder="1" applyAlignment="1">
      <alignment horizontal="center" vertical="center" wrapText="1"/>
    </xf>
    <xf numFmtId="0" fontId="24" fillId="0" borderId="0" xfId="8" applyFill="1" applyAlignment="1">
      <alignment vertical="center"/>
    </xf>
    <xf numFmtId="0" fontId="59" fillId="0" borderId="0" xfId="8" applyFont="1" applyFill="1" applyAlignment="1">
      <alignment horizontal="left" vertical="center"/>
    </xf>
    <xf numFmtId="0" fontId="63" fillId="0" borderId="0" xfId="8" applyFont="1" applyFill="1" applyAlignment="1">
      <alignment horizontal="left" vertical="center"/>
    </xf>
    <xf numFmtId="0" fontId="63" fillId="0" borderId="13" xfId="8" applyFont="1" applyFill="1" applyBorder="1" applyAlignment="1">
      <alignment horizontal="left" vertical="center"/>
    </xf>
    <xf numFmtId="0" fontId="63" fillId="0" borderId="101" xfId="8" applyFont="1" applyFill="1" applyBorder="1" applyAlignment="1">
      <alignment horizontal="left" vertical="center"/>
    </xf>
    <xf numFmtId="0" fontId="59" fillId="0" borderId="101" xfId="8" applyFont="1" applyFill="1" applyBorder="1" applyAlignment="1">
      <alignment horizontal="left" vertical="center"/>
    </xf>
    <xf numFmtId="0" fontId="59" fillId="0" borderId="100" xfId="8" applyFont="1" applyFill="1" applyBorder="1" applyAlignment="1">
      <alignment horizontal="left" vertical="center"/>
    </xf>
    <xf numFmtId="0" fontId="56" fillId="0" borderId="0" xfId="8" applyFont="1" applyFill="1" applyAlignment="1">
      <alignment horizontal="left" vertical="center"/>
    </xf>
    <xf numFmtId="0" fontId="63" fillId="0" borderId="29" xfId="8" applyFont="1" applyFill="1" applyBorder="1" applyAlignment="1">
      <alignment horizontal="left" vertical="center"/>
    </xf>
    <xf numFmtId="0" fontId="63" fillId="0" borderId="0" xfId="8" applyFont="1" applyFill="1" applyBorder="1" applyAlignment="1">
      <alignment horizontal="left" vertical="center"/>
    </xf>
    <xf numFmtId="0" fontId="56" fillId="0" borderId="0" xfId="8" applyFont="1" applyFill="1" applyBorder="1" applyAlignment="1">
      <alignment horizontal="left" vertical="center"/>
    </xf>
    <xf numFmtId="0" fontId="56" fillId="0" borderId="99" xfId="8" applyFont="1" applyFill="1" applyBorder="1" applyAlignment="1">
      <alignment horizontal="left" vertical="center"/>
    </xf>
    <xf numFmtId="0" fontId="59" fillId="0" borderId="0" xfId="8" applyFont="1" applyFill="1" applyBorder="1" applyAlignment="1">
      <alignment horizontal="left" vertical="center"/>
    </xf>
    <xf numFmtId="0" fontId="59" fillId="0" borderId="99" xfId="8" applyFont="1" applyFill="1" applyBorder="1" applyAlignment="1">
      <alignment horizontal="left" vertical="center"/>
    </xf>
    <xf numFmtId="0" fontId="24" fillId="0" borderId="0" xfId="8" applyFill="1" applyBorder="1" applyAlignment="1">
      <alignment vertical="center"/>
    </xf>
    <xf numFmtId="0" fontId="24" fillId="0" borderId="99" xfId="8" applyFill="1" applyBorder="1" applyAlignment="1">
      <alignment vertical="center"/>
    </xf>
    <xf numFmtId="0" fontId="63" fillId="0" borderId="98" xfId="8" applyFont="1" applyFill="1" applyBorder="1" applyAlignment="1">
      <alignment horizontal="left" vertical="center"/>
    </xf>
    <xf numFmtId="0" fontId="63" fillId="0" borderId="97" xfId="8" applyFont="1" applyFill="1" applyBorder="1" applyAlignment="1">
      <alignment horizontal="left" vertical="center"/>
    </xf>
    <xf numFmtId="0" fontId="56" fillId="0" borderId="97" xfId="8" applyFont="1" applyFill="1" applyBorder="1" applyAlignment="1">
      <alignment horizontal="left" vertical="center"/>
    </xf>
    <xf numFmtId="0" fontId="69" fillId="0" borderId="96" xfId="8" applyFont="1" applyFill="1" applyBorder="1" applyAlignment="1">
      <alignment horizontal="left" vertical="center"/>
    </xf>
    <xf numFmtId="0" fontId="56" fillId="0" borderId="109" xfId="8" applyFont="1" applyFill="1" applyBorder="1" applyAlignment="1">
      <alignment horizontal="left" vertical="center"/>
    </xf>
    <xf numFmtId="0" fontId="56" fillId="0" borderId="101" xfId="8" applyFont="1" applyFill="1" applyBorder="1" applyAlignment="1">
      <alignment horizontal="left" vertical="center"/>
    </xf>
    <xf numFmtId="0" fontId="56" fillId="0" borderId="100" xfId="8" applyFont="1" applyFill="1" applyBorder="1" applyAlignment="1">
      <alignment horizontal="left" vertical="center"/>
    </xf>
    <xf numFmtId="0" fontId="24" fillId="0" borderId="81" xfId="8" applyBorder="1" applyAlignment="1">
      <alignment horizontal="center" vertical="center"/>
    </xf>
    <xf numFmtId="0" fontId="24" fillId="0" borderId="0" xfId="8" applyAlignment="1">
      <alignment horizontal="center" vertical="center"/>
    </xf>
    <xf numFmtId="0" fontId="59" fillId="0" borderId="79" xfId="8" applyFont="1" applyFill="1" applyBorder="1" applyAlignment="1">
      <alignment horizontal="center" vertical="center"/>
    </xf>
    <xf numFmtId="0" fontId="59" fillId="0" borderId="81" xfId="8" applyFont="1" applyFill="1" applyBorder="1" applyAlignment="1">
      <alignment horizontal="center" vertical="center"/>
    </xf>
    <xf numFmtId="1" fontId="63" fillId="0" borderId="0" xfId="8" applyNumberFormat="1" applyFont="1" applyFill="1" applyBorder="1" applyAlignment="1">
      <alignment horizontal="center" vertical="center"/>
    </xf>
    <xf numFmtId="169" fontId="63" fillId="0" borderId="0" xfId="8" applyNumberFormat="1" applyFont="1" applyFill="1" applyBorder="1" applyAlignment="1">
      <alignment horizontal="center" vertical="center"/>
    </xf>
    <xf numFmtId="170" fontId="63" fillId="0" borderId="0" xfId="8" applyNumberFormat="1" applyFont="1" applyFill="1" applyBorder="1" applyAlignment="1">
      <alignment horizontal="center" vertical="center"/>
    </xf>
    <xf numFmtId="170" fontId="63" fillId="0" borderId="99" xfId="8" applyNumberFormat="1" applyFont="1" applyFill="1" applyBorder="1" applyAlignment="1">
      <alignment horizontal="center" vertical="center"/>
    </xf>
    <xf numFmtId="0" fontId="24" fillId="0" borderId="29" xfId="8" applyFill="1" applyBorder="1" applyAlignment="1"/>
    <xf numFmtId="0" fontId="24" fillId="0" borderId="0" xfId="8" applyFill="1" applyBorder="1" applyAlignment="1"/>
    <xf numFmtId="0" fontId="59" fillId="0" borderId="79" xfId="8" applyFont="1" applyFill="1" applyBorder="1" applyAlignment="1">
      <alignment vertical="top" wrapText="1"/>
    </xf>
    <xf numFmtId="0" fontId="59" fillId="0" borderId="81" xfId="8" applyFont="1" applyFill="1" applyBorder="1" applyAlignment="1">
      <alignment vertical="top" wrapText="1"/>
    </xf>
    <xf numFmtId="0" fontId="59" fillId="0" borderId="0" xfId="8" applyFont="1" applyFill="1" applyBorder="1" applyAlignment="1">
      <alignment vertical="top" wrapText="1"/>
    </xf>
    <xf numFmtId="0" fontId="59" fillId="0" borderId="0" xfId="8" applyFont="1" applyFill="1" applyBorder="1" applyAlignment="1">
      <alignment vertical="center" wrapText="1"/>
    </xf>
    <xf numFmtId="0" fontId="59" fillId="0" borderId="81" xfId="8" applyFont="1" applyFill="1" applyBorder="1" applyAlignment="1">
      <alignment vertical="center" wrapText="1"/>
    </xf>
    <xf numFmtId="1" fontId="59" fillId="0" borderId="0" xfId="8" applyNumberFormat="1" applyFont="1" applyFill="1" applyBorder="1" applyAlignment="1">
      <alignment horizontal="left" vertical="center"/>
    </xf>
    <xf numFmtId="0" fontId="59" fillId="0" borderId="89" xfId="8" applyFont="1" applyFill="1" applyBorder="1" applyAlignment="1">
      <alignment vertical="center" wrapText="1"/>
    </xf>
    <xf numFmtId="1" fontId="59" fillId="0" borderId="103" xfId="8" applyNumberFormat="1" applyFont="1" applyFill="1" applyBorder="1" applyAlignment="1">
      <alignment horizontal="left" vertical="center"/>
    </xf>
    <xf numFmtId="0" fontId="59" fillId="0" borderId="103" xfId="8" applyFont="1" applyFill="1" applyBorder="1" applyAlignment="1">
      <alignment horizontal="left" vertical="center"/>
    </xf>
    <xf numFmtId="0" fontId="59" fillId="0" borderId="102" xfId="8" applyFont="1" applyFill="1" applyBorder="1" applyAlignment="1">
      <alignment horizontal="left" vertical="center"/>
    </xf>
    <xf numFmtId="0" fontId="58" fillId="0" borderId="81" xfId="8" applyFont="1" applyFill="1" applyBorder="1" applyAlignment="1">
      <alignment horizontal="center" vertical="center" wrapText="1"/>
    </xf>
    <xf numFmtId="0" fontId="68" fillId="0" borderId="0" xfId="8" applyFont="1" applyFill="1" applyAlignment="1">
      <alignment horizontal="left" vertical="center"/>
    </xf>
    <xf numFmtId="0" fontId="68" fillId="0" borderId="107" xfId="8" applyFont="1" applyFill="1" applyBorder="1" applyAlignment="1">
      <alignment horizontal="left" vertical="center"/>
    </xf>
    <xf numFmtId="0" fontId="24" fillId="0" borderId="97" xfId="8" applyFill="1" applyBorder="1" applyAlignment="1">
      <alignment vertical="center"/>
    </xf>
    <xf numFmtId="0" fontId="59" fillId="0" borderId="96" xfId="8" applyFont="1" applyFill="1" applyBorder="1" applyAlignment="1">
      <alignment vertical="center"/>
    </xf>
    <xf numFmtId="0" fontId="63" fillId="0" borderId="13" xfId="8" applyFont="1" applyFill="1" applyBorder="1" applyAlignment="1">
      <alignment horizontal="center" vertical="center"/>
    </xf>
    <xf numFmtId="0" fontId="63" fillId="0" borderId="101" xfId="8" applyFont="1" applyFill="1" applyBorder="1" applyAlignment="1">
      <alignment horizontal="center" vertical="center"/>
    </xf>
    <xf numFmtId="0" fontId="63" fillId="0" borderId="100" xfId="8" applyFont="1" applyFill="1" applyBorder="1" applyAlignment="1">
      <alignment horizontal="center" vertical="center"/>
    </xf>
    <xf numFmtId="0" fontId="63" fillId="0" borderId="0" xfId="8" applyFont="1" applyFill="1" applyBorder="1" applyAlignment="1">
      <alignment horizontal="center" vertical="center"/>
    </xf>
    <xf numFmtId="0" fontId="63" fillId="0" borderId="0" xfId="8" applyFont="1" applyFill="1" applyBorder="1" applyAlignment="1">
      <alignment vertical="center"/>
    </xf>
    <xf numFmtId="0" fontId="66" fillId="0" borderId="0" xfId="8" applyFont="1" applyFill="1" applyBorder="1" applyAlignment="1">
      <alignment vertical="center"/>
    </xf>
    <xf numFmtId="0" fontId="63" fillId="0" borderId="99" xfId="8" applyFont="1" applyFill="1" applyBorder="1" applyAlignment="1">
      <alignment vertical="center"/>
    </xf>
    <xf numFmtId="0" fontId="59" fillId="0" borderId="0" xfId="8" applyFont="1" applyFill="1" applyBorder="1" applyAlignment="1">
      <alignment vertical="center"/>
    </xf>
    <xf numFmtId="0" fontId="59" fillId="0" borderId="99" xfId="8" applyFont="1" applyFill="1" applyBorder="1" applyAlignment="1">
      <alignment vertical="center"/>
    </xf>
    <xf numFmtId="0" fontId="67" fillId="0" borderId="0" xfId="8" applyFont="1" applyFill="1" applyAlignment="1">
      <alignment vertical="center"/>
    </xf>
    <xf numFmtId="0" fontId="63" fillId="0" borderId="29" xfId="8" applyFont="1" applyFill="1" applyBorder="1" applyAlignment="1">
      <alignment horizontal="center" vertical="center"/>
    </xf>
    <xf numFmtId="0" fontId="63" fillId="0" borderId="99" xfId="8" applyFont="1" applyFill="1" applyBorder="1" applyAlignment="1">
      <alignment horizontal="center" vertical="center"/>
    </xf>
    <xf numFmtId="0" fontId="60" fillId="0" borderId="0" xfId="8" applyFont="1" applyFill="1" applyAlignment="1">
      <alignment vertical="center"/>
    </xf>
    <xf numFmtId="0" fontId="64" fillId="0" borderId="106" xfId="8" applyFont="1" applyFill="1" applyBorder="1" applyAlignment="1">
      <alignment horizontal="left" vertical="center"/>
    </xf>
    <xf numFmtId="0" fontId="64" fillId="0" borderId="92" xfId="8" applyFont="1" applyFill="1" applyBorder="1" applyAlignment="1">
      <alignment horizontal="left" vertical="center"/>
    </xf>
    <xf numFmtId="0" fontId="60" fillId="0" borderId="92" xfId="8" applyFont="1" applyFill="1" applyBorder="1" applyAlignment="1">
      <alignment vertical="center"/>
    </xf>
    <xf numFmtId="0" fontId="60" fillId="0" borderId="105" xfId="8" applyFont="1" applyFill="1" applyBorder="1" applyAlignment="1">
      <alignment vertical="center"/>
    </xf>
    <xf numFmtId="0" fontId="58" fillId="0" borderId="104" xfId="8" applyFont="1" applyFill="1" applyBorder="1" applyAlignment="1">
      <alignment horizontal="center" vertical="center"/>
    </xf>
    <xf numFmtId="0" fontId="58" fillId="0" borderId="103" xfId="8" applyFont="1" applyFill="1" applyBorder="1" applyAlignment="1">
      <alignment horizontal="center" vertical="center"/>
    </xf>
    <xf numFmtId="0" fontId="58" fillId="0" borderId="102" xfId="8" applyFont="1" applyFill="1" applyBorder="1" applyAlignment="1">
      <alignment horizontal="center" vertical="center"/>
    </xf>
    <xf numFmtId="0" fontId="64" fillId="0" borderId="104" xfId="8" applyFont="1" applyFill="1" applyBorder="1" applyAlignment="1">
      <alignment horizontal="left" vertical="center"/>
    </xf>
    <xf numFmtId="0" fontId="64" fillId="0" borderId="103" xfId="8" applyFont="1" applyFill="1" applyBorder="1" applyAlignment="1">
      <alignment horizontal="left" vertical="center"/>
    </xf>
    <xf numFmtId="0" fontId="64" fillId="0" borderId="103" xfId="8" applyFont="1" applyFill="1" applyBorder="1" applyAlignment="1">
      <alignment vertical="center"/>
    </xf>
    <xf numFmtId="0" fontId="64" fillId="0" borderId="102" xfId="8" applyFont="1" applyFill="1" applyBorder="1" applyAlignment="1">
      <alignment vertical="center"/>
    </xf>
    <xf numFmtId="0" fontId="62" fillId="0" borderId="0" xfId="8" applyFont="1" applyFill="1" applyAlignment="1">
      <alignment horizontal="left" vertical="center"/>
    </xf>
    <xf numFmtId="0" fontId="62" fillId="0" borderId="97" xfId="8" applyFont="1" applyFill="1" applyBorder="1" applyAlignment="1">
      <alignment horizontal="left" vertical="center"/>
    </xf>
    <xf numFmtId="0" fontId="59" fillId="0" borderId="96" xfId="8" applyFont="1" applyFill="1" applyBorder="1" applyAlignment="1">
      <alignment horizontal="left" vertical="center"/>
    </xf>
    <xf numFmtId="0" fontId="62" fillId="0" borderId="0" xfId="8" applyFont="1" applyFill="1" applyBorder="1" applyAlignment="1">
      <alignment horizontal="left" vertical="center"/>
    </xf>
    <xf numFmtId="0" fontId="59" fillId="0" borderId="101" xfId="8" applyFont="1" applyFill="1" applyBorder="1" applyAlignment="1">
      <alignment horizontal="left"/>
    </xf>
    <xf numFmtId="0" fontId="62" fillId="0" borderId="101" xfId="8" applyFont="1" applyFill="1" applyBorder="1" applyAlignment="1">
      <alignment horizontal="left" vertical="center"/>
    </xf>
    <xf numFmtId="0" fontId="62" fillId="0" borderId="13" xfId="8" applyFont="1" applyFill="1" applyBorder="1" applyAlignment="1">
      <alignment horizontal="left" vertical="center"/>
    </xf>
    <xf numFmtId="0" fontId="63" fillId="0" borderId="100" xfId="8" applyFont="1" applyFill="1" applyBorder="1" applyAlignment="1">
      <alignment horizontal="left" vertical="center"/>
    </xf>
    <xf numFmtId="0" fontId="59" fillId="0" borderId="0" xfId="8" applyFont="1" applyFill="1" applyBorder="1" applyAlignment="1">
      <alignment horizontal="left"/>
    </xf>
    <xf numFmtId="0" fontId="62" fillId="0" borderId="29" xfId="8" applyFont="1" applyFill="1" applyBorder="1" applyAlignment="1">
      <alignment horizontal="left" vertical="center"/>
    </xf>
    <xf numFmtId="0" fontId="63" fillId="0" borderId="0" xfId="8" applyFont="1" applyFill="1" applyBorder="1" applyAlignment="1">
      <alignment horizontal="left"/>
    </xf>
    <xf numFmtId="0" fontId="23" fillId="0" borderId="0" xfId="8" applyFont="1" applyFill="1" applyBorder="1" applyAlignment="1">
      <alignment horizontal="left"/>
    </xf>
    <xf numFmtId="0" fontId="58" fillId="0" borderId="0" xfId="8" applyFont="1" applyFill="1" applyBorder="1" applyAlignment="1">
      <alignment horizontal="center" vertical="center"/>
    </xf>
    <xf numFmtId="0" fontId="63" fillId="0" borderId="0" xfId="8" applyFont="1" applyFill="1" applyBorder="1" applyAlignment="1">
      <alignment horizontal="center"/>
    </xf>
    <xf numFmtId="0" fontId="63" fillId="0" borderId="99" xfId="8" applyFont="1" applyFill="1" applyBorder="1" applyAlignment="1" applyProtection="1">
      <alignment horizontal="center" vertical="center"/>
      <protection locked="0"/>
    </xf>
    <xf numFmtId="0" fontId="62" fillId="0" borderId="100" xfId="8" applyFont="1" applyFill="1" applyBorder="1" applyAlignment="1">
      <alignment horizontal="left"/>
    </xf>
    <xf numFmtId="0" fontId="65" fillId="0" borderId="0" xfId="8" applyFont="1" applyFill="1" applyBorder="1" applyAlignment="1">
      <alignment horizontal="center" vertical="center"/>
    </xf>
    <xf numFmtId="0" fontId="62" fillId="0" borderId="98" xfId="8" applyFont="1" applyFill="1" applyBorder="1" applyAlignment="1">
      <alignment horizontal="left" vertical="center"/>
    </xf>
    <xf numFmtId="0" fontId="59" fillId="0" borderId="97" xfId="8" applyFont="1" applyFill="1" applyBorder="1" applyAlignment="1">
      <alignment horizontal="left" vertical="center"/>
    </xf>
    <xf numFmtId="0" fontId="64" fillId="0" borderId="97" xfId="8" applyFont="1" applyFill="1" applyBorder="1" applyAlignment="1">
      <alignment horizontal="left" vertical="center"/>
    </xf>
    <xf numFmtId="0" fontId="61" fillId="0" borderId="0" xfId="8" applyFont="1" applyFill="1" applyAlignment="1">
      <alignment horizontal="left" vertical="center"/>
    </xf>
    <xf numFmtId="0" fontId="61" fillId="0" borderId="13" xfId="8" applyFont="1" applyFill="1" applyBorder="1" applyAlignment="1">
      <alignment horizontal="left" vertical="center"/>
    </xf>
    <xf numFmtId="0" fontId="61" fillId="0" borderId="101" xfId="8" applyFont="1" applyFill="1" applyBorder="1" applyAlignment="1">
      <alignment horizontal="left" vertical="center"/>
    </xf>
    <xf numFmtId="0" fontId="61" fillId="0" borderId="100" xfId="8" applyFont="1" applyFill="1" applyBorder="1" applyAlignment="1">
      <alignment horizontal="left" vertical="center"/>
    </xf>
    <xf numFmtId="0" fontId="59" fillId="0" borderId="29" xfId="8" applyFont="1" applyFill="1" applyBorder="1" applyAlignment="1">
      <alignment horizontal="left" vertical="center"/>
    </xf>
    <xf numFmtId="0" fontId="60" fillId="0" borderId="0" xfId="8" applyFont="1" applyFill="1" applyAlignment="1">
      <alignment horizontal="left" vertical="center"/>
    </xf>
    <xf numFmtId="0" fontId="60" fillId="0" borderId="98" xfId="8" applyFont="1" applyFill="1" applyBorder="1" applyAlignment="1">
      <alignment horizontal="left" vertical="center"/>
    </xf>
    <xf numFmtId="0" fontId="60" fillId="0" borderId="97" xfId="8" applyFont="1" applyFill="1" applyBorder="1" applyAlignment="1">
      <alignment horizontal="left" vertical="center"/>
    </xf>
    <xf numFmtId="0" fontId="60" fillId="0" borderId="96" xfId="8" applyFont="1" applyFill="1" applyBorder="1" applyAlignment="1">
      <alignment horizontal="left" vertical="center"/>
    </xf>
    <xf numFmtId="0" fontId="24" fillId="0" borderId="17" xfId="8" applyFill="1" applyBorder="1" applyAlignment="1">
      <alignment vertical="center"/>
    </xf>
    <xf numFmtId="0" fontId="24" fillId="0" borderId="95" xfId="8" applyFill="1" applyBorder="1" applyAlignment="1">
      <alignment vertical="center"/>
    </xf>
    <xf numFmtId="0" fontId="59" fillId="0" borderId="95" xfId="8" quotePrefix="1" applyFont="1" applyFill="1" applyBorder="1" applyAlignment="1">
      <alignment horizontal="left" vertical="center"/>
    </xf>
    <xf numFmtId="0" fontId="58" fillId="0" borderId="95" xfId="8" applyFont="1" applyFill="1" applyBorder="1" applyAlignment="1">
      <alignment horizontal="center" vertical="center"/>
    </xf>
    <xf numFmtId="0" fontId="56" fillId="0" borderId="94" xfId="8" applyFont="1" applyFill="1" applyBorder="1" applyAlignment="1">
      <alignment vertical="center"/>
    </xf>
    <xf numFmtId="0" fontId="57" fillId="0" borderId="0" xfId="8" applyFont="1" applyFill="1" applyAlignment="1">
      <alignment horizontal="left" vertical="center"/>
    </xf>
    <xf numFmtId="0" fontId="24" fillId="0" borderId="93" xfId="8" applyFont="1" applyFill="1" applyBorder="1" applyAlignment="1">
      <alignment horizontal="left" vertical="center"/>
    </xf>
    <xf numFmtId="0" fontId="56" fillId="0" borderId="92" xfId="8" applyFont="1" applyFill="1" applyBorder="1" applyAlignment="1">
      <alignment horizontal="left" vertical="center"/>
    </xf>
    <xf numFmtId="0" fontId="24" fillId="0" borderId="91" xfId="8" applyFont="1" applyFill="1" applyBorder="1" applyAlignment="1">
      <alignment horizontal="left" vertical="center"/>
    </xf>
    <xf numFmtId="0" fontId="54" fillId="0" borderId="0" xfId="8" applyFont="1" applyFill="1" applyAlignment="1">
      <alignment horizontal="left" vertical="center"/>
    </xf>
    <xf numFmtId="0" fontId="55" fillId="0" borderId="0" xfId="8" quotePrefix="1" applyFont="1" applyFill="1" applyAlignment="1">
      <alignment horizontal="left" vertical="center"/>
    </xf>
    <xf numFmtId="0" fontId="59" fillId="0" borderId="0" xfId="8" applyFont="1" applyFill="1" applyAlignment="1">
      <alignment vertical="center"/>
    </xf>
    <xf numFmtId="49" fontId="72" fillId="0" borderId="43" xfId="8" applyNumberFormat="1" applyFont="1" applyFill="1" applyBorder="1" applyAlignment="1">
      <alignment horizontal="center" vertical="top"/>
    </xf>
    <xf numFmtId="0" fontId="72" fillId="0" borderId="76" xfId="8" applyFont="1" applyFill="1" applyBorder="1" applyAlignment="1">
      <alignment horizontal="right" vertical="top" wrapText="1"/>
    </xf>
    <xf numFmtId="0" fontId="72" fillId="0" borderId="67" xfId="8" applyFont="1" applyFill="1" applyBorder="1" applyAlignment="1">
      <alignment horizontal="right" vertical="top" wrapText="1"/>
    </xf>
    <xf numFmtId="0" fontId="72" fillId="0" borderId="67" xfId="8" applyFont="1" applyFill="1" applyBorder="1" applyAlignment="1">
      <alignment horizontal="left" vertical="top" wrapText="1"/>
    </xf>
    <xf numFmtId="0" fontId="73" fillId="0" borderId="67" xfId="8" applyFont="1" applyFill="1" applyBorder="1" applyAlignment="1">
      <alignment horizontal="left" vertical="top" wrapText="1"/>
    </xf>
    <xf numFmtId="0" fontId="73" fillId="0" borderId="67" xfId="8" quotePrefix="1" applyFont="1" applyFill="1" applyBorder="1" applyAlignment="1">
      <alignment horizontal="left" vertical="top" wrapText="1"/>
    </xf>
    <xf numFmtId="0" fontId="74" fillId="0" borderId="64" xfId="8" applyFont="1" applyFill="1" applyBorder="1" applyAlignment="1">
      <alignment horizontal="center" wrapText="1"/>
    </xf>
    <xf numFmtId="0" fontId="74" fillId="0" borderId="63" xfId="8" applyFont="1" applyFill="1" applyBorder="1" applyAlignment="1">
      <alignment horizontal="center" wrapText="1"/>
    </xf>
    <xf numFmtId="49" fontId="73" fillId="0" borderId="77" xfId="8" applyNumberFormat="1" applyFont="1" applyFill="1" applyBorder="1" applyAlignment="1">
      <alignment horizontal="center" vertical="top"/>
    </xf>
    <xf numFmtId="0" fontId="73" fillId="0" borderId="76" xfId="8" applyFont="1" applyFill="1" applyBorder="1" applyAlignment="1">
      <alignment horizontal="left" vertical="top" wrapText="1"/>
    </xf>
    <xf numFmtId="49" fontId="73" fillId="0" borderId="43" xfId="8" applyNumberFormat="1" applyFont="1" applyFill="1" applyBorder="1" applyAlignment="1">
      <alignment horizontal="center" vertical="top"/>
    </xf>
    <xf numFmtId="0" fontId="75" fillId="0" borderId="67" xfId="8" applyFont="1" applyFill="1" applyBorder="1" applyAlignment="1">
      <alignment horizontal="right" vertical="top" wrapText="1"/>
    </xf>
    <xf numFmtId="0" fontId="59" fillId="0" borderId="0" xfId="8" applyFont="1" applyFill="1"/>
    <xf numFmtId="0" fontId="73" fillId="0" borderId="67" xfId="8" applyFont="1" applyFill="1" applyBorder="1" applyAlignment="1">
      <alignment horizontal="left" vertical="top"/>
    </xf>
    <xf numFmtId="0" fontId="74" fillId="0" borderId="73" xfId="8" applyFont="1" applyFill="1" applyBorder="1" applyAlignment="1">
      <alignment horizontal="center" wrapText="1"/>
    </xf>
    <xf numFmtId="0" fontId="74" fillId="0" borderId="72" xfId="8" applyFont="1" applyFill="1" applyBorder="1" applyAlignment="1">
      <alignment horizontal="center" wrapText="1"/>
    </xf>
    <xf numFmtId="171" fontId="71" fillId="0" borderId="43" xfId="8" applyNumberFormat="1" applyFont="1" applyFill="1" applyBorder="1" applyAlignment="1">
      <alignment horizontal="right" vertical="center"/>
    </xf>
    <xf numFmtId="0" fontId="59" fillId="0" borderId="0" xfId="8" applyFont="1" applyFill="1" applyAlignment="1">
      <alignment vertical="center" wrapText="1"/>
    </xf>
    <xf numFmtId="0" fontId="71" fillId="0" borderId="118" xfId="8" applyFont="1" applyFill="1" applyBorder="1" applyAlignment="1">
      <alignment horizontal="right" vertical="center" wrapText="1"/>
    </xf>
    <xf numFmtId="0" fontId="60" fillId="0" borderId="0" xfId="8" applyFont="1" applyFill="1" applyAlignment="1">
      <alignment vertical="center" wrapText="1"/>
    </xf>
    <xf numFmtId="0" fontId="58" fillId="0" borderId="93" xfId="8" applyFont="1" applyFill="1" applyBorder="1" applyAlignment="1">
      <alignment horizontal="left" vertical="center"/>
    </xf>
    <xf numFmtId="0" fontId="58" fillId="0" borderId="92" xfId="8" applyFont="1" applyFill="1" applyBorder="1" applyAlignment="1">
      <alignment horizontal="left" vertical="center"/>
    </xf>
    <xf numFmtId="0" fontId="71" fillId="0" borderId="91" xfId="8" applyFont="1" applyFill="1" applyBorder="1" applyAlignment="1">
      <alignment horizontal="left" vertical="center"/>
    </xf>
    <xf numFmtId="0" fontId="58" fillId="0" borderId="43" xfId="8" applyFont="1" applyFill="1" applyBorder="1" applyAlignment="1">
      <alignment horizontal="center" vertical="center"/>
    </xf>
    <xf numFmtId="0" fontId="59" fillId="0" borderId="43" xfId="8" applyFont="1" applyFill="1" applyBorder="1" applyAlignment="1">
      <alignment horizontal="center" vertical="center"/>
    </xf>
    <xf numFmtId="0" fontId="63" fillId="0" borderId="81" xfId="8" applyFont="1" applyFill="1" applyBorder="1" applyAlignment="1">
      <alignment horizontal="left" vertical="center"/>
    </xf>
    <xf numFmtId="0" fontId="59" fillId="0" borderId="81" xfId="8" applyFont="1" applyFill="1" applyBorder="1" applyAlignment="1">
      <alignment horizontal="left" vertical="center"/>
    </xf>
    <xf numFmtId="172" fontId="59" fillId="0" borderId="0" xfId="8" applyNumberFormat="1" applyFont="1" applyFill="1" applyAlignment="1">
      <alignment horizontal="left" vertical="center"/>
    </xf>
    <xf numFmtId="0" fontId="66" fillId="0" borderId="0" xfId="8" applyFont="1" applyFill="1" applyAlignment="1">
      <alignment vertical="center"/>
    </xf>
    <xf numFmtId="0" fontId="24" fillId="0" borderId="0" xfId="8" applyFont="1" applyFill="1" applyAlignment="1">
      <alignment vertical="center"/>
    </xf>
    <xf numFmtId="0" fontId="24" fillId="0" borderId="0" xfId="8" applyFont="1" applyFill="1" applyBorder="1" applyAlignment="1">
      <alignment horizontal="left" vertical="center"/>
    </xf>
    <xf numFmtId="0" fontId="56" fillId="0" borderId="93" xfId="8" applyFont="1" applyFill="1" applyBorder="1" applyAlignment="1">
      <alignment horizontal="left" vertical="center"/>
    </xf>
    <xf numFmtId="0" fontId="24" fillId="0" borderId="106" xfId="8" applyFont="1" applyFill="1" applyBorder="1" applyAlignment="1">
      <alignment horizontal="left" vertical="center"/>
    </xf>
    <xf numFmtId="0" fontId="72" fillId="0" borderId="0" xfId="8" applyFont="1" applyFill="1" applyAlignment="1">
      <alignment vertical="center"/>
    </xf>
    <xf numFmtId="0" fontId="73" fillId="0" borderId="0" xfId="8" applyFont="1" applyFill="1" applyAlignment="1">
      <alignment vertical="center"/>
    </xf>
    <xf numFmtId="0" fontId="73" fillId="0" borderId="113" xfId="8" applyFont="1" applyFill="1" applyBorder="1" applyAlignment="1">
      <alignment horizontal="left" vertical="top" wrapText="1"/>
    </xf>
    <xf numFmtId="0" fontId="73" fillId="0" borderId="112" xfId="8" applyFont="1" applyFill="1" applyBorder="1" applyAlignment="1">
      <alignment horizontal="left" vertical="top" wrapText="1"/>
    </xf>
    <xf numFmtId="171" fontId="71" fillId="0" borderId="68" xfId="8" applyNumberFormat="1" applyFont="1" applyFill="1" applyBorder="1" applyAlignment="1">
      <alignment horizontal="right" vertical="center"/>
    </xf>
    <xf numFmtId="0" fontId="72" fillId="0" borderId="93" xfId="8" applyFont="1" applyFill="1" applyBorder="1" applyAlignment="1">
      <alignment horizontal="left" vertical="top" wrapText="1"/>
    </xf>
    <xf numFmtId="0" fontId="72" fillId="0" borderId="91" xfId="8" applyFont="1" applyFill="1" applyBorder="1" applyAlignment="1">
      <alignment horizontal="left" vertical="top" wrapText="1"/>
    </xf>
    <xf numFmtId="0" fontId="73" fillId="0" borderId="93" xfId="8" applyFont="1" applyFill="1" applyBorder="1" applyAlignment="1">
      <alignment horizontal="left" vertical="top" wrapText="1"/>
    </xf>
    <xf numFmtId="0" fontId="73" fillId="0" borderId="91" xfId="8" applyFont="1" applyFill="1" applyBorder="1" applyAlignment="1">
      <alignment horizontal="left" vertical="top" wrapText="1"/>
    </xf>
    <xf numFmtId="49" fontId="73" fillId="0" borderId="73" xfId="8" applyNumberFormat="1" applyFont="1" applyFill="1" applyBorder="1" applyAlignment="1">
      <alignment horizontal="center" vertical="top"/>
    </xf>
    <xf numFmtId="0" fontId="73" fillId="0" borderId="89" xfId="8" applyFont="1" applyFill="1" applyBorder="1" applyAlignment="1">
      <alignment horizontal="left" vertical="top" wrapText="1"/>
    </xf>
    <xf numFmtId="0" fontId="73" fillId="0" borderId="88" xfId="8" applyFont="1" applyFill="1" applyBorder="1" applyAlignment="1">
      <alignment horizontal="left" vertical="top" wrapText="1"/>
    </xf>
    <xf numFmtId="0" fontId="73" fillId="0" borderId="72" xfId="8" applyFont="1" applyFill="1" applyBorder="1" applyAlignment="1">
      <alignment horizontal="left" vertical="top" wrapText="1"/>
    </xf>
    <xf numFmtId="0" fontId="72" fillId="0" borderId="67" xfId="8" quotePrefix="1" applyFont="1" applyFill="1" applyBorder="1" applyAlignment="1">
      <alignment horizontal="left" vertical="top" wrapText="1"/>
    </xf>
    <xf numFmtId="49" fontId="72" fillId="0" borderId="73" xfId="8" applyNumberFormat="1" applyFont="1" applyFill="1" applyBorder="1" applyAlignment="1">
      <alignment horizontal="center" vertical="top"/>
    </xf>
    <xf numFmtId="0" fontId="72" fillId="0" borderId="89" xfId="8" applyFont="1" applyFill="1" applyBorder="1" applyAlignment="1">
      <alignment horizontal="left" vertical="top" wrapText="1"/>
    </xf>
    <xf numFmtId="0" fontId="72" fillId="0" borderId="88" xfId="8" applyFont="1" applyFill="1" applyBorder="1" applyAlignment="1">
      <alignment horizontal="left" vertical="top" wrapText="1"/>
    </xf>
    <xf numFmtId="0" fontId="72" fillId="0" borderId="72" xfId="8" applyFont="1" applyFill="1" applyBorder="1" applyAlignment="1">
      <alignment horizontal="left" vertical="top" wrapText="1"/>
    </xf>
    <xf numFmtId="0" fontId="76" fillId="0" borderId="93" xfId="8" applyFont="1" applyFill="1" applyBorder="1" applyAlignment="1">
      <alignment horizontal="left" vertical="top" wrapText="1"/>
    </xf>
    <xf numFmtId="0" fontId="76" fillId="0" borderId="91" xfId="8" applyFont="1" applyFill="1" applyBorder="1" applyAlignment="1">
      <alignment horizontal="left" vertical="top" wrapText="1"/>
    </xf>
    <xf numFmtId="0" fontId="76" fillId="0" borderId="67" xfId="8" applyFont="1" applyFill="1" applyBorder="1" applyAlignment="1">
      <alignment horizontal="left" vertical="top" wrapText="1"/>
    </xf>
    <xf numFmtId="0" fontId="76" fillId="0" borderId="93" xfId="8" quotePrefix="1" applyFont="1" applyFill="1" applyBorder="1" applyAlignment="1">
      <alignment horizontal="left" vertical="top" wrapText="1"/>
    </xf>
    <xf numFmtId="0" fontId="76" fillId="0" borderId="91" xfId="8" quotePrefix="1" applyFont="1" applyFill="1" applyBorder="1" applyAlignment="1">
      <alignment horizontal="left" vertical="top" wrapText="1"/>
    </xf>
    <xf numFmtId="0" fontId="72" fillId="0" borderId="89" xfId="8" quotePrefix="1" applyFont="1" applyFill="1" applyBorder="1" applyAlignment="1">
      <alignment horizontal="left" vertical="top" wrapText="1"/>
    </xf>
    <xf numFmtId="0" fontId="72" fillId="0" borderId="88" xfId="8" quotePrefix="1" applyFont="1" applyFill="1" applyBorder="1" applyAlignment="1">
      <alignment horizontal="left" vertical="top" wrapText="1"/>
    </xf>
    <xf numFmtId="0" fontId="72" fillId="0" borderId="0" xfId="8" applyFont="1" applyFill="1" applyAlignment="1">
      <alignment vertical="center" wrapText="1"/>
    </xf>
    <xf numFmtId="49" fontId="72" fillId="0" borderId="77" xfId="8" applyNumberFormat="1" applyFont="1" applyFill="1" applyBorder="1" applyAlignment="1">
      <alignment horizontal="center" vertical="top"/>
    </xf>
    <xf numFmtId="0" fontId="72" fillId="0" borderId="113" xfId="8" applyFont="1" applyFill="1" applyBorder="1" applyAlignment="1">
      <alignment horizontal="left" vertical="top" wrapText="1"/>
    </xf>
    <xf numFmtId="0" fontId="72" fillId="0" borderId="112" xfId="8" applyFont="1" applyFill="1" applyBorder="1" applyAlignment="1">
      <alignment horizontal="left" vertical="top" wrapText="1"/>
    </xf>
    <xf numFmtId="0" fontId="72" fillId="0" borderId="76" xfId="8" applyFont="1" applyFill="1" applyBorder="1" applyAlignment="1">
      <alignment horizontal="left" vertical="top" wrapText="1"/>
    </xf>
    <xf numFmtId="0" fontId="73" fillId="0" borderId="0" xfId="8" applyFont="1" applyFill="1" applyAlignment="1">
      <alignment vertical="center" wrapText="1"/>
    </xf>
    <xf numFmtId="0" fontId="73" fillId="0" borderId="93" xfId="8" quotePrefix="1" applyFont="1" applyFill="1" applyBorder="1" applyAlignment="1">
      <alignment horizontal="left" vertical="top" wrapText="1"/>
    </xf>
    <xf numFmtId="0" fontId="73" fillId="0" borderId="91" xfId="8" quotePrefix="1" applyFont="1" applyFill="1" applyBorder="1" applyAlignment="1">
      <alignment horizontal="left" vertical="top" wrapText="1"/>
    </xf>
    <xf numFmtId="0" fontId="72" fillId="0" borderId="93" xfId="8" quotePrefix="1" applyFont="1" applyFill="1" applyBorder="1" applyAlignment="1">
      <alignment horizontal="left" vertical="top" wrapText="1"/>
    </xf>
    <xf numFmtId="0" fontId="72" fillId="0" borderId="91" xfId="8" quotePrefix="1" applyFont="1" applyFill="1" applyBorder="1" applyAlignment="1">
      <alignment horizontal="left" vertical="top" wrapText="1"/>
    </xf>
    <xf numFmtId="0" fontId="73" fillId="0" borderId="68" xfId="8" applyFont="1" applyFill="1" applyBorder="1" applyAlignment="1">
      <alignment horizontal="center" vertical="center" wrapText="1"/>
    </xf>
    <xf numFmtId="0" fontId="73" fillId="0" borderId="43" xfId="8" applyFont="1" applyFill="1" applyBorder="1" applyAlignment="1">
      <alignment horizontal="center" wrapText="1"/>
    </xf>
    <xf numFmtId="0" fontId="74" fillId="0" borderId="43" xfId="8" applyFont="1" applyFill="1" applyBorder="1" applyAlignment="1">
      <alignment horizontal="center" vertical="center" wrapText="1"/>
    </xf>
    <xf numFmtId="0" fontId="73" fillId="0" borderId="93" xfId="8" applyFont="1" applyFill="1" applyBorder="1" applyAlignment="1">
      <alignment horizontal="center" vertical="center" wrapText="1"/>
    </xf>
    <xf numFmtId="0" fontId="73" fillId="0" borderId="91" xfId="8" applyFont="1" applyFill="1" applyBorder="1" applyAlignment="1">
      <alignment horizontal="center" vertical="center" wrapText="1"/>
    </xf>
    <xf numFmtId="0" fontId="74" fillId="0" borderId="67" xfId="8" applyFont="1" applyFill="1" applyBorder="1" applyAlignment="1">
      <alignment horizontal="center" vertical="center" wrapText="1"/>
    </xf>
    <xf numFmtId="0" fontId="72" fillId="0" borderId="64" xfId="8" applyFont="1" applyFill="1" applyBorder="1" applyAlignment="1">
      <alignment horizontal="center" vertical="center"/>
    </xf>
    <xf numFmtId="0" fontId="72" fillId="0" borderId="116" xfId="8" applyFont="1" applyFill="1" applyBorder="1" applyAlignment="1">
      <alignment horizontal="center" vertical="center"/>
    </xf>
    <xf numFmtId="0" fontId="72" fillId="0" borderId="115" xfId="8" applyFont="1" applyFill="1" applyBorder="1" applyAlignment="1">
      <alignment horizontal="center" vertical="center"/>
    </xf>
    <xf numFmtId="0" fontId="72" fillId="0" borderId="63" xfId="8" applyFont="1" applyFill="1" applyBorder="1" applyAlignment="1">
      <alignment horizontal="center" vertical="center"/>
    </xf>
    <xf numFmtId="0" fontId="59" fillId="0" borderId="101" xfId="8" applyFont="1" applyFill="1" applyBorder="1" applyAlignment="1">
      <alignment vertical="center"/>
    </xf>
    <xf numFmtId="0" fontId="71" fillId="0" borderId="0" xfId="8" applyFont="1" applyFill="1" applyBorder="1" applyAlignment="1">
      <alignment horizontal="left" vertical="center"/>
    </xf>
    <xf numFmtId="0" fontId="53" fillId="8" borderId="0" xfId="0" applyFont="1" applyFill="1" applyAlignment="1"/>
    <xf numFmtId="0" fontId="79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0" borderId="0" xfId="0" applyFont="1" applyAlignment="1"/>
    <xf numFmtId="0" fontId="17" fillId="0" borderId="0" xfId="0" applyFont="1" applyAlignment="1">
      <alignment wrapText="1"/>
    </xf>
    <xf numFmtId="0" fontId="17" fillId="0" borderId="0" xfId="0" applyFont="1" applyAlignment="1"/>
    <xf numFmtId="0" fontId="16" fillId="0" borderId="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17" fillId="0" borderId="0" xfId="0" applyFont="1" applyAlignment="1">
      <alignment horizontal="center"/>
    </xf>
    <xf numFmtId="0" fontId="79" fillId="0" borderId="101" xfId="0" applyFont="1" applyBorder="1"/>
    <xf numFmtId="0" fontId="9" fillId="0" borderId="0" xfId="0" applyFont="1" applyAlignment="1">
      <alignment horizontal="left" vertical="top" wrapText="1"/>
    </xf>
    <xf numFmtId="171" fontId="71" fillId="0" borderId="43" xfId="8" applyNumberFormat="1" applyFont="1" applyFill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17" fillId="0" borderId="79" xfId="0" applyFont="1" applyBorder="1"/>
    <xf numFmtId="0" fontId="17" fillId="0" borderId="0" xfId="0" applyFont="1" applyBorder="1"/>
    <xf numFmtId="3" fontId="17" fillId="0" borderId="81" xfId="0" applyNumberFormat="1" applyFont="1" applyBorder="1"/>
    <xf numFmtId="3" fontId="17" fillId="0" borderId="88" xfId="0" applyNumberFormat="1" applyFont="1" applyBorder="1"/>
    <xf numFmtId="3" fontId="17" fillId="0" borderId="103" xfId="0" applyNumberFormat="1" applyFont="1" applyBorder="1"/>
    <xf numFmtId="3" fontId="17" fillId="0" borderId="89" xfId="0" applyNumberFormat="1" applyFont="1" applyBorder="1"/>
    <xf numFmtId="0" fontId="17" fillId="0" borderId="119" xfId="0" applyFont="1" applyBorder="1"/>
    <xf numFmtId="0" fontId="17" fillId="0" borderId="123" xfId="0" applyFont="1" applyBorder="1"/>
    <xf numFmtId="3" fontId="17" fillId="0" borderId="122" xfId="0" applyNumberFormat="1" applyFont="1" applyBorder="1"/>
    <xf numFmtId="3" fontId="17" fillId="0" borderId="80" xfId="0" applyNumberFormat="1" applyFont="1" applyBorder="1"/>
    <xf numFmtId="3" fontId="17" fillId="7" borderId="80" xfId="0" applyNumberFormat="1" applyFont="1" applyFill="1" applyBorder="1"/>
    <xf numFmtId="3" fontId="17" fillId="0" borderId="73" xfId="0" applyNumberFormat="1" applyFont="1" applyBorder="1"/>
    <xf numFmtId="0" fontId="17" fillId="0" borderId="122" xfId="0" applyFont="1" applyBorder="1"/>
    <xf numFmtId="0" fontId="17" fillId="0" borderId="81" xfId="0" applyFont="1" applyBorder="1"/>
    <xf numFmtId="3" fontId="17" fillId="0" borderId="120" xfId="0" applyNumberFormat="1" applyFont="1" applyBorder="1"/>
    <xf numFmtId="0" fontId="16" fillId="0" borderId="1" xfId="0" applyFont="1" applyBorder="1" applyAlignment="1">
      <alignment vertical="center" wrapText="1"/>
    </xf>
    <xf numFmtId="3" fontId="17" fillId="0" borderId="79" xfId="0" applyNumberFormat="1" applyFont="1" applyBorder="1"/>
    <xf numFmtId="3" fontId="81" fillId="0" borderId="79" xfId="0" applyNumberFormat="1" applyFont="1" applyBorder="1"/>
    <xf numFmtId="3" fontId="81" fillId="0" borderId="81" xfId="0" applyNumberFormat="1" applyFont="1" applyBorder="1"/>
    <xf numFmtId="0" fontId="81" fillId="0" borderId="79" xfId="0" applyFont="1" applyBorder="1"/>
    <xf numFmtId="0" fontId="81" fillId="0" borderId="81" xfId="0" applyFont="1" applyBorder="1"/>
    <xf numFmtId="3" fontId="81" fillId="0" borderId="88" xfId="0" applyNumberFormat="1" applyFont="1" applyBorder="1"/>
    <xf numFmtId="3" fontId="81" fillId="0" borderId="89" xfId="0" applyNumberFormat="1" applyFont="1" applyBorder="1"/>
    <xf numFmtId="0" fontId="17" fillId="0" borderId="138" xfId="0" applyFont="1" applyBorder="1"/>
    <xf numFmtId="3" fontId="17" fillId="0" borderId="119" xfId="0" applyNumberFormat="1" applyFont="1" applyBorder="1"/>
    <xf numFmtId="0" fontId="17" fillId="0" borderId="0" xfId="0" applyFont="1" applyAlignment="1">
      <alignment horizontal="center" wrapText="1"/>
    </xf>
    <xf numFmtId="0" fontId="0" fillId="0" borderId="120" xfId="0" applyBorder="1"/>
    <xf numFmtId="0" fontId="17" fillId="0" borderId="88" xfId="0" applyFont="1" applyBorder="1"/>
    <xf numFmtId="0" fontId="17" fillId="0" borderId="89" xfId="0" applyFont="1" applyBorder="1"/>
    <xf numFmtId="0" fontId="17" fillId="0" borderId="80" xfId="0" applyFont="1" applyBorder="1"/>
    <xf numFmtId="0" fontId="17" fillId="0" borderId="120" xfId="0" applyFont="1" applyBorder="1" applyAlignment="1">
      <alignment vertical="center"/>
    </xf>
    <xf numFmtId="0" fontId="17" fillId="0" borderId="73" xfId="0" applyFont="1" applyBorder="1" applyAlignment="1">
      <alignment vertical="center"/>
    </xf>
    <xf numFmtId="3" fontId="17" fillId="0" borderId="120" xfId="0" applyNumberFormat="1" applyFont="1" applyBorder="1" applyAlignment="1">
      <alignment vertical="center"/>
    </xf>
    <xf numFmtId="0" fontId="17" fillId="7" borderId="73" xfId="0" applyFont="1" applyFill="1" applyBorder="1" applyAlignment="1">
      <alignment vertical="center"/>
    </xf>
    <xf numFmtId="0" fontId="17" fillId="0" borderId="122" xfId="0" applyFont="1" applyBorder="1" applyAlignment="1">
      <alignment vertical="center"/>
    </xf>
    <xf numFmtId="0" fontId="17" fillId="0" borderId="89" xfId="0" applyFont="1" applyBorder="1" applyAlignment="1">
      <alignment vertical="center"/>
    </xf>
    <xf numFmtId="0" fontId="17" fillId="0" borderId="119" xfId="0" applyFont="1" applyBorder="1" applyAlignment="1">
      <alignment vertical="center"/>
    </xf>
    <xf numFmtId="0" fontId="17" fillId="0" borderId="88" xfId="0" applyFont="1" applyBorder="1" applyAlignment="1">
      <alignment vertical="center"/>
    </xf>
    <xf numFmtId="0" fontId="17" fillId="0" borderId="73" xfId="0" applyFont="1" applyBorder="1"/>
    <xf numFmtId="0" fontId="81" fillId="0" borderId="119" xfId="0" applyFont="1" applyBorder="1"/>
    <xf numFmtId="0" fontId="81" fillId="0" borderId="122" xfId="0" applyFont="1" applyBorder="1"/>
    <xf numFmtId="3" fontId="0" fillId="0" borderId="79" xfId="0" applyNumberFormat="1" applyBorder="1" applyAlignment="1">
      <alignment horizontal="right"/>
    </xf>
    <xf numFmtId="3" fontId="0" fillId="0" borderId="81" xfId="0" applyNumberFormat="1" applyBorder="1" applyAlignment="1">
      <alignment horizontal="right"/>
    </xf>
    <xf numFmtId="0" fontId="1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3" fontId="17" fillId="0" borderId="0" xfId="0" applyNumberFormat="1" applyFont="1" applyBorder="1"/>
    <xf numFmtId="0" fontId="18" fillId="0" borderId="0" xfId="0" applyFont="1" applyBorder="1" applyAlignment="1">
      <alignment vertical="center" wrapText="1"/>
    </xf>
    <xf numFmtId="0" fontId="16" fillId="0" borderId="145" xfId="0" applyFont="1" applyBorder="1" applyAlignment="1">
      <alignment horizontal="center" vertical="center" wrapText="1"/>
    </xf>
    <xf numFmtId="0" fontId="16" fillId="0" borderId="146" xfId="0" applyFont="1" applyBorder="1" applyAlignment="1">
      <alignment horizontal="center" vertical="center" wrapText="1"/>
    </xf>
    <xf numFmtId="0" fontId="17" fillId="7" borderId="79" xfId="0" applyFont="1" applyFill="1" applyBorder="1"/>
    <xf numFmtId="0" fontId="17" fillId="7" borderId="81" xfId="0" applyFont="1" applyFill="1" applyBorder="1"/>
    <xf numFmtId="3" fontId="17" fillId="0" borderId="88" xfId="0" applyNumberFormat="1" applyFont="1" applyBorder="1" applyAlignment="1">
      <alignment vertical="center"/>
    </xf>
    <xf numFmtId="0" fontId="16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3" fontId="17" fillId="0" borderId="79" xfId="0" applyNumberFormat="1" applyFont="1" applyFill="1" applyBorder="1"/>
    <xf numFmtId="3" fontId="17" fillId="0" borderId="81" xfId="0" applyNumberFormat="1" applyFont="1" applyFill="1" applyBorder="1"/>
    <xf numFmtId="0" fontId="17" fillId="0" borderId="79" xfId="0" applyFont="1" applyFill="1" applyBorder="1"/>
    <xf numFmtId="0" fontId="17" fillId="0" borderId="81" xfId="0" applyFont="1" applyFill="1" applyBorder="1"/>
    <xf numFmtId="0" fontId="17" fillId="0" borderId="119" xfId="0" applyFont="1" applyBorder="1" applyAlignment="1">
      <alignment horizontal="center"/>
    </xf>
    <xf numFmtId="0" fontId="17" fillId="0" borderId="122" xfId="0" applyFont="1" applyBorder="1" applyAlignment="1">
      <alignment horizontal="center"/>
    </xf>
    <xf numFmtId="3" fontId="17" fillId="0" borderId="0" xfId="0" applyNumberFormat="1" applyFont="1"/>
    <xf numFmtId="0" fontId="16" fillId="0" borderId="79" xfId="0" applyFont="1" applyBorder="1"/>
    <xf numFmtId="0" fontId="22" fillId="6" borderId="94" xfId="8" applyFont="1" applyFill="1" applyBorder="1"/>
    <xf numFmtId="0" fontId="22" fillId="6" borderId="95" xfId="8" applyFont="1" applyFill="1" applyBorder="1"/>
    <xf numFmtId="0" fontId="21" fillId="6" borderId="95" xfId="8" applyFont="1" applyFill="1" applyBorder="1"/>
    <xf numFmtId="0" fontId="21" fillId="6" borderId="17" xfId="8" applyFont="1" applyFill="1" applyBorder="1"/>
    <xf numFmtId="0" fontId="21" fillId="0" borderId="0" xfId="8" applyFont="1"/>
    <xf numFmtId="0" fontId="82" fillId="3" borderId="96" xfId="8" applyFont="1" applyFill="1" applyBorder="1"/>
    <xf numFmtId="0" fontId="21" fillId="3" borderId="97" xfId="8" applyFont="1" applyFill="1" applyBorder="1"/>
    <xf numFmtId="0" fontId="21" fillId="3" borderId="98" xfId="8" applyFont="1" applyFill="1" applyBorder="1"/>
    <xf numFmtId="0" fontId="21" fillId="0" borderId="0" xfId="8" applyFont="1" applyFill="1"/>
    <xf numFmtId="0" fontId="21" fillId="6" borderId="137" xfId="8" applyFont="1" applyFill="1" applyBorder="1"/>
    <xf numFmtId="0" fontId="25" fillId="0" borderId="136" xfId="8" applyFont="1" applyFill="1" applyBorder="1" applyAlignment="1" applyProtection="1">
      <alignment horizontal="left" vertical="top"/>
      <protection locked="0"/>
    </xf>
    <xf numFmtId="0" fontId="21" fillId="7" borderId="17" xfId="8" applyFont="1" applyFill="1" applyBorder="1"/>
    <xf numFmtId="0" fontId="21" fillId="0" borderId="29" xfId="8" applyFont="1" applyFill="1" applyBorder="1"/>
    <xf numFmtId="0" fontId="21" fillId="3" borderId="99" xfId="8" applyFont="1" applyFill="1" applyBorder="1"/>
    <xf numFmtId="0" fontId="21" fillId="3" borderId="0" xfId="8" applyFont="1" applyFill="1" applyBorder="1"/>
    <xf numFmtId="0" fontId="21" fillId="3" borderId="29" xfId="8" applyFont="1" applyFill="1" applyBorder="1"/>
    <xf numFmtId="0" fontId="22" fillId="6" borderId="135" xfId="8" applyFont="1" applyFill="1" applyBorder="1"/>
    <xf numFmtId="0" fontId="22" fillId="6" borderId="127" xfId="8" applyFont="1" applyFill="1" applyBorder="1" applyAlignment="1">
      <alignment horizontal="center"/>
    </xf>
    <xf numFmtId="0" fontId="22" fillId="6" borderId="132" xfId="10" applyFont="1" applyFill="1" applyBorder="1" applyAlignment="1">
      <alignment horizontal="left" vertical="top"/>
    </xf>
    <xf numFmtId="0" fontId="21" fillId="6" borderId="98" xfId="8" applyFont="1" applyFill="1" applyBorder="1"/>
    <xf numFmtId="0" fontId="22" fillId="3" borderId="63" xfId="8" applyFont="1" applyFill="1" applyBorder="1"/>
    <xf numFmtId="0" fontId="22" fillId="0" borderId="132" xfId="10" applyFont="1" applyFill="1" applyBorder="1" applyAlignment="1" applyProtection="1">
      <alignment horizontal="center" vertical="top"/>
      <protection locked="0"/>
    </xf>
    <xf numFmtId="0" fontId="21" fillId="0" borderId="98" xfId="10" applyFont="1" applyFill="1" applyBorder="1" applyAlignment="1">
      <alignment horizontal="left" vertical="center"/>
    </xf>
    <xf numFmtId="0" fontId="85" fillId="0" borderId="0" xfId="9" applyFont="1" applyFill="1" applyBorder="1" applyAlignment="1" applyProtection="1">
      <alignment vertical="center"/>
      <protection hidden="1"/>
    </xf>
    <xf numFmtId="0" fontId="21" fillId="0" borderId="0" xfId="8" applyFont="1" applyFill="1" applyBorder="1"/>
    <xf numFmtId="0" fontId="22" fillId="3" borderId="67" xfId="8" applyFont="1" applyFill="1" applyBorder="1"/>
    <xf numFmtId="173" fontId="21" fillId="3" borderId="68" xfId="8" quotePrefix="1" applyNumberFormat="1" applyFont="1" applyFill="1" applyBorder="1" applyAlignment="1">
      <alignment horizontal="center"/>
    </xf>
    <xf numFmtId="0" fontId="22" fillId="0" borderId="134" xfId="10" applyFont="1" applyFill="1" applyBorder="1" applyAlignment="1" applyProtection="1">
      <alignment horizontal="center" vertical="top"/>
      <protection locked="0"/>
    </xf>
    <xf numFmtId="0" fontId="21" fillId="0" borderId="106" xfId="10" applyFont="1" applyFill="1" applyBorder="1" applyAlignment="1">
      <alignment horizontal="left" vertical="center"/>
    </xf>
    <xf numFmtId="0" fontId="21" fillId="3" borderId="78" xfId="8" quotePrefix="1" applyFont="1" applyFill="1" applyBorder="1" applyAlignment="1">
      <alignment horizontal="center"/>
    </xf>
    <xf numFmtId="0" fontId="22" fillId="3" borderId="133" xfId="8" applyFont="1" applyFill="1" applyBorder="1" applyAlignment="1" applyProtection="1">
      <alignment horizontal="center" vertical="center"/>
      <protection locked="0"/>
    </xf>
    <xf numFmtId="0" fontId="21" fillId="0" borderId="13" xfId="10" applyFont="1" applyFill="1" applyBorder="1" applyAlignment="1">
      <alignment horizontal="left" vertical="center"/>
    </xf>
    <xf numFmtId="0" fontId="22" fillId="3" borderId="128" xfId="8" applyFont="1" applyFill="1" applyBorder="1"/>
    <xf numFmtId="0" fontId="21" fillId="3" borderId="0" xfId="8" applyFont="1" applyFill="1"/>
    <xf numFmtId="0" fontId="22" fillId="3" borderId="43" xfId="8" applyFont="1" applyFill="1" applyBorder="1"/>
    <xf numFmtId="0" fontId="21" fillId="3" borderId="54" xfId="8" applyNumberFormat="1" applyFont="1" applyFill="1" applyBorder="1" applyAlignment="1">
      <alignment horizontal="center"/>
    </xf>
    <xf numFmtId="0" fontId="22" fillId="0" borderId="0" xfId="10" applyFont="1" applyFill="1" applyBorder="1" applyAlignment="1">
      <alignment horizontal="left" vertical="top"/>
    </xf>
    <xf numFmtId="0" fontId="25" fillId="6" borderId="43" xfId="8" applyFont="1" applyFill="1" applyBorder="1"/>
    <xf numFmtId="0" fontId="21" fillId="3" borderId="54" xfId="8" quotePrefix="1" applyNumberFormat="1" applyFont="1" applyFill="1" applyBorder="1" applyAlignment="1">
      <alignment horizontal="center"/>
    </xf>
    <xf numFmtId="0" fontId="21" fillId="7" borderId="43" xfId="8" applyFont="1" applyFill="1" applyBorder="1" applyAlignment="1">
      <alignment horizontal="center"/>
    </xf>
    <xf numFmtId="0" fontId="21" fillId="0" borderId="0" xfId="8" applyFont="1" applyAlignment="1">
      <alignment horizontal="center"/>
    </xf>
    <xf numFmtId="16" fontId="21" fillId="3" borderId="0" xfId="8" applyNumberFormat="1" applyFont="1" applyFill="1" applyBorder="1" applyAlignment="1">
      <alignment horizontal="center"/>
    </xf>
    <xf numFmtId="0" fontId="22" fillId="3" borderId="76" xfId="8" applyFont="1" applyFill="1" applyBorder="1"/>
    <xf numFmtId="0" fontId="21" fillId="3" borderId="0" xfId="8" quotePrefix="1" applyFont="1" applyFill="1" applyBorder="1" applyAlignment="1">
      <alignment horizontal="center"/>
    </xf>
    <xf numFmtId="0" fontId="21" fillId="3" borderId="0" xfId="8" applyFont="1" applyFill="1" applyBorder="1" applyAlignment="1">
      <alignment horizontal="right"/>
    </xf>
    <xf numFmtId="0" fontId="22" fillId="6" borderId="128" xfId="8" applyFont="1" applyFill="1" applyBorder="1"/>
    <xf numFmtId="0" fontId="22" fillId="6" borderId="131" xfId="8" quotePrefix="1" applyFont="1" applyFill="1" applyBorder="1" applyAlignment="1">
      <alignment horizontal="center"/>
    </xf>
    <xf numFmtId="0" fontId="22" fillId="3" borderId="130" xfId="8" applyFont="1" applyFill="1" applyBorder="1" applyAlignment="1" applyProtection="1">
      <alignment horizontal="center" vertical="center"/>
      <protection locked="0"/>
    </xf>
    <xf numFmtId="0" fontId="21" fillId="0" borderId="114" xfId="10" applyFont="1" applyFill="1" applyBorder="1" applyAlignment="1">
      <alignment horizontal="left" vertical="center"/>
    </xf>
    <xf numFmtId="0" fontId="22" fillId="3" borderId="129" xfId="8" applyFont="1" applyFill="1" applyBorder="1" applyAlignment="1" applyProtection="1">
      <alignment horizontal="center" vertical="center"/>
      <protection locked="0"/>
    </xf>
    <xf numFmtId="0" fontId="21" fillId="0" borderId="111" xfId="10" applyFont="1" applyFill="1" applyBorder="1" applyAlignment="1">
      <alignment horizontal="left" vertical="center"/>
    </xf>
    <xf numFmtId="173" fontId="21" fillId="3" borderId="68" xfId="8" quotePrefix="1" applyNumberFormat="1" applyFont="1" applyFill="1" applyBorder="1" applyAlignment="1" applyProtection="1">
      <alignment horizontal="center"/>
    </xf>
    <xf numFmtId="0" fontId="21" fillId="6" borderId="17" xfId="8" applyFont="1" applyFill="1" applyBorder="1" applyProtection="1">
      <protection locked="0"/>
    </xf>
    <xf numFmtId="0" fontId="22" fillId="3" borderId="99" xfId="8" applyFont="1" applyFill="1" applyBorder="1"/>
    <xf numFmtId="0" fontId="21" fillId="7" borderId="127" xfId="8" applyFont="1" applyFill="1" applyBorder="1" applyAlignment="1" applyProtection="1">
      <alignment horizontal="center" vertical="center"/>
      <protection locked="0"/>
    </xf>
    <xf numFmtId="0" fontId="22" fillId="6" borderId="126" xfId="10" applyFont="1" applyFill="1" applyBorder="1" applyAlignment="1">
      <alignment vertical="center"/>
    </xf>
    <xf numFmtId="14" fontId="21" fillId="7" borderId="65" xfId="8" applyNumberFormat="1" applyFont="1" applyFill="1" applyBorder="1" applyAlignment="1" applyProtection="1">
      <alignment horizontal="center"/>
      <protection locked="0"/>
    </xf>
    <xf numFmtId="0" fontId="21" fillId="0" borderId="0" xfId="8" applyFont="1" applyBorder="1"/>
    <xf numFmtId="0" fontId="22" fillId="6" borderId="125" xfId="10" applyFont="1" applyFill="1" applyBorder="1" applyAlignment="1">
      <alignment vertical="center"/>
    </xf>
    <xf numFmtId="14" fontId="21" fillId="7" borderId="78" xfId="8" applyNumberFormat="1" applyFont="1" applyFill="1" applyBorder="1" applyAlignment="1" applyProtection="1">
      <alignment horizontal="center"/>
      <protection locked="0"/>
    </xf>
    <xf numFmtId="0" fontId="22" fillId="6" borderId="126" xfId="10" applyFont="1" applyFill="1" applyBorder="1" applyAlignment="1"/>
    <xf numFmtId="0" fontId="21" fillId="6" borderId="117" xfId="10" applyFont="1" applyFill="1" applyBorder="1" applyAlignment="1"/>
    <xf numFmtId="0" fontId="21" fillId="7" borderId="65" xfId="8" applyFont="1" applyFill="1" applyBorder="1" applyAlignment="1" applyProtection="1">
      <alignment horizontal="center"/>
      <protection locked="0"/>
    </xf>
    <xf numFmtId="0" fontId="21" fillId="3" borderId="0" xfId="8" applyFont="1" applyFill="1" applyBorder="1" applyAlignment="1"/>
    <xf numFmtId="0" fontId="21" fillId="3" borderId="99" xfId="10" applyFont="1" applyFill="1" applyBorder="1" applyAlignment="1"/>
    <xf numFmtId="0" fontId="21" fillId="3" borderId="0" xfId="10" applyFont="1" applyFill="1" applyBorder="1" applyAlignment="1"/>
    <xf numFmtId="0" fontId="21" fillId="3" borderId="29" xfId="8" applyFont="1" applyFill="1" applyBorder="1" applyAlignment="1"/>
    <xf numFmtId="0" fontId="22" fillId="6" borderId="96" xfId="10" applyFont="1" applyFill="1" applyBorder="1" applyAlignment="1">
      <alignment vertical="center"/>
    </xf>
    <xf numFmtId="0" fontId="22" fillId="6" borderId="105" xfId="10" applyFont="1" applyFill="1" applyBorder="1" applyAlignment="1">
      <alignment vertical="top"/>
    </xf>
    <xf numFmtId="0" fontId="21" fillId="6" borderId="92" xfId="10" applyFont="1" applyFill="1" applyBorder="1" applyAlignment="1">
      <alignment vertical="top"/>
    </xf>
    <xf numFmtId="0" fontId="21" fillId="7" borderId="68" xfId="8" applyFont="1" applyFill="1" applyBorder="1" applyAlignment="1" applyProtection="1">
      <alignment horizontal="right"/>
      <protection locked="0"/>
    </xf>
    <xf numFmtId="0" fontId="22" fillId="6" borderId="99" xfId="10" applyFont="1" applyFill="1" applyBorder="1" applyAlignment="1">
      <alignment vertical="center"/>
    </xf>
    <xf numFmtId="0" fontId="21" fillId="6" borderId="29" xfId="8" applyFont="1" applyFill="1" applyBorder="1"/>
    <xf numFmtId="0" fontId="21" fillId="3" borderId="125" xfId="8" applyFont="1" applyFill="1" applyBorder="1" applyAlignment="1">
      <alignment vertical="center"/>
    </xf>
    <xf numFmtId="0" fontId="21" fillId="3" borderId="78" xfId="8" applyFont="1" applyFill="1" applyBorder="1" applyAlignment="1" applyProtection="1">
      <alignment horizontal="center"/>
      <protection locked="0"/>
    </xf>
    <xf numFmtId="0" fontId="21" fillId="6" borderId="92" xfId="8" applyFont="1" applyFill="1" applyBorder="1"/>
    <xf numFmtId="49" fontId="21" fillId="7" borderId="68" xfId="8" applyNumberFormat="1" applyFont="1" applyFill="1" applyBorder="1" applyAlignment="1" applyProtection="1">
      <alignment horizontal="center"/>
      <protection locked="0"/>
    </xf>
    <xf numFmtId="0" fontId="21" fillId="3" borderId="0" xfId="8" applyFont="1" applyFill="1" applyBorder="1" applyAlignment="1">
      <alignment vertical="center"/>
    </xf>
    <xf numFmtId="0" fontId="21" fillId="3" borderId="0" xfId="10" applyFont="1" applyFill="1" applyBorder="1" applyAlignment="1">
      <alignment vertical="top"/>
    </xf>
    <xf numFmtId="0" fontId="22" fillId="6" borderId="125" xfId="8" applyFont="1" applyFill="1" applyBorder="1" applyAlignment="1">
      <alignment vertical="center"/>
    </xf>
    <xf numFmtId="0" fontId="21" fillId="6" borderId="113" xfId="8" applyFont="1" applyFill="1" applyBorder="1"/>
    <xf numFmtId="0" fontId="21" fillId="7" borderId="78" xfId="8" applyFont="1" applyFill="1" applyBorder="1" applyAlignment="1" applyProtection="1">
      <alignment horizontal="center"/>
      <protection locked="0"/>
    </xf>
    <xf numFmtId="0" fontId="22" fillId="6" borderId="126" xfId="10" applyFont="1" applyFill="1" applyBorder="1" applyAlignment="1">
      <alignment vertical="top"/>
    </xf>
    <xf numFmtId="0" fontId="21" fillId="6" borderId="117" xfId="8" applyFont="1" applyFill="1" applyBorder="1"/>
    <xf numFmtId="0" fontId="21" fillId="7" borderId="65" xfId="8" quotePrefix="1" applyFont="1" applyFill="1" applyBorder="1" applyAlignment="1" applyProtection="1">
      <alignment horizontal="center"/>
      <protection locked="0"/>
    </xf>
    <xf numFmtId="0" fontId="21" fillId="3" borderId="0" xfId="8" quotePrefix="1" applyFont="1" applyFill="1" applyBorder="1" applyAlignment="1">
      <alignment horizontal="right"/>
    </xf>
    <xf numFmtId="0" fontId="22" fillId="6" borderId="105" xfId="10" applyFont="1" applyFill="1" applyBorder="1" applyAlignment="1">
      <alignment vertical="center"/>
    </xf>
    <xf numFmtId="0" fontId="21" fillId="7" borderId="68" xfId="8" quotePrefix="1" applyFont="1" applyFill="1" applyBorder="1" applyAlignment="1" applyProtection="1">
      <alignment horizontal="center"/>
      <protection locked="0"/>
    </xf>
    <xf numFmtId="0" fontId="22" fillId="3" borderId="100" xfId="8" applyFont="1" applyFill="1" applyBorder="1"/>
    <xf numFmtId="0" fontId="21" fillId="3" borderId="101" xfId="10" applyFont="1" applyFill="1" applyBorder="1" applyAlignment="1">
      <alignment vertical="center"/>
    </xf>
    <xf numFmtId="0" fontId="21" fillId="3" borderId="13" xfId="8" applyFont="1" applyFill="1" applyBorder="1"/>
    <xf numFmtId="0" fontId="22" fillId="6" borderId="100" xfId="10" applyFont="1" applyFill="1" applyBorder="1" applyAlignment="1">
      <alignment vertical="center"/>
    </xf>
    <xf numFmtId="0" fontId="21" fillId="6" borderId="101" xfId="8" applyFont="1" applyFill="1" applyBorder="1"/>
    <xf numFmtId="0" fontId="21" fillId="7" borderId="58" xfId="8" applyFont="1" applyFill="1" applyBorder="1" applyAlignment="1" applyProtection="1">
      <alignment horizontal="center"/>
      <protection locked="0"/>
    </xf>
    <xf numFmtId="0" fontId="21" fillId="3" borderId="0" xfId="10" applyFont="1" applyFill="1" applyBorder="1" applyAlignment="1">
      <alignment vertical="center"/>
    </xf>
    <xf numFmtId="0" fontId="22" fillId="6" borderId="94" xfId="10" applyFont="1" applyFill="1" applyBorder="1" applyAlignment="1">
      <alignment vertical="center"/>
    </xf>
    <xf numFmtId="0" fontId="21" fillId="3" borderId="101" xfId="8" applyFont="1" applyFill="1" applyBorder="1"/>
    <xf numFmtId="0" fontId="16" fillId="0" borderId="10" xfId="0" applyFont="1" applyBorder="1" applyAlignment="1">
      <alignment horizontal="center" vertical="center" wrapText="1"/>
    </xf>
    <xf numFmtId="0" fontId="79" fillId="0" borderId="0" xfId="0" applyFont="1" applyAlignment="1">
      <alignment horizontal="justify" vertical="top"/>
    </xf>
    <xf numFmtId="0" fontId="17" fillId="0" borderId="101" xfId="0" applyFont="1" applyBorder="1"/>
    <xf numFmtId="0" fontId="16" fillId="0" borderId="101" xfId="0" applyFont="1" applyBorder="1" applyAlignment="1">
      <alignment horizontal="left"/>
    </xf>
    <xf numFmtId="0" fontId="17" fillId="0" borderId="109" xfId="0" applyFont="1" applyBorder="1" applyAlignment="1">
      <alignment horizontal="center"/>
    </xf>
    <xf numFmtId="49" fontId="21" fillId="7" borderId="127" xfId="8" applyNumberFormat="1" applyFont="1" applyFill="1" applyBorder="1" applyAlignment="1" applyProtection="1">
      <alignment horizontal="center" vertical="center"/>
    </xf>
    <xf numFmtId="49" fontId="21" fillId="0" borderId="0" xfId="8" applyNumberFormat="1" applyFont="1"/>
    <xf numFmtId="3" fontId="17" fillId="7" borderId="88" xfId="0" applyNumberFormat="1" applyFont="1" applyFill="1" applyBorder="1"/>
    <xf numFmtId="3" fontId="17" fillId="7" borderId="89" xfId="0" applyNumberFormat="1" applyFont="1" applyFill="1" applyBorder="1"/>
    <xf numFmtId="168" fontId="35" fillId="7" borderId="43" xfId="5" applyNumberFormat="1" applyFont="1" applyFill="1" applyBorder="1" applyAlignment="1">
      <alignment horizontal="right" vertical="center"/>
    </xf>
    <xf numFmtId="168" fontId="35" fillId="7" borderId="68" xfId="5" applyNumberFormat="1" applyFont="1" applyFill="1" applyBorder="1" applyAlignment="1">
      <alignment horizontal="right" vertical="center"/>
    </xf>
    <xf numFmtId="168" fontId="39" fillId="7" borderId="43" xfId="5" applyNumberFormat="1" applyFont="1" applyFill="1" applyBorder="1" applyAlignment="1">
      <alignment horizontal="right" vertical="center"/>
    </xf>
    <xf numFmtId="168" fontId="39" fillId="7" borderId="68" xfId="5" applyNumberFormat="1" applyFont="1" applyFill="1" applyBorder="1" applyAlignment="1">
      <alignment horizontal="right" vertical="center"/>
    </xf>
    <xf numFmtId="168" fontId="39" fillId="7" borderId="77" xfId="5" applyNumberFormat="1" applyFont="1" applyFill="1" applyBorder="1" applyAlignment="1">
      <alignment horizontal="right" vertical="center"/>
    </xf>
    <xf numFmtId="168" fontId="39" fillId="7" borderId="78" xfId="5" applyNumberFormat="1" applyFont="1" applyFill="1" applyBorder="1" applyAlignment="1">
      <alignment horizontal="right" vertical="center"/>
    </xf>
    <xf numFmtId="174" fontId="21" fillId="7" borderId="65" xfId="8" applyNumberFormat="1" applyFont="1" applyFill="1" applyBorder="1" applyAlignment="1" applyProtection="1">
      <alignment horizontal="center"/>
      <protection locked="0"/>
    </xf>
    <xf numFmtId="171" fontId="71" fillId="0" borderId="91" xfId="8" applyNumberFormat="1" applyFont="1" applyFill="1" applyBorder="1" applyAlignment="1">
      <alignment horizontal="right" vertical="center"/>
    </xf>
    <xf numFmtId="0" fontId="73" fillId="0" borderId="91" xfId="8" applyFont="1" applyFill="1" applyBorder="1" applyAlignment="1">
      <alignment horizontal="center" vertical="center" wrapText="1"/>
    </xf>
    <xf numFmtId="0" fontId="74" fillId="0" borderId="72" xfId="8" applyFont="1" applyFill="1" applyBorder="1" applyAlignment="1">
      <alignment horizontal="center" vertical="center" wrapText="1"/>
    </xf>
    <xf numFmtId="0" fontId="74" fillId="0" borderId="67" xfId="8" applyFont="1" applyFill="1" applyBorder="1" applyAlignment="1">
      <alignment horizontal="center" vertical="center" wrapText="1"/>
    </xf>
    <xf numFmtId="0" fontId="72" fillId="0" borderId="67" xfId="8" applyFont="1" applyFill="1" applyBorder="1" applyAlignment="1">
      <alignment horizontal="right" vertical="top" wrapText="1"/>
    </xf>
    <xf numFmtId="49" fontId="72" fillId="0" borderId="73" xfId="8" applyNumberFormat="1" applyFont="1" applyFill="1" applyBorder="1" applyAlignment="1">
      <alignment horizontal="center" vertical="top"/>
    </xf>
    <xf numFmtId="49" fontId="72" fillId="0" borderId="43" xfId="8" applyNumberFormat="1" applyFont="1" applyFill="1" applyBorder="1" applyAlignment="1">
      <alignment horizontal="center" vertical="top"/>
    </xf>
    <xf numFmtId="0" fontId="73" fillId="0" borderId="43" xfId="8" applyFont="1" applyFill="1" applyBorder="1" applyAlignment="1">
      <alignment horizontal="center" vertical="center" wrapText="1"/>
    </xf>
    <xf numFmtId="0" fontId="74" fillId="0" borderId="73" xfId="8" applyFont="1" applyFill="1" applyBorder="1" applyAlignment="1">
      <alignment horizontal="center" vertical="center" wrapText="1"/>
    </xf>
    <xf numFmtId="0" fontId="74" fillId="0" borderId="43" xfId="8" applyFont="1" applyFill="1" applyBorder="1" applyAlignment="1">
      <alignment horizontal="center" vertical="center" wrapText="1"/>
    </xf>
    <xf numFmtId="171" fontId="71" fillId="0" borderId="43" xfId="8" applyNumberFormat="1" applyFont="1" applyFill="1" applyBorder="1" applyAlignment="1">
      <alignment horizontal="right" vertical="center"/>
    </xf>
    <xf numFmtId="0" fontId="72" fillId="0" borderId="67" xfId="8" applyFont="1" applyFill="1" applyBorder="1" applyAlignment="1">
      <alignment horizontal="left" vertical="top" wrapText="1"/>
    </xf>
    <xf numFmtId="49" fontId="73" fillId="0" borderId="43" xfId="8" applyNumberFormat="1" applyFont="1" applyFill="1" applyBorder="1" applyAlignment="1">
      <alignment horizontal="center" vertical="top"/>
    </xf>
    <xf numFmtId="0" fontId="73" fillId="0" borderId="67" xfId="8" applyFont="1" applyFill="1" applyBorder="1" applyAlignment="1">
      <alignment horizontal="left" vertical="top" wrapText="1"/>
    </xf>
    <xf numFmtId="0" fontId="72" fillId="0" borderId="67" xfId="8" quotePrefix="1" applyFont="1" applyFill="1" applyBorder="1" applyAlignment="1">
      <alignment horizontal="left" vertical="top" wrapText="1"/>
    </xf>
    <xf numFmtId="0" fontId="73" fillId="0" borderId="67" xfId="8" quotePrefix="1" applyFont="1" applyFill="1" applyBorder="1" applyAlignment="1">
      <alignment horizontal="left" vertical="top" wrapText="1"/>
    </xf>
    <xf numFmtId="49" fontId="73" fillId="0" borderId="73" xfId="8" applyNumberFormat="1" applyFont="1" applyFill="1" applyBorder="1" applyAlignment="1">
      <alignment horizontal="center" vertical="top"/>
    </xf>
    <xf numFmtId="171" fontId="71" fillId="0" borderId="91" xfId="8" applyNumberFormat="1" applyFont="1" applyFill="1" applyBorder="1" applyAlignment="1">
      <alignment horizontal="right" vertical="center"/>
    </xf>
    <xf numFmtId="171" fontId="71" fillId="0" borderId="43" xfId="8" applyNumberFormat="1" applyFont="1" applyFill="1" applyBorder="1" applyAlignment="1">
      <alignment horizontal="right" vertical="center"/>
    </xf>
    <xf numFmtId="0" fontId="73" fillId="0" borderId="91" xfId="8" applyFont="1" applyFill="1" applyBorder="1" applyAlignment="1">
      <alignment horizontal="center" vertical="center" wrapText="1"/>
    </xf>
    <xf numFmtId="0" fontId="73" fillId="0" borderId="43" xfId="8" applyFont="1" applyFill="1" applyBorder="1" applyAlignment="1">
      <alignment horizontal="center" vertical="center" wrapText="1"/>
    </xf>
    <xf numFmtId="49" fontId="72" fillId="0" borderId="43" xfId="8" applyNumberFormat="1" applyFont="1" applyFill="1" applyBorder="1" applyAlignment="1">
      <alignment horizontal="center" vertical="top"/>
    </xf>
    <xf numFmtId="0" fontId="72" fillId="0" borderId="67" xfId="8" applyFont="1" applyFill="1" applyBorder="1" applyAlignment="1">
      <alignment horizontal="right" vertical="top" wrapText="1"/>
    </xf>
    <xf numFmtId="0" fontId="72" fillId="0" borderId="67" xfId="8" quotePrefix="1" applyFont="1" applyFill="1" applyBorder="1" applyAlignment="1">
      <alignment horizontal="left" vertical="top" wrapText="1"/>
    </xf>
    <xf numFmtId="49" fontId="72" fillId="0" borderId="73" xfId="8" applyNumberFormat="1" applyFont="1" applyFill="1" applyBorder="1" applyAlignment="1">
      <alignment horizontal="center" vertical="top"/>
    </xf>
    <xf numFmtId="0" fontId="73" fillId="0" borderId="67" xfId="8" applyFont="1" applyFill="1" applyBorder="1" applyAlignment="1">
      <alignment horizontal="left" vertical="top" wrapText="1"/>
    </xf>
    <xf numFmtId="49" fontId="73" fillId="0" borderId="43" xfId="8" applyNumberFormat="1" applyFont="1" applyFill="1" applyBorder="1" applyAlignment="1">
      <alignment horizontal="center" vertical="top"/>
    </xf>
    <xf numFmtId="0" fontId="74" fillId="0" borderId="67" xfId="8" applyFont="1" applyFill="1" applyBorder="1" applyAlignment="1">
      <alignment horizontal="center" vertical="center" wrapText="1"/>
    </xf>
    <xf numFmtId="0" fontId="74" fillId="0" borderId="43" xfId="8" applyFont="1" applyFill="1" applyBorder="1" applyAlignment="1">
      <alignment horizontal="center" vertical="center" wrapText="1"/>
    </xf>
    <xf numFmtId="0" fontId="73" fillId="0" borderId="67" xfId="8" quotePrefix="1" applyFont="1" applyFill="1" applyBorder="1" applyAlignment="1">
      <alignment horizontal="left" vertical="top" wrapText="1"/>
    </xf>
    <xf numFmtId="49" fontId="73" fillId="0" borderId="73" xfId="8" applyNumberFormat="1" applyFont="1" applyFill="1" applyBorder="1" applyAlignment="1">
      <alignment horizontal="center" vertical="top"/>
    </xf>
    <xf numFmtId="0" fontId="72" fillId="0" borderId="67" xfId="8" applyFont="1" applyFill="1" applyBorder="1" applyAlignment="1">
      <alignment horizontal="left" vertical="top" wrapText="1"/>
    </xf>
    <xf numFmtId="0" fontId="55" fillId="0" borderId="0" xfId="8" applyFont="1" applyFill="1" applyAlignment="1">
      <alignment horizontal="left" vertical="center"/>
    </xf>
    <xf numFmtId="0" fontId="24" fillId="0" borderId="0" xfId="8" applyFill="1" applyAlignment="1">
      <alignment vertical="center"/>
    </xf>
    <xf numFmtId="0" fontId="24" fillId="0" borderId="94" xfId="8" applyFont="1" applyFill="1" applyBorder="1" applyAlignment="1">
      <alignment horizontal="left" vertical="center"/>
    </xf>
    <xf numFmtId="0" fontId="56" fillId="0" borderId="95" xfId="8" applyFont="1" applyFill="1" applyBorder="1" applyAlignment="1">
      <alignment horizontal="left" vertical="center"/>
    </xf>
    <xf numFmtId="0" fontId="24" fillId="0" borderId="17" xfId="8" applyFont="1" applyFill="1" applyBorder="1" applyAlignment="1">
      <alignment horizontal="left" vertical="center"/>
    </xf>
    <xf numFmtId="0" fontId="56" fillId="0" borderId="17" xfId="8" applyFont="1" applyFill="1" applyBorder="1" applyAlignment="1">
      <alignment horizontal="left" vertical="center"/>
    </xf>
    <xf numFmtId="0" fontId="24" fillId="0" borderId="0" xfId="8" applyFill="1" applyBorder="1" applyAlignment="1">
      <alignment vertical="center"/>
    </xf>
    <xf numFmtId="0" fontId="56" fillId="0" borderId="95" xfId="8" applyFont="1" applyFill="1" applyBorder="1" applyAlignment="1">
      <alignment vertical="center"/>
    </xf>
    <xf numFmtId="0" fontId="62" fillId="0" borderId="88" xfId="8" applyFont="1" applyFill="1" applyBorder="1" applyAlignment="1">
      <alignment horizontal="left"/>
    </xf>
    <xf numFmtId="0" fontId="62" fillId="0" borderId="103" xfId="8" applyFont="1" applyFill="1" applyBorder="1" applyAlignment="1">
      <alignment horizontal="left" vertical="center"/>
    </xf>
    <xf numFmtId="0" fontId="59" fillId="0" borderId="103" xfId="8" applyFont="1" applyFill="1" applyBorder="1" applyAlignment="1">
      <alignment horizontal="left"/>
    </xf>
    <xf numFmtId="0" fontId="63" fillId="0" borderId="103" xfId="8" applyFont="1" applyFill="1" applyBorder="1" applyAlignment="1">
      <alignment horizontal="center" vertical="center"/>
    </xf>
    <xf numFmtId="0" fontId="62" fillId="0" borderId="104" xfId="8" applyFont="1" applyFill="1" applyBorder="1" applyAlignment="1">
      <alignment horizontal="left" vertical="center"/>
    </xf>
    <xf numFmtId="0" fontId="58" fillId="0" borderId="99" xfId="8" applyFont="1" applyFill="1" applyBorder="1" applyAlignment="1">
      <alignment horizontal="center" vertical="center"/>
    </xf>
    <xf numFmtId="0" fontId="58" fillId="0" borderId="29" xfId="8" applyFont="1" applyFill="1" applyBorder="1" applyAlignment="1">
      <alignment horizontal="center" vertical="center"/>
    </xf>
    <xf numFmtId="0" fontId="68" fillId="0" borderId="97" xfId="8" applyFont="1" applyFill="1" applyBorder="1" applyAlignment="1">
      <alignment horizontal="left" vertical="center"/>
    </xf>
    <xf numFmtId="0" fontId="58" fillId="0" borderId="0" xfId="8" applyFont="1" applyFill="1" applyBorder="1" applyAlignment="1">
      <alignment horizontal="center" vertical="center" wrapText="1"/>
    </xf>
    <xf numFmtId="0" fontId="59" fillId="0" borderId="103" xfId="8" applyFont="1" applyFill="1" applyBorder="1" applyAlignment="1">
      <alignment vertical="center" wrapText="1"/>
    </xf>
    <xf numFmtId="0" fontId="59" fillId="0" borderId="122" xfId="8" applyFont="1" applyFill="1" applyBorder="1" applyAlignment="1">
      <alignment vertical="center" wrapText="1"/>
    </xf>
    <xf numFmtId="0" fontId="87" fillId="0" borderId="0" xfId="8" applyFont="1" applyFill="1" applyBorder="1" applyAlignment="1">
      <alignment horizontal="center" vertical="center"/>
    </xf>
    <xf numFmtId="0" fontId="71" fillId="0" borderId="91" xfId="8" applyFont="1" applyFill="1" applyBorder="1" applyAlignment="1">
      <alignment horizontal="left" vertical="center"/>
    </xf>
    <xf numFmtId="0" fontId="73" fillId="0" borderId="93" xfId="8" applyFont="1" applyFill="1" applyBorder="1" applyAlignment="1">
      <alignment horizontal="center" vertical="center" wrapText="1"/>
    </xf>
    <xf numFmtId="0" fontId="73" fillId="0" borderId="72" xfId="8" applyFont="1" applyFill="1" applyBorder="1" applyAlignment="1">
      <alignment horizontal="left" vertical="top" wrapText="1"/>
    </xf>
    <xf numFmtId="0" fontId="71" fillId="0" borderId="124" xfId="8" applyFont="1" applyFill="1" applyBorder="1" applyAlignment="1">
      <alignment horizontal="right" vertical="center" wrapText="1"/>
    </xf>
    <xf numFmtId="0" fontId="71" fillId="0" borderId="118" xfId="8" applyFont="1" applyFill="1" applyBorder="1" applyAlignment="1">
      <alignment horizontal="right" vertical="center"/>
    </xf>
    <xf numFmtId="171" fontId="71" fillId="0" borderId="80" xfId="8" applyNumberFormat="1" applyFont="1" applyFill="1" applyBorder="1" applyAlignment="1">
      <alignment horizontal="right" vertical="center"/>
    </xf>
    <xf numFmtId="171" fontId="71" fillId="0" borderId="73" xfId="8" applyNumberFormat="1" applyFont="1" applyFill="1" applyBorder="1" applyAlignment="1">
      <alignment horizontal="right" vertical="center"/>
    </xf>
    <xf numFmtId="171" fontId="71" fillId="0" borderId="79" xfId="8" applyNumberFormat="1" applyFont="1" applyFill="1" applyBorder="1" applyAlignment="1">
      <alignment horizontal="right" vertical="center"/>
    </xf>
    <xf numFmtId="0" fontId="72" fillId="0" borderId="72" xfId="8" applyFont="1" applyFill="1" applyBorder="1" applyAlignment="1">
      <alignment horizontal="left" vertical="top" wrapText="1"/>
    </xf>
    <xf numFmtId="0" fontId="73" fillId="0" borderId="91" xfId="8" applyFont="1" applyFill="1" applyBorder="1" applyAlignment="1">
      <alignment horizontal="left" vertical="top" wrapText="1"/>
    </xf>
    <xf numFmtId="0" fontId="73" fillId="0" borderId="93" xfId="8" applyFont="1" applyFill="1" applyBorder="1" applyAlignment="1">
      <alignment horizontal="left" vertical="top" wrapText="1"/>
    </xf>
    <xf numFmtId="0" fontId="72" fillId="0" borderId="91" xfId="8" applyFont="1" applyFill="1" applyBorder="1" applyAlignment="1">
      <alignment horizontal="left" vertical="top" wrapText="1"/>
    </xf>
    <xf numFmtId="0" fontId="72" fillId="0" borderId="93" xfId="8" applyFont="1" applyFill="1" applyBorder="1" applyAlignment="1">
      <alignment horizontal="left" vertical="top" wrapText="1"/>
    </xf>
    <xf numFmtId="0" fontId="72" fillId="0" borderId="112" xfId="8" applyFont="1" applyFill="1" applyBorder="1" applyAlignment="1">
      <alignment horizontal="left" vertical="top" wrapText="1"/>
    </xf>
    <xf numFmtId="0" fontId="72" fillId="0" borderId="113" xfId="8" applyFont="1" applyFill="1" applyBorder="1" applyAlignment="1">
      <alignment horizontal="left" vertical="top" wrapText="1"/>
    </xf>
    <xf numFmtId="0" fontId="63" fillId="0" borderId="107" xfId="8" applyFont="1" applyFill="1" applyBorder="1" applyAlignment="1">
      <alignment horizontal="left" vertical="center"/>
    </xf>
    <xf numFmtId="0" fontId="62" fillId="0" borderId="107" xfId="8" applyFont="1" applyFill="1" applyBorder="1" applyAlignment="1">
      <alignment horizontal="left" vertical="center"/>
    </xf>
    <xf numFmtId="0" fontId="63" fillId="0" borderId="81" xfId="8" applyFont="1" applyFill="1" applyBorder="1" applyAlignment="1">
      <alignment horizontal="center" vertical="center"/>
    </xf>
    <xf numFmtId="0" fontId="63" fillId="0" borderId="79" xfId="8" applyFont="1" applyFill="1" applyBorder="1" applyAlignment="1">
      <alignment horizontal="left" vertical="center"/>
    </xf>
    <xf numFmtId="0" fontId="62" fillId="0" borderId="81" xfId="8" applyFont="1" applyFill="1" applyBorder="1" applyAlignment="1">
      <alignment horizontal="left" vertical="center"/>
    </xf>
    <xf numFmtId="169" fontId="63" fillId="0" borderId="101" xfId="8" applyNumberFormat="1" applyFont="1" applyFill="1" applyBorder="1" applyAlignment="1">
      <alignment horizontal="center" vertical="center"/>
    </xf>
    <xf numFmtId="0" fontId="63" fillId="0" borderId="109" xfId="8" applyFont="1" applyFill="1" applyBorder="1" applyAlignment="1">
      <alignment horizontal="left" vertical="center"/>
    </xf>
    <xf numFmtId="0" fontId="63" fillId="0" borderId="110" xfId="8" applyFont="1" applyFill="1" applyBorder="1" applyAlignment="1">
      <alignment horizontal="left" vertical="center"/>
    </xf>
    <xf numFmtId="0" fontId="62" fillId="0" borderId="109" xfId="8" applyFont="1" applyFill="1" applyBorder="1" applyAlignment="1">
      <alignment horizontal="left" vertical="center"/>
    </xf>
    <xf numFmtId="0" fontId="59" fillId="0" borderId="0" xfId="8" applyFont="1" applyFill="1" applyBorder="1" applyAlignment="1">
      <alignment horizontal="center" vertical="center"/>
    </xf>
    <xf numFmtId="0" fontId="58" fillId="0" borderId="43" xfId="8" applyFont="1" applyFill="1" applyBorder="1" applyAlignment="1">
      <alignment horizontal="right" vertical="center"/>
    </xf>
    <xf numFmtId="0" fontId="71" fillId="0" borderId="43" xfId="8" applyFont="1" applyFill="1" applyBorder="1" applyAlignment="1">
      <alignment horizontal="center" vertical="center"/>
    </xf>
    <xf numFmtId="171" fontId="71" fillId="0" borderId="77" xfId="8" applyNumberFormat="1" applyFont="1" applyFill="1" applyBorder="1" applyAlignment="1">
      <alignment horizontal="right" vertical="center"/>
    </xf>
    <xf numFmtId="171" fontId="71" fillId="0" borderId="78" xfId="8" applyNumberFormat="1" applyFont="1" applyFill="1" applyBorder="1" applyAlignment="1">
      <alignment horizontal="right" vertical="center"/>
    </xf>
    <xf numFmtId="171" fontId="71" fillId="0" borderId="54" xfId="8" applyNumberFormat="1" applyFont="1" applyFill="1" applyBorder="1" applyAlignment="1">
      <alignment horizontal="right" vertical="center"/>
    </xf>
    <xf numFmtId="0" fontId="27" fillId="0" borderId="94" xfId="8" applyFont="1" applyFill="1" applyBorder="1" applyAlignment="1">
      <alignment vertical="center"/>
    </xf>
    <xf numFmtId="0" fontId="60" fillId="0" borderId="99" xfId="8" applyFont="1" applyFill="1" applyBorder="1" applyAlignment="1">
      <alignment horizontal="left" vertical="center"/>
    </xf>
    <xf numFmtId="0" fontId="60" fillId="0" borderId="0" xfId="8" applyFont="1" applyFill="1" applyBorder="1" applyAlignment="1">
      <alignment horizontal="left" vertical="center"/>
    </xf>
    <xf numFmtId="0" fontId="60" fillId="0" borderId="29" xfId="8" applyFont="1" applyFill="1" applyBorder="1" applyAlignment="1">
      <alignment horizontal="left" vertical="center"/>
    </xf>
    <xf numFmtId="0" fontId="27" fillId="0" borderId="99" xfId="8" applyFont="1" applyFill="1" applyBorder="1" applyAlignment="1">
      <alignment horizontal="left" vertical="center"/>
    </xf>
    <xf numFmtId="0" fontId="27" fillId="0" borderId="0" xfId="8" applyFont="1" applyFill="1" applyBorder="1" applyAlignment="1">
      <alignment horizontal="left" vertical="center"/>
    </xf>
    <xf numFmtId="0" fontId="27" fillId="0" borderId="29" xfId="8" applyFont="1" applyFill="1" applyBorder="1" applyAlignment="1">
      <alignment horizontal="left" vertical="center"/>
    </xf>
    <xf numFmtId="0" fontId="27" fillId="0" borderId="0" xfId="8" applyFont="1" applyFill="1" applyAlignment="1">
      <alignment horizontal="left" vertical="center"/>
    </xf>
    <xf numFmtId="0" fontId="58" fillId="0" borderId="99" xfId="8" applyFont="1" applyFill="1" applyBorder="1" applyAlignment="1" applyProtection="1">
      <alignment horizontal="center" vertical="center"/>
      <protection locked="0"/>
    </xf>
    <xf numFmtId="0" fontId="88" fillId="0" borderId="0" xfId="8" applyFont="1" applyFill="1" applyBorder="1" applyAlignment="1">
      <alignment horizontal="left"/>
    </xf>
    <xf numFmtId="0" fontId="62" fillId="0" borderId="90" xfId="8" applyFont="1" applyFill="1" applyBorder="1" applyAlignment="1">
      <alignment horizontal="left" vertical="center"/>
    </xf>
    <xf numFmtId="0" fontId="66" fillId="0" borderId="29" xfId="8" applyFont="1" applyFill="1" applyBorder="1" applyAlignment="1">
      <alignment vertical="center"/>
    </xf>
    <xf numFmtId="0" fontId="60" fillId="0" borderId="102" xfId="8" applyFont="1" applyFill="1" applyBorder="1" applyAlignment="1">
      <alignment vertical="center"/>
    </xf>
    <xf numFmtId="0" fontId="60" fillId="0" borderId="103" xfId="8" applyFont="1" applyFill="1" applyBorder="1" applyAlignment="1">
      <alignment vertical="center"/>
    </xf>
    <xf numFmtId="0" fontId="60" fillId="0" borderId="104" xfId="8" applyFont="1" applyFill="1" applyBorder="1" applyAlignment="1">
      <alignment vertical="center"/>
    </xf>
    <xf numFmtId="0" fontId="24" fillId="0" borderId="29" xfId="8" applyFill="1" applyBorder="1" applyAlignment="1">
      <alignment vertical="center"/>
    </xf>
    <xf numFmtId="0" fontId="66" fillId="0" borderId="13" xfId="8" applyFont="1" applyFill="1" applyBorder="1" applyAlignment="1">
      <alignment vertical="center"/>
    </xf>
    <xf numFmtId="0" fontId="63" fillId="0" borderId="0" xfId="8" applyFont="1" applyFill="1" applyBorder="1" applyAlignment="1">
      <alignment horizontal="center" vertical="center" wrapText="1"/>
    </xf>
    <xf numFmtId="0" fontId="24" fillId="0" borderId="0" xfId="8" applyFill="1" applyBorder="1" applyAlignment="1">
      <alignment wrapText="1"/>
    </xf>
    <xf numFmtId="171" fontId="58" fillId="0" borderId="43" xfId="8" applyNumberFormat="1" applyFont="1" applyFill="1" applyBorder="1" applyAlignment="1">
      <alignment horizontal="center" vertical="center"/>
    </xf>
    <xf numFmtId="0" fontId="56" fillId="0" borderId="94" xfId="8" applyFont="1" applyFill="1" applyBorder="1" applyAlignment="1">
      <alignment horizontal="left" vertical="center"/>
    </xf>
    <xf numFmtId="171" fontId="58" fillId="0" borderId="43" xfId="8" applyNumberFormat="1" applyFont="1" applyFill="1" applyBorder="1" applyAlignment="1">
      <alignment horizontal="right" vertical="center"/>
    </xf>
    <xf numFmtId="3" fontId="22" fillId="2" borderId="62" xfId="0" applyNumberFormat="1" applyFont="1" applyFill="1" applyBorder="1" applyAlignment="1" applyProtection="1">
      <alignment vertical="center"/>
    </xf>
    <xf numFmtId="3" fontId="21" fillId="0" borderId="62" xfId="0" applyNumberFormat="1" applyFont="1" applyBorder="1" applyAlignment="1" applyProtection="1">
      <alignment vertical="center"/>
    </xf>
    <xf numFmtId="3" fontId="27" fillId="0" borderId="62" xfId="0" applyNumberFormat="1" applyFont="1" applyFill="1" applyBorder="1" applyAlignment="1" applyProtection="1">
      <alignment vertical="center"/>
    </xf>
    <xf numFmtId="3" fontId="21" fillId="0" borderId="62" xfId="0" applyNumberFormat="1" applyFont="1" applyFill="1" applyBorder="1" applyAlignment="1" applyProtection="1">
      <alignment vertical="center"/>
    </xf>
    <xf numFmtId="3" fontId="21" fillId="3" borderId="62" xfId="0" applyNumberFormat="1" applyFont="1" applyFill="1" applyBorder="1" applyAlignment="1" applyProtection="1">
      <alignment vertical="center"/>
    </xf>
    <xf numFmtId="3" fontId="21" fillId="4" borderId="62" xfId="0" applyNumberFormat="1" applyFont="1" applyFill="1" applyBorder="1" applyAlignment="1" applyProtection="1">
      <alignment vertical="center"/>
    </xf>
    <xf numFmtId="3" fontId="21" fillId="4" borderId="62" xfId="0" applyNumberFormat="1" applyFont="1" applyFill="1" applyBorder="1" applyAlignment="1">
      <alignment vertical="center"/>
    </xf>
    <xf numFmtId="3" fontId="27" fillId="0" borderId="62" xfId="0" applyNumberFormat="1" applyFont="1" applyBorder="1" applyAlignment="1" applyProtection="1">
      <alignment vertical="center"/>
    </xf>
    <xf numFmtId="3" fontId="22" fillId="0" borderId="62" xfId="0" applyNumberFormat="1" applyFont="1" applyBorder="1" applyAlignment="1" applyProtection="1">
      <alignment vertical="center"/>
    </xf>
    <xf numFmtId="3" fontId="21" fillId="2" borderId="62" xfId="0" applyNumberFormat="1" applyFont="1" applyFill="1" applyBorder="1" applyAlignment="1" applyProtection="1">
      <alignment vertical="center"/>
    </xf>
    <xf numFmtId="0" fontId="21" fillId="0" borderId="0" xfId="0" applyFont="1" applyAlignment="1">
      <alignment vertical="center"/>
    </xf>
    <xf numFmtId="3" fontId="22" fillId="5" borderId="62" xfId="0" applyNumberFormat="1" applyFont="1" applyFill="1" applyBorder="1" applyAlignment="1" applyProtection="1">
      <alignment vertical="center"/>
    </xf>
    <xf numFmtId="3" fontId="25" fillId="2" borderId="62" xfId="0" applyNumberFormat="1" applyFont="1" applyFill="1" applyBorder="1" applyAlignment="1" applyProtection="1">
      <alignment vertical="center"/>
    </xf>
    <xf numFmtId="3" fontId="21" fillId="0" borderId="62" xfId="0" applyNumberFormat="1" applyFont="1" applyFill="1" applyBorder="1" applyAlignment="1">
      <alignment vertical="center"/>
    </xf>
    <xf numFmtId="3" fontId="21" fillId="0" borderId="62" xfId="0" applyNumberFormat="1" applyFont="1" applyBorder="1" applyAlignment="1">
      <alignment vertical="center"/>
    </xf>
    <xf numFmtId="3" fontId="21" fillId="0" borderId="0" xfId="0" applyNumberFormat="1" applyFont="1" applyFill="1" applyAlignment="1">
      <alignment vertical="center"/>
    </xf>
    <xf numFmtId="3" fontId="21" fillId="0" borderId="62" xfId="0" applyNumberFormat="1" applyFont="1" applyBorder="1"/>
    <xf numFmtId="3" fontId="32" fillId="2" borderId="62" xfId="0" applyNumberFormat="1" applyFont="1" applyFill="1" applyBorder="1" applyAlignment="1">
      <alignment vertical="center"/>
    </xf>
    <xf numFmtId="3" fontId="22" fillId="2" borderId="62" xfId="0" applyNumberFormat="1" applyFont="1" applyFill="1" applyBorder="1" applyAlignment="1">
      <alignment vertical="center"/>
    </xf>
    <xf numFmtId="3" fontId="21" fillId="2" borderId="62" xfId="0" applyNumberFormat="1" applyFont="1" applyFill="1" applyBorder="1" applyAlignment="1">
      <alignment vertical="center"/>
    </xf>
    <xf numFmtId="3" fontId="21" fillId="0" borderId="0" xfId="0" applyNumberFormat="1" applyFont="1" applyAlignment="1">
      <alignment vertical="center"/>
    </xf>
    <xf numFmtId="3" fontId="32" fillId="5" borderId="62" xfId="0" applyNumberFormat="1" applyFont="1" applyFill="1" applyBorder="1" applyAlignment="1">
      <alignment vertical="center"/>
    </xf>
    <xf numFmtId="0" fontId="24" fillId="0" borderId="0" xfId="8" applyFill="1" applyAlignment="1">
      <alignment vertical="center"/>
    </xf>
    <xf numFmtId="0" fontId="24" fillId="0" borderId="0" xfId="8" applyFill="1" applyBorder="1" applyAlignment="1">
      <alignment vertical="center"/>
    </xf>
    <xf numFmtId="0" fontId="56" fillId="0" borderId="94" xfId="8" applyFont="1" applyFill="1" applyBorder="1" applyAlignment="1">
      <alignment vertical="center"/>
    </xf>
    <xf numFmtId="0" fontId="24" fillId="0" borderId="95" xfId="8" applyFill="1" applyBorder="1" applyAlignment="1">
      <alignment vertical="center"/>
    </xf>
    <xf numFmtId="0" fontId="58" fillId="0" borderId="0" xfId="8" applyFont="1" applyFill="1" applyAlignment="1">
      <alignment vertical="center"/>
    </xf>
    <xf numFmtId="0" fontId="63" fillId="0" borderId="102" xfId="8" applyFont="1" applyFill="1" applyBorder="1" applyAlignment="1">
      <alignment horizontal="left" vertical="center"/>
    </xf>
    <xf numFmtId="0" fontId="23" fillId="0" borderId="103" xfId="8" applyFont="1" applyFill="1" applyBorder="1" applyAlignment="1">
      <alignment horizontal="left"/>
    </xf>
    <xf numFmtId="0" fontId="23" fillId="0" borderId="101" xfId="8" applyFont="1" applyFill="1" applyBorder="1" applyAlignment="1">
      <alignment horizontal="left"/>
    </xf>
    <xf numFmtId="0" fontId="17" fillId="0" borderId="0" xfId="0" applyFont="1" applyAlignment="1">
      <alignment horizontal="center" vertical="center"/>
    </xf>
    <xf numFmtId="0" fontId="79" fillId="4" borderId="0" xfId="0" applyFont="1" applyFill="1"/>
    <xf numFmtId="0" fontId="3" fillId="0" borderId="0" xfId="0" applyFont="1" applyAlignment="1"/>
    <xf numFmtId="0" fontId="53" fillId="4" borderId="0" xfId="0" applyFont="1" applyFill="1" applyAlignment="1"/>
    <xf numFmtId="0" fontId="3" fillId="4" borderId="0" xfId="0" applyFont="1" applyFill="1" applyAlignment="1">
      <alignment horizontal="justify" vertical="top" wrapText="1"/>
    </xf>
    <xf numFmtId="0" fontId="17" fillId="4" borderId="0" xfId="0" applyFont="1" applyFill="1"/>
    <xf numFmtId="0" fontId="3" fillId="0" borderId="0" xfId="0" applyFont="1"/>
    <xf numFmtId="0" fontId="16" fillId="0" borderId="149" xfId="0" applyFont="1" applyBorder="1"/>
    <xf numFmtId="0" fontId="79" fillId="0" borderId="149" xfId="0" applyFont="1" applyBorder="1"/>
    <xf numFmtId="0" fontId="17" fillId="0" borderId="12" xfId="0" applyFont="1" applyBorder="1"/>
    <xf numFmtId="49" fontId="3" fillId="0" borderId="0" xfId="0" applyNumberFormat="1" applyFont="1"/>
    <xf numFmtId="0" fontId="3" fillId="4" borderId="0" xfId="0" applyFont="1" applyFill="1"/>
    <xf numFmtId="3" fontId="17" fillId="4" borderId="0" xfId="0" applyNumberFormat="1" applyFont="1" applyFill="1" applyBorder="1" applyAlignment="1">
      <alignment horizontal="right" vertical="center"/>
    </xf>
    <xf numFmtId="0" fontId="17" fillId="4" borderId="0" xfId="0" applyFont="1" applyFill="1" applyAlignment="1">
      <alignment horizontal="center"/>
    </xf>
    <xf numFmtId="0" fontId="17" fillId="4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3" fontId="16" fillId="0" borderId="0" xfId="0" applyNumberFormat="1" applyFont="1" applyBorder="1" applyAlignment="1">
      <alignment horizontal="right"/>
    </xf>
    <xf numFmtId="0" fontId="86" fillId="0" borderId="91" xfId="15" applyBorder="1" applyAlignment="1" applyProtection="1"/>
    <xf numFmtId="0" fontId="27" fillId="0" borderId="93" xfId="8" applyFont="1" applyBorder="1"/>
    <xf numFmtId="0" fontId="84" fillId="0" borderId="0" xfId="9" applyFont="1" applyFill="1" applyBorder="1" applyAlignment="1" applyProtection="1">
      <alignment horizontal="left" vertical="center" wrapText="1" indent="1"/>
      <protection hidden="1"/>
    </xf>
    <xf numFmtId="0" fontId="22" fillId="6" borderId="94" xfId="8" applyFont="1" applyFill="1" applyBorder="1" applyAlignment="1">
      <alignment horizontal="center" vertical="center" wrapText="1"/>
    </xf>
    <xf numFmtId="0" fontId="22" fillId="6" borderId="95" xfId="8" applyFont="1" applyFill="1" applyBorder="1" applyAlignment="1">
      <alignment horizontal="center" vertical="center" wrapText="1"/>
    </xf>
    <xf numFmtId="0" fontId="59" fillId="0" borderId="108" xfId="8" applyFont="1" applyFill="1" applyBorder="1" applyAlignment="1">
      <alignment horizontal="left" vertical="top" wrapText="1"/>
    </xf>
    <xf numFmtId="0" fontId="59" fillId="0" borderId="97" xfId="8" applyFont="1" applyFill="1" applyBorder="1" applyAlignment="1">
      <alignment horizontal="left" vertical="top" wrapText="1"/>
    </xf>
    <xf numFmtId="0" fontId="59" fillId="0" borderId="107" xfId="8" applyFont="1" applyFill="1" applyBorder="1" applyAlignment="1">
      <alignment horizontal="left" vertical="top" wrapText="1"/>
    </xf>
    <xf numFmtId="0" fontId="59" fillId="0" borderId="79" xfId="8" applyFont="1" applyFill="1" applyBorder="1" applyAlignment="1">
      <alignment horizontal="left" vertical="top" wrapText="1"/>
    </xf>
    <xf numFmtId="0" fontId="59" fillId="0" borderId="0" xfId="8" applyFont="1" applyFill="1" applyBorder="1" applyAlignment="1">
      <alignment horizontal="left" vertical="top" wrapText="1"/>
    </xf>
    <xf numFmtId="0" fontId="59" fillId="0" borderId="81" xfId="8" applyFont="1" applyFill="1" applyBorder="1" applyAlignment="1">
      <alignment horizontal="left" vertical="top" wrapText="1"/>
    </xf>
    <xf numFmtId="0" fontId="59" fillId="0" borderId="98" xfId="8" applyFont="1" applyFill="1" applyBorder="1" applyAlignment="1">
      <alignment horizontal="left" vertical="top" wrapText="1"/>
    </xf>
    <xf numFmtId="0" fontId="59" fillId="0" borderId="29" xfId="8" applyFont="1" applyFill="1" applyBorder="1" applyAlignment="1">
      <alignment horizontal="left" vertical="top" wrapText="1"/>
    </xf>
    <xf numFmtId="0" fontId="27" fillId="0" borderId="110" xfId="8" applyFont="1" applyBorder="1" applyAlignment="1">
      <alignment horizontal="center" vertical="top"/>
    </xf>
    <xf numFmtId="0" fontId="27" fillId="0" borderId="101" xfId="8" applyFont="1" applyBorder="1" applyAlignment="1">
      <alignment horizontal="center" vertical="top"/>
    </xf>
    <xf numFmtId="0" fontId="27" fillId="0" borderId="109" xfId="8" applyFont="1" applyBorder="1" applyAlignment="1">
      <alignment horizontal="center" vertical="top"/>
    </xf>
    <xf numFmtId="0" fontId="27" fillId="0" borderId="110" xfId="8" applyFont="1" applyFill="1" applyBorder="1" applyAlignment="1">
      <alignment horizontal="center" vertical="top"/>
    </xf>
    <xf numFmtId="0" fontId="27" fillId="0" borderId="13" xfId="8" applyFont="1" applyBorder="1" applyAlignment="1">
      <alignment horizontal="center" vertical="top"/>
    </xf>
    <xf numFmtId="0" fontId="16" fillId="0" borderId="76" xfId="0" applyFont="1" applyBorder="1" applyAlignment="1">
      <alignment horizontal="left"/>
    </xf>
    <xf numFmtId="0" fontId="16" fillId="0" borderId="77" xfId="0" applyFont="1" applyBorder="1" applyAlignment="1">
      <alignment horizontal="left"/>
    </xf>
    <xf numFmtId="3" fontId="16" fillId="0" borderId="77" xfId="0" applyNumberFormat="1" applyFont="1" applyBorder="1" applyAlignment="1">
      <alignment horizontal="right"/>
    </xf>
    <xf numFmtId="3" fontId="16" fillId="0" borderId="78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16" fillId="0" borderId="63" xfId="0" applyFont="1" applyBorder="1" applyAlignment="1">
      <alignment horizontal="left"/>
    </xf>
    <xf numFmtId="0" fontId="16" fillId="0" borderId="64" xfId="0" applyFont="1" applyBorder="1" applyAlignment="1">
      <alignment horizontal="left"/>
    </xf>
    <xf numFmtId="0" fontId="16" fillId="0" borderId="64" xfId="0" applyFont="1" applyBorder="1" applyAlignment="1">
      <alignment horizontal="right"/>
    </xf>
    <xf numFmtId="0" fontId="16" fillId="0" borderId="65" xfId="0" applyFont="1" applyBorder="1" applyAlignment="1">
      <alignment horizontal="right"/>
    </xf>
    <xf numFmtId="0" fontId="17" fillId="0" borderId="67" xfId="0" applyFont="1" applyBorder="1" applyAlignment="1">
      <alignment horizontal="left"/>
    </xf>
    <xf numFmtId="0" fontId="17" fillId="0" borderId="43" xfId="0" applyFont="1" applyBorder="1" applyAlignment="1">
      <alignment horizontal="left"/>
    </xf>
    <xf numFmtId="3" fontId="17" fillId="0" borderId="43" xfId="0" applyNumberFormat="1" applyFont="1" applyBorder="1" applyAlignment="1">
      <alignment horizontal="right"/>
    </xf>
    <xf numFmtId="3" fontId="17" fillId="0" borderId="68" xfId="0" applyNumberFormat="1" applyFont="1" applyBorder="1" applyAlignment="1">
      <alignment horizontal="right"/>
    </xf>
    <xf numFmtId="0" fontId="16" fillId="0" borderId="67" xfId="0" applyFont="1" applyBorder="1" applyAlignment="1">
      <alignment horizontal="left"/>
    </xf>
    <xf numFmtId="0" fontId="16" fillId="0" borderId="43" xfId="0" applyFont="1" applyBorder="1" applyAlignment="1">
      <alignment horizontal="left"/>
    </xf>
    <xf numFmtId="3" fontId="16" fillId="0" borderId="43" xfId="0" applyNumberFormat="1" applyFont="1" applyBorder="1" applyAlignment="1">
      <alignment horizontal="right"/>
    </xf>
    <xf numFmtId="3" fontId="16" fillId="0" borderId="68" xfId="0" applyNumberFormat="1" applyFont="1" applyBorder="1" applyAlignment="1">
      <alignment horizontal="right"/>
    </xf>
    <xf numFmtId="0" fontId="3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17" fillId="4" borderId="134" xfId="0" applyFont="1" applyFill="1" applyBorder="1" applyAlignment="1">
      <alignment horizontal="left" vertical="center"/>
    </xf>
    <xf numFmtId="0" fontId="17" fillId="4" borderId="134" xfId="0" applyFont="1" applyFill="1" applyBorder="1" applyAlignment="1">
      <alignment horizontal="center" vertical="center"/>
    </xf>
    <xf numFmtId="3" fontId="17" fillId="4" borderId="134" xfId="0" applyNumberFormat="1" applyFont="1" applyFill="1" applyBorder="1" applyAlignment="1">
      <alignment horizontal="right" vertical="center"/>
    </xf>
    <xf numFmtId="0" fontId="17" fillId="4" borderId="44" xfId="0" applyFont="1" applyFill="1" applyBorder="1" applyAlignment="1">
      <alignment horizontal="left" vertical="center"/>
    </xf>
    <xf numFmtId="0" fontId="17" fillId="4" borderId="141" xfId="0" applyFont="1" applyFill="1" applyBorder="1" applyAlignment="1">
      <alignment horizontal="left" vertical="center"/>
    </xf>
    <xf numFmtId="0" fontId="17" fillId="4" borderId="129" xfId="0" applyFont="1" applyFill="1" applyBorder="1" applyAlignment="1">
      <alignment horizontal="left" vertical="center"/>
    </xf>
    <xf numFmtId="0" fontId="17" fillId="4" borderId="129" xfId="0" applyFont="1" applyFill="1" applyBorder="1" applyAlignment="1">
      <alignment horizontal="center" vertical="center"/>
    </xf>
    <xf numFmtId="3" fontId="17" fillId="4" borderId="129" xfId="0" applyNumberFormat="1" applyFont="1" applyFill="1" applyBorder="1" applyAlignment="1">
      <alignment horizontal="right" vertical="center"/>
    </xf>
    <xf numFmtId="0" fontId="16" fillId="0" borderId="37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 wrapText="1"/>
    </xf>
    <xf numFmtId="3" fontId="17" fillId="0" borderId="134" xfId="0" applyNumberFormat="1" applyFont="1" applyBorder="1" applyAlignment="1">
      <alignment horizontal="right" vertical="center"/>
    </xf>
    <xf numFmtId="0" fontId="3" fillId="4" borderId="0" xfId="0" applyFont="1" applyFill="1" applyAlignment="1">
      <alignment horizontal="left" vertical="top" wrapText="1"/>
    </xf>
    <xf numFmtId="0" fontId="16" fillId="4" borderId="37" xfId="0" applyFont="1" applyFill="1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 wrapText="1"/>
    </xf>
    <xf numFmtId="0" fontId="17" fillId="4" borderId="132" xfId="0" applyFont="1" applyFill="1" applyBorder="1" applyAlignment="1">
      <alignment horizontal="left" vertical="center"/>
    </xf>
    <xf numFmtId="0" fontId="17" fillId="4" borderId="132" xfId="0" applyFont="1" applyFill="1" applyBorder="1" applyAlignment="1">
      <alignment horizontal="center" vertical="center"/>
    </xf>
    <xf numFmtId="3" fontId="17" fillId="4" borderId="132" xfId="0" applyNumberFormat="1" applyFont="1" applyFill="1" applyBorder="1" applyAlignment="1">
      <alignment horizontal="right" vertical="center"/>
    </xf>
    <xf numFmtId="0" fontId="17" fillId="0" borderId="129" xfId="0" applyFont="1" applyBorder="1" applyAlignment="1">
      <alignment horizontal="center" vertical="center"/>
    </xf>
    <xf numFmtId="0" fontId="17" fillId="0" borderId="125" xfId="0" applyFont="1" applyBorder="1" applyAlignment="1">
      <alignment horizontal="center" vertical="center"/>
    </xf>
    <xf numFmtId="3" fontId="17" fillId="2" borderId="78" xfId="0" applyNumberFormat="1" applyFont="1" applyFill="1" applyBorder="1" applyAlignment="1">
      <alignment horizontal="right" vertical="center"/>
    </xf>
    <xf numFmtId="3" fontId="17" fillId="2" borderId="129" xfId="0" applyNumberFormat="1" applyFont="1" applyFill="1" applyBorder="1" applyAlignment="1">
      <alignment horizontal="right" vertical="center"/>
    </xf>
    <xf numFmtId="3" fontId="17" fillId="2" borderId="76" xfId="0" applyNumberFormat="1" applyFont="1" applyFill="1" applyBorder="1" applyAlignment="1">
      <alignment horizontal="right" vertical="center"/>
    </xf>
    <xf numFmtId="0" fontId="17" fillId="0" borderId="111" xfId="0" applyFont="1" applyBorder="1" applyAlignment="1">
      <alignment horizontal="right" vertical="center"/>
    </xf>
    <xf numFmtId="0" fontId="17" fillId="0" borderId="129" xfId="0" applyFont="1" applyBorder="1" applyAlignment="1">
      <alignment horizontal="right" vertical="center"/>
    </xf>
    <xf numFmtId="0" fontId="5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3" fontId="17" fillId="0" borderId="68" xfId="0" applyNumberFormat="1" applyFont="1" applyBorder="1" applyAlignment="1">
      <alignment horizontal="right" vertical="center"/>
    </xf>
    <xf numFmtId="3" fontId="17" fillId="0" borderId="67" xfId="0" applyNumberFormat="1" applyFont="1" applyBorder="1" applyAlignment="1">
      <alignment horizontal="right" vertical="center"/>
    </xf>
    <xf numFmtId="0" fontId="17" fillId="0" borderId="106" xfId="0" applyFont="1" applyBorder="1" applyAlignment="1">
      <alignment horizontal="right" vertical="center"/>
    </xf>
    <xf numFmtId="0" fontId="17" fillId="0" borderId="134" xfId="0" applyFont="1" applyBorder="1" applyAlignment="1">
      <alignment horizontal="right" vertical="center"/>
    </xf>
    <xf numFmtId="3" fontId="17" fillId="0" borderId="105" xfId="0" applyNumberFormat="1" applyFont="1" applyBorder="1" applyAlignment="1">
      <alignment horizontal="right" vertical="center"/>
    </xf>
    <xf numFmtId="0" fontId="17" fillId="0" borderId="134" xfId="0" applyFont="1" applyBorder="1" applyAlignment="1">
      <alignment horizontal="center" vertical="center"/>
    </xf>
    <xf numFmtId="0" fontId="17" fillId="0" borderId="105" xfId="0" applyFont="1" applyBorder="1" applyAlignment="1">
      <alignment horizontal="center" vertical="center"/>
    </xf>
    <xf numFmtId="0" fontId="17" fillId="0" borderId="125" xfId="0" applyFont="1" applyBorder="1" applyAlignment="1">
      <alignment horizontal="left" vertical="center" wrapText="1"/>
    </xf>
    <xf numFmtId="0" fontId="17" fillId="0" borderId="138" xfId="0" applyFont="1" applyBorder="1" applyAlignment="1">
      <alignment horizontal="left" vertical="center" wrapText="1"/>
    </xf>
    <xf numFmtId="0" fontId="17" fillId="0" borderId="111" xfId="0" applyFont="1" applyBorder="1" applyAlignment="1">
      <alignment horizontal="left" vertical="center" wrapText="1"/>
    </xf>
    <xf numFmtId="3" fontId="17" fillId="0" borderId="44" xfId="0" applyNumberFormat="1" applyFont="1" applyBorder="1" applyAlignment="1">
      <alignment horizontal="right" vertical="center"/>
    </xf>
    <xf numFmtId="3" fontId="17" fillId="0" borderId="99" xfId="0" applyNumberFormat="1" applyFont="1" applyBorder="1" applyAlignment="1">
      <alignment horizontal="right" vertical="center"/>
    </xf>
    <xf numFmtId="3" fontId="17" fillId="0" borderId="118" xfId="0" applyNumberFormat="1" applyFont="1" applyBorder="1" applyAlignment="1">
      <alignment horizontal="right" vertical="center"/>
    </xf>
    <xf numFmtId="3" fontId="17" fillId="0" borderId="147" xfId="0" applyNumberFormat="1" applyFont="1" applyBorder="1" applyAlignment="1">
      <alignment horizontal="right" vertical="center"/>
    </xf>
    <xf numFmtId="0" fontId="17" fillId="0" borderId="29" xfId="0" applyFont="1" applyBorder="1" applyAlignment="1">
      <alignment horizontal="right" vertical="center"/>
    </xf>
    <xf numFmtId="0" fontId="17" fillId="0" borderId="44" xfId="0" applyFont="1" applyBorder="1" applyAlignment="1">
      <alignment horizontal="right" vertical="center"/>
    </xf>
    <xf numFmtId="3" fontId="17" fillId="0" borderId="133" xfId="0" applyNumberFormat="1" applyFont="1" applyBorder="1" applyAlignment="1">
      <alignment horizontal="right" vertical="center"/>
    </xf>
    <xf numFmtId="0" fontId="17" fillId="0" borderId="105" xfId="0" applyFont="1" applyBorder="1" applyAlignment="1">
      <alignment horizontal="left" vertical="center" wrapText="1"/>
    </xf>
    <xf numFmtId="0" fontId="17" fillId="0" borderId="92" xfId="0" applyFont="1" applyBorder="1" applyAlignment="1">
      <alignment horizontal="left" vertical="center" wrapText="1"/>
    </xf>
    <xf numFmtId="0" fontId="17" fillId="0" borderId="106" xfId="0" applyFont="1" applyBorder="1" applyAlignment="1">
      <alignment horizontal="left" vertical="center" wrapText="1"/>
    </xf>
    <xf numFmtId="0" fontId="16" fillId="0" borderId="96" xfId="0" applyFont="1" applyBorder="1" applyAlignment="1">
      <alignment horizontal="center" vertical="center" wrapText="1"/>
    </xf>
    <xf numFmtId="0" fontId="16" fillId="0" borderId="97" xfId="0" applyFont="1" applyBorder="1" applyAlignment="1">
      <alignment horizontal="center" vertical="center" wrapText="1"/>
    </xf>
    <xf numFmtId="0" fontId="16" fillId="0" borderId="98" xfId="0" applyFont="1" applyBorder="1" applyAlignment="1">
      <alignment horizontal="center" vertical="center" wrapText="1"/>
    </xf>
    <xf numFmtId="0" fontId="16" fillId="0" borderId="100" xfId="0" applyFont="1" applyBorder="1" applyAlignment="1">
      <alignment horizontal="center" vertical="center" wrapText="1"/>
    </xf>
    <xf numFmtId="0" fontId="16" fillId="0" borderId="10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4" borderId="105" xfId="0" applyFont="1" applyFill="1" applyBorder="1" applyAlignment="1">
      <alignment horizontal="left" vertical="center" wrapText="1"/>
    </xf>
    <xf numFmtId="0" fontId="17" fillId="4" borderId="92" xfId="0" applyFont="1" applyFill="1" applyBorder="1" applyAlignment="1">
      <alignment horizontal="left" vertical="center" wrapText="1"/>
    </xf>
    <xf numFmtId="0" fontId="17" fillId="4" borderId="106" xfId="0" applyFont="1" applyFill="1" applyBorder="1" applyAlignment="1">
      <alignment horizontal="left" vertical="center" wrapText="1"/>
    </xf>
    <xf numFmtId="3" fontId="17" fillId="4" borderId="134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17" fillId="0" borderId="126" xfId="0" applyFont="1" applyBorder="1" applyAlignment="1">
      <alignment horizontal="left" vertical="center" wrapText="1"/>
    </xf>
    <xf numFmtId="0" fontId="17" fillId="0" borderId="117" xfId="0" applyFont="1" applyBorder="1" applyAlignment="1">
      <alignment horizontal="left" vertical="center" wrapText="1"/>
    </xf>
    <xf numFmtId="0" fontId="17" fillId="0" borderId="114" xfId="0" applyFont="1" applyBorder="1" applyAlignment="1">
      <alignment horizontal="left" vertical="center" wrapText="1"/>
    </xf>
    <xf numFmtId="3" fontId="17" fillId="0" borderId="132" xfId="0" applyNumberFormat="1" applyFont="1" applyBorder="1" applyAlignment="1">
      <alignment horizontal="right" vertical="center"/>
    </xf>
    <xf numFmtId="3" fontId="17" fillId="0" borderId="96" xfId="0" applyNumberFormat="1" applyFont="1" applyBorder="1" applyAlignment="1">
      <alignment horizontal="right" vertical="center"/>
    </xf>
    <xf numFmtId="0" fontId="17" fillId="0" borderId="131" xfId="0" applyFont="1" applyBorder="1" applyAlignment="1">
      <alignment horizontal="center" vertical="center"/>
    </xf>
    <xf numFmtId="0" fontId="17" fillId="0" borderId="132" xfId="0" applyFont="1" applyBorder="1" applyAlignment="1">
      <alignment horizontal="center" vertical="center"/>
    </xf>
    <xf numFmtId="0" fontId="17" fillId="0" borderId="128" xfId="0" applyFont="1" applyBorder="1" applyAlignment="1">
      <alignment horizontal="center" vertical="center"/>
    </xf>
    <xf numFmtId="0" fontId="17" fillId="0" borderId="98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7" fillId="0" borderId="133" xfId="0" applyFont="1" applyBorder="1" applyAlignment="1">
      <alignment horizontal="left" vertical="center" wrapText="1"/>
    </xf>
    <xf numFmtId="0" fontId="17" fillId="0" borderId="134" xfId="0" applyFont="1" applyBorder="1" applyAlignment="1">
      <alignment horizontal="left" vertical="center" wrapText="1"/>
    </xf>
    <xf numFmtId="0" fontId="17" fillId="0" borderId="132" xfId="0" applyFont="1" applyBorder="1" applyAlignment="1">
      <alignment horizontal="left" vertical="center" wrapText="1"/>
    </xf>
    <xf numFmtId="0" fontId="17" fillId="4" borderId="134" xfId="0" applyFont="1" applyFill="1" applyBorder="1" applyAlignment="1">
      <alignment horizontal="left" vertical="center" wrapText="1"/>
    </xf>
    <xf numFmtId="0" fontId="16" fillId="4" borderId="134" xfId="0" applyFont="1" applyFill="1" applyBorder="1" applyAlignment="1">
      <alignment horizontal="left" vertical="center" wrapText="1"/>
    </xf>
    <xf numFmtId="0" fontId="16" fillId="4" borderId="105" xfId="0" applyFont="1" applyFill="1" applyBorder="1" applyAlignment="1">
      <alignment horizontal="left" vertical="center" wrapText="1"/>
    </xf>
    <xf numFmtId="0" fontId="16" fillId="4" borderId="92" xfId="0" applyFont="1" applyFill="1" applyBorder="1" applyAlignment="1">
      <alignment horizontal="left" vertical="center" wrapText="1"/>
    </xf>
    <xf numFmtId="0" fontId="16" fillId="4" borderId="106" xfId="0" applyFont="1" applyFill="1" applyBorder="1" applyAlignment="1">
      <alignment horizontal="left" vertical="center" wrapText="1"/>
    </xf>
    <xf numFmtId="3" fontId="17" fillId="0" borderId="134" xfId="0" applyNumberFormat="1" applyFont="1" applyBorder="1" applyAlignment="1">
      <alignment horizontal="right" vertical="center" wrapText="1"/>
    </xf>
    <xf numFmtId="0" fontId="18" fillId="4" borderId="105" xfId="0" applyFont="1" applyFill="1" applyBorder="1" applyAlignment="1">
      <alignment horizontal="left" vertical="center" wrapText="1"/>
    </xf>
    <xf numFmtId="0" fontId="18" fillId="4" borderId="92" xfId="0" applyFont="1" applyFill="1" applyBorder="1" applyAlignment="1">
      <alignment horizontal="left" vertical="center" wrapText="1"/>
    </xf>
    <xf numFmtId="0" fontId="18" fillId="4" borderId="106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justify" vertical="top" wrapText="1"/>
    </xf>
    <xf numFmtId="3" fontId="17" fillId="0" borderId="43" xfId="0" applyNumberFormat="1" applyFont="1" applyBorder="1" applyAlignment="1">
      <alignment horizontal="right" vertical="center"/>
    </xf>
    <xf numFmtId="3" fontId="17" fillId="2" borderId="43" xfId="0" applyNumberFormat="1" applyFont="1" applyFill="1" applyBorder="1" applyAlignment="1">
      <alignment horizontal="right" vertical="center"/>
    </xf>
    <xf numFmtId="3" fontId="17" fillId="2" borderId="68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justify" vertical="top"/>
    </xf>
    <xf numFmtId="0" fontId="16" fillId="4" borderId="125" xfId="0" applyFont="1" applyFill="1" applyBorder="1" applyAlignment="1">
      <alignment horizontal="left" vertical="center" wrapText="1"/>
    </xf>
    <xf numFmtId="0" fontId="16" fillId="4" borderId="138" xfId="0" applyFont="1" applyFill="1" applyBorder="1" applyAlignment="1">
      <alignment horizontal="left" vertical="center" wrapText="1"/>
    </xf>
    <xf numFmtId="0" fontId="16" fillId="4" borderId="111" xfId="0" applyFont="1" applyFill="1" applyBorder="1" applyAlignment="1">
      <alignment horizontal="left" vertical="center" wrapText="1"/>
    </xf>
    <xf numFmtId="0" fontId="16" fillId="0" borderId="148" xfId="0" applyFont="1" applyBorder="1" applyAlignment="1">
      <alignment horizontal="left"/>
    </xf>
    <xf numFmtId="0" fontId="10" fillId="0" borderId="0" xfId="0" applyFont="1" applyAlignment="1">
      <alignment horizontal="justify" vertical="top" wrapText="1"/>
    </xf>
    <xf numFmtId="175" fontId="17" fillId="4" borderId="133" xfId="0" applyNumberFormat="1" applyFont="1" applyFill="1" applyBorder="1" applyAlignment="1">
      <alignment horizontal="right" vertical="center"/>
    </xf>
    <xf numFmtId="10" fontId="17" fillId="4" borderId="132" xfId="0" applyNumberFormat="1" applyFont="1" applyFill="1" applyBorder="1" applyAlignment="1">
      <alignment horizontal="right" vertical="center"/>
    </xf>
    <xf numFmtId="9" fontId="17" fillId="4" borderId="125" xfId="1" applyFont="1" applyFill="1" applyBorder="1" applyAlignment="1">
      <alignment horizontal="right" vertical="center"/>
    </xf>
    <xf numFmtId="9" fontId="17" fillId="4" borderId="138" xfId="1" applyFont="1" applyFill="1" applyBorder="1" applyAlignment="1">
      <alignment horizontal="right" vertical="center"/>
    </xf>
    <xf numFmtId="9" fontId="17" fillId="4" borderId="111" xfId="1" applyFont="1" applyFill="1" applyBorder="1" applyAlignment="1">
      <alignment horizontal="right" vertical="center"/>
    </xf>
    <xf numFmtId="175" fontId="17" fillId="4" borderId="130" xfId="0" applyNumberFormat="1" applyFont="1" applyFill="1" applyBorder="1" applyAlignment="1">
      <alignment horizontal="right" vertical="center"/>
    </xf>
    <xf numFmtId="0" fontId="16" fillId="0" borderId="110" xfId="0" applyFont="1" applyBorder="1" applyAlignment="1">
      <alignment horizontal="center"/>
    </xf>
    <xf numFmtId="0" fontId="16" fillId="0" borderId="101" xfId="0" applyFont="1" applyBorder="1" applyAlignment="1">
      <alignment horizontal="center"/>
    </xf>
    <xf numFmtId="0" fontId="16" fillId="0" borderId="109" xfId="0" applyFont="1" applyBorder="1" applyAlignment="1">
      <alignment horizontal="center"/>
    </xf>
    <xf numFmtId="0" fontId="3" fillId="4" borderId="0" xfId="0" applyFont="1" applyFill="1" applyAlignment="1">
      <alignment horizontal="justify" vertical="top" wrapText="1"/>
    </xf>
    <xf numFmtId="0" fontId="9" fillId="4" borderId="0" xfId="0" applyFont="1" applyFill="1" applyAlignment="1">
      <alignment horizontal="justify" vertical="top" wrapText="1"/>
    </xf>
    <xf numFmtId="0" fontId="17" fillId="4" borderId="132" xfId="0" applyFont="1" applyFill="1" applyBorder="1" applyAlignment="1">
      <alignment horizontal="center" vertical="center" wrapText="1"/>
    </xf>
    <xf numFmtId="3" fontId="17" fillId="0" borderId="133" xfId="0" applyNumberFormat="1" applyFont="1" applyBorder="1" applyAlignment="1">
      <alignment horizontal="right" vertical="center" wrapText="1"/>
    </xf>
    <xf numFmtId="3" fontId="17" fillId="0" borderId="132" xfId="0" applyNumberFormat="1" applyFont="1" applyBorder="1" applyAlignment="1">
      <alignment horizontal="right" vertical="center" wrapText="1"/>
    </xf>
    <xf numFmtId="0" fontId="16" fillId="0" borderId="37" xfId="0" applyNumberFormat="1" applyFont="1" applyBorder="1" applyAlignment="1">
      <alignment horizontal="center" vertical="center" wrapText="1"/>
    </xf>
    <xf numFmtId="0" fontId="17" fillId="0" borderId="133" xfId="0" applyNumberFormat="1" applyFont="1" applyBorder="1" applyAlignment="1">
      <alignment horizontal="left" vertical="center" wrapText="1"/>
    </xf>
    <xf numFmtId="0" fontId="17" fillId="0" borderId="134" xfId="0" applyNumberFormat="1" applyFont="1" applyBorder="1" applyAlignment="1">
      <alignment horizontal="left" vertical="center" wrapText="1"/>
    </xf>
    <xf numFmtId="0" fontId="17" fillId="0" borderId="132" xfId="0" applyNumberFormat="1" applyFont="1" applyBorder="1" applyAlignment="1">
      <alignment horizontal="left" vertical="center" wrapText="1"/>
    </xf>
    <xf numFmtId="3" fontId="17" fillId="0" borderId="63" xfId="0" applyNumberFormat="1" applyFont="1" applyBorder="1" applyAlignment="1">
      <alignment horizontal="right" vertical="center"/>
    </xf>
    <xf numFmtId="3" fontId="17" fillId="0" borderId="64" xfId="0" applyNumberFormat="1" applyFont="1" applyBorder="1" applyAlignment="1">
      <alignment horizontal="right" vertical="center"/>
    </xf>
    <xf numFmtId="3" fontId="17" fillId="2" borderId="64" xfId="0" applyNumberFormat="1" applyFont="1" applyFill="1" applyBorder="1" applyAlignment="1">
      <alignment horizontal="right" vertical="center"/>
    </xf>
    <xf numFmtId="3" fontId="17" fillId="2" borderId="65" xfId="0" applyNumberFormat="1" applyFont="1" applyFill="1" applyBorder="1" applyAlignment="1">
      <alignment horizontal="right" vertical="center"/>
    </xf>
    <xf numFmtId="0" fontId="16" fillId="0" borderId="133" xfId="0" applyFont="1" applyBorder="1" applyAlignment="1">
      <alignment horizontal="left" vertical="center" wrapText="1"/>
    </xf>
    <xf numFmtId="3" fontId="16" fillId="2" borderId="76" xfId="0" applyNumberFormat="1" applyFont="1" applyFill="1" applyBorder="1" applyAlignment="1">
      <alignment horizontal="right" vertical="center"/>
    </xf>
    <xf numFmtId="3" fontId="16" fillId="2" borderId="77" xfId="0" applyNumberFormat="1" applyFont="1" applyFill="1" applyBorder="1" applyAlignment="1">
      <alignment horizontal="right" vertical="center"/>
    </xf>
    <xf numFmtId="3" fontId="16" fillId="2" borderId="78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justify" vertical="top"/>
    </xf>
    <xf numFmtId="0" fontId="16" fillId="0" borderId="37" xfId="0" applyFont="1" applyBorder="1" applyAlignment="1">
      <alignment horizontal="left" vertical="center"/>
    </xf>
    <xf numFmtId="3" fontId="16" fillId="2" borderId="133" xfId="0" applyNumberFormat="1" applyFont="1" applyFill="1" applyBorder="1" applyAlignment="1">
      <alignment horizontal="right" vertical="center"/>
    </xf>
    <xf numFmtId="0" fontId="16" fillId="0" borderId="37" xfId="0" applyFont="1" applyBorder="1" applyAlignment="1">
      <alignment horizontal="left" vertical="center" wrapText="1"/>
    </xf>
    <xf numFmtId="3" fontId="17" fillId="2" borderId="134" xfId="0" applyNumberFormat="1" applyFont="1" applyFill="1" applyBorder="1" applyAlignment="1">
      <alignment horizontal="right" vertical="center"/>
    </xf>
    <xf numFmtId="3" fontId="17" fillId="2" borderId="132" xfId="0" applyNumberFormat="1" applyFont="1" applyFill="1" applyBorder="1" applyAlignment="1">
      <alignment horizontal="right" vertical="center"/>
    </xf>
    <xf numFmtId="3" fontId="17" fillId="0" borderId="134" xfId="0" applyNumberFormat="1" applyFont="1" applyFill="1" applyBorder="1" applyAlignment="1">
      <alignment horizontal="right" vertical="center"/>
    </xf>
    <xf numFmtId="3" fontId="16" fillId="9" borderId="13" xfId="0" applyNumberFormat="1" applyFont="1" applyFill="1" applyBorder="1" applyAlignment="1">
      <alignment horizontal="right" vertical="center"/>
    </xf>
    <xf numFmtId="3" fontId="16" fillId="9" borderId="133" xfId="0" applyNumberFormat="1" applyFont="1" applyFill="1" applyBorder="1" applyAlignment="1">
      <alignment horizontal="right" vertical="center"/>
    </xf>
    <xf numFmtId="0" fontId="16" fillId="9" borderId="37" xfId="0" applyFont="1" applyFill="1" applyBorder="1" applyAlignment="1">
      <alignment horizontal="center" vertical="center" wrapText="1"/>
    </xf>
    <xf numFmtId="0" fontId="16" fillId="9" borderId="133" xfId="0" applyFont="1" applyFill="1" applyBorder="1" applyAlignment="1">
      <alignment horizontal="left" vertical="center" wrapText="1"/>
    </xf>
    <xf numFmtId="0" fontId="17" fillId="9" borderId="134" xfId="0" applyFont="1" applyFill="1" applyBorder="1" applyAlignment="1">
      <alignment horizontal="left" vertical="center" wrapText="1"/>
    </xf>
    <xf numFmtId="0" fontId="16" fillId="9" borderId="134" xfId="0" applyFont="1" applyFill="1" applyBorder="1" applyAlignment="1">
      <alignment horizontal="left" vertical="center" wrapText="1"/>
    </xf>
    <xf numFmtId="0" fontId="17" fillId="9" borderId="132" xfId="0" applyFont="1" applyFill="1" applyBorder="1" applyAlignment="1">
      <alignment horizontal="left" vertical="center" wrapText="1"/>
    </xf>
    <xf numFmtId="3" fontId="16" fillId="9" borderId="69" xfId="0" applyNumberFormat="1" applyFont="1" applyFill="1" applyBorder="1" applyAlignment="1">
      <alignment horizontal="right" vertical="center"/>
    </xf>
    <xf numFmtId="3" fontId="17" fillId="9" borderId="134" xfId="0" applyNumberFormat="1" applyFont="1" applyFill="1" applyBorder="1" applyAlignment="1">
      <alignment horizontal="right" vertical="center"/>
    </xf>
    <xf numFmtId="3" fontId="17" fillId="9" borderId="67" xfId="0" applyNumberFormat="1" applyFont="1" applyFill="1" applyBorder="1" applyAlignment="1">
      <alignment horizontal="right" vertical="center"/>
    </xf>
    <xf numFmtId="3" fontId="16" fillId="9" borderId="134" xfId="0" applyNumberFormat="1" applyFont="1" applyFill="1" applyBorder="1" applyAlignment="1">
      <alignment horizontal="right" vertical="center"/>
    </xf>
    <xf numFmtId="3" fontId="16" fillId="9" borderId="67" xfId="0" applyNumberFormat="1" applyFont="1" applyFill="1" applyBorder="1" applyAlignment="1">
      <alignment horizontal="right" vertical="center"/>
    </xf>
    <xf numFmtId="3" fontId="17" fillId="9" borderId="132" xfId="0" applyNumberFormat="1" applyFont="1" applyFill="1" applyBorder="1" applyAlignment="1">
      <alignment horizontal="right" vertical="center"/>
    </xf>
    <xf numFmtId="3" fontId="17" fillId="9" borderId="128" xfId="0" applyNumberFormat="1" applyFont="1" applyFill="1" applyBorder="1" applyAlignment="1">
      <alignment horizontal="right" vertical="center"/>
    </xf>
    <xf numFmtId="0" fontId="16" fillId="4" borderId="37" xfId="0" applyFont="1" applyFill="1" applyBorder="1" applyAlignment="1">
      <alignment horizontal="left" vertical="center" wrapText="1"/>
    </xf>
    <xf numFmtId="3" fontId="16" fillId="4" borderId="37" xfId="0" applyNumberFormat="1" applyFont="1" applyFill="1" applyBorder="1" applyAlignment="1">
      <alignment horizontal="right" vertical="center"/>
    </xf>
    <xf numFmtId="3" fontId="16" fillId="4" borderId="135" xfId="0" applyNumberFormat="1" applyFont="1" applyFill="1" applyBorder="1" applyAlignment="1">
      <alignment horizontal="right" vertical="center"/>
    </xf>
    <xf numFmtId="3" fontId="16" fillId="4" borderId="17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16" fillId="4" borderId="132" xfId="0" applyFont="1" applyFill="1" applyBorder="1" applyAlignment="1">
      <alignment horizontal="center" vertical="center" wrapText="1"/>
    </xf>
    <xf numFmtId="3" fontId="17" fillId="0" borderId="106" xfId="0" applyNumberFormat="1" applyFont="1" applyBorder="1" applyAlignment="1">
      <alignment horizontal="right" vertical="center"/>
    </xf>
    <xf numFmtId="3" fontId="17" fillId="9" borderId="98" xfId="0" applyNumberFormat="1" applyFont="1" applyFill="1" applyBorder="1" applyAlignment="1">
      <alignment horizontal="right" vertical="center"/>
    </xf>
    <xf numFmtId="3" fontId="17" fillId="9" borderId="106" xfId="0" applyNumberFormat="1" applyFont="1" applyFill="1" applyBorder="1" applyAlignment="1">
      <alignment horizontal="right" vertical="center"/>
    </xf>
    <xf numFmtId="3" fontId="16" fillId="9" borderId="106" xfId="0" applyNumberFormat="1" applyFont="1" applyFill="1" applyBorder="1" applyAlignment="1">
      <alignment horizontal="right" vertical="center"/>
    </xf>
    <xf numFmtId="0" fontId="16" fillId="0" borderId="94" xfId="0" applyFont="1" applyBorder="1" applyAlignment="1">
      <alignment horizontal="center" vertical="center" wrapText="1"/>
    </xf>
    <xf numFmtId="0" fontId="16" fillId="0" borderId="95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25" xfId="0" applyFont="1" applyBorder="1" applyAlignment="1">
      <alignment horizontal="left" vertical="center" wrapText="1"/>
    </xf>
    <xf numFmtId="0" fontId="16" fillId="0" borderId="138" xfId="0" applyFont="1" applyBorder="1" applyAlignment="1">
      <alignment horizontal="left" vertical="center" wrapText="1"/>
    </xf>
    <xf numFmtId="0" fontId="16" fillId="0" borderId="111" xfId="0" applyFont="1" applyBorder="1" applyAlignment="1">
      <alignment horizontal="left" vertical="center" wrapText="1"/>
    </xf>
    <xf numFmtId="3" fontId="16" fillId="2" borderId="13" xfId="0" applyNumberFormat="1" applyFont="1" applyFill="1" applyBorder="1" applyAlignment="1">
      <alignment horizontal="right" vertical="center"/>
    </xf>
    <xf numFmtId="0" fontId="17" fillId="0" borderId="102" xfId="0" applyFont="1" applyBorder="1" applyAlignment="1">
      <alignment horizontal="left" vertical="center" wrapText="1"/>
    </xf>
    <xf numFmtId="0" fontId="17" fillId="0" borderId="103" xfId="0" applyFont="1" applyBorder="1" applyAlignment="1">
      <alignment horizontal="left" vertical="center" wrapText="1"/>
    </xf>
    <xf numFmtId="0" fontId="17" fillId="0" borderId="104" xfId="0" applyFont="1" applyBorder="1" applyAlignment="1">
      <alignment horizontal="left" vertical="center" wrapText="1"/>
    </xf>
    <xf numFmtId="3" fontId="17" fillId="0" borderId="104" xfId="0" applyNumberFormat="1" applyFont="1" applyBorder="1" applyAlignment="1">
      <alignment horizontal="right" vertical="center"/>
    </xf>
    <xf numFmtId="3" fontId="17" fillId="0" borderId="142" xfId="0" applyNumberFormat="1" applyFont="1" applyBorder="1" applyAlignment="1">
      <alignment horizontal="right" vertical="center"/>
    </xf>
    <xf numFmtId="0" fontId="17" fillId="4" borderId="142" xfId="0" applyFont="1" applyFill="1" applyBorder="1" applyAlignment="1">
      <alignment horizontal="left" vertical="center" wrapText="1"/>
    </xf>
    <xf numFmtId="3" fontId="17" fillId="4" borderId="126" xfId="0" applyNumberFormat="1" applyFont="1" applyFill="1" applyBorder="1" applyAlignment="1">
      <alignment horizontal="right"/>
    </xf>
    <xf numFmtId="3" fontId="17" fillId="4" borderId="117" xfId="0" applyNumberFormat="1" applyFont="1" applyFill="1" applyBorder="1" applyAlignment="1">
      <alignment horizontal="right"/>
    </xf>
    <xf numFmtId="3" fontId="17" fillId="4" borderId="116" xfId="0" applyNumberFormat="1" applyFont="1" applyFill="1" applyBorder="1" applyAlignment="1">
      <alignment horizontal="right"/>
    </xf>
    <xf numFmtId="3" fontId="17" fillId="4" borderId="115" xfId="0" applyNumberFormat="1" applyFont="1" applyFill="1" applyBorder="1" applyAlignment="1">
      <alignment horizontal="right"/>
    </xf>
    <xf numFmtId="3" fontId="17" fillId="4" borderId="114" xfId="0" applyNumberFormat="1" applyFont="1" applyFill="1" applyBorder="1" applyAlignment="1">
      <alignment horizontal="right"/>
    </xf>
    <xf numFmtId="0" fontId="17" fillId="4" borderId="141" xfId="0" applyFont="1" applyFill="1" applyBorder="1" applyAlignment="1">
      <alignment horizontal="left" vertical="center" wrapText="1"/>
    </xf>
    <xf numFmtId="3" fontId="17" fillId="4" borderId="141" xfId="0" applyNumberFormat="1" applyFont="1" applyFill="1" applyBorder="1" applyAlignment="1">
      <alignment horizontal="center"/>
    </xf>
    <xf numFmtId="3" fontId="17" fillId="4" borderId="121" xfId="0" applyNumberFormat="1" applyFont="1" applyFill="1" applyBorder="1" applyAlignment="1">
      <alignment horizontal="center"/>
    </xf>
    <xf numFmtId="3" fontId="17" fillId="4" borderId="143" xfId="0" applyNumberFormat="1" applyFont="1" applyFill="1" applyBorder="1" applyAlignment="1">
      <alignment horizontal="center"/>
    </xf>
    <xf numFmtId="3" fontId="17" fillId="4" borderId="142" xfId="0" applyNumberFormat="1" applyFont="1" applyFill="1" applyBorder="1" applyAlignment="1">
      <alignment horizontal="center"/>
    </xf>
    <xf numFmtId="3" fontId="17" fillId="4" borderId="72" xfId="0" applyNumberFormat="1" applyFont="1" applyFill="1" applyBorder="1" applyAlignment="1">
      <alignment horizontal="center"/>
    </xf>
    <xf numFmtId="3" fontId="17" fillId="4" borderId="104" xfId="0" applyNumberFormat="1" applyFont="1" applyFill="1" applyBorder="1" applyAlignment="1">
      <alignment horizontal="center"/>
    </xf>
    <xf numFmtId="0" fontId="17" fillId="4" borderId="129" xfId="0" applyFont="1" applyFill="1" applyBorder="1" applyAlignment="1">
      <alignment horizontal="left" vertical="center" wrapText="1"/>
    </xf>
    <xf numFmtId="3" fontId="17" fillId="4" borderId="129" xfId="0" applyNumberFormat="1" applyFont="1" applyFill="1" applyBorder="1" applyAlignment="1">
      <alignment horizontal="center"/>
    </xf>
    <xf numFmtId="3" fontId="17" fillId="4" borderId="76" xfId="0" applyNumberFormat="1" applyFont="1" applyFill="1" applyBorder="1" applyAlignment="1">
      <alignment horizontal="center"/>
    </xf>
    <xf numFmtId="3" fontId="17" fillId="4" borderId="11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6" fillId="0" borderId="129" xfId="0" applyFont="1" applyBorder="1" applyAlignment="1">
      <alignment horizontal="left" vertical="center"/>
    </xf>
    <xf numFmtId="0" fontId="17" fillId="0" borderId="134" xfId="0" applyFont="1" applyBorder="1" applyAlignment="1">
      <alignment horizontal="left" vertical="center"/>
    </xf>
    <xf numFmtId="0" fontId="17" fillId="0" borderId="130" xfId="0" applyFont="1" applyBorder="1" applyAlignment="1">
      <alignment horizontal="left" vertical="center"/>
    </xf>
    <xf numFmtId="3" fontId="17" fillId="0" borderId="130" xfId="0" applyNumberFormat="1" applyFont="1" applyBorder="1" applyAlignment="1">
      <alignment horizontal="right" vertical="center"/>
    </xf>
    <xf numFmtId="3" fontId="17" fillId="0" borderId="94" xfId="0" applyNumberFormat="1" applyFont="1" applyBorder="1" applyAlignment="1">
      <alignment horizontal="right" vertical="center"/>
    </xf>
    <xf numFmtId="3" fontId="17" fillId="0" borderId="95" xfId="0" applyNumberFormat="1" applyFont="1" applyBorder="1" applyAlignment="1">
      <alignment horizontal="right" vertical="center"/>
    </xf>
    <xf numFmtId="3" fontId="17" fillId="0" borderId="17" xfId="0" applyNumberFormat="1" applyFont="1" applyBorder="1" applyAlignment="1">
      <alignment horizontal="right" vertical="center"/>
    </xf>
    <xf numFmtId="3" fontId="17" fillId="2" borderId="125" xfId="0" applyNumberFormat="1" applyFont="1" applyFill="1" applyBorder="1" applyAlignment="1">
      <alignment horizontal="right" vertical="center"/>
    </xf>
    <xf numFmtId="3" fontId="17" fillId="2" borderId="138" xfId="0" applyNumberFormat="1" applyFont="1" applyFill="1" applyBorder="1" applyAlignment="1">
      <alignment horizontal="right" vertical="center"/>
    </xf>
    <xf numFmtId="3" fontId="17" fillId="2" borderId="111" xfId="0" applyNumberFormat="1" applyFont="1" applyFill="1" applyBorder="1" applyAlignment="1">
      <alignment horizontal="right" vertical="center"/>
    </xf>
    <xf numFmtId="0" fontId="17" fillId="0" borderId="130" xfId="0" applyFont="1" applyBorder="1" applyAlignment="1">
      <alignment horizontal="left" vertical="center" wrapText="1"/>
    </xf>
    <xf numFmtId="0" fontId="17" fillId="0" borderId="105" xfId="0" applyFont="1" applyBorder="1" applyAlignment="1">
      <alignment horizontal="left"/>
    </xf>
    <xf numFmtId="0" fontId="17" fillId="0" borderId="92" xfId="0" applyFont="1" applyBorder="1" applyAlignment="1">
      <alignment horizontal="left"/>
    </xf>
    <xf numFmtId="0" fontId="17" fillId="0" borderId="106" xfId="0" applyFont="1" applyBorder="1" applyAlignment="1">
      <alignment horizontal="left"/>
    </xf>
    <xf numFmtId="0" fontId="17" fillId="0" borderId="126" xfId="0" applyFont="1" applyBorder="1" applyAlignment="1">
      <alignment horizontal="left"/>
    </xf>
    <xf numFmtId="0" fontId="17" fillId="0" borderId="117" xfId="0" applyFont="1" applyBorder="1" applyAlignment="1">
      <alignment horizontal="left"/>
    </xf>
    <xf numFmtId="0" fontId="17" fillId="0" borderId="114" xfId="0" applyFont="1" applyBorder="1" applyAlignment="1">
      <alignment horizontal="left"/>
    </xf>
    <xf numFmtId="0" fontId="16" fillId="0" borderId="94" xfId="0" applyFont="1" applyBorder="1" applyAlignment="1">
      <alignment horizontal="left"/>
    </xf>
    <xf numFmtId="0" fontId="16" fillId="0" borderId="95" xfId="0" applyFon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94" xfId="0" applyFont="1" applyBorder="1" applyAlignment="1">
      <alignment horizontal="center"/>
    </xf>
    <xf numFmtId="0" fontId="16" fillId="0" borderId="95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3" fontId="17" fillId="0" borderId="37" xfId="0" applyNumberFormat="1" applyFont="1" applyBorder="1" applyAlignment="1">
      <alignment horizontal="right" vertical="center"/>
    </xf>
    <xf numFmtId="0" fontId="16" fillId="0" borderId="96" xfId="0" applyFont="1" applyBorder="1" applyAlignment="1">
      <alignment horizontal="center" vertical="center"/>
    </xf>
    <xf numFmtId="0" fontId="16" fillId="0" borderId="97" xfId="0" applyFont="1" applyBorder="1" applyAlignment="1">
      <alignment horizontal="center" vertical="center"/>
    </xf>
    <xf numFmtId="0" fontId="16" fillId="0" borderId="98" xfId="0" applyFont="1" applyBorder="1" applyAlignment="1">
      <alignment horizontal="center" vertical="center"/>
    </xf>
    <xf numFmtId="0" fontId="16" fillId="0" borderId="100" xfId="0" applyFont="1" applyBorder="1" applyAlignment="1">
      <alignment horizontal="center" vertical="center"/>
    </xf>
    <xf numFmtId="0" fontId="16" fillId="0" borderId="10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25" xfId="0" applyFont="1" applyBorder="1" applyAlignment="1">
      <alignment horizontal="left"/>
    </xf>
    <xf numFmtId="0" fontId="16" fillId="0" borderId="138" xfId="0" applyFont="1" applyBorder="1" applyAlignment="1">
      <alignment horizontal="left"/>
    </xf>
    <xf numFmtId="0" fontId="16" fillId="0" borderId="111" xfId="0" applyFont="1" applyBorder="1" applyAlignment="1">
      <alignment horizontal="left"/>
    </xf>
    <xf numFmtId="0" fontId="16" fillId="4" borderId="126" xfId="0" applyFont="1" applyFill="1" applyBorder="1" applyAlignment="1">
      <alignment horizontal="left" vertical="center" wrapText="1"/>
    </xf>
    <xf numFmtId="0" fontId="16" fillId="4" borderId="117" xfId="0" applyFont="1" applyFill="1" applyBorder="1" applyAlignment="1">
      <alignment horizontal="left" vertical="center" wrapText="1"/>
    </xf>
    <xf numFmtId="0" fontId="16" fillId="4" borderId="114" xfId="0" applyFont="1" applyFill="1" applyBorder="1" applyAlignment="1">
      <alignment horizontal="left" vertical="center" wrapText="1"/>
    </xf>
    <xf numFmtId="0" fontId="18" fillId="0" borderId="105" xfId="0" applyFont="1" applyBorder="1" applyAlignment="1">
      <alignment horizontal="left" vertical="center" wrapText="1"/>
    </xf>
    <xf numFmtId="0" fontId="18" fillId="0" borderId="92" xfId="0" applyFont="1" applyBorder="1" applyAlignment="1">
      <alignment horizontal="left" vertical="center" wrapText="1"/>
    </xf>
    <xf numFmtId="0" fontId="18" fillId="0" borderId="106" xfId="0" applyFont="1" applyBorder="1" applyAlignment="1">
      <alignment horizontal="left" vertical="center" wrapText="1"/>
    </xf>
    <xf numFmtId="0" fontId="16" fillId="0" borderId="94" xfId="0" applyFont="1" applyBorder="1" applyAlignment="1">
      <alignment horizontal="left" vertical="center" wrapText="1"/>
    </xf>
    <xf numFmtId="0" fontId="16" fillId="0" borderId="9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3" fontId="17" fillId="0" borderId="135" xfId="0" applyNumberFormat="1" applyFont="1" applyBorder="1" applyAlignment="1">
      <alignment horizontal="right" vertical="center"/>
    </xf>
    <xf numFmtId="3" fontId="17" fillId="0" borderId="140" xfId="0" applyNumberFormat="1" applyFont="1" applyBorder="1" applyAlignment="1">
      <alignment horizontal="right" vertical="center"/>
    </xf>
    <xf numFmtId="3" fontId="17" fillId="2" borderId="140" xfId="0" applyNumberFormat="1" applyFont="1" applyFill="1" applyBorder="1" applyAlignment="1">
      <alignment horizontal="right" vertical="center"/>
    </xf>
    <xf numFmtId="3" fontId="17" fillId="2" borderId="127" xfId="0" applyNumberFormat="1" applyFont="1" applyFill="1" applyBorder="1" applyAlignment="1">
      <alignment horizontal="right" vertical="center"/>
    </xf>
    <xf numFmtId="0" fontId="17" fillId="0" borderId="129" xfId="0" applyFont="1" applyBorder="1" applyAlignment="1">
      <alignment horizontal="left" vertical="center" wrapText="1"/>
    </xf>
    <xf numFmtId="3" fontId="17" fillId="0" borderId="129" xfId="0" applyNumberFormat="1" applyFont="1" applyBorder="1" applyAlignment="1">
      <alignment horizontal="right" vertical="center"/>
    </xf>
    <xf numFmtId="3" fontId="17" fillId="2" borderId="130" xfId="0" applyNumberFormat="1" applyFont="1" applyFill="1" applyBorder="1" applyAlignment="1">
      <alignment horizontal="right" vertical="center"/>
    </xf>
    <xf numFmtId="3" fontId="2" fillId="0" borderId="43" xfId="0" applyNumberFormat="1" applyFont="1" applyBorder="1" applyAlignment="1">
      <alignment horizontal="right" vertical="center"/>
    </xf>
    <xf numFmtId="3" fontId="17" fillId="2" borderId="91" xfId="0" applyNumberFormat="1" applyFont="1" applyFill="1" applyBorder="1" applyAlignment="1">
      <alignment horizontal="right" vertical="center"/>
    </xf>
    <xf numFmtId="3" fontId="17" fillId="2" borderId="92" xfId="0" applyNumberFormat="1" applyFont="1" applyFill="1" applyBorder="1" applyAlignment="1">
      <alignment horizontal="right" vertical="center"/>
    </xf>
    <xf numFmtId="3" fontId="17" fillId="2" borderId="106" xfId="0" applyNumberFormat="1" applyFont="1" applyFill="1" applyBorder="1" applyAlignment="1">
      <alignment horizontal="right" vertical="center"/>
    </xf>
    <xf numFmtId="3" fontId="17" fillId="0" borderId="92" xfId="0" applyNumberFormat="1" applyFont="1" applyBorder="1" applyAlignment="1">
      <alignment horizontal="right" vertical="center"/>
    </xf>
    <xf numFmtId="3" fontId="17" fillId="0" borderId="93" xfId="0" applyNumberFormat="1" applyFont="1" applyBorder="1" applyAlignment="1">
      <alignment horizontal="right" vertical="center"/>
    </xf>
    <xf numFmtId="3" fontId="2" fillId="0" borderId="91" xfId="0" applyNumberFormat="1" applyFont="1" applyBorder="1" applyAlignment="1">
      <alignment horizontal="right" vertical="center"/>
    </xf>
    <xf numFmtId="3" fontId="16" fillId="0" borderId="77" xfId="0" applyNumberFormat="1" applyFont="1" applyBorder="1" applyAlignment="1">
      <alignment horizontal="right" vertical="center"/>
    </xf>
    <xf numFmtId="3" fontId="17" fillId="2" borderId="77" xfId="0" applyNumberFormat="1" applyFont="1" applyFill="1" applyBorder="1" applyAlignment="1">
      <alignment horizontal="right" vertical="center"/>
    </xf>
    <xf numFmtId="0" fontId="2" fillId="0" borderId="105" xfId="0" applyFont="1" applyBorder="1" applyAlignment="1">
      <alignment horizontal="left" vertical="center" wrapText="1"/>
    </xf>
    <xf numFmtId="3" fontId="2" fillId="0" borderId="6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17" fillId="4" borderId="102" xfId="0" applyFont="1" applyFill="1" applyBorder="1" applyAlignment="1">
      <alignment horizontal="left" vertical="center" wrapText="1"/>
    </xf>
    <xf numFmtId="0" fontId="17" fillId="4" borderId="103" xfId="0" applyFont="1" applyFill="1" applyBorder="1" applyAlignment="1">
      <alignment horizontal="left" vertical="center" wrapText="1"/>
    </xf>
    <xf numFmtId="0" fontId="17" fillId="4" borderId="104" xfId="0" applyFont="1" applyFill="1" applyBorder="1" applyAlignment="1">
      <alignment horizontal="left" vertical="center" wrapText="1"/>
    </xf>
    <xf numFmtId="3" fontId="16" fillId="0" borderId="43" xfId="0" applyNumberFormat="1" applyFont="1" applyBorder="1" applyAlignment="1">
      <alignment horizontal="right" vertical="center"/>
    </xf>
    <xf numFmtId="3" fontId="16" fillId="0" borderId="91" xfId="0" applyNumberFormat="1" applyFont="1" applyBorder="1" applyAlignment="1">
      <alignment horizontal="right" vertical="center"/>
    </xf>
    <xf numFmtId="3" fontId="16" fillId="0" borderId="92" xfId="0" applyNumberFormat="1" applyFont="1" applyBorder="1" applyAlignment="1">
      <alignment horizontal="right" vertical="center"/>
    </xf>
    <xf numFmtId="3" fontId="16" fillId="0" borderId="93" xfId="0" applyNumberFormat="1" applyFont="1" applyBorder="1" applyAlignment="1">
      <alignment horizontal="right" vertical="center"/>
    </xf>
    <xf numFmtId="3" fontId="79" fillId="0" borderId="134" xfId="0" applyNumberFormat="1" applyFont="1" applyBorder="1" applyAlignment="1">
      <alignment horizontal="right" vertical="center"/>
    </xf>
    <xf numFmtId="0" fontId="16" fillId="0" borderId="134" xfId="0" applyFont="1" applyBorder="1" applyAlignment="1">
      <alignment horizontal="left" vertical="center" wrapText="1"/>
    </xf>
    <xf numFmtId="0" fontId="16" fillId="0" borderId="132" xfId="0" applyFont="1" applyBorder="1" applyAlignment="1">
      <alignment horizontal="left" vertical="center" wrapText="1"/>
    </xf>
    <xf numFmtId="0" fontId="16" fillId="0" borderId="125" xfId="0" applyFont="1" applyBorder="1" applyAlignment="1">
      <alignment horizontal="left" vertical="center"/>
    </xf>
    <xf numFmtId="0" fontId="16" fillId="0" borderId="138" xfId="0" applyFont="1" applyBorder="1" applyAlignment="1">
      <alignment horizontal="left" vertical="center"/>
    </xf>
    <xf numFmtId="0" fontId="16" fillId="0" borderId="111" xfId="0" applyFont="1" applyBorder="1" applyAlignment="1">
      <alignment horizontal="left" vertical="center"/>
    </xf>
    <xf numFmtId="3" fontId="16" fillId="0" borderId="134" xfId="0" applyNumberFormat="1" applyFont="1" applyBorder="1" applyAlignment="1">
      <alignment horizontal="right" vertical="center"/>
    </xf>
    <xf numFmtId="0" fontId="16" fillId="0" borderId="126" xfId="0" applyFont="1" applyBorder="1" applyAlignment="1">
      <alignment horizontal="left" vertical="center"/>
    </xf>
    <xf numFmtId="0" fontId="16" fillId="0" borderId="117" xfId="0" applyFont="1" applyBorder="1" applyAlignment="1">
      <alignment horizontal="left" vertical="center"/>
    </xf>
    <xf numFmtId="0" fontId="16" fillId="0" borderId="114" xfId="0" applyFont="1" applyBorder="1" applyAlignment="1">
      <alignment horizontal="left" vertical="center"/>
    </xf>
    <xf numFmtId="0" fontId="17" fillId="0" borderId="105" xfId="0" applyFont="1" applyBorder="1" applyAlignment="1">
      <alignment horizontal="left" vertical="center"/>
    </xf>
    <xf numFmtId="0" fontId="17" fillId="0" borderId="92" xfId="0" applyFont="1" applyBorder="1" applyAlignment="1">
      <alignment horizontal="left" vertical="center"/>
    </xf>
    <xf numFmtId="0" fontId="17" fillId="0" borderId="106" xfId="0" applyFont="1" applyBorder="1" applyAlignment="1">
      <alignment horizontal="left" vertical="center"/>
    </xf>
    <xf numFmtId="0" fontId="16" fillId="0" borderId="105" xfId="0" applyFont="1" applyBorder="1" applyAlignment="1">
      <alignment horizontal="left" vertical="center"/>
    </xf>
    <xf numFmtId="0" fontId="16" fillId="0" borderId="92" xfId="0" applyFont="1" applyBorder="1" applyAlignment="1">
      <alignment horizontal="left" vertical="center"/>
    </xf>
    <xf numFmtId="0" fontId="16" fillId="0" borderId="106" xfId="0" applyFont="1" applyBorder="1" applyAlignment="1">
      <alignment horizontal="left" vertical="center"/>
    </xf>
    <xf numFmtId="3" fontId="16" fillId="0" borderId="132" xfId="0" applyNumberFormat="1" applyFont="1" applyBorder="1" applyAlignment="1">
      <alignment horizontal="right" vertical="center"/>
    </xf>
    <xf numFmtId="3" fontId="17" fillId="4" borderId="44" xfId="0" applyNumberFormat="1" applyFont="1" applyFill="1" applyBorder="1" applyAlignment="1">
      <alignment horizontal="right" vertical="center"/>
    </xf>
    <xf numFmtId="3" fontId="17" fillId="4" borderId="99" xfId="0" applyNumberFormat="1" applyFont="1" applyFill="1" applyBorder="1" applyAlignment="1">
      <alignment horizontal="right" vertical="center"/>
    </xf>
    <xf numFmtId="0" fontId="16" fillId="4" borderId="0" xfId="0" applyFont="1" applyFill="1" applyBorder="1" applyAlignment="1">
      <alignment horizontal="center" vertical="center" wrapText="1"/>
    </xf>
    <xf numFmtId="0" fontId="16" fillId="4" borderId="44" xfId="0" applyFont="1" applyFill="1" applyBorder="1" applyAlignment="1">
      <alignment horizontal="center" vertical="center" wrapText="1"/>
    </xf>
    <xf numFmtId="0" fontId="16" fillId="4" borderId="99" xfId="0" applyFont="1" applyFill="1" applyBorder="1" applyAlignment="1">
      <alignment horizontal="center" vertical="center" wrapText="1"/>
    </xf>
    <xf numFmtId="3" fontId="17" fillId="4" borderId="0" xfId="0" applyNumberFormat="1" applyFont="1" applyFill="1" applyBorder="1" applyAlignment="1">
      <alignment horizontal="right" vertical="center"/>
    </xf>
    <xf numFmtId="0" fontId="16" fillId="4" borderId="133" xfId="0" applyFont="1" applyFill="1" applyBorder="1" applyAlignment="1">
      <alignment horizontal="left"/>
    </xf>
    <xf numFmtId="0" fontId="17" fillId="4" borderId="134" xfId="0" applyFont="1" applyFill="1" applyBorder="1" applyAlignment="1">
      <alignment horizontal="left"/>
    </xf>
    <xf numFmtId="0" fontId="17" fillId="4" borderId="132" xfId="0" applyFont="1" applyFill="1" applyBorder="1" applyAlignment="1">
      <alignment horizontal="left"/>
    </xf>
    <xf numFmtId="3" fontId="17" fillId="4" borderId="133" xfId="0" applyNumberFormat="1" applyFont="1" applyFill="1" applyBorder="1" applyAlignment="1">
      <alignment horizontal="right" vertical="center"/>
    </xf>
    <xf numFmtId="0" fontId="18" fillId="4" borderId="134" xfId="0" applyFont="1" applyFill="1" applyBorder="1" applyAlignment="1">
      <alignment horizontal="left" vertical="center" wrapText="1"/>
    </xf>
    <xf numFmtId="3" fontId="16" fillId="4" borderId="134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top"/>
    </xf>
    <xf numFmtId="0" fontId="17" fillId="2" borderId="101" xfId="0" applyFont="1" applyFill="1" applyBorder="1" applyAlignment="1">
      <alignment horizontal="center"/>
    </xf>
    <xf numFmtId="0" fontId="17" fillId="2" borderId="109" xfId="0" applyFont="1" applyFill="1" applyBorder="1" applyAlignment="1">
      <alignment horizontal="center"/>
    </xf>
    <xf numFmtId="0" fontId="16" fillId="0" borderId="94" xfId="0" applyFont="1" applyBorder="1" applyAlignment="1">
      <alignment horizontal="center" vertical="center"/>
    </xf>
    <xf numFmtId="0" fontId="16" fillId="0" borderId="95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96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3" fontId="16" fillId="0" borderId="132" xfId="0" applyNumberFormat="1" applyFont="1" applyBorder="1" applyAlignment="1">
      <alignment horizontal="right" vertical="center" wrapText="1"/>
    </xf>
    <xf numFmtId="0" fontId="16" fillId="0" borderId="100" xfId="0" applyFont="1" applyBorder="1" applyAlignment="1">
      <alignment horizontal="left" vertical="center" wrapText="1"/>
    </xf>
    <xf numFmtId="0" fontId="16" fillId="0" borderId="101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3" fontId="2" fillId="0" borderId="134" xfId="0" applyNumberFormat="1" applyFont="1" applyBorder="1" applyAlignment="1">
      <alignment horizontal="right" vertical="center" wrapText="1"/>
    </xf>
    <xf numFmtId="3" fontId="17" fillId="2" borderId="129" xfId="0" applyNumberFormat="1" applyFont="1" applyFill="1" applyBorder="1" applyAlignment="1">
      <alignment horizontal="right" vertical="center" wrapText="1"/>
    </xf>
    <xf numFmtId="3" fontId="17" fillId="0" borderId="91" xfId="0" applyNumberFormat="1" applyFont="1" applyBorder="1" applyAlignment="1">
      <alignment horizontal="right" vertical="center"/>
    </xf>
    <xf numFmtId="0" fontId="17" fillId="0" borderId="150" xfId="0" applyFont="1" applyBorder="1" applyAlignment="1">
      <alignment horizontal="left" vertical="center" wrapText="1"/>
    </xf>
    <xf numFmtId="0" fontId="17" fillId="0" borderId="151" xfId="0" applyFont="1" applyBorder="1" applyAlignment="1">
      <alignment horizontal="left" vertical="center" wrapText="1"/>
    </xf>
    <xf numFmtId="0" fontId="17" fillId="0" borderId="155" xfId="0" applyFont="1" applyBorder="1" applyAlignment="1">
      <alignment horizontal="left" vertical="center" wrapText="1"/>
    </xf>
    <xf numFmtId="3" fontId="2" fillId="0" borderId="156" xfId="0" applyNumberFormat="1" applyFont="1" applyBorder="1" applyAlignment="1">
      <alignment horizontal="right" vertical="center" wrapText="1"/>
    </xf>
    <xf numFmtId="3" fontId="17" fillId="0" borderId="157" xfId="0" applyNumberFormat="1" applyFont="1" applyBorder="1" applyAlignment="1">
      <alignment horizontal="right" vertical="center" wrapText="1"/>
    </xf>
    <xf numFmtId="3" fontId="17" fillId="0" borderId="158" xfId="0" applyNumberFormat="1" applyFont="1" applyBorder="1" applyAlignment="1">
      <alignment horizontal="right" vertical="center" wrapText="1"/>
    </xf>
    <xf numFmtId="3" fontId="17" fillId="0" borderId="154" xfId="0" applyNumberFormat="1" applyFont="1" applyBorder="1" applyAlignment="1">
      <alignment horizontal="right" vertical="center" wrapText="1"/>
    </xf>
    <xf numFmtId="3" fontId="17" fillId="0" borderId="151" xfId="0" applyNumberFormat="1" applyFont="1" applyBorder="1" applyAlignment="1">
      <alignment horizontal="right" vertical="center" wrapText="1"/>
    </xf>
    <xf numFmtId="3" fontId="17" fillId="0" borderId="153" xfId="0" applyNumberFormat="1" applyFont="1" applyBorder="1" applyAlignment="1">
      <alignment horizontal="right" vertical="center" wrapText="1"/>
    </xf>
    <xf numFmtId="3" fontId="17" fillId="2" borderId="150" xfId="0" applyNumberFormat="1" applyFont="1" applyFill="1" applyBorder="1" applyAlignment="1">
      <alignment horizontal="right" vertical="center" wrapText="1"/>
    </xf>
    <xf numFmtId="3" fontId="17" fillId="2" borderId="151" xfId="0" applyNumberFormat="1" applyFont="1" applyFill="1" applyBorder="1" applyAlignment="1">
      <alignment horizontal="right" vertical="center" wrapText="1"/>
    </xf>
    <xf numFmtId="3" fontId="17" fillId="2" borderId="152" xfId="0" applyNumberFormat="1" applyFont="1" applyFill="1" applyBorder="1" applyAlignment="1">
      <alignment horizontal="right" vertical="center" wrapText="1"/>
    </xf>
    <xf numFmtId="3" fontId="16" fillId="0" borderId="154" xfId="0" applyNumberFormat="1" applyFont="1" applyBorder="1" applyAlignment="1">
      <alignment horizontal="right" vertical="center" wrapText="1"/>
    </xf>
    <xf numFmtId="3" fontId="16" fillId="0" borderId="151" xfId="0" applyNumberFormat="1" applyFont="1" applyBorder="1" applyAlignment="1">
      <alignment horizontal="right" vertical="center" wrapText="1"/>
    </xf>
    <xf numFmtId="3" fontId="16" fillId="0" borderId="153" xfId="0" applyNumberFormat="1" applyFont="1" applyBorder="1" applyAlignment="1">
      <alignment horizontal="right" vertical="center" wrapText="1"/>
    </xf>
    <xf numFmtId="3" fontId="2" fillId="0" borderId="154" xfId="0" applyNumberFormat="1" applyFont="1" applyBorder="1" applyAlignment="1">
      <alignment horizontal="right" vertical="center" wrapText="1"/>
    </xf>
    <xf numFmtId="3" fontId="2" fillId="0" borderId="105" xfId="0" applyNumberFormat="1" applyFont="1" applyBorder="1" applyAlignment="1">
      <alignment horizontal="right" vertical="center"/>
    </xf>
    <xf numFmtId="3" fontId="17" fillId="4" borderId="105" xfId="0" applyNumberFormat="1" applyFont="1" applyFill="1" applyBorder="1" applyAlignment="1">
      <alignment horizontal="right" vertical="center" wrapText="1"/>
    </xf>
    <xf numFmtId="3" fontId="17" fillId="4" borderId="92" xfId="0" applyNumberFormat="1" applyFont="1" applyFill="1" applyBorder="1" applyAlignment="1">
      <alignment horizontal="right" vertical="center" wrapText="1"/>
    </xf>
    <xf numFmtId="3" fontId="17" fillId="4" borderId="106" xfId="0" applyNumberFormat="1" applyFont="1" applyFill="1" applyBorder="1" applyAlignment="1">
      <alignment horizontal="right" vertical="center" wrapText="1"/>
    </xf>
    <xf numFmtId="3" fontId="2" fillId="0" borderId="77" xfId="0" applyNumberFormat="1" applyFont="1" applyBorder="1" applyAlignment="1">
      <alignment horizontal="right" vertical="center"/>
    </xf>
    <xf numFmtId="3" fontId="17" fillId="0" borderId="77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6" fillId="4" borderId="94" xfId="0" applyFont="1" applyFill="1" applyBorder="1" applyAlignment="1">
      <alignment horizontal="center" vertical="center"/>
    </xf>
    <xf numFmtId="0" fontId="16" fillId="4" borderId="95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6" fillId="4" borderId="96" xfId="0" applyFont="1" applyFill="1" applyBorder="1" applyAlignment="1">
      <alignment horizontal="center" vertical="center" wrapText="1"/>
    </xf>
    <xf numFmtId="0" fontId="16" fillId="4" borderId="97" xfId="0" applyFont="1" applyFill="1" applyBorder="1" applyAlignment="1">
      <alignment horizontal="center" vertical="center" wrapText="1"/>
    </xf>
    <xf numFmtId="0" fontId="16" fillId="4" borderId="100" xfId="0" applyFont="1" applyFill="1" applyBorder="1" applyAlignment="1">
      <alignment horizontal="center" vertical="center" wrapText="1"/>
    </xf>
    <xf numFmtId="0" fontId="16" fillId="4" borderId="101" xfId="0" applyFont="1" applyFill="1" applyBorder="1" applyAlignment="1">
      <alignment horizontal="center" vertical="center" wrapText="1"/>
    </xf>
    <xf numFmtId="0" fontId="16" fillId="4" borderId="98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4" borderId="96" xfId="0" applyFont="1" applyFill="1" applyBorder="1" applyAlignment="1">
      <alignment horizontal="left" vertical="center" wrapText="1"/>
    </xf>
    <xf numFmtId="0" fontId="16" fillId="4" borderId="97" xfId="0" applyFont="1" applyFill="1" applyBorder="1" applyAlignment="1">
      <alignment horizontal="left" vertical="center" wrapText="1"/>
    </xf>
    <xf numFmtId="0" fontId="16" fillId="4" borderId="98" xfId="0" applyFont="1" applyFill="1" applyBorder="1" applyAlignment="1">
      <alignment horizontal="left" vertical="center" wrapText="1"/>
    </xf>
    <xf numFmtId="3" fontId="16" fillId="4" borderId="132" xfId="0" applyNumberFormat="1" applyFont="1" applyFill="1" applyBorder="1" applyAlignment="1">
      <alignment horizontal="right" vertical="center" wrapText="1"/>
    </xf>
    <xf numFmtId="3" fontId="26" fillId="0" borderId="0" xfId="2" applyNumberFormat="1" applyFont="1" applyAlignment="1">
      <alignment horizontal="left" vertical="center" wrapText="1"/>
    </xf>
    <xf numFmtId="3" fontId="26" fillId="0" borderId="0" xfId="2" applyNumberFormat="1" applyFont="1" applyAlignment="1">
      <alignment vertical="center" wrapText="1"/>
    </xf>
    <xf numFmtId="0" fontId="35" fillId="5" borderId="64" xfId="7" applyFont="1" applyFill="1" applyBorder="1" applyAlignment="1">
      <alignment horizontal="center" vertical="center"/>
    </xf>
    <xf numFmtId="0" fontId="35" fillId="5" borderId="65" xfId="7" applyFont="1" applyFill="1" applyBorder="1" applyAlignment="1">
      <alignment horizontal="center" vertical="center"/>
    </xf>
    <xf numFmtId="0" fontId="35" fillId="5" borderId="43" xfId="7" applyFont="1" applyFill="1" applyBorder="1" applyAlignment="1">
      <alignment horizontal="center" vertical="center"/>
    </xf>
    <xf numFmtId="0" fontId="35" fillId="5" borderId="68" xfId="7" applyFont="1" applyFill="1" applyBorder="1" applyAlignment="1">
      <alignment horizontal="center" vertical="center"/>
    </xf>
    <xf numFmtId="3" fontId="48" fillId="0" borderId="0" xfId="7" applyNumberFormat="1" applyFont="1" applyFill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79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81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79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81" xfId="0" applyFont="1" applyBorder="1" applyAlignment="1">
      <alignment horizont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86" xfId="0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5" fillId="0" borderId="85" xfId="0" applyFont="1" applyBorder="1" applyAlignment="1">
      <alignment horizontal="center"/>
    </xf>
    <xf numFmtId="0" fontId="16" fillId="0" borderId="2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49" fillId="0" borderId="86" xfId="0" applyNumberFormat="1" applyFont="1" applyBorder="1" applyAlignment="1">
      <alignment horizontal="center"/>
    </xf>
    <xf numFmtId="0" fontId="50" fillId="0" borderId="85" xfId="0" applyNumberFormat="1" applyFont="1" applyBorder="1" applyAlignment="1">
      <alignment horizontal="center"/>
    </xf>
    <xf numFmtId="0" fontId="15" fillId="0" borderId="88" xfId="0" applyFont="1" applyBorder="1" applyAlignment="1">
      <alignment horizontal="center"/>
    </xf>
    <xf numFmtId="0" fontId="15" fillId="0" borderId="89" xfId="0" applyFont="1" applyBorder="1" applyAlignment="1">
      <alignment horizontal="center"/>
    </xf>
    <xf numFmtId="0" fontId="17" fillId="0" borderId="1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6" fillId="0" borderId="19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59" fillId="0" borderId="108" xfId="8" applyFont="1" applyFill="1" applyBorder="1" applyAlignment="1">
      <alignment horizontal="center" vertical="top" wrapText="1"/>
    </xf>
    <xf numFmtId="0" fontId="59" fillId="0" borderId="97" xfId="8" applyFont="1" applyFill="1" applyBorder="1" applyAlignment="1">
      <alignment horizontal="center" vertical="top" wrapText="1"/>
    </xf>
    <xf numFmtId="0" fontId="59" fillId="0" borderId="98" xfId="8" applyFont="1" applyFill="1" applyBorder="1" applyAlignment="1">
      <alignment horizontal="center" vertical="top" wrapText="1"/>
    </xf>
    <xf numFmtId="0" fontId="59" fillId="0" borderId="79" xfId="8" applyFont="1" applyFill="1" applyBorder="1" applyAlignment="1">
      <alignment horizontal="center" vertical="top" wrapText="1"/>
    </xf>
    <xf numFmtId="0" fontId="59" fillId="0" borderId="0" xfId="8" applyFont="1" applyFill="1" applyBorder="1" applyAlignment="1">
      <alignment horizontal="center" vertical="top" wrapText="1"/>
    </xf>
    <xf numFmtId="0" fontId="59" fillId="0" borderId="29" xfId="8" applyFont="1" applyFill="1" applyBorder="1" applyAlignment="1">
      <alignment horizontal="center" vertical="top" wrapText="1"/>
    </xf>
    <xf numFmtId="0" fontId="59" fillId="0" borderId="107" xfId="8" applyFont="1" applyFill="1" applyBorder="1" applyAlignment="1">
      <alignment horizontal="center" vertical="top" wrapText="1"/>
    </xf>
    <xf numFmtId="0" fontId="59" fillId="0" borderId="81" xfId="8" applyFont="1" applyFill="1" applyBorder="1" applyAlignment="1">
      <alignment horizontal="center" vertical="top" wrapText="1"/>
    </xf>
    <xf numFmtId="171" fontId="71" fillId="0" borderId="91" xfId="8" applyNumberFormat="1" applyFont="1" applyFill="1" applyBorder="1" applyAlignment="1">
      <alignment horizontal="right" vertical="center"/>
    </xf>
    <xf numFmtId="171" fontId="71" fillId="0" borderId="92" xfId="8" applyNumberFormat="1" applyFont="1" applyFill="1" applyBorder="1" applyAlignment="1">
      <alignment horizontal="right" vertical="center"/>
    </xf>
    <xf numFmtId="171" fontId="71" fillId="0" borderId="106" xfId="8" applyNumberFormat="1" applyFont="1" applyFill="1" applyBorder="1" applyAlignment="1">
      <alignment horizontal="right" vertical="center"/>
    </xf>
    <xf numFmtId="171" fontId="71" fillId="0" borderId="93" xfId="8" applyNumberFormat="1" applyFont="1" applyFill="1" applyBorder="1" applyAlignment="1">
      <alignment horizontal="right" vertical="center"/>
    </xf>
    <xf numFmtId="171" fontId="71" fillId="0" borderId="43" xfId="8" applyNumberFormat="1" applyFont="1" applyFill="1" applyBorder="1" applyAlignment="1">
      <alignment horizontal="right" vertical="center"/>
    </xf>
    <xf numFmtId="0" fontId="73" fillId="0" borderId="91" xfId="8" applyFont="1" applyFill="1" applyBorder="1" applyAlignment="1">
      <alignment horizontal="center" vertical="center" wrapText="1"/>
    </xf>
    <xf numFmtId="0" fontId="73" fillId="0" borderId="106" xfId="8" applyFont="1" applyFill="1" applyBorder="1" applyAlignment="1">
      <alignment horizontal="center" vertical="center" wrapText="1"/>
    </xf>
    <xf numFmtId="0" fontId="73" fillId="0" borderId="88" xfId="8" applyFont="1" applyFill="1" applyBorder="1" applyAlignment="1">
      <alignment horizontal="center" vertical="center" wrapText="1"/>
    </xf>
    <xf numFmtId="0" fontId="73" fillId="0" borderId="103" xfId="8" applyFont="1" applyFill="1" applyBorder="1" applyAlignment="1">
      <alignment horizontal="center" vertical="center" wrapText="1"/>
    </xf>
    <xf numFmtId="0" fontId="73" fillId="0" borderId="89" xfId="8" applyFont="1" applyFill="1" applyBorder="1" applyAlignment="1">
      <alignment horizontal="center" vertical="center" wrapText="1"/>
    </xf>
    <xf numFmtId="0" fontId="73" fillId="0" borderId="91" xfId="8" applyFont="1" applyFill="1" applyBorder="1" applyAlignment="1">
      <alignment horizontal="center" wrapText="1"/>
    </xf>
    <xf numFmtId="0" fontId="73" fillId="0" borderId="93" xfId="8" applyFont="1" applyFill="1" applyBorder="1" applyAlignment="1">
      <alignment horizontal="center" wrapText="1"/>
    </xf>
    <xf numFmtId="0" fontId="73" fillId="0" borderId="88" xfId="8" applyFont="1" applyFill="1" applyBorder="1" applyAlignment="1">
      <alignment horizontal="center" wrapText="1"/>
    </xf>
    <xf numFmtId="0" fontId="73" fillId="0" borderId="89" xfId="8" applyFont="1" applyFill="1" applyBorder="1" applyAlignment="1">
      <alignment horizontal="center" wrapText="1"/>
    </xf>
    <xf numFmtId="0" fontId="73" fillId="0" borderId="79" xfId="8" applyFont="1" applyFill="1" applyBorder="1" applyAlignment="1">
      <alignment horizontal="center" vertical="center" wrapText="1"/>
    </xf>
    <xf numFmtId="0" fontId="73" fillId="0" borderId="29" xfId="8" applyFont="1" applyFill="1" applyBorder="1" applyAlignment="1">
      <alignment horizontal="center" vertical="center" wrapText="1"/>
    </xf>
    <xf numFmtId="0" fontId="73" fillId="0" borderId="104" xfId="8" applyFont="1" applyFill="1" applyBorder="1" applyAlignment="1">
      <alignment horizontal="center" vertical="center" wrapText="1"/>
    </xf>
    <xf numFmtId="0" fontId="73" fillId="0" borderId="108" xfId="8" applyFont="1" applyFill="1" applyBorder="1" applyAlignment="1">
      <alignment horizontal="center" vertical="center" wrapText="1"/>
    </xf>
    <xf numFmtId="0" fontId="73" fillId="0" borderId="98" xfId="8" applyFont="1" applyFill="1" applyBorder="1" applyAlignment="1">
      <alignment horizontal="center" vertical="center" wrapText="1"/>
    </xf>
    <xf numFmtId="0" fontId="73" fillId="0" borderId="115" xfId="8" applyFont="1" applyFill="1" applyBorder="1" applyAlignment="1">
      <alignment horizontal="center" vertical="center" wrapText="1"/>
    </xf>
    <xf numFmtId="0" fontId="73" fillId="0" borderId="117" xfId="8" applyFont="1" applyFill="1" applyBorder="1" applyAlignment="1">
      <alignment horizontal="center" vertical="center" wrapText="1"/>
    </xf>
    <xf numFmtId="0" fontId="73" fillId="0" borderId="116" xfId="8" applyFont="1" applyFill="1" applyBorder="1" applyAlignment="1">
      <alignment horizontal="center" vertical="center" wrapText="1"/>
    </xf>
    <xf numFmtId="0" fontId="73" fillId="0" borderId="43" xfId="8" applyFont="1" applyFill="1" applyBorder="1" applyAlignment="1">
      <alignment horizontal="center" vertical="center" wrapText="1"/>
    </xf>
    <xf numFmtId="1" fontId="73" fillId="0" borderId="43" xfId="8" applyNumberFormat="1" applyFont="1" applyFill="1" applyBorder="1" applyAlignment="1">
      <alignment horizontal="center" vertical="center"/>
    </xf>
    <xf numFmtId="0" fontId="72" fillId="0" borderId="43" xfId="8" applyFont="1" applyFill="1" applyBorder="1" applyAlignment="1">
      <alignment horizontal="left" vertical="top" wrapText="1"/>
    </xf>
    <xf numFmtId="0" fontId="24" fillId="0" borderId="43" xfId="8" applyFont="1" applyFill="1" applyBorder="1" applyAlignment="1">
      <alignment horizontal="left" vertical="top" wrapText="1"/>
    </xf>
    <xf numFmtId="0" fontId="73" fillId="0" borderId="43" xfId="8" applyFont="1" applyFill="1" applyBorder="1" applyAlignment="1">
      <alignment horizontal="left" vertical="top" wrapText="1"/>
    </xf>
    <xf numFmtId="0" fontId="24" fillId="0" borderId="43" xfId="8" applyFill="1" applyBorder="1" applyAlignment="1">
      <alignment horizontal="left" vertical="top" wrapText="1"/>
    </xf>
    <xf numFmtId="0" fontId="24" fillId="0" borderId="117" xfId="8" applyFill="1" applyBorder="1" applyAlignment="1">
      <alignment horizontal="center" vertical="center" wrapText="1"/>
    </xf>
    <xf numFmtId="0" fontId="24" fillId="0" borderId="116" xfId="8" applyFill="1" applyBorder="1" applyAlignment="1">
      <alignment horizontal="center" vertical="center" wrapText="1"/>
    </xf>
    <xf numFmtId="0" fontId="73" fillId="0" borderId="79" xfId="8" applyFont="1" applyFill="1" applyBorder="1" applyAlignment="1">
      <alignment horizontal="center" wrapText="1"/>
    </xf>
    <xf numFmtId="0" fontId="73" fillId="0" borderId="81" xfId="8" applyFont="1" applyFill="1" applyBorder="1" applyAlignment="1">
      <alignment horizontal="center" wrapText="1"/>
    </xf>
    <xf numFmtId="0" fontId="72" fillId="0" borderId="77" xfId="8" applyFont="1" applyFill="1" applyBorder="1" applyAlignment="1">
      <alignment horizontal="left" vertical="top" wrapText="1"/>
    </xf>
    <xf numFmtId="0" fontId="24" fillId="0" borderId="77" xfId="8" applyFont="1" applyFill="1" applyBorder="1" applyAlignment="1">
      <alignment horizontal="left" vertical="top" wrapText="1"/>
    </xf>
    <xf numFmtId="49" fontId="72" fillId="0" borderId="43" xfId="8" applyNumberFormat="1" applyFont="1" applyFill="1" applyBorder="1" applyAlignment="1">
      <alignment horizontal="center" vertical="top"/>
    </xf>
    <xf numFmtId="0" fontId="73" fillId="0" borderId="77" xfId="8" applyFont="1" applyFill="1" applyBorder="1" applyAlignment="1">
      <alignment horizontal="left" vertical="top" wrapText="1"/>
    </xf>
    <xf numFmtId="0" fontId="24" fillId="0" borderId="77" xfId="8" applyFill="1" applyBorder="1" applyAlignment="1">
      <alignment horizontal="left" vertical="top" wrapText="1"/>
    </xf>
    <xf numFmtId="0" fontId="73" fillId="0" borderId="119" xfId="8" applyFont="1" applyFill="1" applyBorder="1" applyAlignment="1">
      <alignment horizontal="center" vertical="center" wrapText="1"/>
    </xf>
    <xf numFmtId="1" fontId="73" fillId="0" borderId="120" xfId="8" applyNumberFormat="1" applyFont="1" applyFill="1" applyBorder="1" applyAlignment="1">
      <alignment horizontal="center" vertical="center"/>
    </xf>
    <xf numFmtId="0" fontId="72" fillId="0" borderId="67" xfId="8" applyFont="1" applyFill="1" applyBorder="1" applyAlignment="1">
      <alignment horizontal="right" vertical="top" wrapText="1"/>
    </xf>
    <xf numFmtId="0" fontId="72" fillId="0" borderId="67" xfId="8" quotePrefix="1" applyFont="1" applyFill="1" applyBorder="1" applyAlignment="1">
      <alignment horizontal="left" vertical="top" wrapText="1"/>
    </xf>
    <xf numFmtId="0" fontId="72" fillId="0" borderId="67" xfId="8" applyFont="1" applyFill="1" applyBorder="1"/>
    <xf numFmtId="49" fontId="72" fillId="0" borderId="120" xfId="8" applyNumberFormat="1" applyFont="1" applyFill="1" applyBorder="1" applyAlignment="1">
      <alignment horizontal="center" vertical="top"/>
    </xf>
    <xf numFmtId="49" fontId="72" fillId="0" borderId="73" xfId="8" applyNumberFormat="1" applyFont="1" applyFill="1" applyBorder="1" applyAlignment="1">
      <alignment horizontal="center" vertical="top"/>
    </xf>
    <xf numFmtId="0" fontId="73" fillId="0" borderId="67" xfId="8" applyFont="1" applyFill="1" applyBorder="1" applyAlignment="1">
      <alignment horizontal="left" vertical="top" wrapText="1"/>
    </xf>
    <xf numFmtId="0" fontId="73" fillId="0" borderId="43" xfId="8" quotePrefix="1" applyFont="1" applyFill="1" applyBorder="1" applyAlignment="1">
      <alignment horizontal="left" vertical="top" wrapText="1"/>
    </xf>
    <xf numFmtId="49" fontId="73" fillId="0" borderId="43" xfId="8" applyNumberFormat="1" applyFont="1" applyFill="1" applyBorder="1" applyAlignment="1">
      <alignment horizontal="center" vertical="top"/>
    </xf>
    <xf numFmtId="0" fontId="74" fillId="0" borderId="63" xfId="8" applyFont="1" applyFill="1" applyBorder="1" applyAlignment="1">
      <alignment horizontal="center" vertical="center" wrapText="1"/>
    </xf>
    <xf numFmtId="0" fontId="74" fillId="0" borderId="67" xfId="8" applyFont="1" applyFill="1" applyBorder="1" applyAlignment="1">
      <alignment horizontal="center" vertical="center" wrapText="1"/>
    </xf>
    <xf numFmtId="0" fontId="73" fillId="0" borderId="64" xfId="8" applyFont="1" applyFill="1" applyBorder="1" applyAlignment="1">
      <alignment horizontal="center" vertical="center" wrapText="1"/>
    </xf>
    <xf numFmtId="0" fontId="73" fillId="0" borderId="67" xfId="8" applyFont="1" applyFill="1" applyBorder="1" applyAlignment="1">
      <alignment horizontal="left" vertical="center"/>
    </xf>
    <xf numFmtId="0" fontId="74" fillId="0" borderId="64" xfId="8" applyFont="1" applyFill="1" applyBorder="1" applyAlignment="1">
      <alignment horizontal="center" vertical="center" wrapText="1"/>
    </xf>
    <xf numFmtId="0" fontId="74" fillId="0" borderId="43" xfId="8" applyFont="1" applyFill="1" applyBorder="1" applyAlignment="1">
      <alignment horizontal="center" vertical="center" wrapText="1"/>
    </xf>
    <xf numFmtId="0" fontId="73" fillId="0" borderId="67" xfId="8" quotePrefix="1" applyFont="1" applyFill="1" applyBorder="1" applyAlignment="1">
      <alignment horizontal="left" vertical="top" wrapText="1"/>
    </xf>
    <xf numFmtId="49" fontId="73" fillId="0" borderId="120" xfId="8" applyNumberFormat="1" applyFont="1" applyFill="1" applyBorder="1" applyAlignment="1">
      <alignment horizontal="center" vertical="top"/>
    </xf>
    <xf numFmtId="49" fontId="73" fillId="0" borderId="73" xfId="8" applyNumberFormat="1" applyFont="1" applyFill="1" applyBorder="1" applyAlignment="1">
      <alignment horizontal="center" vertical="top"/>
    </xf>
    <xf numFmtId="0" fontId="72" fillId="0" borderId="67" xfId="8" applyFont="1" applyFill="1" applyBorder="1" applyAlignment="1">
      <alignment horizontal="left" vertical="top" wrapText="1"/>
    </xf>
    <xf numFmtId="0" fontId="72" fillId="0" borderId="67" xfId="8" quotePrefix="1" applyFont="1" applyFill="1" applyBorder="1" applyAlignment="1">
      <alignment horizontal="center" vertical="top" wrapText="1"/>
    </xf>
    <xf numFmtId="0" fontId="73" fillId="0" borderId="73" xfId="8" applyFont="1" applyFill="1" applyBorder="1" applyAlignment="1">
      <alignment horizontal="center" vertical="center" wrapText="1"/>
    </xf>
    <xf numFmtId="0" fontId="74" fillId="0" borderId="72" xfId="8" applyFont="1" applyFill="1" applyBorder="1" applyAlignment="1">
      <alignment horizontal="center" vertical="center" wrapText="1"/>
    </xf>
    <xf numFmtId="0" fontId="74" fillId="0" borderId="121" xfId="8" applyFont="1" applyFill="1" applyBorder="1" applyAlignment="1">
      <alignment horizontal="center" vertical="center" wrapText="1"/>
    </xf>
    <xf numFmtId="0" fontId="73" fillId="0" borderId="120" xfId="8" applyFont="1" applyFill="1" applyBorder="1" applyAlignment="1">
      <alignment horizontal="center" vertical="center" wrapText="1"/>
    </xf>
    <xf numFmtId="0" fontId="72" fillId="0" borderId="67" xfId="8" applyFont="1" applyFill="1" applyBorder="1" applyAlignment="1">
      <alignment horizontal="center" vertical="top" wrapText="1"/>
    </xf>
    <xf numFmtId="0" fontId="73" fillId="0" borderId="67" xfId="8" quotePrefix="1" applyFont="1" applyFill="1" applyBorder="1" applyAlignment="1">
      <alignment horizontal="right" vertical="top" wrapText="1"/>
    </xf>
    <xf numFmtId="0" fontId="73" fillId="0" borderId="67" xfId="8" applyFont="1" applyFill="1" applyBorder="1" applyAlignment="1">
      <alignment horizontal="right" vertical="top" wrapText="1"/>
    </xf>
    <xf numFmtId="0" fontId="74" fillId="0" borderId="73" xfId="8" applyFont="1" applyFill="1" applyBorder="1" applyAlignment="1">
      <alignment horizontal="center" vertical="center" wrapText="1"/>
    </xf>
    <xf numFmtId="0" fontId="73" fillId="0" borderId="73" xfId="8" quotePrefix="1" applyFont="1" applyFill="1" applyBorder="1" applyAlignment="1">
      <alignment horizontal="left" vertical="top" wrapText="1"/>
    </xf>
    <xf numFmtId="0" fontId="73" fillId="0" borderId="72" xfId="8" quotePrefix="1" applyFont="1" applyFill="1" applyBorder="1" applyAlignment="1">
      <alignment horizontal="right" vertical="top" wrapText="1"/>
    </xf>
    <xf numFmtId="0" fontId="72" fillId="0" borderId="72" xfId="8" applyFont="1" applyFill="1" applyBorder="1" applyAlignment="1">
      <alignment horizontal="right" vertical="top" wrapText="1"/>
    </xf>
    <xf numFmtId="0" fontId="72" fillId="0" borderId="73" xfId="8" applyFont="1" applyFill="1" applyBorder="1" applyAlignment="1">
      <alignment horizontal="left" vertical="top" wrapText="1"/>
    </xf>
    <xf numFmtId="0" fontId="73" fillId="0" borderId="114" xfId="8" applyFont="1" applyFill="1" applyBorder="1" applyAlignment="1">
      <alignment horizontal="center" vertical="center" wrapText="1"/>
    </xf>
    <xf numFmtId="0" fontId="57" fillId="0" borderId="0" xfId="8" applyFont="1" applyFill="1" applyAlignment="1">
      <alignment horizontal="center" vertical="center" wrapText="1"/>
    </xf>
    <xf numFmtId="0" fontId="57" fillId="0" borderId="101" xfId="8" applyFont="1" applyFill="1" applyBorder="1" applyAlignment="1">
      <alignment horizontal="center" vertical="center" wrapText="1"/>
    </xf>
    <xf numFmtId="0" fontId="73" fillId="0" borderId="65" xfId="8" applyFont="1" applyFill="1" applyBorder="1" applyAlignment="1">
      <alignment horizontal="center" vertical="center" wrapText="1"/>
    </xf>
    <xf numFmtId="0" fontId="24" fillId="0" borderId="0" xfId="8" applyFill="1" applyAlignment="1">
      <alignment vertical="center"/>
    </xf>
    <xf numFmtId="0" fontId="57" fillId="0" borderId="0" xfId="8" applyFont="1" applyFill="1" applyBorder="1" applyAlignment="1">
      <alignment horizontal="center" vertical="center" wrapText="1"/>
    </xf>
    <xf numFmtId="0" fontId="24" fillId="0" borderId="0" xfId="8" applyFill="1" applyBorder="1" applyAlignment="1">
      <alignment vertical="center"/>
    </xf>
    <xf numFmtId="0" fontId="56" fillId="0" borderId="94" xfId="8" applyFont="1" applyFill="1" applyBorder="1" applyAlignment="1">
      <alignment vertical="center"/>
    </xf>
    <xf numFmtId="0" fontId="56" fillId="0" borderId="95" xfId="8" applyFont="1" applyFill="1" applyBorder="1" applyAlignment="1">
      <alignment vertical="center"/>
    </xf>
    <xf numFmtId="0" fontId="59" fillId="0" borderId="144" xfId="8" applyFont="1" applyFill="1" applyBorder="1" applyAlignment="1">
      <alignment horizontal="left" wrapText="1"/>
    </xf>
    <xf numFmtId="0" fontId="59" fillId="0" borderId="123" xfId="8" applyFont="1" applyFill="1" applyBorder="1" applyAlignment="1">
      <alignment horizontal="left" wrapText="1"/>
    </xf>
    <xf numFmtId="0" fontId="59" fillId="0" borderId="99" xfId="8" applyFont="1" applyFill="1" applyBorder="1" applyAlignment="1">
      <alignment horizontal="left" wrapText="1"/>
    </xf>
    <xf numFmtId="0" fontId="59" fillId="0" borderId="0" xfId="8" applyFont="1" applyFill="1" applyBorder="1" applyAlignment="1">
      <alignment horizontal="left" wrapText="1"/>
    </xf>
    <xf numFmtId="0" fontId="59" fillId="0" borderId="100" xfId="8" applyFont="1" applyFill="1" applyBorder="1" applyAlignment="1">
      <alignment horizontal="left" wrapText="1"/>
    </xf>
    <xf numFmtId="0" fontId="59" fillId="0" borderId="101" xfId="8" applyFont="1" applyFill="1" applyBorder="1" applyAlignment="1">
      <alignment horizontal="left" wrapText="1"/>
    </xf>
    <xf numFmtId="0" fontId="59" fillId="0" borderId="91" xfId="8" applyFont="1" applyFill="1" applyBorder="1" applyAlignment="1">
      <alignment horizontal="center" vertical="center"/>
    </xf>
    <xf numFmtId="0" fontId="59" fillId="0" borderId="93" xfId="8" applyFont="1" applyFill="1" applyBorder="1" applyAlignment="1">
      <alignment horizontal="center" vertical="center"/>
    </xf>
    <xf numFmtId="0" fontId="71" fillId="0" borderId="91" xfId="8" applyFont="1" applyFill="1" applyBorder="1" applyAlignment="1">
      <alignment horizontal="left" vertical="center"/>
    </xf>
    <xf numFmtId="0" fontId="24" fillId="0" borderId="92" xfId="8" applyBorder="1" applyAlignment="1">
      <alignment horizontal="left" vertical="center"/>
    </xf>
    <xf numFmtId="0" fontId="24" fillId="0" borderId="93" xfId="8" applyBorder="1" applyAlignment="1">
      <alignment horizontal="left" vertical="center"/>
    </xf>
    <xf numFmtId="0" fontId="74" fillId="0" borderId="128" xfId="8" applyFont="1" applyFill="1" applyBorder="1" applyAlignment="1">
      <alignment horizontal="center" vertical="center" wrapText="1"/>
    </xf>
    <xf numFmtId="0" fontId="74" fillId="0" borderId="147" xfId="8" applyFont="1" applyFill="1" applyBorder="1" applyAlignment="1">
      <alignment horizontal="center" vertical="center" wrapText="1"/>
    </xf>
    <xf numFmtId="0" fontId="73" fillId="0" borderId="139" xfId="8" applyFont="1" applyFill="1" applyBorder="1" applyAlignment="1">
      <alignment horizontal="center" vertical="center" wrapText="1"/>
    </xf>
    <xf numFmtId="0" fontId="73" fillId="0" borderId="80" xfId="8" applyFont="1" applyFill="1" applyBorder="1" applyAlignment="1">
      <alignment horizontal="center" vertical="center" wrapText="1"/>
    </xf>
    <xf numFmtId="0" fontId="74" fillId="0" borderId="139" xfId="8" applyFont="1" applyFill="1" applyBorder="1" applyAlignment="1">
      <alignment horizontal="center" vertical="center" wrapText="1"/>
    </xf>
    <xf numFmtId="0" fontId="74" fillId="0" borderId="80" xfId="8" applyFont="1" applyFill="1" applyBorder="1" applyAlignment="1">
      <alignment horizontal="center" vertical="center" wrapText="1"/>
    </xf>
    <xf numFmtId="1" fontId="73" fillId="0" borderId="73" xfId="8" applyNumberFormat="1" applyFont="1" applyFill="1" applyBorder="1" applyAlignment="1">
      <alignment horizontal="center" vertical="center"/>
    </xf>
    <xf numFmtId="0" fontId="73" fillId="0" borderId="93" xfId="8" applyFont="1" applyFill="1" applyBorder="1" applyAlignment="1">
      <alignment horizontal="center" vertical="center" wrapText="1"/>
    </xf>
    <xf numFmtId="0" fontId="73" fillId="0" borderId="121" xfId="8" applyFont="1" applyFill="1" applyBorder="1" applyAlignment="1">
      <alignment horizontal="left" vertical="center"/>
    </xf>
    <xf numFmtId="0" fontId="73" fillId="0" borderId="72" xfId="8" applyFont="1" applyFill="1" applyBorder="1" applyAlignment="1">
      <alignment horizontal="left" vertical="center"/>
    </xf>
    <xf numFmtId="0" fontId="73" fillId="0" borderId="73" xfId="8" applyFont="1" applyFill="1" applyBorder="1" applyAlignment="1">
      <alignment horizontal="left" vertical="top" wrapText="1"/>
    </xf>
    <xf numFmtId="0" fontId="73" fillId="0" borderId="121" xfId="8" applyFont="1" applyFill="1" applyBorder="1" applyAlignment="1">
      <alignment horizontal="left" vertical="top" wrapText="1"/>
    </xf>
    <xf numFmtId="0" fontId="73" fillId="0" borderId="72" xfId="8" applyFont="1" applyFill="1" applyBorder="1" applyAlignment="1">
      <alignment horizontal="left" vertical="top" wrapText="1"/>
    </xf>
    <xf numFmtId="0" fontId="72" fillId="0" borderId="121" xfId="8" applyFont="1" applyFill="1" applyBorder="1" applyAlignment="1">
      <alignment horizontal="right" vertical="top" wrapText="1"/>
    </xf>
    <xf numFmtId="0" fontId="72" fillId="0" borderId="121" xfId="8" quotePrefix="1" applyFont="1" applyFill="1" applyBorder="1" applyAlignment="1">
      <alignment horizontal="left" vertical="top" wrapText="1"/>
    </xf>
    <xf numFmtId="0" fontId="72" fillId="0" borderId="72" xfId="8" quotePrefix="1" applyFont="1" applyFill="1" applyBorder="1" applyAlignment="1">
      <alignment horizontal="left" vertical="top" wrapText="1"/>
    </xf>
    <xf numFmtId="0" fontId="73" fillId="0" borderId="121" xfId="8" quotePrefix="1" applyFont="1" applyFill="1" applyBorder="1" applyAlignment="1">
      <alignment horizontal="left" vertical="top" wrapText="1"/>
    </xf>
    <xf numFmtId="0" fontId="73" fillId="0" borderId="72" xfId="8" quotePrefix="1" applyFont="1" applyFill="1" applyBorder="1" applyAlignment="1">
      <alignment horizontal="left" vertical="top" wrapText="1"/>
    </xf>
    <xf numFmtId="171" fontId="71" fillId="0" borderId="119" xfId="8" applyNumberFormat="1" applyFont="1" applyFill="1" applyBorder="1" applyAlignment="1">
      <alignment horizontal="right" vertical="center"/>
    </xf>
    <xf numFmtId="171" fontId="71" fillId="0" borderId="123" xfId="8" applyNumberFormat="1" applyFont="1" applyFill="1" applyBorder="1" applyAlignment="1">
      <alignment horizontal="right" vertical="center"/>
    </xf>
    <xf numFmtId="171" fontId="71" fillId="0" borderId="122" xfId="8" applyNumberFormat="1" applyFont="1" applyFill="1" applyBorder="1" applyAlignment="1">
      <alignment horizontal="right" vertical="center"/>
    </xf>
    <xf numFmtId="171" fontId="71" fillId="0" borderId="73" xfId="8" applyNumberFormat="1" applyFont="1" applyFill="1" applyBorder="1" applyAlignment="1">
      <alignment horizontal="right" vertical="center"/>
    </xf>
    <xf numFmtId="171" fontId="71" fillId="0" borderId="88" xfId="8" applyNumberFormat="1" applyFont="1" applyFill="1" applyBorder="1" applyAlignment="1">
      <alignment horizontal="right" vertical="center"/>
    </xf>
    <xf numFmtId="171" fontId="71" fillId="0" borderId="103" xfId="8" applyNumberFormat="1" applyFont="1" applyFill="1" applyBorder="1" applyAlignment="1">
      <alignment horizontal="right" vertical="center"/>
    </xf>
    <xf numFmtId="171" fontId="71" fillId="0" borderId="89" xfId="8" applyNumberFormat="1" applyFont="1" applyFill="1" applyBorder="1" applyAlignment="1">
      <alignment horizontal="right" vertical="center"/>
    </xf>
    <xf numFmtId="0" fontId="72" fillId="0" borderId="121" xfId="8" quotePrefix="1" applyFont="1" applyFill="1" applyBorder="1" applyAlignment="1">
      <alignment horizontal="center" vertical="top" wrapText="1"/>
    </xf>
    <xf numFmtId="0" fontId="72" fillId="0" borderId="72" xfId="8" quotePrefix="1" applyFont="1" applyFill="1" applyBorder="1" applyAlignment="1">
      <alignment horizontal="center" vertical="top" wrapText="1"/>
    </xf>
    <xf numFmtId="0" fontId="72" fillId="0" borderId="120" xfId="8" applyFont="1" applyFill="1" applyBorder="1" applyAlignment="1">
      <alignment horizontal="left" vertical="top" wrapText="1"/>
    </xf>
    <xf numFmtId="0" fontId="72" fillId="0" borderId="80" xfId="8" applyFont="1" applyFill="1" applyBorder="1" applyAlignment="1">
      <alignment horizontal="left" vertical="top" wrapText="1"/>
    </xf>
    <xf numFmtId="0" fontId="73" fillId="0" borderId="121" xfId="8" quotePrefix="1" applyFont="1" applyFill="1" applyBorder="1" applyAlignment="1">
      <alignment horizontal="right" vertical="top" wrapText="1"/>
    </xf>
    <xf numFmtId="0" fontId="72" fillId="0" borderId="121" xfId="8" applyFont="1" applyFill="1" applyBorder="1" applyAlignment="1">
      <alignment horizontal="center" vertical="top" wrapText="1"/>
    </xf>
    <xf numFmtId="0" fontId="72" fillId="0" borderId="72" xfId="8" applyFont="1" applyFill="1" applyBorder="1" applyAlignment="1">
      <alignment horizontal="center" vertical="top" wrapText="1"/>
    </xf>
    <xf numFmtId="0" fontId="72" fillId="0" borderId="121" xfId="8" applyFont="1" applyFill="1" applyBorder="1" applyAlignment="1">
      <alignment horizontal="left" vertical="top" wrapText="1"/>
    </xf>
    <xf numFmtId="0" fontId="72" fillId="0" borderId="72" xfId="8" applyFont="1" applyFill="1" applyBorder="1" applyAlignment="1">
      <alignment horizontal="left" vertical="top" wrapText="1"/>
    </xf>
    <xf numFmtId="0" fontId="72" fillId="0" borderId="43" xfId="8" quotePrefix="1" applyFont="1" applyFill="1" applyBorder="1" applyAlignment="1">
      <alignment horizontal="left" vertical="top" wrapText="1"/>
    </xf>
    <xf numFmtId="0" fontId="73" fillId="0" borderId="88" xfId="8" applyFont="1" applyFill="1" applyBorder="1" applyAlignment="1">
      <alignment horizontal="center" vertical="top" wrapText="1"/>
    </xf>
    <xf numFmtId="0" fontId="73" fillId="0" borderId="103" xfId="8" applyFont="1" applyFill="1" applyBorder="1" applyAlignment="1">
      <alignment horizontal="center" vertical="top" wrapText="1"/>
    </xf>
    <xf numFmtId="0" fontId="73" fillId="0" borderId="89" xfId="8" applyFont="1" applyFill="1" applyBorder="1" applyAlignment="1">
      <alignment horizontal="center" vertical="top" wrapText="1"/>
    </xf>
    <xf numFmtId="0" fontId="73" fillId="0" borderId="91" xfId="8" applyFont="1" applyFill="1" applyBorder="1" applyAlignment="1">
      <alignment horizontal="left" vertical="top" wrapText="1"/>
    </xf>
    <xf numFmtId="0" fontId="73" fillId="0" borderId="92" xfId="8" applyFont="1" applyFill="1" applyBorder="1" applyAlignment="1">
      <alignment horizontal="left" vertical="top" wrapText="1"/>
    </xf>
    <xf numFmtId="0" fontId="73" fillId="0" borderId="93" xfId="8" applyFont="1" applyFill="1" applyBorder="1" applyAlignment="1">
      <alignment horizontal="left" vertical="top" wrapText="1"/>
    </xf>
    <xf numFmtId="0" fontId="72" fillId="0" borderId="91" xfId="8" applyFont="1" applyFill="1" applyBorder="1" applyAlignment="1">
      <alignment horizontal="left" vertical="top" wrapText="1"/>
    </xf>
    <xf numFmtId="0" fontId="72" fillId="0" borderId="92" xfId="8" applyFont="1" applyFill="1" applyBorder="1" applyAlignment="1">
      <alignment horizontal="left" vertical="top" wrapText="1"/>
    </xf>
    <xf numFmtId="0" fontId="72" fillId="0" borderId="93" xfId="8" applyFont="1" applyFill="1" applyBorder="1" applyAlignment="1">
      <alignment horizontal="left" vertical="top" wrapText="1"/>
    </xf>
    <xf numFmtId="171" fontId="71" fillId="0" borderId="112" xfId="8" applyNumberFormat="1" applyFont="1" applyFill="1" applyBorder="1" applyAlignment="1">
      <alignment horizontal="right" vertical="center"/>
    </xf>
    <xf numFmtId="171" fontId="71" fillId="0" borderId="113" xfId="8" applyNumberFormat="1" applyFont="1" applyFill="1" applyBorder="1" applyAlignment="1">
      <alignment horizontal="right" vertical="center"/>
    </xf>
    <xf numFmtId="171" fontId="71" fillId="0" borderId="111" xfId="8" applyNumberFormat="1" applyFont="1" applyFill="1" applyBorder="1" applyAlignment="1">
      <alignment horizontal="right" vertical="center"/>
    </xf>
    <xf numFmtId="0" fontId="72" fillId="0" borderId="112" xfId="8" applyFont="1" applyFill="1" applyBorder="1" applyAlignment="1">
      <alignment horizontal="left" vertical="top" wrapText="1"/>
    </xf>
    <xf numFmtId="0" fontId="72" fillId="0" borderId="138" xfId="8" applyFont="1" applyFill="1" applyBorder="1" applyAlignment="1">
      <alignment horizontal="left" vertical="top" wrapText="1"/>
    </xf>
    <xf numFmtId="0" fontId="72" fillId="0" borderId="113" xfId="8" applyFont="1" applyFill="1" applyBorder="1" applyAlignment="1">
      <alignment horizontal="left" vertical="top" wrapText="1"/>
    </xf>
    <xf numFmtId="0" fontId="24" fillId="0" borderId="101" xfId="8" applyFill="1" applyBorder="1" applyAlignment="1">
      <alignment vertical="center"/>
    </xf>
    <xf numFmtId="0" fontId="24" fillId="0" borderId="95" xfId="8" applyFill="1" applyBorder="1" applyAlignment="1">
      <alignment vertical="center"/>
    </xf>
    <xf numFmtId="0" fontId="59" fillId="0" borderId="119" xfId="8" applyFont="1" applyFill="1" applyBorder="1" applyAlignment="1">
      <alignment horizontal="left" wrapText="1"/>
    </xf>
    <xf numFmtId="0" fontId="59" fillId="0" borderId="79" xfId="8" applyFont="1" applyFill="1" applyBorder="1" applyAlignment="1">
      <alignment horizontal="left" wrapText="1"/>
    </xf>
    <xf numFmtId="0" fontId="59" fillId="0" borderId="110" xfId="8" applyFont="1" applyFill="1" applyBorder="1" applyAlignment="1">
      <alignment horizontal="left" wrapText="1"/>
    </xf>
    <xf numFmtId="0" fontId="24" fillId="0" borderId="95" xfId="8" applyFont="1" applyFill="1" applyBorder="1" applyAlignment="1">
      <alignment horizontal="center" vertical="center"/>
    </xf>
    <xf numFmtId="0" fontId="24" fillId="0" borderId="95" xfId="8" applyFill="1" applyBorder="1" applyAlignment="1">
      <alignment horizontal="center" vertical="center"/>
    </xf>
    <xf numFmtId="0" fontId="24" fillId="0" borderId="17" xfId="8" applyFill="1" applyBorder="1" applyAlignment="1">
      <alignment horizontal="center" vertical="center"/>
    </xf>
    <xf numFmtId="0" fontId="73" fillId="0" borderId="92" xfId="8" applyFont="1" applyFill="1" applyBorder="1" applyAlignment="1">
      <alignment horizontal="center" vertical="center" wrapText="1"/>
    </xf>
    <xf numFmtId="0" fontId="73" fillId="0" borderId="112" xfId="8" applyFont="1" applyFill="1" applyBorder="1" applyAlignment="1">
      <alignment horizontal="left" vertical="top" wrapText="1"/>
    </xf>
    <xf numFmtId="0" fontId="73" fillId="0" borderId="138" xfId="8" applyFont="1" applyFill="1" applyBorder="1" applyAlignment="1">
      <alignment horizontal="left" vertical="top" wrapText="1"/>
    </xf>
    <xf numFmtId="0" fontId="73" fillId="0" borderId="113" xfId="8" applyFont="1" applyFill="1" applyBorder="1" applyAlignment="1">
      <alignment horizontal="left" vertical="top" wrapText="1"/>
    </xf>
    <xf numFmtId="0" fontId="73" fillId="0" borderId="120" xfId="8" applyFont="1" applyFill="1" applyBorder="1" applyAlignment="1">
      <alignment horizontal="left" vertical="top" wrapText="1"/>
    </xf>
    <xf numFmtId="0" fontId="73" fillId="0" borderId="119" xfId="8" applyFont="1" applyFill="1" applyBorder="1" applyAlignment="1">
      <alignment horizontal="center" vertical="center"/>
    </xf>
    <xf numFmtId="0" fontId="73" fillId="0" borderId="122" xfId="8" applyFont="1" applyFill="1" applyBorder="1" applyAlignment="1">
      <alignment horizontal="center" vertical="center"/>
    </xf>
    <xf numFmtId="0" fontId="73" fillId="0" borderId="88" xfId="8" applyFont="1" applyFill="1" applyBorder="1" applyAlignment="1">
      <alignment horizontal="center" vertical="center"/>
    </xf>
    <xf numFmtId="0" fontId="73" fillId="0" borderId="89" xfId="8" applyFont="1" applyFill="1" applyBorder="1" applyAlignment="1">
      <alignment horizontal="center" vertical="center"/>
    </xf>
    <xf numFmtId="0" fontId="73" fillId="0" borderId="120" xfId="8" quotePrefix="1" applyFont="1" applyFill="1" applyBorder="1" applyAlignment="1">
      <alignment horizontal="left" vertical="top" wrapText="1"/>
    </xf>
    <xf numFmtId="168" fontId="35" fillId="7" borderId="106" xfId="5" applyNumberFormat="1" applyFont="1" applyFill="1" applyBorder="1" applyAlignment="1">
      <alignment horizontal="right" vertical="center"/>
    </xf>
    <xf numFmtId="3" fontId="1" fillId="4" borderId="132" xfId="0" applyNumberFormat="1" applyFont="1" applyFill="1" applyBorder="1" applyAlignment="1">
      <alignment horizontal="right" vertical="center"/>
    </xf>
    <xf numFmtId="3" fontId="1" fillId="0" borderId="134" xfId="0" applyNumberFormat="1" applyFont="1" applyFill="1" applyBorder="1" applyAlignment="1">
      <alignment horizontal="right" vertical="center"/>
    </xf>
  </cellXfs>
  <cellStyles count="16">
    <cellStyle name="Comma 2" xfId="13"/>
    <cellStyle name="Hyperlink" xfId="15" builtinId="8"/>
    <cellStyle name="Hyperlink 2" xfId="11"/>
    <cellStyle name="Normal" xfId="0" builtinId="0"/>
    <cellStyle name="Normal 2" xfId="2"/>
    <cellStyle name="Normal 3" xfId="8"/>
    <cellStyle name="Normal 4" xfId="4"/>
    <cellStyle name="Normal 5" xfId="12"/>
    <cellStyle name="Normal_Coffee Exporter FR1" xfId="9"/>
    <cellStyle name="Normal_FS Conoco Slovakia final 2001-rounding" xfId="5"/>
    <cellStyle name="Normal_Notes to FS1234" xfId="6"/>
    <cellStyle name="Normal_Slovak statutory FS2004(Slovak)" xfId="7"/>
    <cellStyle name="Normal_TSS report template v4" xfId="10"/>
    <cellStyle name="normální_cashflow96" xfId="14"/>
    <cellStyle name="Percent" xfId="1" builtinId="5"/>
    <cellStyle name="Percent 2" xfId="3"/>
  </cellStyles>
  <dxfs count="278"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9"/>
  </sheetPr>
  <dimension ref="A1:M42"/>
  <sheetViews>
    <sheetView showGridLines="0" workbookViewId="0">
      <selection activeCell="F26" sqref="F26"/>
    </sheetView>
  </sheetViews>
  <sheetFormatPr defaultRowHeight="11.25" x14ac:dyDescent="0.2"/>
  <cols>
    <col min="1" max="1" width="19.85546875" style="724" customWidth="1"/>
    <col min="2" max="2" width="10.140625" style="724" bestFit="1" customWidth="1"/>
    <col min="3" max="3" width="14.140625" style="724" customWidth="1"/>
    <col min="4" max="4" width="2.85546875" style="724" customWidth="1"/>
    <col min="5" max="5" width="18.5703125" style="724" customWidth="1"/>
    <col min="6" max="6" width="27.7109375" style="724" customWidth="1"/>
    <col min="7" max="7" width="2.28515625" style="724" bestFit="1" customWidth="1"/>
    <col min="8" max="8" width="5" style="724" customWidth="1"/>
    <col min="9" max="16384" width="9.140625" style="724"/>
  </cols>
  <sheetData>
    <row r="1" spans="1:13" ht="12" thickBot="1" x14ac:dyDescent="0.25">
      <c r="A1" s="720" t="s">
        <v>1421</v>
      </c>
      <c r="B1" s="721"/>
      <c r="C1" s="722"/>
      <c r="D1" s="722"/>
      <c r="E1" s="722"/>
      <c r="F1" s="722"/>
      <c r="G1" s="723"/>
    </row>
    <row r="2" spans="1:13" ht="12" thickBot="1" x14ac:dyDescent="0.25">
      <c r="A2" s="725" t="s">
        <v>1469</v>
      </c>
      <c r="B2" s="726"/>
      <c r="C2" s="726"/>
      <c r="D2" s="726"/>
      <c r="E2" s="726"/>
      <c r="F2" s="726"/>
      <c r="G2" s="727"/>
      <c r="H2" s="728"/>
    </row>
    <row r="3" spans="1:13" ht="25.5" customHeight="1" thickBot="1" x14ac:dyDescent="0.25">
      <c r="A3" s="988" t="s">
        <v>1470</v>
      </c>
      <c r="B3" s="989"/>
      <c r="C3" s="989"/>
      <c r="D3" s="729"/>
      <c r="E3" s="730" t="s">
        <v>1420</v>
      </c>
      <c r="F3" s="731" t="s">
        <v>1860</v>
      </c>
      <c r="G3" s="732"/>
    </row>
    <row r="4" spans="1:13" x14ac:dyDescent="0.2">
      <c r="A4" s="733"/>
      <c r="B4" s="734"/>
      <c r="C4" s="734"/>
      <c r="D4" s="734"/>
      <c r="E4" s="734"/>
      <c r="F4" s="734"/>
      <c r="G4" s="735"/>
    </row>
    <row r="5" spans="1:13" ht="12" thickBot="1" x14ac:dyDescent="0.25">
      <c r="A5" s="733"/>
      <c r="B5" s="734"/>
      <c r="C5" s="734"/>
      <c r="D5" s="734"/>
      <c r="E5" s="734"/>
      <c r="F5" s="734"/>
      <c r="G5" s="735"/>
      <c r="L5" s="987"/>
      <c r="M5" s="987"/>
    </row>
    <row r="6" spans="1:13" ht="12" thickBot="1" x14ac:dyDescent="0.25">
      <c r="A6" s="736" t="s">
        <v>1419</v>
      </c>
      <c r="B6" s="737">
        <f>YEAR(B7)</f>
        <v>2013</v>
      </c>
      <c r="C6" s="734"/>
      <c r="D6" s="738" t="s">
        <v>1413</v>
      </c>
      <c r="E6" s="739"/>
      <c r="F6" s="734"/>
      <c r="G6" s="735"/>
      <c r="L6" s="987"/>
      <c r="M6" s="987"/>
    </row>
    <row r="7" spans="1:13" x14ac:dyDescent="0.2">
      <c r="A7" s="740" t="s">
        <v>1410</v>
      </c>
      <c r="B7" s="832">
        <v>41275</v>
      </c>
      <c r="C7" s="734"/>
      <c r="D7" s="741" t="s">
        <v>18</v>
      </c>
      <c r="E7" s="742" t="s">
        <v>1418</v>
      </c>
      <c r="F7" s="734"/>
      <c r="G7" s="735"/>
      <c r="L7" s="743"/>
      <c r="M7" s="744"/>
    </row>
    <row r="8" spans="1:13" x14ac:dyDescent="0.2">
      <c r="A8" s="745" t="s">
        <v>1406</v>
      </c>
      <c r="B8" s="746" t="str">
        <f>CHOOSE(LEN(MONTH(B7)),"0"&amp;MONTH(B7),MONTH(B7))</f>
        <v>01</v>
      </c>
      <c r="C8" s="734"/>
      <c r="D8" s="747"/>
      <c r="E8" s="748" t="s">
        <v>1417</v>
      </c>
      <c r="F8" s="734"/>
      <c r="G8" s="735"/>
    </row>
    <row r="9" spans="1:13" ht="12" thickBot="1" x14ac:dyDescent="0.25">
      <c r="A9" s="745" t="s">
        <v>1416</v>
      </c>
      <c r="B9" s="749">
        <f>YEAR(B7)</f>
        <v>2013</v>
      </c>
      <c r="C9" s="734"/>
      <c r="D9" s="750"/>
      <c r="E9" s="751"/>
      <c r="F9" s="734"/>
      <c r="G9" s="735"/>
    </row>
    <row r="10" spans="1:13" x14ac:dyDescent="0.2">
      <c r="A10" s="752" t="s">
        <v>1408</v>
      </c>
      <c r="B10" s="832">
        <v>41639</v>
      </c>
      <c r="C10" s="734"/>
      <c r="D10" s="753"/>
      <c r="E10" s="753"/>
      <c r="F10" s="734"/>
      <c r="G10" s="735"/>
    </row>
    <row r="11" spans="1:13" x14ac:dyDescent="0.2">
      <c r="A11" s="754" t="s">
        <v>1415</v>
      </c>
      <c r="B11" s="755" t="str">
        <f>DAY(B10)&amp;"."&amp;MONTH(B10)&amp;"."</f>
        <v>31.12.</v>
      </c>
      <c r="C11" s="734"/>
      <c r="D11" s="756"/>
      <c r="E11" s="757" t="s">
        <v>1165</v>
      </c>
      <c r="F11" s="734"/>
      <c r="G11" s="735"/>
    </row>
    <row r="12" spans="1:13" x14ac:dyDescent="0.2">
      <c r="A12" s="754" t="s">
        <v>1414</v>
      </c>
      <c r="B12" s="758" t="str">
        <f>RIGHT(YEAR(B10),2)</f>
        <v>13</v>
      </c>
      <c r="C12" s="734"/>
      <c r="D12" s="734"/>
      <c r="E12" s="759">
        <v>73110</v>
      </c>
      <c r="F12" s="734"/>
      <c r="G12" s="735"/>
      <c r="K12" s="760"/>
    </row>
    <row r="13" spans="1:13" x14ac:dyDescent="0.2">
      <c r="A13" s="745" t="s">
        <v>1406</v>
      </c>
      <c r="B13" s="746">
        <f>CHOOSE(LEN(MONTH(B10)),"0"&amp;MONTH(B10),MONTH(B10))</f>
        <v>12</v>
      </c>
      <c r="C13" s="761"/>
      <c r="D13" s="734"/>
      <c r="E13" s="734"/>
      <c r="F13" s="734"/>
      <c r="G13" s="735"/>
      <c r="H13" s="728"/>
    </row>
    <row r="14" spans="1:13" ht="12" thickBot="1" x14ac:dyDescent="0.25">
      <c r="A14" s="762" t="s">
        <v>1405</v>
      </c>
      <c r="B14" s="749">
        <f>YEAR(B10)</f>
        <v>2013</v>
      </c>
      <c r="C14" s="763"/>
      <c r="D14" s="734"/>
      <c r="E14" s="734"/>
      <c r="F14" s="734"/>
      <c r="G14" s="735"/>
      <c r="H14" s="728"/>
    </row>
    <row r="15" spans="1:13" ht="12" thickBot="1" x14ac:dyDescent="0.25">
      <c r="A15" s="733"/>
      <c r="B15" s="764"/>
      <c r="C15" s="734"/>
      <c r="D15" s="738" t="s">
        <v>1413</v>
      </c>
      <c r="E15" s="739"/>
      <c r="F15" s="734"/>
      <c r="G15" s="735"/>
    </row>
    <row r="16" spans="1:13" ht="12" thickBot="1" x14ac:dyDescent="0.25">
      <c r="A16" s="765" t="s">
        <v>1412</v>
      </c>
      <c r="B16" s="766">
        <f>YEAR(B17)</f>
        <v>2012</v>
      </c>
      <c r="C16" s="734"/>
      <c r="D16" s="767" t="s">
        <v>18</v>
      </c>
      <c r="E16" s="768" t="s">
        <v>1411</v>
      </c>
      <c r="F16" s="734"/>
      <c r="G16" s="735"/>
    </row>
    <row r="17" spans="1:9" ht="12" thickBot="1" x14ac:dyDescent="0.25">
      <c r="A17" s="740" t="s">
        <v>1410</v>
      </c>
      <c r="B17" s="832">
        <v>40909</v>
      </c>
      <c r="C17" s="734"/>
      <c r="D17" s="769"/>
      <c r="E17" s="770" t="s">
        <v>1409</v>
      </c>
      <c r="F17" s="734"/>
      <c r="G17" s="735"/>
    </row>
    <row r="18" spans="1:9" x14ac:dyDescent="0.2">
      <c r="A18" s="745" t="s">
        <v>1406</v>
      </c>
      <c r="B18" s="771" t="str">
        <f>CHOOSE(LEN(MONTH(B17)),"0"&amp;MONTH(B17),MONTH(B17))</f>
        <v>01</v>
      </c>
      <c r="C18" s="734"/>
      <c r="D18" s="734"/>
      <c r="E18" s="734"/>
      <c r="F18" s="734"/>
      <c r="G18" s="735"/>
    </row>
    <row r="19" spans="1:9" ht="12" thickBot="1" x14ac:dyDescent="0.25">
      <c r="A19" s="762" t="s">
        <v>1405</v>
      </c>
      <c r="B19" s="749">
        <f>YEAR(B17)</f>
        <v>2012</v>
      </c>
      <c r="C19" s="734"/>
      <c r="D19" s="734"/>
      <c r="E19" s="734"/>
      <c r="F19" s="734"/>
      <c r="G19" s="735"/>
    </row>
    <row r="20" spans="1:9" ht="12" thickBot="1" x14ac:dyDescent="0.25">
      <c r="A20" s="752" t="s">
        <v>1408</v>
      </c>
      <c r="B20" s="832">
        <v>41274</v>
      </c>
      <c r="C20" s="734"/>
      <c r="D20" s="734"/>
      <c r="E20" s="720" t="s">
        <v>1407</v>
      </c>
      <c r="F20" s="772"/>
      <c r="G20" s="735"/>
    </row>
    <row r="21" spans="1:9" x14ac:dyDescent="0.2">
      <c r="A21" s="745" t="s">
        <v>1406</v>
      </c>
      <c r="B21" s="746">
        <f>CHOOSE(LEN(MONTH(B20)),"0"&amp;MONTH(B20),MONTH(B20))</f>
        <v>12</v>
      </c>
      <c r="C21" s="734"/>
      <c r="D21" s="734"/>
      <c r="E21" s="734"/>
      <c r="F21" s="734"/>
      <c r="G21" s="735"/>
    </row>
    <row r="22" spans="1:9" ht="12" thickBot="1" x14ac:dyDescent="0.25">
      <c r="A22" s="762" t="s">
        <v>1405</v>
      </c>
      <c r="B22" s="749">
        <f>YEAR(B20)</f>
        <v>2012</v>
      </c>
      <c r="C22" s="734"/>
      <c r="D22" s="734"/>
      <c r="E22" s="734"/>
      <c r="F22" s="734"/>
      <c r="G22" s="735"/>
    </row>
    <row r="23" spans="1:9" ht="12" thickBot="1" x14ac:dyDescent="0.25">
      <c r="A23" s="773"/>
      <c r="B23" s="763"/>
      <c r="C23" s="734"/>
      <c r="D23" s="734"/>
      <c r="E23" s="734"/>
      <c r="F23" s="734"/>
      <c r="G23" s="735"/>
      <c r="I23" s="823"/>
    </row>
    <row r="24" spans="1:9" ht="12" thickBot="1" x14ac:dyDescent="0.25">
      <c r="A24" s="720" t="s">
        <v>1404</v>
      </c>
      <c r="B24" s="722"/>
      <c r="C24" s="774">
        <v>2021870290</v>
      </c>
      <c r="D24" s="734"/>
      <c r="E24" s="734"/>
      <c r="F24" s="734"/>
      <c r="G24" s="735"/>
    </row>
    <row r="25" spans="1:9" ht="12" thickBot="1" x14ac:dyDescent="0.25">
      <c r="A25" s="733"/>
      <c r="B25" s="734"/>
      <c r="C25" s="734"/>
      <c r="D25" s="734"/>
      <c r="E25" s="775" t="s">
        <v>1403</v>
      </c>
      <c r="F25" s="776">
        <v>41803</v>
      </c>
      <c r="G25" s="735"/>
    </row>
    <row r="26" spans="1:9" ht="12" thickBot="1" x14ac:dyDescent="0.25">
      <c r="A26" s="720" t="s">
        <v>1402</v>
      </c>
      <c r="B26" s="722"/>
      <c r="C26" s="822" t="s">
        <v>1861</v>
      </c>
      <c r="D26" s="734"/>
      <c r="E26" s="773"/>
      <c r="F26" s="735"/>
      <c r="G26" s="735"/>
    </row>
    <row r="27" spans="1:9" ht="12" thickBot="1" x14ac:dyDescent="0.25">
      <c r="A27" s="733"/>
      <c r="B27" s="734"/>
      <c r="C27" s="734"/>
      <c r="D27" s="777"/>
      <c r="E27" s="778" t="s">
        <v>1401</v>
      </c>
      <c r="F27" s="779"/>
      <c r="G27" s="735"/>
    </row>
    <row r="28" spans="1:9" ht="12" thickBot="1" x14ac:dyDescent="0.25">
      <c r="A28" s="780" t="s">
        <v>1400</v>
      </c>
      <c r="B28" s="781"/>
      <c r="C28" s="782" t="s">
        <v>1862</v>
      </c>
      <c r="D28" s="783"/>
      <c r="E28" s="734"/>
      <c r="F28" s="734"/>
      <c r="G28" s="735"/>
    </row>
    <row r="29" spans="1:9" x14ac:dyDescent="0.2">
      <c r="A29" s="784"/>
      <c r="B29" s="785"/>
      <c r="C29" s="786"/>
      <c r="D29" s="783"/>
      <c r="E29" s="787" t="s">
        <v>1396</v>
      </c>
      <c r="F29" s="739"/>
      <c r="G29" s="735"/>
    </row>
    <row r="30" spans="1:9" x14ac:dyDescent="0.2">
      <c r="A30" s="788" t="s">
        <v>1399</v>
      </c>
      <c r="B30" s="789"/>
      <c r="C30" s="790">
        <v>20</v>
      </c>
      <c r="D30" s="734"/>
      <c r="E30" s="791" t="s">
        <v>1398</v>
      </c>
      <c r="F30" s="792"/>
      <c r="G30" s="735"/>
    </row>
    <row r="31" spans="1:9" ht="12" thickBot="1" x14ac:dyDescent="0.25">
      <c r="A31" s="733"/>
      <c r="B31" s="734"/>
      <c r="C31" s="735"/>
      <c r="D31" s="734"/>
      <c r="E31" s="793" t="s">
        <v>1389</v>
      </c>
      <c r="F31" s="794"/>
      <c r="G31" s="735"/>
    </row>
    <row r="32" spans="1:9" ht="12" thickBot="1" x14ac:dyDescent="0.25">
      <c r="A32" s="788" t="s">
        <v>1397</v>
      </c>
      <c r="B32" s="795"/>
      <c r="C32" s="796" t="s">
        <v>1863</v>
      </c>
      <c r="D32" s="734"/>
      <c r="E32" s="734"/>
      <c r="F32" s="797"/>
      <c r="G32" s="735"/>
    </row>
    <row r="33" spans="1:7" x14ac:dyDescent="0.2">
      <c r="A33" s="733"/>
      <c r="B33" s="798"/>
      <c r="C33" s="735"/>
      <c r="D33" s="734"/>
      <c r="E33" s="787" t="s">
        <v>1396</v>
      </c>
      <c r="F33" s="739"/>
      <c r="G33" s="735"/>
    </row>
    <row r="34" spans="1:7" ht="12" thickBot="1" x14ac:dyDescent="0.25">
      <c r="A34" s="799" t="s">
        <v>1395</v>
      </c>
      <c r="B34" s="800"/>
      <c r="C34" s="801" t="s">
        <v>1864</v>
      </c>
      <c r="D34" s="734"/>
      <c r="E34" s="791" t="s">
        <v>1394</v>
      </c>
      <c r="F34" s="792"/>
      <c r="G34" s="735"/>
    </row>
    <row r="35" spans="1:7" ht="12" thickBot="1" x14ac:dyDescent="0.25">
      <c r="A35" s="733"/>
      <c r="B35" s="797"/>
      <c r="C35" s="734"/>
      <c r="D35" s="734"/>
      <c r="E35" s="793" t="s">
        <v>1389</v>
      </c>
      <c r="F35" s="794"/>
      <c r="G35" s="735"/>
    </row>
    <row r="36" spans="1:7" ht="12" thickBot="1" x14ac:dyDescent="0.25">
      <c r="A36" s="802" t="s">
        <v>1393</v>
      </c>
      <c r="B36" s="803"/>
      <c r="C36" s="804">
        <v>2</v>
      </c>
      <c r="D36" s="805"/>
      <c r="E36" s="777"/>
      <c r="F36" s="777"/>
      <c r="G36" s="735"/>
    </row>
    <row r="37" spans="1:7" x14ac:dyDescent="0.2">
      <c r="A37" s="773"/>
      <c r="B37" s="798"/>
      <c r="C37" s="735"/>
      <c r="D37" s="734"/>
      <c r="E37" s="787" t="s">
        <v>1392</v>
      </c>
      <c r="F37" s="739"/>
      <c r="G37" s="735"/>
    </row>
    <row r="38" spans="1:7" x14ac:dyDescent="0.2">
      <c r="A38" s="806" t="s">
        <v>1391</v>
      </c>
      <c r="B38" s="795"/>
      <c r="C38" s="807">
        <v>49300513</v>
      </c>
      <c r="D38" s="734"/>
      <c r="E38" s="791" t="s">
        <v>1390</v>
      </c>
      <c r="F38" s="792"/>
      <c r="G38" s="735"/>
    </row>
    <row r="39" spans="1:7" ht="12" thickBot="1" x14ac:dyDescent="0.25">
      <c r="A39" s="808"/>
      <c r="B39" s="809"/>
      <c r="C39" s="810"/>
      <c r="D39" s="734"/>
      <c r="E39" s="793" t="s">
        <v>1389</v>
      </c>
      <c r="F39" s="794"/>
      <c r="G39" s="735"/>
    </row>
    <row r="40" spans="1:7" ht="12" thickBot="1" x14ac:dyDescent="0.25">
      <c r="A40" s="811" t="s">
        <v>1388</v>
      </c>
      <c r="B40" s="812"/>
      <c r="C40" s="813">
        <v>49300550</v>
      </c>
      <c r="D40" s="734"/>
      <c r="E40" s="734"/>
      <c r="F40" s="734"/>
      <c r="G40" s="735"/>
    </row>
    <row r="41" spans="1:7" ht="12" thickBot="1" x14ac:dyDescent="0.25">
      <c r="A41" s="733"/>
      <c r="B41" s="814"/>
      <c r="C41" s="734"/>
      <c r="D41" s="734"/>
      <c r="E41" s="734"/>
      <c r="F41" s="734"/>
      <c r="G41" s="735"/>
    </row>
    <row r="42" spans="1:7" ht="15.75" thickBot="1" x14ac:dyDescent="0.3">
      <c r="A42" s="815" t="s">
        <v>1387</v>
      </c>
      <c r="B42" s="985"/>
      <c r="C42" s="986"/>
      <c r="D42" s="816"/>
      <c r="E42" s="816"/>
      <c r="F42" s="816"/>
      <c r="G42" s="810"/>
    </row>
  </sheetData>
  <mergeCells count="3">
    <mergeCell ref="B42:C42"/>
    <mergeCell ref="L5:M6"/>
    <mergeCell ref="A3:C3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24.85546875" customWidth="1"/>
    <col min="2" max="2" width="10.42578125" customWidth="1"/>
    <col min="3" max="4" width="13.42578125" customWidth="1"/>
    <col min="5" max="6" width="11.85546875" customWidth="1"/>
  </cols>
  <sheetData>
    <row r="1" spans="1:7" s="39" customFormat="1" ht="16.5" x14ac:dyDescent="0.3">
      <c r="A1" s="1" t="s">
        <v>7</v>
      </c>
    </row>
    <row r="2" spans="1:7" x14ac:dyDescent="0.25">
      <c r="A2" s="20"/>
      <c r="B2" s="20"/>
      <c r="C2" s="20"/>
      <c r="D2" s="20"/>
      <c r="E2" s="20"/>
      <c r="F2" s="20"/>
      <c r="G2" s="20"/>
    </row>
    <row r="3" spans="1:7" ht="15.75" thickBot="1" x14ac:dyDescent="0.3">
      <c r="A3" s="20" t="s">
        <v>15</v>
      </c>
      <c r="B3" s="20"/>
      <c r="C3" s="20"/>
      <c r="D3" s="20"/>
      <c r="E3" s="20"/>
      <c r="F3" s="20"/>
      <c r="G3" s="20"/>
    </row>
    <row r="4" spans="1:7" ht="44.25" customHeight="1" thickTop="1" thickBot="1" x14ac:dyDescent="0.3">
      <c r="A4" s="1360" t="s">
        <v>16</v>
      </c>
      <c r="B4" s="1361"/>
      <c r="C4" s="1360" t="s">
        <v>10</v>
      </c>
      <c r="D4" s="1361"/>
      <c r="E4" s="1358" t="s">
        <v>11</v>
      </c>
      <c r="F4" s="1358" t="s">
        <v>454</v>
      </c>
      <c r="G4" s="20"/>
    </row>
    <row r="5" spans="1:7" ht="27" customHeight="1" thickTop="1" thickBot="1" x14ac:dyDescent="0.3">
      <c r="A5" s="440" t="s">
        <v>9</v>
      </c>
      <c r="B5" s="21" t="s">
        <v>17</v>
      </c>
      <c r="C5" s="21" t="s">
        <v>13</v>
      </c>
      <c r="D5" s="21" t="s">
        <v>12</v>
      </c>
      <c r="E5" s="1359"/>
      <c r="F5" s="1359"/>
      <c r="G5" s="20"/>
    </row>
    <row r="6" spans="1:7" ht="16.5" thickTop="1" thickBot="1" x14ac:dyDescent="0.3">
      <c r="A6" s="14"/>
      <c r="B6" s="31"/>
      <c r="C6" s="22"/>
      <c r="D6" s="32"/>
      <c r="E6" s="32"/>
      <c r="F6" s="33"/>
      <c r="G6" s="20"/>
    </row>
    <row r="7" spans="1:7" ht="15.75" thickBot="1" x14ac:dyDescent="0.3">
      <c r="A7" s="14"/>
      <c r="B7" s="31"/>
      <c r="C7" s="22"/>
      <c r="D7" s="32"/>
      <c r="E7" s="32"/>
      <c r="F7" s="33"/>
      <c r="G7" s="20"/>
    </row>
    <row r="8" spans="1:7" ht="15.75" thickBot="1" x14ac:dyDescent="0.3">
      <c r="A8" s="14"/>
      <c r="B8" s="31"/>
      <c r="C8" s="22"/>
      <c r="D8" s="32"/>
      <c r="E8" s="32"/>
      <c r="F8" s="33"/>
      <c r="G8" s="20"/>
    </row>
    <row r="9" spans="1:7" ht="15.75" thickBot="1" x14ac:dyDescent="0.3">
      <c r="A9" s="25" t="s">
        <v>14</v>
      </c>
      <c r="B9" s="34" t="s">
        <v>18</v>
      </c>
      <c r="C9" s="26">
        <f>SUM(C6:C8)</f>
        <v>0</v>
      </c>
      <c r="D9" s="35">
        <f>SUM(D6:D8)</f>
        <v>0</v>
      </c>
      <c r="E9" s="35">
        <f t="shared" ref="E9:F9" si="0">SUM(E6:E8)</f>
        <v>0</v>
      </c>
      <c r="F9" s="36">
        <f t="shared" si="0"/>
        <v>0</v>
      </c>
      <c r="G9" s="20"/>
    </row>
    <row r="10" spans="1:7" ht="15.75" thickTop="1" x14ac:dyDescent="0.25">
      <c r="A10" s="37"/>
      <c r="B10" s="37"/>
      <c r="C10" s="37"/>
      <c r="D10" s="37"/>
      <c r="E10" s="37"/>
      <c r="F10" s="37"/>
      <c r="G10" s="37"/>
    </row>
  </sheetData>
  <mergeCells count="4">
    <mergeCell ref="F4:F5"/>
    <mergeCell ref="A4:B4"/>
    <mergeCell ref="C4:D4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K49"/>
  <sheetViews>
    <sheetView showGridLines="0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7" sqref="T7"/>
    </sheetView>
  </sheetViews>
  <sheetFormatPr defaultRowHeight="15" outlineLevelCol="1" x14ac:dyDescent="0.25"/>
  <cols>
    <col min="1" max="1" width="29.42578125" customWidth="1"/>
    <col min="2" max="9" width="12.5703125" customWidth="1"/>
    <col min="10" max="10" width="9.140625" style="391"/>
    <col min="11" max="11" width="9.140625" style="652" customWidth="1" outlineLevel="1"/>
    <col min="12" max="17" width="9.140625" style="653" customWidth="1" outlineLevel="1"/>
    <col min="18" max="18" width="18.28515625" style="665" customWidth="1"/>
    <col min="19" max="19" width="9.140625" style="681"/>
    <col min="20" max="20" width="9.140625" style="653" customWidth="1" outlineLevel="1"/>
    <col min="21" max="26" width="9.140625" style="18" customWidth="1" outlineLevel="1"/>
    <col min="27" max="27" width="26.85546875" style="665" customWidth="1"/>
    <col min="28" max="28" width="9.140625" style="665"/>
    <col min="29" max="29" width="9.140625" style="652" customWidth="1" outlineLevel="1"/>
    <col min="30" max="35" width="9.140625" style="18" customWidth="1" outlineLevel="1"/>
    <col min="36" max="36" width="26.7109375" style="665" customWidth="1"/>
  </cols>
  <sheetData>
    <row r="1" spans="1:36" ht="16.5" x14ac:dyDescent="0.3">
      <c r="A1" s="1" t="s">
        <v>19</v>
      </c>
      <c r="K1" s="1362" t="s">
        <v>1138</v>
      </c>
      <c r="L1" s="1363"/>
      <c r="M1" s="1363"/>
      <c r="N1" s="1363"/>
      <c r="O1" s="1363"/>
      <c r="P1" s="1363"/>
      <c r="Q1" s="1363"/>
      <c r="R1" s="1364"/>
      <c r="T1" s="1362" t="s">
        <v>1139</v>
      </c>
      <c r="U1" s="1363"/>
      <c r="V1" s="1363"/>
      <c r="W1" s="1363"/>
      <c r="X1" s="1363"/>
      <c r="Y1" s="1363"/>
      <c r="Z1" s="1363"/>
      <c r="AA1" s="1364"/>
      <c r="AC1" s="1362" t="s">
        <v>1140</v>
      </c>
      <c r="AD1" s="1363"/>
      <c r="AE1" s="1363"/>
      <c r="AF1" s="1363"/>
      <c r="AG1" s="1363"/>
      <c r="AH1" s="1363"/>
      <c r="AI1" s="1363"/>
      <c r="AJ1" s="1364"/>
    </row>
    <row r="2" spans="1:36" ht="17.25" thickBot="1" x14ac:dyDescent="0.35">
      <c r="A2" s="2" t="s">
        <v>8</v>
      </c>
    </row>
    <row r="3" spans="1:36" ht="15" customHeight="1" thickTop="1" thickBot="1" x14ac:dyDescent="0.3">
      <c r="A3" s="1358" t="s">
        <v>20</v>
      </c>
      <c r="B3" s="1360" t="s">
        <v>2</v>
      </c>
      <c r="C3" s="1366"/>
      <c r="D3" s="1366"/>
      <c r="E3" s="1366"/>
      <c r="F3" s="1366"/>
      <c r="G3" s="1366"/>
      <c r="H3" s="1366"/>
      <c r="I3" s="1361"/>
    </row>
    <row r="4" spans="1:36" ht="35.25" customHeight="1" thickTop="1" thickBot="1" x14ac:dyDescent="0.3">
      <c r="A4" s="1365"/>
      <c r="B4" s="40" t="s">
        <v>441</v>
      </c>
      <c r="C4" s="11" t="s">
        <v>21</v>
      </c>
      <c r="D4" s="11" t="s">
        <v>442</v>
      </c>
      <c r="E4" s="10" t="s">
        <v>22</v>
      </c>
      <c r="F4" s="40" t="s">
        <v>23</v>
      </c>
      <c r="G4" s="11" t="s">
        <v>443</v>
      </c>
      <c r="H4" s="11" t="s">
        <v>24</v>
      </c>
      <c r="I4" s="11" t="s">
        <v>14</v>
      </c>
      <c r="J4" s="436"/>
      <c r="K4" s="59" t="s">
        <v>441</v>
      </c>
      <c r="L4" s="817" t="s">
        <v>21</v>
      </c>
      <c r="M4" s="817" t="s">
        <v>442</v>
      </c>
      <c r="N4" s="59" t="s">
        <v>22</v>
      </c>
      <c r="O4" s="817" t="s">
        <v>23</v>
      </c>
      <c r="P4" s="817" t="s">
        <v>443</v>
      </c>
      <c r="Q4" s="817" t="s">
        <v>24</v>
      </c>
      <c r="R4" s="817" t="s">
        <v>14</v>
      </c>
      <c r="S4" s="653"/>
      <c r="T4" s="59" t="s">
        <v>441</v>
      </c>
      <c r="U4" s="817" t="s">
        <v>21</v>
      </c>
      <c r="V4" s="817" t="s">
        <v>442</v>
      </c>
      <c r="W4" s="59" t="s">
        <v>22</v>
      </c>
      <c r="X4" s="817" t="s">
        <v>23</v>
      </c>
      <c r="Y4" s="817" t="s">
        <v>443</v>
      </c>
      <c r="Z4" s="817" t="s">
        <v>24</v>
      </c>
      <c r="AA4" s="817" t="s">
        <v>14</v>
      </c>
      <c r="AB4" s="653"/>
      <c r="AC4" s="59" t="s">
        <v>441</v>
      </c>
      <c r="AD4" s="817" t="s">
        <v>21</v>
      </c>
      <c r="AE4" s="817" t="s">
        <v>442</v>
      </c>
      <c r="AF4" s="59" t="s">
        <v>22</v>
      </c>
      <c r="AG4" s="817" t="s">
        <v>23</v>
      </c>
      <c r="AH4" s="817" t="s">
        <v>443</v>
      </c>
      <c r="AI4" s="817" t="s">
        <v>24</v>
      </c>
      <c r="AJ4" s="817" t="s">
        <v>14</v>
      </c>
    </row>
    <row r="5" spans="1:36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3"/>
    </row>
    <row r="6" spans="1:36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15">
        <f>SUM(B6:H6)</f>
        <v>0</v>
      </c>
      <c r="R6" s="654">
        <f>SUM(B6:H6)-I6</f>
        <v>0</v>
      </c>
      <c r="T6" s="703">
        <f>B6-B35</f>
        <v>0</v>
      </c>
      <c r="U6" s="718">
        <f t="shared" ref="U6:AA6" si="0">C6-C35</f>
        <v>0</v>
      </c>
      <c r="V6" s="718">
        <f t="shared" si="0"/>
        <v>0</v>
      </c>
      <c r="W6" s="718">
        <f t="shared" si="0"/>
        <v>0</v>
      </c>
      <c r="X6" s="718">
        <f t="shared" si="0"/>
        <v>0</v>
      </c>
      <c r="Y6" s="718">
        <f t="shared" si="0"/>
        <v>0</v>
      </c>
      <c r="Z6" s="718">
        <f t="shared" si="0"/>
        <v>0</v>
      </c>
      <c r="AA6" s="654">
        <f t="shared" si="0"/>
        <v>0</v>
      </c>
    </row>
    <row r="7" spans="1:36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15">
        <f>SUM(B7:H7)</f>
        <v>0</v>
      </c>
      <c r="R7" s="654">
        <f t="shared" ref="R7:R22" si="1">SUM(B7:H7)-I7</f>
        <v>0</v>
      </c>
    </row>
    <row r="8" spans="1:36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15">
        <f t="shared" ref="I8:I9" si="2">SUM(B8:H8)</f>
        <v>0</v>
      </c>
      <c r="R8" s="654">
        <f t="shared" si="1"/>
        <v>0</v>
      </c>
    </row>
    <row r="9" spans="1:36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15">
        <f t="shared" si="2"/>
        <v>0</v>
      </c>
      <c r="R9" s="654">
        <f t="shared" si="1"/>
        <v>0</v>
      </c>
    </row>
    <row r="10" spans="1:36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17">
        <f>I6+I7-I8+I9</f>
        <v>0</v>
      </c>
      <c r="K10" s="668">
        <f>B6+B7-B8+B9-B10</f>
        <v>0</v>
      </c>
      <c r="L10" s="703">
        <f t="shared" ref="L10:R10" si="4">C6+C7-C8+C9-C10</f>
        <v>0</v>
      </c>
      <c r="M10" s="703">
        <f t="shared" si="4"/>
        <v>0</v>
      </c>
      <c r="N10" s="703">
        <f t="shared" si="4"/>
        <v>0</v>
      </c>
      <c r="O10" s="703">
        <f t="shared" si="4"/>
        <v>0</v>
      </c>
      <c r="P10" s="703">
        <f t="shared" si="4"/>
        <v>0</v>
      </c>
      <c r="Q10" s="703">
        <f t="shared" si="4"/>
        <v>0</v>
      </c>
      <c r="R10" s="703">
        <f t="shared" si="4"/>
        <v>0</v>
      </c>
      <c r="AC10" s="668">
        <f>B10-BS!$D$13</f>
        <v>0</v>
      </c>
      <c r="AD10" s="718">
        <f>C10-BS!$D$14</f>
        <v>0</v>
      </c>
      <c r="AE10" s="718">
        <f>D10-BS!$D$15</f>
        <v>0</v>
      </c>
      <c r="AF10" s="718">
        <f>E10-BS!$D$16</f>
        <v>0</v>
      </c>
      <c r="AG10" s="718">
        <f>F10-BS!$D$17</f>
        <v>0</v>
      </c>
      <c r="AH10" s="718">
        <f>G10-BS!$D$18</f>
        <v>0</v>
      </c>
      <c r="AI10" s="718">
        <f>H10-BS!$D$19</f>
        <v>0</v>
      </c>
      <c r="AJ10" s="654">
        <f>I10-BS!$D$12</f>
        <v>0</v>
      </c>
    </row>
    <row r="11" spans="1:36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3"/>
      <c r="R11" s="654"/>
    </row>
    <row r="12" spans="1:36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15">
        <f>SUM(B12:H12)</f>
        <v>0</v>
      </c>
      <c r="R12" s="654">
        <f t="shared" si="1"/>
        <v>0</v>
      </c>
      <c r="T12" s="703">
        <f>B12-B40</f>
        <v>0</v>
      </c>
      <c r="U12" s="718">
        <f t="shared" ref="U12:AA12" si="5">C12-C40</f>
        <v>0</v>
      </c>
      <c r="V12" s="718">
        <f t="shared" si="5"/>
        <v>0</v>
      </c>
      <c r="W12" s="718">
        <f t="shared" si="5"/>
        <v>0</v>
      </c>
      <c r="X12" s="718">
        <f t="shared" si="5"/>
        <v>0</v>
      </c>
      <c r="Y12" s="718">
        <f t="shared" si="5"/>
        <v>0</v>
      </c>
      <c r="Z12" s="718">
        <f t="shared" si="5"/>
        <v>0</v>
      </c>
      <c r="AA12" s="654">
        <f t="shared" si="5"/>
        <v>0</v>
      </c>
    </row>
    <row r="13" spans="1:36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15">
        <f t="shared" ref="I13:I14" si="6">SUM(B13:H13)</f>
        <v>0</v>
      </c>
      <c r="R13" s="654">
        <f t="shared" si="1"/>
        <v>0</v>
      </c>
    </row>
    <row r="14" spans="1:36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15">
        <f t="shared" si="6"/>
        <v>0</v>
      </c>
      <c r="R14" s="654">
        <f t="shared" si="1"/>
        <v>0</v>
      </c>
      <c r="AC14" s="719" t="s">
        <v>1141</v>
      </c>
    </row>
    <row r="15" spans="1:36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H15" si="7">D12+D13-D14</f>
        <v>0</v>
      </c>
      <c r="E15" s="26">
        <f t="shared" si="7"/>
        <v>0</v>
      </c>
      <c r="F15" s="26">
        <f t="shared" si="7"/>
        <v>0</v>
      </c>
      <c r="G15" s="26">
        <f t="shared" si="7"/>
        <v>0</v>
      </c>
      <c r="H15" s="26">
        <f t="shared" si="7"/>
        <v>0</v>
      </c>
      <c r="I15" s="17">
        <f>I12+I13-I14</f>
        <v>0</v>
      </c>
      <c r="K15" s="668">
        <f>B12+B13-B14-B15</f>
        <v>0</v>
      </c>
      <c r="L15" s="703">
        <f>C12+C13-C14-C15</f>
        <v>0</v>
      </c>
      <c r="M15" s="703">
        <f t="shared" ref="M15:R15" si="8">D12+D13-D14-D15</f>
        <v>0</v>
      </c>
      <c r="N15" s="703">
        <f t="shared" si="8"/>
        <v>0</v>
      </c>
      <c r="O15" s="703">
        <f t="shared" si="8"/>
        <v>0</v>
      </c>
      <c r="P15" s="703">
        <f t="shared" si="8"/>
        <v>0</v>
      </c>
      <c r="Q15" s="703">
        <f t="shared" si="8"/>
        <v>0</v>
      </c>
      <c r="R15" s="703">
        <f t="shared" si="8"/>
        <v>0</v>
      </c>
      <c r="AC15" s="668">
        <f>B15+B20-BS!$E$13</f>
        <v>0</v>
      </c>
      <c r="AD15" s="718">
        <f>C15+C20-BS!$E$14</f>
        <v>0</v>
      </c>
      <c r="AE15" s="718">
        <f>D15+D20-BS!$E$15</f>
        <v>0</v>
      </c>
      <c r="AF15" s="718">
        <f>E15+E20-BS!$E$16</f>
        <v>0</v>
      </c>
      <c r="AG15" s="718">
        <f>F15+F20-BS!$E$17</f>
        <v>0</v>
      </c>
      <c r="AH15" s="718">
        <f>G15+G20-BS!$E$18</f>
        <v>0</v>
      </c>
      <c r="AI15" s="718">
        <f>H15+H20-BS!$E$19</f>
        <v>0</v>
      </c>
      <c r="AJ15" s="654">
        <f>I15+I20-BS!$E$12</f>
        <v>0</v>
      </c>
    </row>
    <row r="16" spans="1:36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3"/>
      <c r="R16" s="654"/>
    </row>
    <row r="17" spans="1:36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15">
        <f>SUM(B17:H17)</f>
        <v>0</v>
      </c>
      <c r="R17" s="654">
        <f t="shared" si="1"/>
        <v>0</v>
      </c>
      <c r="T17" s="703">
        <f>B17-B45</f>
        <v>0</v>
      </c>
      <c r="U17" s="718">
        <f t="shared" ref="U17:AA17" si="9">C17-C45</f>
        <v>0</v>
      </c>
      <c r="V17" s="718">
        <f t="shared" si="9"/>
        <v>0</v>
      </c>
      <c r="W17" s="718">
        <f t="shared" si="9"/>
        <v>0</v>
      </c>
      <c r="X17" s="718">
        <f t="shared" si="9"/>
        <v>0</v>
      </c>
      <c r="Y17" s="718">
        <f t="shared" si="9"/>
        <v>0</v>
      </c>
      <c r="Z17" s="718">
        <f t="shared" si="9"/>
        <v>0</v>
      </c>
      <c r="AA17" s="654">
        <f t="shared" si="9"/>
        <v>0</v>
      </c>
    </row>
    <row r="18" spans="1:36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15">
        <f t="shared" ref="I18:I19" si="10">SUM(B18:H18)</f>
        <v>0</v>
      </c>
      <c r="R18" s="654">
        <f t="shared" si="1"/>
        <v>0</v>
      </c>
    </row>
    <row r="19" spans="1:36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15">
        <f t="shared" si="10"/>
        <v>0</v>
      </c>
      <c r="R19" s="654">
        <f t="shared" si="1"/>
        <v>0</v>
      </c>
    </row>
    <row r="20" spans="1:36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" si="11">D17+D18-D19</f>
        <v>0</v>
      </c>
      <c r="E20" s="26">
        <f t="shared" ref="E20" si="12">E17+E18-E19</f>
        <v>0</v>
      </c>
      <c r="F20" s="26">
        <f t="shared" ref="F20" si="13">F17+F18-F19</f>
        <v>0</v>
      </c>
      <c r="G20" s="26">
        <f t="shared" ref="G20" si="14">G17+G18-G19</f>
        <v>0</v>
      </c>
      <c r="H20" s="26">
        <f t="shared" ref="H20" si="15">H17+H18-H19</f>
        <v>0</v>
      </c>
      <c r="I20" s="17">
        <f>I17+I18-I19</f>
        <v>0</v>
      </c>
      <c r="K20" s="668">
        <f>B17+B18-B19-B20</f>
        <v>0</v>
      </c>
      <c r="L20" s="703">
        <f>C17+C18-C19-C20</f>
        <v>0</v>
      </c>
      <c r="M20" s="703">
        <f t="shared" ref="M20:R20" si="16">D17+D18-D19-D20</f>
        <v>0</v>
      </c>
      <c r="N20" s="703">
        <f t="shared" si="16"/>
        <v>0</v>
      </c>
      <c r="O20" s="703">
        <f t="shared" si="16"/>
        <v>0</v>
      </c>
      <c r="P20" s="703">
        <f t="shared" si="16"/>
        <v>0</v>
      </c>
      <c r="Q20" s="703">
        <f t="shared" si="16"/>
        <v>0</v>
      </c>
      <c r="R20" s="703">
        <f t="shared" si="16"/>
        <v>0</v>
      </c>
    </row>
    <row r="21" spans="1:36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3"/>
      <c r="R21" s="654"/>
    </row>
    <row r="22" spans="1:36" ht="15" customHeight="1" thickTop="1" thickBot="1" x14ac:dyDescent="0.3">
      <c r="A22" s="44" t="s">
        <v>32</v>
      </c>
      <c r="B22" s="22">
        <f>B6-B12-B17</f>
        <v>0</v>
      </c>
      <c r="C22" s="22">
        <f t="shared" ref="C22:I22" si="17">C6-C12-C17</f>
        <v>0</v>
      </c>
      <c r="D22" s="22">
        <f t="shared" si="17"/>
        <v>0</v>
      </c>
      <c r="E22" s="22">
        <f t="shared" si="17"/>
        <v>0</v>
      </c>
      <c r="F22" s="22">
        <f t="shared" si="17"/>
        <v>0</v>
      </c>
      <c r="G22" s="22">
        <f t="shared" si="17"/>
        <v>0</v>
      </c>
      <c r="H22" s="22">
        <f t="shared" si="17"/>
        <v>0</v>
      </c>
      <c r="I22" s="15">
        <f t="shared" si="17"/>
        <v>0</v>
      </c>
      <c r="K22" s="668">
        <f>B6-B12-B17-B22</f>
        <v>0</v>
      </c>
      <c r="L22" s="703">
        <f t="shared" ref="L22:N22" si="18">C6-C12-C17-C22</f>
        <v>0</v>
      </c>
      <c r="M22" s="703">
        <f t="shared" si="18"/>
        <v>0</v>
      </c>
      <c r="N22" s="703">
        <f t="shared" si="18"/>
        <v>0</v>
      </c>
      <c r="O22" s="703">
        <f>F6-F12-F17-F22</f>
        <v>0</v>
      </c>
      <c r="P22" s="703">
        <f t="shared" ref="P22:Q22" si="19">G6-G12-G17-G22</f>
        <v>0</v>
      </c>
      <c r="Q22" s="703">
        <f t="shared" si="19"/>
        <v>0</v>
      </c>
      <c r="R22" s="654">
        <f t="shared" si="1"/>
        <v>0</v>
      </c>
      <c r="T22" s="703">
        <f>B22-B48</f>
        <v>0</v>
      </c>
      <c r="U22" s="718">
        <f t="shared" ref="U22:AA22" si="20">C22-C48</f>
        <v>0</v>
      </c>
      <c r="V22" s="718">
        <f t="shared" si="20"/>
        <v>0</v>
      </c>
      <c r="W22" s="718">
        <f t="shared" si="20"/>
        <v>0</v>
      </c>
      <c r="X22" s="718">
        <f t="shared" si="20"/>
        <v>0</v>
      </c>
      <c r="Y22" s="718">
        <f t="shared" si="20"/>
        <v>0</v>
      </c>
      <c r="Z22" s="718">
        <f t="shared" si="20"/>
        <v>0</v>
      </c>
      <c r="AA22" s="654">
        <f t="shared" si="20"/>
        <v>0</v>
      </c>
    </row>
    <row r="23" spans="1:36" ht="15" customHeight="1" thickBot="1" x14ac:dyDescent="0.3">
      <c r="A23" s="25" t="s">
        <v>30</v>
      </c>
      <c r="B23" s="26">
        <f>B10-B15-B20</f>
        <v>0</v>
      </c>
      <c r="C23" s="26">
        <f t="shared" ref="C23:I23" si="21">C10-C15-C20</f>
        <v>0</v>
      </c>
      <c r="D23" s="26">
        <f t="shared" si="21"/>
        <v>0</v>
      </c>
      <c r="E23" s="26">
        <f t="shared" si="21"/>
        <v>0</v>
      </c>
      <c r="F23" s="26">
        <f t="shared" si="21"/>
        <v>0</v>
      </c>
      <c r="G23" s="26">
        <f t="shared" si="21"/>
        <v>0</v>
      </c>
      <c r="H23" s="26">
        <f t="shared" si="21"/>
        <v>0</v>
      </c>
      <c r="I23" s="17">
        <f t="shared" si="21"/>
        <v>0</v>
      </c>
      <c r="K23" s="668">
        <f>B10-B15-B20-B23</f>
        <v>0</v>
      </c>
      <c r="L23" s="703">
        <f t="shared" ref="L23:N23" si="22">C10-C15-C20-C23</f>
        <v>0</v>
      </c>
      <c r="M23" s="703">
        <f t="shared" si="22"/>
        <v>0</v>
      </c>
      <c r="N23" s="703">
        <f t="shared" si="22"/>
        <v>0</v>
      </c>
      <c r="O23" s="703">
        <f>F10-F15-F20-F23</f>
        <v>0</v>
      </c>
      <c r="P23" s="703">
        <f t="shared" ref="P23:Q23" si="23">G10-G15-G20-G23</f>
        <v>0</v>
      </c>
      <c r="Q23" s="703">
        <f t="shared" si="23"/>
        <v>0</v>
      </c>
      <c r="R23" s="654">
        <f>SUM(B23:H23)-I23</f>
        <v>0</v>
      </c>
      <c r="AC23" s="668">
        <f>B23-BS!$F$13</f>
        <v>0</v>
      </c>
      <c r="AD23" s="718">
        <f>C23-BS!$F$14</f>
        <v>0</v>
      </c>
      <c r="AE23" s="718">
        <f>D23-BS!$F$15</f>
        <v>0</v>
      </c>
      <c r="AF23" s="718">
        <f>E23-BS!$F$16</f>
        <v>0</v>
      </c>
      <c r="AG23" s="718">
        <f>F23-BS!$F$17</f>
        <v>0</v>
      </c>
      <c r="AH23" s="718">
        <f>G23-BS!$F$18</f>
        <v>0</v>
      </c>
      <c r="AI23" s="718">
        <f>H23-BS!$F$19</f>
        <v>0</v>
      </c>
      <c r="AJ23" s="654">
        <f>I23-BS!$F$12</f>
        <v>0</v>
      </c>
    </row>
    <row r="24" spans="1:36" ht="15.75" thickTop="1" x14ac:dyDescent="0.25">
      <c r="A24" s="48"/>
      <c r="B24" s="48"/>
      <c r="C24" s="48"/>
      <c r="D24" s="48"/>
      <c r="E24" s="48"/>
      <c r="F24" s="48"/>
      <c r="G24" s="48"/>
      <c r="H24" s="48"/>
      <c r="I24" s="48"/>
    </row>
    <row r="25" spans="1:36" x14ac:dyDescent="0.25">
      <c r="A25" s="49"/>
      <c r="B25" s="20"/>
      <c r="C25" s="20"/>
      <c r="D25" s="20"/>
      <c r="E25" s="20"/>
      <c r="F25" s="20"/>
      <c r="G25" s="20"/>
      <c r="H25" s="20"/>
      <c r="I25" s="20"/>
    </row>
    <row r="26" spans="1:36" x14ac:dyDescent="0.25">
      <c r="A26" s="49" t="s">
        <v>15</v>
      </c>
      <c r="B26" s="20"/>
      <c r="C26" s="20"/>
      <c r="D26" s="20"/>
      <c r="E26" s="20"/>
      <c r="F26" s="20"/>
      <c r="G26" s="20"/>
      <c r="H26" s="20"/>
      <c r="I26" s="20"/>
    </row>
    <row r="27" spans="1:36" ht="15.75" thickBot="1" x14ac:dyDescent="0.3">
      <c r="A27" s="48"/>
      <c r="B27" s="48"/>
      <c r="C27" s="48"/>
      <c r="D27" s="48"/>
      <c r="E27" s="48"/>
      <c r="F27" s="48"/>
      <c r="G27" s="48"/>
      <c r="H27" s="48"/>
      <c r="I27" s="20"/>
    </row>
    <row r="28" spans="1:36" ht="15" customHeight="1" thickTop="1" thickBot="1" x14ac:dyDescent="0.3">
      <c r="A28" s="1358" t="s">
        <v>20</v>
      </c>
      <c r="B28" s="1360" t="s">
        <v>3</v>
      </c>
      <c r="C28" s="1366"/>
      <c r="D28" s="1366"/>
      <c r="E28" s="1366"/>
      <c r="F28" s="1366"/>
      <c r="G28" s="1366"/>
      <c r="H28" s="1366"/>
      <c r="I28" s="1361"/>
    </row>
    <row r="29" spans="1:36" ht="35.25" thickTop="1" thickBot="1" x14ac:dyDescent="0.3">
      <c r="A29" s="1365"/>
      <c r="B29" s="40" t="s">
        <v>441</v>
      </c>
      <c r="C29" s="11" t="s">
        <v>21</v>
      </c>
      <c r="D29" s="11" t="s">
        <v>442</v>
      </c>
      <c r="E29" s="10" t="s">
        <v>22</v>
      </c>
      <c r="F29" s="40" t="s">
        <v>23</v>
      </c>
      <c r="G29" s="11" t="s">
        <v>443</v>
      </c>
      <c r="H29" s="11" t="s">
        <v>24</v>
      </c>
      <c r="I29" s="11" t="s">
        <v>14</v>
      </c>
    </row>
    <row r="30" spans="1:36" ht="15" customHeight="1" thickTop="1" thickBot="1" x14ac:dyDescent="0.3">
      <c r="A30" s="41" t="s">
        <v>25</v>
      </c>
      <c r="B30" s="42"/>
      <c r="C30" s="42"/>
      <c r="D30" s="42"/>
      <c r="E30" s="42"/>
      <c r="F30" s="42"/>
      <c r="G30" s="42"/>
      <c r="H30" s="42"/>
      <c r="I30" s="43"/>
    </row>
    <row r="31" spans="1:36" ht="15" customHeight="1" thickTop="1" thickBot="1" x14ac:dyDescent="0.3">
      <c r="A31" s="44" t="s">
        <v>26</v>
      </c>
      <c r="B31" s="22"/>
      <c r="C31" s="22"/>
      <c r="D31" s="22"/>
      <c r="E31" s="22"/>
      <c r="F31" s="45"/>
      <c r="G31" s="22"/>
      <c r="H31" s="22"/>
      <c r="I31" s="15">
        <f>SUM(B31:H31)</f>
        <v>0</v>
      </c>
      <c r="R31" s="654">
        <f>SUM(B31:H31)-I31</f>
        <v>0</v>
      </c>
    </row>
    <row r="32" spans="1:36" ht="15" customHeight="1" thickBot="1" x14ac:dyDescent="0.3">
      <c r="A32" s="14" t="s">
        <v>27</v>
      </c>
      <c r="B32" s="22"/>
      <c r="C32" s="22"/>
      <c r="D32" s="22"/>
      <c r="E32" s="22"/>
      <c r="F32" s="46"/>
      <c r="G32" s="22"/>
      <c r="H32" s="22"/>
      <c r="I32" s="15">
        <f t="shared" ref="I32:I34" si="24">SUM(B32:H32)</f>
        <v>0</v>
      </c>
      <c r="R32" s="654">
        <f t="shared" ref="R32:R34" si="25">SUM(B32:H32)-I32</f>
        <v>0</v>
      </c>
    </row>
    <row r="33" spans="1:37" ht="15" customHeight="1" thickBot="1" x14ac:dyDescent="0.3">
      <c r="A33" s="14" t="s">
        <v>28</v>
      </c>
      <c r="B33" s="22"/>
      <c r="C33" s="22"/>
      <c r="D33" s="22"/>
      <c r="E33" s="22"/>
      <c r="F33" s="46"/>
      <c r="G33" s="22"/>
      <c r="H33" s="22"/>
      <c r="I33" s="15">
        <f t="shared" si="24"/>
        <v>0</v>
      </c>
      <c r="R33" s="654">
        <f t="shared" si="25"/>
        <v>0</v>
      </c>
    </row>
    <row r="34" spans="1:37" ht="15" customHeight="1" thickBot="1" x14ac:dyDescent="0.3">
      <c r="A34" s="14" t="s">
        <v>29</v>
      </c>
      <c r="B34" s="22"/>
      <c r="C34" s="22"/>
      <c r="D34" s="22"/>
      <c r="E34" s="22"/>
      <c r="F34" s="46"/>
      <c r="G34" s="22"/>
      <c r="H34" s="22"/>
      <c r="I34" s="15">
        <f t="shared" si="24"/>
        <v>0</v>
      </c>
      <c r="R34" s="654">
        <f t="shared" si="25"/>
        <v>0</v>
      </c>
    </row>
    <row r="35" spans="1:37" ht="15" customHeight="1" thickBot="1" x14ac:dyDescent="0.3">
      <c r="A35" s="25" t="s">
        <v>30</v>
      </c>
      <c r="B35" s="26">
        <f>B31+B32-B33+B34</f>
        <v>0</v>
      </c>
      <c r="C35" s="26">
        <f>C31+C32-C33+C34</f>
        <v>0</v>
      </c>
      <c r="D35" s="26">
        <f>D31+D32-D33+D34</f>
        <v>0</v>
      </c>
      <c r="E35" s="26">
        <f t="shared" ref="E35:H35" si="26">E31+E32-E33+E34</f>
        <v>0</v>
      </c>
      <c r="F35" s="26">
        <f t="shared" si="26"/>
        <v>0</v>
      </c>
      <c r="G35" s="26">
        <f t="shared" si="26"/>
        <v>0</v>
      </c>
      <c r="H35" s="26">
        <f t="shared" si="26"/>
        <v>0</v>
      </c>
      <c r="I35" s="17">
        <f>I31+I32-I33+I34</f>
        <v>0</v>
      </c>
      <c r="K35" s="668">
        <f>B31+B32-B33+B34-B35</f>
        <v>0</v>
      </c>
      <c r="L35" s="703">
        <f t="shared" ref="L35:R35" si="27">C31+C32-C33+C34-C35</f>
        <v>0</v>
      </c>
      <c r="M35" s="703">
        <f t="shared" si="27"/>
        <v>0</v>
      </c>
      <c r="N35" s="703">
        <f t="shared" si="27"/>
        <v>0</v>
      </c>
      <c r="O35" s="703">
        <f t="shared" si="27"/>
        <v>0</v>
      </c>
      <c r="P35" s="703">
        <f t="shared" si="27"/>
        <v>0</v>
      </c>
      <c r="Q35" s="703">
        <f t="shared" si="27"/>
        <v>0</v>
      </c>
      <c r="R35" s="703">
        <f t="shared" si="27"/>
        <v>0</v>
      </c>
    </row>
    <row r="36" spans="1:37" ht="15" customHeight="1" thickTop="1" thickBot="1" x14ac:dyDescent="0.3">
      <c r="A36" s="41" t="s">
        <v>31</v>
      </c>
      <c r="B36" s="42"/>
      <c r="C36" s="42"/>
      <c r="D36" s="42"/>
      <c r="E36" s="42"/>
      <c r="F36" s="42"/>
      <c r="G36" s="42"/>
      <c r="H36" s="42"/>
      <c r="I36" s="43"/>
      <c r="R36" s="654"/>
    </row>
    <row r="37" spans="1:37" ht="15" customHeight="1" thickTop="1" thickBot="1" x14ac:dyDescent="0.3">
      <c r="A37" s="44" t="s">
        <v>32</v>
      </c>
      <c r="B37" s="22"/>
      <c r="C37" s="22"/>
      <c r="D37" s="22"/>
      <c r="E37" s="22"/>
      <c r="F37" s="22"/>
      <c r="G37" s="22"/>
      <c r="H37" s="22"/>
      <c r="I37" s="15">
        <f>SUM(B37:H37)</f>
        <v>0</v>
      </c>
      <c r="R37" s="654">
        <f t="shared" ref="R37:R39" si="28">SUM(B37:H37)-I37</f>
        <v>0</v>
      </c>
    </row>
    <row r="38" spans="1:37" ht="15" customHeight="1" thickBot="1" x14ac:dyDescent="0.3">
      <c r="A38" s="14" t="s">
        <v>27</v>
      </c>
      <c r="B38" s="22"/>
      <c r="C38" s="22"/>
      <c r="D38" s="22"/>
      <c r="E38" s="22"/>
      <c r="F38" s="22"/>
      <c r="G38" s="22"/>
      <c r="H38" s="22"/>
      <c r="I38" s="15">
        <f t="shared" ref="I38:I39" si="29">SUM(B38:H38)</f>
        <v>0</v>
      </c>
      <c r="R38" s="654">
        <f t="shared" si="28"/>
        <v>0</v>
      </c>
    </row>
    <row r="39" spans="1:37" ht="15" customHeight="1" thickBot="1" x14ac:dyDescent="0.3">
      <c r="A39" s="14" t="s">
        <v>28</v>
      </c>
      <c r="B39" s="22"/>
      <c r="C39" s="22"/>
      <c r="D39" s="22"/>
      <c r="E39" s="22"/>
      <c r="F39" s="22"/>
      <c r="G39" s="22"/>
      <c r="H39" s="22"/>
      <c r="I39" s="15">
        <f t="shared" si="29"/>
        <v>0</v>
      </c>
      <c r="R39" s="654">
        <f t="shared" si="28"/>
        <v>0</v>
      </c>
    </row>
    <row r="40" spans="1:37" ht="15" customHeight="1" thickBot="1" x14ac:dyDescent="0.3">
      <c r="A40" s="25" t="s">
        <v>30</v>
      </c>
      <c r="B40" s="26">
        <f>B37+B38-B39</f>
        <v>0</v>
      </c>
      <c r="C40" s="26">
        <f>C37+C38-C39</f>
        <v>0</v>
      </c>
      <c r="D40" s="26">
        <f t="shared" ref="D40:H40" si="30">D37+D38-D39</f>
        <v>0</v>
      </c>
      <c r="E40" s="26">
        <f t="shared" si="30"/>
        <v>0</v>
      </c>
      <c r="F40" s="26">
        <f t="shared" si="30"/>
        <v>0</v>
      </c>
      <c r="G40" s="26">
        <f t="shared" si="30"/>
        <v>0</v>
      </c>
      <c r="H40" s="26">
        <f t="shared" si="30"/>
        <v>0</v>
      </c>
      <c r="I40" s="17">
        <f>I37+I38-I39</f>
        <v>0</v>
      </c>
      <c r="K40" s="668">
        <f>B37+B38-B39-B40</f>
        <v>0</v>
      </c>
      <c r="L40" s="703">
        <f>C37+C38-C39-C40</f>
        <v>0</v>
      </c>
      <c r="M40" s="703">
        <f t="shared" ref="M40:R40" si="31">D37+D38-D39-D40</f>
        <v>0</v>
      </c>
      <c r="N40" s="703">
        <f t="shared" si="31"/>
        <v>0</v>
      </c>
      <c r="O40" s="703">
        <f t="shared" si="31"/>
        <v>0</v>
      </c>
      <c r="P40" s="703">
        <f t="shared" si="31"/>
        <v>0</v>
      </c>
      <c r="Q40" s="703">
        <f t="shared" si="31"/>
        <v>0</v>
      </c>
      <c r="R40" s="703">
        <f t="shared" si="31"/>
        <v>0</v>
      </c>
    </row>
    <row r="41" spans="1:37" ht="15" customHeight="1" thickTop="1" thickBot="1" x14ac:dyDescent="0.3">
      <c r="A41" s="41" t="s">
        <v>33</v>
      </c>
      <c r="B41" s="42"/>
      <c r="C41" s="42"/>
      <c r="D41" s="42"/>
      <c r="E41" s="42"/>
      <c r="F41" s="42"/>
      <c r="G41" s="42"/>
      <c r="H41" s="42"/>
      <c r="I41" s="43"/>
      <c r="R41" s="654"/>
    </row>
    <row r="42" spans="1:37" ht="15" customHeight="1" thickTop="1" thickBot="1" x14ac:dyDescent="0.3">
      <c r="A42" s="44" t="s">
        <v>32</v>
      </c>
      <c r="B42" s="22"/>
      <c r="C42" s="22"/>
      <c r="D42" s="22"/>
      <c r="E42" s="22"/>
      <c r="F42" s="22"/>
      <c r="G42" s="22"/>
      <c r="H42" s="22"/>
      <c r="I42" s="15">
        <f>SUM(B42:H42)</f>
        <v>0</v>
      </c>
      <c r="R42" s="654">
        <f t="shared" ref="R42:R44" si="32">SUM(B42:H42)-I42</f>
        <v>0</v>
      </c>
    </row>
    <row r="43" spans="1:37" ht="15" customHeight="1" thickBot="1" x14ac:dyDescent="0.3">
      <c r="A43" s="14" t="s">
        <v>27</v>
      </c>
      <c r="B43" s="22"/>
      <c r="C43" s="22"/>
      <c r="D43" s="22"/>
      <c r="E43" s="22"/>
      <c r="F43" s="22"/>
      <c r="G43" s="22"/>
      <c r="H43" s="22"/>
      <c r="I43" s="15">
        <f t="shared" ref="I43:I44" si="33">SUM(B43:H43)</f>
        <v>0</v>
      </c>
      <c r="R43" s="654">
        <f t="shared" si="32"/>
        <v>0</v>
      </c>
    </row>
    <row r="44" spans="1:37" ht="15" customHeight="1" thickBot="1" x14ac:dyDescent="0.3">
      <c r="A44" s="14" t="s">
        <v>28</v>
      </c>
      <c r="B44" s="22"/>
      <c r="C44" s="22"/>
      <c r="D44" s="22"/>
      <c r="E44" s="22"/>
      <c r="F44" s="22"/>
      <c r="G44" s="22"/>
      <c r="H44" s="22"/>
      <c r="I44" s="15">
        <f t="shared" si="33"/>
        <v>0</v>
      </c>
      <c r="R44" s="654">
        <f t="shared" si="32"/>
        <v>0</v>
      </c>
    </row>
    <row r="45" spans="1:37" ht="15" customHeight="1" thickBot="1" x14ac:dyDescent="0.3">
      <c r="A45" s="25" t="s">
        <v>30</v>
      </c>
      <c r="B45" s="26">
        <f>B42+B43-B44</f>
        <v>0</v>
      </c>
      <c r="C45" s="26">
        <f>C42+C43-C44</f>
        <v>0</v>
      </c>
      <c r="D45" s="26">
        <f t="shared" ref="D45:H45" si="34">D42+D43-D44</f>
        <v>0</v>
      </c>
      <c r="E45" s="26">
        <f t="shared" si="34"/>
        <v>0</v>
      </c>
      <c r="F45" s="26">
        <f t="shared" si="34"/>
        <v>0</v>
      </c>
      <c r="G45" s="26">
        <f t="shared" si="34"/>
        <v>0</v>
      </c>
      <c r="H45" s="26">
        <f t="shared" si="34"/>
        <v>0</v>
      </c>
      <c r="I45" s="17">
        <f>I42+I43-I44</f>
        <v>0</v>
      </c>
      <c r="K45" s="668">
        <f>B42+B43-B44-B45</f>
        <v>0</v>
      </c>
      <c r="L45" s="703">
        <f>C42+C43-C44-C45</f>
        <v>0</v>
      </c>
      <c r="M45" s="703">
        <f t="shared" ref="M45:R45" si="35">D42+D43-D44-D45</f>
        <v>0</v>
      </c>
      <c r="N45" s="703">
        <f t="shared" si="35"/>
        <v>0</v>
      </c>
      <c r="O45" s="703">
        <f t="shared" si="35"/>
        <v>0</v>
      </c>
      <c r="P45" s="703">
        <f t="shared" si="35"/>
        <v>0</v>
      </c>
      <c r="Q45" s="703">
        <f t="shared" si="35"/>
        <v>0</v>
      </c>
      <c r="R45" s="703">
        <f t="shared" si="35"/>
        <v>0</v>
      </c>
    </row>
    <row r="46" spans="1:37" ht="15" customHeight="1" thickTop="1" thickBot="1" x14ac:dyDescent="0.3">
      <c r="A46" s="41" t="s">
        <v>34</v>
      </c>
      <c r="B46" s="42"/>
      <c r="C46" s="42"/>
      <c r="D46" s="42"/>
      <c r="E46" s="42"/>
      <c r="F46" s="42"/>
      <c r="G46" s="42"/>
      <c r="H46" s="42"/>
      <c r="I46" s="43"/>
      <c r="R46" s="654"/>
    </row>
    <row r="47" spans="1:37" ht="15" customHeight="1" thickTop="1" thickBot="1" x14ac:dyDescent="0.3">
      <c r="A47" s="44" t="s">
        <v>32</v>
      </c>
      <c r="B47" s="22">
        <f>B31-B37-B42</f>
        <v>0</v>
      </c>
      <c r="C47" s="22">
        <f t="shared" ref="C47:I47" si="36">C31-C37-C42</f>
        <v>0</v>
      </c>
      <c r="D47" s="22">
        <f t="shared" si="36"/>
        <v>0</v>
      </c>
      <c r="E47" s="22">
        <f t="shared" si="36"/>
        <v>0</v>
      </c>
      <c r="F47" s="22">
        <f t="shared" si="36"/>
        <v>0</v>
      </c>
      <c r="G47" s="22">
        <f t="shared" si="36"/>
        <v>0</v>
      </c>
      <c r="H47" s="22">
        <f t="shared" si="36"/>
        <v>0</v>
      </c>
      <c r="I47" s="15">
        <f t="shared" si="36"/>
        <v>0</v>
      </c>
      <c r="K47" s="668">
        <f>B31-B37-B42-B47</f>
        <v>0</v>
      </c>
      <c r="L47" s="703">
        <f t="shared" ref="L47:N47" si="37">C31-C37-C42-C47</f>
        <v>0</v>
      </c>
      <c r="M47" s="703">
        <f t="shared" si="37"/>
        <v>0</v>
      </c>
      <c r="N47" s="703">
        <f t="shared" si="37"/>
        <v>0</v>
      </c>
      <c r="O47" s="703">
        <f>F31-F37-F42-F47</f>
        <v>0</v>
      </c>
      <c r="P47" s="703">
        <f t="shared" ref="P47:Q47" si="38">G31-G37-G42-G47</f>
        <v>0</v>
      </c>
      <c r="Q47" s="703">
        <f t="shared" si="38"/>
        <v>0</v>
      </c>
      <c r="R47" s="654">
        <f t="shared" ref="R47" si="39">SUM(B47:H47)-I47</f>
        <v>0</v>
      </c>
    </row>
    <row r="48" spans="1:37" ht="15" customHeight="1" thickBot="1" x14ac:dyDescent="0.3">
      <c r="A48" s="25" t="s">
        <v>30</v>
      </c>
      <c r="B48" s="26">
        <f t="shared" ref="B48:I48" si="40">B35-B40-B45</f>
        <v>0</v>
      </c>
      <c r="C48" s="26">
        <f t="shared" si="40"/>
        <v>0</v>
      </c>
      <c r="D48" s="26">
        <f t="shared" si="40"/>
        <v>0</v>
      </c>
      <c r="E48" s="26">
        <f t="shared" si="40"/>
        <v>0</v>
      </c>
      <c r="F48" s="26">
        <f t="shared" si="40"/>
        <v>0</v>
      </c>
      <c r="G48" s="26">
        <f t="shared" si="40"/>
        <v>0</v>
      </c>
      <c r="H48" s="26">
        <f t="shared" si="40"/>
        <v>0</v>
      </c>
      <c r="I48" s="17">
        <f t="shared" si="40"/>
        <v>0</v>
      </c>
      <c r="K48" s="668">
        <f>B35-B40-B45-B48</f>
        <v>0</v>
      </c>
      <c r="L48" s="703">
        <f t="shared" ref="L48:N48" si="41">C35-C40-C45-C48</f>
        <v>0</v>
      </c>
      <c r="M48" s="703">
        <f t="shared" si="41"/>
        <v>0</v>
      </c>
      <c r="N48" s="703">
        <f t="shared" si="41"/>
        <v>0</v>
      </c>
      <c r="O48" s="703">
        <f>F35-F40-F45-F48</f>
        <v>0</v>
      </c>
      <c r="P48" s="703">
        <f t="shared" ref="P48:Q48" si="42">G35-G40-G45-G48</f>
        <v>0</v>
      </c>
      <c r="Q48" s="703">
        <f t="shared" si="42"/>
        <v>0</v>
      </c>
      <c r="R48" s="654">
        <f>SUM(B48:H48)-I48</f>
        <v>0</v>
      </c>
      <c r="AC48" s="668">
        <f>B48-BS!$G$13</f>
        <v>0</v>
      </c>
      <c r="AD48" s="718">
        <f>C48-BS!$G$14</f>
        <v>0</v>
      </c>
      <c r="AE48" s="718">
        <f>D48-BS!$IB$15</f>
        <v>0</v>
      </c>
      <c r="AF48" s="718">
        <f>E48-BS!$G$16</f>
        <v>0</v>
      </c>
      <c r="AG48" s="718">
        <f>F48-BS!$G$17</f>
        <v>0</v>
      </c>
      <c r="AH48" s="718">
        <f>G48-BS!$G$18</f>
        <v>0</v>
      </c>
      <c r="AI48" s="718">
        <f>H48-BS!$G$19</f>
        <v>0</v>
      </c>
      <c r="AJ48" s="654">
        <f>I48-BS!$G$12</f>
        <v>0</v>
      </c>
      <c r="AK48" s="385"/>
    </row>
    <row r="49" ht="15.75" thickTop="1" x14ac:dyDescent="0.25"/>
  </sheetData>
  <mergeCells count="7">
    <mergeCell ref="T1:AA1"/>
    <mergeCell ref="AC1:AJ1"/>
    <mergeCell ref="A28:A29"/>
    <mergeCell ref="B28:I28"/>
    <mergeCell ref="A3:A4"/>
    <mergeCell ref="B3:I3"/>
    <mergeCell ref="K1:R1"/>
  </mergeCells>
  <conditionalFormatting sqref="K6:R23">
    <cfRule type="cellIs" dxfId="261" priority="13" operator="lessThan">
      <formula>0</formula>
    </cfRule>
    <cfRule type="cellIs" dxfId="260" priority="14" operator="greaterThan">
      <formula>0</formula>
    </cfRule>
  </conditionalFormatting>
  <conditionalFormatting sqref="K31:R48">
    <cfRule type="cellIs" dxfId="259" priority="11" operator="lessThan">
      <formula>0</formula>
    </cfRule>
    <cfRule type="cellIs" dxfId="258" priority="12" operator="greaterThan">
      <formula>0</formula>
    </cfRule>
  </conditionalFormatting>
  <conditionalFormatting sqref="T6:AA22">
    <cfRule type="cellIs" dxfId="257" priority="9" operator="lessThan">
      <formula>0</formula>
    </cfRule>
    <cfRule type="cellIs" dxfId="256" priority="10" operator="greaterThan">
      <formula>0</formula>
    </cfRule>
  </conditionalFormatting>
  <conditionalFormatting sqref="AC10:AJ48">
    <cfRule type="cellIs" dxfId="255" priority="7" operator="lessThan">
      <formula>0</formula>
    </cfRule>
    <cfRule type="cellIs" dxfId="254" priority="8" operator="greaterThan">
      <formula>0</formula>
    </cfRule>
  </conditionalFormatting>
  <conditionalFormatting sqref="K6:R23">
    <cfRule type="cellIs" dxfId="253" priority="5" operator="lessThan">
      <formula>0</formula>
    </cfRule>
    <cfRule type="cellIs" dxfId="252" priority="6" operator="greaterThan">
      <formula>0</formula>
    </cfRule>
  </conditionalFormatting>
  <conditionalFormatting sqref="K31:R48">
    <cfRule type="cellIs" dxfId="251" priority="3" operator="lessThan">
      <formula>0</formula>
    </cfRule>
    <cfRule type="cellIs" dxfId="250" priority="4" operator="greaterThan">
      <formula>0</formula>
    </cfRule>
  </conditionalFormatting>
  <conditionalFormatting sqref="K31:R48">
    <cfRule type="cellIs" dxfId="249" priority="1" operator="lessThan">
      <formula>0</formula>
    </cfRule>
    <cfRule type="cellIs" dxfId="24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5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35</v>
      </c>
    </row>
    <row r="2" spans="1:2" ht="21" customHeight="1" thickTop="1" thickBot="1" x14ac:dyDescent="0.3">
      <c r="A2" s="636" t="s">
        <v>20</v>
      </c>
      <c r="B2" s="637" t="s">
        <v>36</v>
      </c>
    </row>
    <row r="3" spans="1:2" ht="23.25" customHeight="1" thickTop="1" thickBot="1" x14ac:dyDescent="0.3">
      <c r="A3" s="12" t="s">
        <v>37</v>
      </c>
      <c r="B3" s="13"/>
    </row>
    <row r="4" spans="1:2" ht="23.25" customHeight="1" thickBot="1" x14ac:dyDescent="0.3">
      <c r="A4" s="16" t="s">
        <v>38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N48"/>
  <sheetViews>
    <sheetView showGridLines="0" zoomScale="85" zoomScaleNormal="85" workbookViewId="0">
      <pane xSplit="1" ySplit="4" topLeftCell="V38" activePane="bottomRight" state="frozen"/>
      <selection pane="topRight" activeCell="B1" sqref="B1"/>
      <selection pane="bottomLeft" activeCell="A5" sqref="A5"/>
      <selection pane="bottomRight" activeCell="AF47" sqref="AF47:AN47"/>
    </sheetView>
  </sheetViews>
  <sheetFormatPr defaultRowHeight="15" outlineLevelCol="1" x14ac:dyDescent="0.25"/>
  <cols>
    <col min="1" max="1" width="29.28515625" customWidth="1"/>
    <col min="2" max="10" width="11.28515625" customWidth="1"/>
    <col min="11" max="11" width="9.140625" style="391"/>
    <col min="12" max="19" width="9.140625" style="653" customWidth="1" outlineLevel="1"/>
    <col min="20" max="20" width="18.28515625" style="665" customWidth="1"/>
    <col min="21" max="21" width="9.140625" style="681"/>
    <col min="22" max="22" width="9.140625" style="653" customWidth="1" outlineLevel="1"/>
    <col min="23" max="29" width="9.140625" style="18" customWidth="1" outlineLevel="1"/>
    <col min="30" max="30" width="26.85546875" style="665" customWidth="1"/>
    <col min="31" max="31" width="9.140625" style="665"/>
    <col min="32" max="32" width="9.140625" style="652" customWidth="1" outlineLevel="1"/>
    <col min="33" max="39" width="9.140625" style="18" customWidth="1" outlineLevel="1"/>
    <col min="40" max="40" width="26.7109375" style="665" customWidth="1"/>
  </cols>
  <sheetData>
    <row r="1" spans="1:40" ht="16.5" x14ac:dyDescent="0.3">
      <c r="A1" s="1" t="s">
        <v>39</v>
      </c>
      <c r="L1" s="1362" t="s">
        <v>1138</v>
      </c>
      <c r="M1" s="1363"/>
      <c r="N1" s="1363"/>
      <c r="O1" s="1363"/>
      <c r="P1" s="1363"/>
      <c r="Q1" s="1363"/>
      <c r="R1" s="1363"/>
      <c r="S1" s="1363"/>
      <c r="T1" s="1364"/>
      <c r="V1" s="1362" t="s">
        <v>1139</v>
      </c>
      <c r="W1" s="1363"/>
      <c r="X1" s="1363"/>
      <c r="Y1" s="1363"/>
      <c r="Z1" s="1363"/>
      <c r="AA1" s="1363"/>
      <c r="AB1" s="1363"/>
      <c r="AC1" s="1363"/>
      <c r="AD1" s="1364"/>
      <c r="AF1" s="1362" t="s">
        <v>1140</v>
      </c>
      <c r="AG1" s="1363"/>
      <c r="AH1" s="1363"/>
      <c r="AI1" s="1363"/>
      <c r="AJ1" s="1363"/>
      <c r="AK1" s="1363"/>
      <c r="AL1" s="1363"/>
      <c r="AM1" s="1363"/>
      <c r="AN1" s="1364"/>
    </row>
    <row r="2" spans="1:40" ht="17.25" thickBot="1" x14ac:dyDescent="0.35">
      <c r="A2" s="2" t="s">
        <v>8</v>
      </c>
    </row>
    <row r="3" spans="1:40" ht="16.5" thickTop="1" thickBot="1" x14ac:dyDescent="0.3">
      <c r="A3" s="1358" t="s">
        <v>40</v>
      </c>
      <c r="B3" s="1360" t="s">
        <v>2</v>
      </c>
      <c r="C3" s="1366"/>
      <c r="D3" s="1366"/>
      <c r="E3" s="1366"/>
      <c r="F3" s="1366"/>
      <c r="G3" s="1366"/>
      <c r="H3" s="1366"/>
      <c r="I3" s="1366"/>
      <c r="J3" s="1361"/>
      <c r="K3" s="395"/>
    </row>
    <row r="4" spans="1:40" ht="62.25" customHeight="1" thickTop="1" thickBot="1" x14ac:dyDescent="0.3">
      <c r="A4" s="1365"/>
      <c r="B4" s="10" t="s">
        <v>41</v>
      </c>
      <c r="C4" s="10" t="s">
        <v>42</v>
      </c>
      <c r="D4" s="10" t="s">
        <v>43</v>
      </c>
      <c r="E4" s="10" t="s">
        <v>444</v>
      </c>
      <c r="F4" s="10" t="s">
        <v>44</v>
      </c>
      <c r="G4" s="10" t="s">
        <v>45</v>
      </c>
      <c r="H4" s="10" t="s">
        <v>445</v>
      </c>
      <c r="I4" s="10" t="s">
        <v>46</v>
      </c>
      <c r="J4" s="10" t="s">
        <v>14</v>
      </c>
      <c r="K4" s="387"/>
      <c r="L4" s="59" t="s">
        <v>41</v>
      </c>
      <c r="M4" s="59" t="s">
        <v>42</v>
      </c>
      <c r="N4" s="59" t="s">
        <v>43</v>
      </c>
      <c r="O4" s="59" t="s">
        <v>444</v>
      </c>
      <c r="P4" s="59" t="s">
        <v>44</v>
      </c>
      <c r="Q4" s="59" t="s">
        <v>45</v>
      </c>
      <c r="R4" s="59" t="s">
        <v>445</v>
      </c>
      <c r="S4" s="59" t="s">
        <v>46</v>
      </c>
      <c r="T4" s="59" t="s">
        <v>14</v>
      </c>
      <c r="U4" s="653"/>
      <c r="V4" s="59" t="s">
        <v>41</v>
      </c>
      <c r="W4" s="59" t="s">
        <v>42</v>
      </c>
      <c r="X4" s="59" t="s">
        <v>43</v>
      </c>
      <c r="Y4" s="59" t="s">
        <v>444</v>
      </c>
      <c r="Z4" s="59" t="s">
        <v>44</v>
      </c>
      <c r="AA4" s="59" t="s">
        <v>45</v>
      </c>
      <c r="AB4" s="59" t="s">
        <v>445</v>
      </c>
      <c r="AC4" s="59" t="s">
        <v>46</v>
      </c>
      <c r="AD4" s="59" t="s">
        <v>14</v>
      </c>
      <c r="AF4" s="59" t="s">
        <v>41</v>
      </c>
      <c r="AG4" s="59" t="s">
        <v>42</v>
      </c>
      <c r="AH4" s="59" t="s">
        <v>43</v>
      </c>
      <c r="AI4" s="59" t="s">
        <v>444</v>
      </c>
      <c r="AJ4" s="59" t="s">
        <v>44</v>
      </c>
      <c r="AK4" s="59" t="s">
        <v>45</v>
      </c>
      <c r="AL4" s="59" t="s">
        <v>445</v>
      </c>
      <c r="AM4" s="59" t="s">
        <v>46</v>
      </c>
      <c r="AN4" s="59" t="s">
        <v>14</v>
      </c>
    </row>
    <row r="5" spans="1:40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2"/>
      <c r="J5" s="43"/>
      <c r="K5" s="395"/>
    </row>
    <row r="6" spans="1:40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22"/>
      <c r="J6" s="15">
        <f>SUM(B6:H6)</f>
        <v>0</v>
      </c>
      <c r="T6" s="654">
        <f>SUM(B6:I6)-J6</f>
        <v>0</v>
      </c>
      <c r="V6" s="703">
        <f>B6-B34</f>
        <v>0</v>
      </c>
      <c r="W6" s="703">
        <f t="shared" ref="W6:AB6" si="0">C6-C34</f>
        <v>0</v>
      </c>
      <c r="X6" s="703">
        <f t="shared" si="0"/>
        <v>0</v>
      </c>
      <c r="Y6" s="703">
        <f t="shared" si="0"/>
        <v>0</v>
      </c>
      <c r="Z6" s="703">
        <f t="shared" si="0"/>
        <v>0</v>
      </c>
      <c r="AA6" s="703">
        <f t="shared" si="0"/>
        <v>0</v>
      </c>
      <c r="AB6" s="703">
        <f t="shared" si="0"/>
        <v>0</v>
      </c>
      <c r="AC6" s="703">
        <f>I6-I34</f>
        <v>0</v>
      </c>
      <c r="AD6" s="654">
        <f>J6-J34</f>
        <v>0</v>
      </c>
    </row>
    <row r="7" spans="1:40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22"/>
      <c r="J7" s="15">
        <f t="shared" ref="J7:J9" si="1">SUM(B7:H7)</f>
        <v>0</v>
      </c>
      <c r="T7" s="654">
        <f t="shared" ref="T7:T9" si="2">SUM(B7:I7)-J7</f>
        <v>0</v>
      </c>
      <c r="W7" s="653"/>
      <c r="X7" s="653"/>
      <c r="Y7" s="653"/>
      <c r="Z7" s="653"/>
      <c r="AA7" s="653"/>
      <c r="AB7" s="653"/>
      <c r="AC7" s="653"/>
    </row>
    <row r="8" spans="1:40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22"/>
      <c r="J8" s="15">
        <f t="shared" si="1"/>
        <v>0</v>
      </c>
      <c r="T8" s="654">
        <f t="shared" si="2"/>
        <v>0</v>
      </c>
      <c r="W8" s="653"/>
      <c r="X8" s="653"/>
      <c r="Y8" s="653"/>
      <c r="Z8" s="653"/>
      <c r="AA8" s="653"/>
      <c r="AB8" s="653"/>
      <c r="AC8" s="653"/>
    </row>
    <row r="9" spans="1:40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22"/>
      <c r="J9" s="15">
        <f t="shared" si="1"/>
        <v>0</v>
      </c>
      <c r="T9" s="654">
        <f t="shared" si="2"/>
        <v>0</v>
      </c>
      <c r="W9" s="653"/>
      <c r="X9" s="653"/>
      <c r="Y9" s="653"/>
      <c r="Z9" s="653"/>
      <c r="AA9" s="653"/>
      <c r="AB9" s="653"/>
      <c r="AC9" s="653"/>
    </row>
    <row r="10" spans="1:40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26">
        <f>I6+I7-I8+I9</f>
        <v>0</v>
      </c>
      <c r="J10" s="17">
        <f>J6+J7-J8+J9</f>
        <v>0</v>
      </c>
      <c r="L10" s="668">
        <f>B6+B7-B8+B9-B10</f>
        <v>0</v>
      </c>
      <c r="M10" s="703">
        <f t="shared" ref="M10:T10" si="4">C6+C7-C8+C9-C10</f>
        <v>0</v>
      </c>
      <c r="N10" s="703">
        <f t="shared" si="4"/>
        <v>0</v>
      </c>
      <c r="O10" s="703">
        <f t="shared" si="4"/>
        <v>0</v>
      </c>
      <c r="P10" s="703">
        <f t="shared" si="4"/>
        <v>0</v>
      </c>
      <c r="Q10" s="703">
        <f t="shared" si="4"/>
        <v>0</v>
      </c>
      <c r="R10" s="703">
        <f t="shared" si="4"/>
        <v>0</v>
      </c>
      <c r="S10" s="703">
        <f t="shared" si="4"/>
        <v>0</v>
      </c>
      <c r="T10" s="703">
        <f t="shared" si="4"/>
        <v>0</v>
      </c>
      <c r="W10" s="653"/>
      <c r="X10" s="653"/>
      <c r="Y10" s="653"/>
      <c r="Z10" s="653"/>
      <c r="AA10" s="653"/>
      <c r="AB10" s="653"/>
      <c r="AC10" s="653"/>
      <c r="AF10" s="668">
        <f>B10-BS!$D$21</f>
        <v>0</v>
      </c>
      <c r="AG10" s="703">
        <f>C10-BS!$D$22</f>
        <v>0</v>
      </c>
      <c r="AH10" s="703">
        <f>D10-BS!$D$23</f>
        <v>0</v>
      </c>
      <c r="AI10" s="703">
        <f>E10-BS!$D$24</f>
        <v>0</v>
      </c>
      <c r="AJ10" s="703">
        <f>F10-BS!$D$25</f>
        <v>0</v>
      </c>
      <c r="AK10" s="703">
        <f>G10-BS!$D$26</f>
        <v>0</v>
      </c>
      <c r="AL10" s="703">
        <f>H10-BS!$D$27</f>
        <v>0</v>
      </c>
      <c r="AM10" s="703">
        <f>I10-BS!$D$28</f>
        <v>0</v>
      </c>
      <c r="AN10" s="654">
        <f>J10-BS!$D$20</f>
        <v>0</v>
      </c>
    </row>
    <row r="11" spans="1:40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2"/>
      <c r="J11" s="43"/>
      <c r="L11" s="652"/>
      <c r="T11" s="654"/>
      <c r="W11" s="653"/>
      <c r="X11" s="653"/>
      <c r="Y11" s="653"/>
      <c r="Z11" s="653"/>
      <c r="AA11" s="653"/>
      <c r="AB11" s="653"/>
      <c r="AC11" s="653"/>
    </row>
    <row r="12" spans="1:40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652"/>
      <c r="T12" s="654">
        <f t="shared" ref="T12:T14" si="5">SUM(B12:I12)-J12</f>
        <v>0</v>
      </c>
      <c r="V12" s="703">
        <f>B12-B39</f>
        <v>0</v>
      </c>
      <c r="W12" s="703">
        <f t="shared" ref="W12:AB12" si="6">C12-C39</f>
        <v>0</v>
      </c>
      <c r="X12" s="703">
        <f t="shared" si="6"/>
        <v>0</v>
      </c>
      <c r="Y12" s="703">
        <f t="shared" si="6"/>
        <v>0</v>
      </c>
      <c r="Z12" s="703">
        <f t="shared" si="6"/>
        <v>0</v>
      </c>
      <c r="AA12" s="703">
        <f t="shared" si="6"/>
        <v>0</v>
      </c>
      <c r="AB12" s="703">
        <f t="shared" si="6"/>
        <v>0</v>
      </c>
      <c r="AC12" s="703">
        <f>I12-I39</f>
        <v>0</v>
      </c>
      <c r="AD12" s="654">
        <f>J12-J39</f>
        <v>0</v>
      </c>
    </row>
    <row r="13" spans="1:40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22"/>
      <c r="J13" s="15">
        <f t="shared" ref="J13:J14" si="7">SUM(B13:H13)</f>
        <v>0</v>
      </c>
      <c r="L13" s="652"/>
      <c r="T13" s="654">
        <f t="shared" si="5"/>
        <v>0</v>
      </c>
      <c r="W13" s="653"/>
      <c r="X13" s="653"/>
      <c r="Y13" s="653"/>
      <c r="Z13" s="653"/>
      <c r="AA13" s="653"/>
      <c r="AB13" s="653"/>
      <c r="AC13" s="653"/>
    </row>
    <row r="14" spans="1:40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22"/>
      <c r="J14" s="15">
        <f t="shared" si="7"/>
        <v>0</v>
      </c>
      <c r="L14" s="652"/>
      <c r="T14" s="654">
        <f t="shared" si="5"/>
        <v>0</v>
      </c>
      <c r="W14" s="653"/>
      <c r="X14" s="653"/>
      <c r="Y14" s="653"/>
      <c r="Z14" s="653"/>
      <c r="AA14" s="653"/>
      <c r="AB14" s="653"/>
      <c r="AC14" s="653"/>
      <c r="AF14" s="719" t="s">
        <v>1141</v>
      </c>
    </row>
    <row r="15" spans="1:40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I15" si="8">D12+D13-D14</f>
        <v>0</v>
      </c>
      <c r="E15" s="26">
        <f t="shared" si="8"/>
        <v>0</v>
      </c>
      <c r="F15" s="26">
        <f t="shared" si="8"/>
        <v>0</v>
      </c>
      <c r="G15" s="26">
        <f t="shared" si="8"/>
        <v>0</v>
      </c>
      <c r="H15" s="26">
        <f t="shared" si="8"/>
        <v>0</v>
      </c>
      <c r="I15" s="26">
        <f t="shared" si="8"/>
        <v>0</v>
      </c>
      <c r="J15" s="17">
        <f>J12+J13-J14</f>
        <v>0</v>
      </c>
      <c r="L15" s="668">
        <f>B12+B13-B14-B15</f>
        <v>0</v>
      </c>
      <c r="M15" s="703">
        <f t="shared" ref="M15:T15" si="9">C12+C13-C14-C15</f>
        <v>0</v>
      </c>
      <c r="N15" s="703">
        <f t="shared" si="9"/>
        <v>0</v>
      </c>
      <c r="O15" s="703">
        <f t="shared" si="9"/>
        <v>0</v>
      </c>
      <c r="P15" s="703">
        <f t="shared" si="9"/>
        <v>0</v>
      </c>
      <c r="Q15" s="703">
        <f t="shared" si="9"/>
        <v>0</v>
      </c>
      <c r="R15" s="703">
        <f t="shared" si="9"/>
        <v>0</v>
      </c>
      <c r="S15" s="703">
        <f t="shared" si="9"/>
        <v>0</v>
      </c>
      <c r="T15" s="703">
        <f t="shared" si="9"/>
        <v>0</v>
      </c>
      <c r="W15" s="653"/>
      <c r="X15" s="653"/>
      <c r="Y15" s="653"/>
      <c r="Z15" s="653"/>
      <c r="AA15" s="653"/>
      <c r="AB15" s="653"/>
      <c r="AC15" s="653"/>
      <c r="AF15" s="668">
        <f>B15+B20-BS!$E$21</f>
        <v>0</v>
      </c>
      <c r="AG15" s="703">
        <f>C15+C20-BS!$E$22</f>
        <v>0</v>
      </c>
      <c r="AH15" s="703">
        <f>D15+D20-BS!$E$23</f>
        <v>0</v>
      </c>
      <c r="AI15" s="703">
        <f>E15+E20-BS!$E$24</f>
        <v>0</v>
      </c>
      <c r="AJ15" s="703">
        <f>F15+F20-BS!$E$25</f>
        <v>0</v>
      </c>
      <c r="AK15" s="703">
        <f>G15+G20-BS!$E$26</f>
        <v>0</v>
      </c>
      <c r="AL15" s="703">
        <f>H15+H20-BS!$E$27</f>
        <v>0</v>
      </c>
      <c r="AM15" s="703">
        <f>I15+I20-BS!$E$28</f>
        <v>0</v>
      </c>
      <c r="AN15" s="654">
        <f>J15+J20-BS!$E$20</f>
        <v>0</v>
      </c>
    </row>
    <row r="16" spans="1:40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2"/>
      <c r="J16" s="43"/>
      <c r="L16" s="652"/>
      <c r="T16" s="654"/>
      <c r="W16" s="653"/>
      <c r="X16" s="653"/>
      <c r="Y16" s="653"/>
      <c r="Z16" s="653"/>
      <c r="AA16" s="653"/>
      <c r="AB16" s="653"/>
      <c r="AC16" s="653"/>
      <c r="AG16" s="653"/>
      <c r="AH16" s="653"/>
      <c r="AI16" s="653"/>
      <c r="AJ16" s="653"/>
      <c r="AK16" s="653"/>
      <c r="AL16" s="653"/>
    </row>
    <row r="17" spans="1:40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652"/>
      <c r="T17" s="654">
        <f t="shared" ref="T17:T19" si="10">SUM(B17:I17)-J17</f>
        <v>0</v>
      </c>
      <c r="V17" s="703">
        <f>B17-B44</f>
        <v>0</v>
      </c>
      <c r="W17" s="703">
        <f t="shared" ref="W17:AB17" si="11">C17-C44</f>
        <v>0</v>
      </c>
      <c r="X17" s="703">
        <f t="shared" si="11"/>
        <v>0</v>
      </c>
      <c r="Y17" s="703">
        <f t="shared" si="11"/>
        <v>0</v>
      </c>
      <c r="Z17" s="703">
        <f t="shared" si="11"/>
        <v>0</v>
      </c>
      <c r="AA17" s="703">
        <f t="shared" si="11"/>
        <v>0</v>
      </c>
      <c r="AB17" s="703">
        <f t="shared" si="11"/>
        <v>0</v>
      </c>
      <c r="AC17" s="703">
        <f>I17-I44</f>
        <v>0</v>
      </c>
      <c r="AD17" s="654">
        <f>J17-J44</f>
        <v>0</v>
      </c>
      <c r="AG17" s="653"/>
      <c r="AH17" s="653"/>
      <c r="AI17" s="653"/>
      <c r="AJ17" s="653"/>
      <c r="AK17" s="653"/>
      <c r="AL17" s="653"/>
    </row>
    <row r="18" spans="1:40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22"/>
      <c r="J18" s="15">
        <f t="shared" ref="J18:J19" si="12">SUM(B18:H18)</f>
        <v>0</v>
      </c>
      <c r="L18" s="652"/>
      <c r="T18" s="654">
        <f t="shared" si="10"/>
        <v>0</v>
      </c>
      <c r="W18" s="653"/>
      <c r="X18" s="653"/>
      <c r="Y18" s="653"/>
      <c r="Z18" s="653"/>
      <c r="AA18" s="653"/>
      <c r="AB18" s="653"/>
      <c r="AC18" s="653"/>
      <c r="AG18" s="653"/>
      <c r="AH18" s="653"/>
      <c r="AI18" s="653"/>
      <c r="AJ18" s="653"/>
      <c r="AK18" s="653"/>
      <c r="AL18" s="653"/>
    </row>
    <row r="19" spans="1:40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22"/>
      <c r="J19" s="15">
        <f t="shared" si="12"/>
        <v>0</v>
      </c>
      <c r="L19" s="652"/>
      <c r="T19" s="654">
        <f t="shared" si="10"/>
        <v>0</v>
      </c>
      <c r="W19" s="653"/>
      <c r="X19" s="653"/>
      <c r="Y19" s="653"/>
      <c r="Z19" s="653"/>
      <c r="AA19" s="653"/>
      <c r="AB19" s="653"/>
      <c r="AC19" s="653"/>
      <c r="AG19" s="653"/>
      <c r="AH19" s="653"/>
      <c r="AI19" s="653"/>
      <c r="AJ19" s="653"/>
      <c r="AK19" s="653"/>
      <c r="AL19" s="653"/>
    </row>
    <row r="20" spans="1:40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:I20" si="13">D17+D18-D19</f>
        <v>0</v>
      </c>
      <c r="E20" s="26">
        <f t="shared" si="13"/>
        <v>0</v>
      </c>
      <c r="F20" s="26">
        <f t="shared" si="13"/>
        <v>0</v>
      </c>
      <c r="G20" s="26">
        <f t="shared" si="13"/>
        <v>0</v>
      </c>
      <c r="H20" s="26">
        <f t="shared" si="13"/>
        <v>0</v>
      </c>
      <c r="I20" s="26">
        <f t="shared" si="13"/>
        <v>0</v>
      </c>
      <c r="J20" s="17">
        <f>J17+J18-J19</f>
        <v>0</v>
      </c>
      <c r="L20" s="668">
        <f>B17+B18-B19-B20</f>
        <v>0</v>
      </c>
      <c r="M20" s="703">
        <f t="shared" ref="M20:T20" si="14">C17+C18-C19-C20</f>
        <v>0</v>
      </c>
      <c r="N20" s="703">
        <f t="shared" si="14"/>
        <v>0</v>
      </c>
      <c r="O20" s="703">
        <f t="shared" si="14"/>
        <v>0</v>
      </c>
      <c r="P20" s="703">
        <f t="shared" si="14"/>
        <v>0</v>
      </c>
      <c r="Q20" s="703">
        <f t="shared" si="14"/>
        <v>0</v>
      </c>
      <c r="R20" s="703">
        <f t="shared" si="14"/>
        <v>0</v>
      </c>
      <c r="S20" s="703">
        <f t="shared" si="14"/>
        <v>0</v>
      </c>
      <c r="T20" s="703">
        <f t="shared" si="14"/>
        <v>0</v>
      </c>
      <c r="W20" s="653"/>
      <c r="X20" s="653"/>
      <c r="Y20" s="653"/>
      <c r="Z20" s="653"/>
      <c r="AA20" s="653"/>
      <c r="AB20" s="653"/>
      <c r="AC20" s="653"/>
      <c r="AG20" s="653"/>
      <c r="AH20" s="653"/>
      <c r="AI20" s="653"/>
      <c r="AJ20" s="653"/>
      <c r="AK20" s="653"/>
      <c r="AL20" s="653"/>
    </row>
    <row r="21" spans="1:40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2"/>
      <c r="J21" s="43"/>
      <c r="L21" s="652"/>
      <c r="T21" s="654"/>
      <c r="W21" s="653"/>
      <c r="X21" s="653"/>
      <c r="Y21" s="653"/>
      <c r="Z21" s="653"/>
      <c r="AA21" s="653"/>
      <c r="AB21" s="653"/>
      <c r="AC21" s="653"/>
      <c r="AG21" s="653"/>
      <c r="AH21" s="653"/>
      <c r="AI21" s="653"/>
      <c r="AJ21" s="653"/>
      <c r="AK21" s="653"/>
      <c r="AL21" s="653"/>
    </row>
    <row r="22" spans="1:40" ht="15" customHeight="1" thickTop="1" thickBot="1" x14ac:dyDescent="0.3">
      <c r="A22" s="44" t="s">
        <v>32</v>
      </c>
      <c r="B22" s="22">
        <f>B6-B12-B17</f>
        <v>0</v>
      </c>
      <c r="C22" s="22">
        <f>C6-C12-C17</f>
        <v>0</v>
      </c>
      <c r="D22" s="22">
        <f t="shared" ref="D22:J22" si="15">D6-D12-D17</f>
        <v>0</v>
      </c>
      <c r="E22" s="22">
        <f t="shared" si="15"/>
        <v>0</v>
      </c>
      <c r="F22" s="22">
        <f t="shared" si="15"/>
        <v>0</v>
      </c>
      <c r="G22" s="22">
        <f t="shared" si="15"/>
        <v>0</v>
      </c>
      <c r="H22" s="22">
        <f t="shared" si="15"/>
        <v>0</v>
      </c>
      <c r="I22" s="22">
        <f t="shared" ref="I22" si="16">I6-I12-I17</f>
        <v>0</v>
      </c>
      <c r="J22" s="15">
        <f t="shared" si="15"/>
        <v>0</v>
      </c>
      <c r="L22" s="668">
        <f>B6-B12-B17-B22</f>
        <v>0</v>
      </c>
      <c r="M22" s="703">
        <f t="shared" ref="M22:S22" si="17">C6-C12-C17-C22</f>
        <v>0</v>
      </c>
      <c r="N22" s="703">
        <f t="shared" si="17"/>
        <v>0</v>
      </c>
      <c r="O22" s="703">
        <f t="shared" si="17"/>
        <v>0</v>
      </c>
      <c r="P22" s="703">
        <f t="shared" si="17"/>
        <v>0</v>
      </c>
      <c r="Q22" s="703">
        <f t="shared" si="17"/>
        <v>0</v>
      </c>
      <c r="R22" s="703">
        <f t="shared" si="17"/>
        <v>0</v>
      </c>
      <c r="S22" s="703">
        <f t="shared" si="17"/>
        <v>0</v>
      </c>
      <c r="T22" s="654">
        <f t="shared" ref="T22:T23" si="18">SUM(B22:I22)-J22</f>
        <v>0</v>
      </c>
      <c r="V22" s="703">
        <f>B22-B47</f>
        <v>0</v>
      </c>
      <c r="W22" s="703">
        <f t="shared" ref="W22:AB22" si="19">C22-C47</f>
        <v>0</v>
      </c>
      <c r="X22" s="703">
        <f t="shared" si="19"/>
        <v>0</v>
      </c>
      <c r="Y22" s="703">
        <f t="shared" si="19"/>
        <v>0</v>
      </c>
      <c r="Z22" s="703">
        <f t="shared" si="19"/>
        <v>0</v>
      </c>
      <c r="AA22" s="703">
        <f t="shared" si="19"/>
        <v>0</v>
      </c>
      <c r="AB22" s="703">
        <f t="shared" si="19"/>
        <v>0</v>
      </c>
      <c r="AC22" s="703">
        <f>I22-I47</f>
        <v>0</v>
      </c>
      <c r="AD22" s="654">
        <f>J22-J47</f>
        <v>0</v>
      </c>
      <c r="AG22" s="653"/>
      <c r="AH22" s="653"/>
      <c r="AI22" s="653"/>
      <c r="AJ22" s="653"/>
      <c r="AK22" s="653"/>
      <c r="AL22" s="653"/>
    </row>
    <row r="23" spans="1:40" ht="15" customHeight="1" thickBot="1" x14ac:dyDescent="0.3">
      <c r="A23" s="25" t="s">
        <v>30</v>
      </c>
      <c r="B23" s="26">
        <f>B10-B15-B20</f>
        <v>0</v>
      </c>
      <c r="C23" s="26">
        <f>C10-C15-C20</f>
        <v>0</v>
      </c>
      <c r="D23" s="26">
        <f t="shared" ref="D23:J23" si="20">D10-D15-D20</f>
        <v>0</v>
      </c>
      <c r="E23" s="26">
        <f t="shared" si="20"/>
        <v>0</v>
      </c>
      <c r="F23" s="26">
        <f t="shared" si="20"/>
        <v>0</v>
      </c>
      <c r="G23" s="26">
        <f t="shared" si="20"/>
        <v>0</v>
      </c>
      <c r="H23" s="26">
        <f t="shared" si="20"/>
        <v>0</v>
      </c>
      <c r="I23" s="26">
        <f t="shared" ref="I23" si="21">I10-I15-I20</f>
        <v>0</v>
      </c>
      <c r="J23" s="17">
        <f t="shared" si="20"/>
        <v>0</v>
      </c>
      <c r="L23" s="668">
        <f>B10-B15-B20-B23</f>
        <v>0</v>
      </c>
      <c r="M23" s="703">
        <f t="shared" ref="M23:S23" si="22">C10-C15-C20-C23</f>
        <v>0</v>
      </c>
      <c r="N23" s="703">
        <f t="shared" si="22"/>
        <v>0</v>
      </c>
      <c r="O23" s="703">
        <f t="shared" si="22"/>
        <v>0</v>
      </c>
      <c r="P23" s="703">
        <f t="shared" si="22"/>
        <v>0</v>
      </c>
      <c r="Q23" s="703">
        <f t="shared" si="22"/>
        <v>0</v>
      </c>
      <c r="R23" s="703">
        <f t="shared" si="22"/>
        <v>0</v>
      </c>
      <c r="S23" s="703">
        <f t="shared" si="22"/>
        <v>0</v>
      </c>
      <c r="T23" s="654">
        <f t="shared" si="18"/>
        <v>0</v>
      </c>
      <c r="AF23" s="668">
        <f>B23-BS!$F$21</f>
        <v>0</v>
      </c>
      <c r="AG23" s="703">
        <f>C23-BS!$F$22</f>
        <v>0</v>
      </c>
      <c r="AH23" s="703">
        <f>D23-BS!$F$23</f>
        <v>0</v>
      </c>
      <c r="AI23" s="703">
        <f>E23-BS!$F$24</f>
        <v>0</v>
      </c>
      <c r="AJ23" s="703">
        <f>F23-BS!$F$25</f>
        <v>0</v>
      </c>
      <c r="AK23" s="703">
        <f>G23-BS!$F$26</f>
        <v>0</v>
      </c>
      <c r="AL23" s="703">
        <f>H23-BS!$F$27</f>
        <v>0</v>
      </c>
      <c r="AM23" s="703">
        <f>I23-BS!$F$28</f>
        <v>0</v>
      </c>
      <c r="AN23" s="654">
        <f>J23-BS!$F$20</f>
        <v>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15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customHeight="1" thickTop="1" thickBot="1" x14ac:dyDescent="0.3">
      <c r="A27" s="1358" t="s">
        <v>40</v>
      </c>
      <c r="B27" s="1367" t="s">
        <v>3</v>
      </c>
      <c r="C27" s="1368"/>
      <c r="D27" s="1368"/>
      <c r="E27" s="1368"/>
      <c r="F27" s="1368"/>
      <c r="G27" s="1368"/>
      <c r="H27" s="1368"/>
      <c r="I27" s="1368"/>
      <c r="J27" s="1369"/>
      <c r="K27" s="395"/>
    </row>
    <row r="28" spans="1:40" ht="62.25" customHeight="1" thickTop="1" thickBot="1" x14ac:dyDescent="0.3">
      <c r="A28" s="1359"/>
      <c r="B28" s="10" t="s">
        <v>41</v>
      </c>
      <c r="C28" s="10" t="s">
        <v>42</v>
      </c>
      <c r="D28" s="10" t="s">
        <v>43</v>
      </c>
      <c r="E28" s="10" t="s">
        <v>444</v>
      </c>
      <c r="F28" s="10" t="s">
        <v>44</v>
      </c>
      <c r="G28" s="10" t="s">
        <v>45</v>
      </c>
      <c r="H28" s="10" t="s">
        <v>445</v>
      </c>
      <c r="I28" s="10" t="s">
        <v>46</v>
      </c>
      <c r="J28" s="10" t="s">
        <v>14</v>
      </c>
    </row>
    <row r="29" spans="1:40" ht="15" customHeight="1" thickTop="1" thickBot="1" x14ac:dyDescent="0.3">
      <c r="A29" s="41" t="s">
        <v>25</v>
      </c>
      <c r="B29" s="42"/>
      <c r="C29" s="42"/>
      <c r="D29" s="42"/>
      <c r="E29" s="42"/>
      <c r="F29" s="42"/>
      <c r="G29" s="42"/>
      <c r="H29" s="42"/>
      <c r="I29" s="42"/>
      <c r="J29" s="43"/>
      <c r="K29" s="395"/>
    </row>
    <row r="30" spans="1:40" ht="15" customHeight="1" thickTop="1" thickBot="1" x14ac:dyDescent="0.3">
      <c r="A30" s="44" t="s">
        <v>26</v>
      </c>
      <c r="B30" s="22"/>
      <c r="C30" s="22"/>
      <c r="D30" s="22"/>
      <c r="E30" s="22"/>
      <c r="F30" s="45"/>
      <c r="G30" s="22"/>
      <c r="H30" s="22"/>
      <c r="I30" s="22"/>
      <c r="J30" s="15">
        <f>SUM(B30:H30)</f>
        <v>0</v>
      </c>
      <c r="T30" s="654">
        <f>SUM(B30:I30)-J30</f>
        <v>0</v>
      </c>
    </row>
    <row r="31" spans="1:40" ht="15" customHeight="1" thickBot="1" x14ac:dyDescent="0.3">
      <c r="A31" s="14" t="s">
        <v>27</v>
      </c>
      <c r="B31" s="22"/>
      <c r="C31" s="22"/>
      <c r="D31" s="22"/>
      <c r="E31" s="22"/>
      <c r="F31" s="46"/>
      <c r="G31" s="22"/>
      <c r="H31" s="22"/>
      <c r="I31" s="22"/>
      <c r="J31" s="15">
        <f t="shared" ref="J31:J33" si="23">SUM(B31:H31)</f>
        <v>0</v>
      </c>
      <c r="T31" s="654">
        <f t="shared" ref="T31:T33" si="24">SUM(B31:I31)-J31</f>
        <v>0</v>
      </c>
    </row>
    <row r="32" spans="1:40" ht="15" customHeight="1" thickBot="1" x14ac:dyDescent="0.3">
      <c r="A32" s="14" t="s">
        <v>28</v>
      </c>
      <c r="B32" s="22"/>
      <c r="C32" s="22"/>
      <c r="D32" s="22"/>
      <c r="E32" s="22"/>
      <c r="F32" s="46"/>
      <c r="G32" s="22"/>
      <c r="H32" s="22"/>
      <c r="I32" s="22"/>
      <c r="J32" s="15">
        <f t="shared" si="23"/>
        <v>0</v>
      </c>
      <c r="T32" s="654">
        <f t="shared" si="24"/>
        <v>0</v>
      </c>
    </row>
    <row r="33" spans="1:40" ht="15" customHeight="1" thickBot="1" x14ac:dyDescent="0.3">
      <c r="A33" s="14" t="s">
        <v>29</v>
      </c>
      <c r="B33" s="22"/>
      <c r="C33" s="22"/>
      <c r="D33" s="22"/>
      <c r="E33" s="22"/>
      <c r="F33" s="46"/>
      <c r="G33" s="22"/>
      <c r="H33" s="22"/>
      <c r="I33" s="22"/>
      <c r="J33" s="15">
        <f t="shared" si="23"/>
        <v>0</v>
      </c>
      <c r="T33" s="654">
        <f t="shared" si="24"/>
        <v>0</v>
      </c>
    </row>
    <row r="34" spans="1:40" ht="15" customHeight="1" thickBot="1" x14ac:dyDescent="0.3">
      <c r="A34" s="25" t="s">
        <v>30</v>
      </c>
      <c r="B34" s="26">
        <f>B30+B31-B32+B33</f>
        <v>0</v>
      </c>
      <c r="C34" s="26">
        <f>C30+C31-C32+C33</f>
        <v>0</v>
      </c>
      <c r="D34" s="26">
        <f>D30+D31-D32+D33</f>
        <v>0</v>
      </c>
      <c r="E34" s="26">
        <f t="shared" ref="E34:H34" si="25">E30+E31-E32+E33</f>
        <v>0</v>
      </c>
      <c r="F34" s="26">
        <f t="shared" si="25"/>
        <v>0</v>
      </c>
      <c r="G34" s="26">
        <f t="shared" si="25"/>
        <v>0</v>
      </c>
      <c r="H34" s="26">
        <f t="shared" si="25"/>
        <v>0</v>
      </c>
      <c r="I34" s="26">
        <f>I30+I31-I32+I33</f>
        <v>0</v>
      </c>
      <c r="J34" s="17">
        <f>J30+J31-J32+J33</f>
        <v>0</v>
      </c>
      <c r="L34" s="668">
        <f>B30+B31-B32+B33-B34</f>
        <v>0</v>
      </c>
      <c r="M34" s="703">
        <f t="shared" ref="M34:T34" si="26">C30+C31-C32+C33-C34</f>
        <v>0</v>
      </c>
      <c r="N34" s="703">
        <f t="shared" si="26"/>
        <v>0</v>
      </c>
      <c r="O34" s="703">
        <f t="shared" si="26"/>
        <v>0</v>
      </c>
      <c r="P34" s="703">
        <f t="shared" si="26"/>
        <v>0</v>
      </c>
      <c r="Q34" s="703">
        <f t="shared" si="26"/>
        <v>0</v>
      </c>
      <c r="R34" s="703">
        <f t="shared" si="26"/>
        <v>0</v>
      </c>
      <c r="S34" s="703">
        <f t="shared" si="26"/>
        <v>0</v>
      </c>
      <c r="T34" s="703">
        <f t="shared" si="26"/>
        <v>0</v>
      </c>
    </row>
    <row r="35" spans="1:40" ht="15" customHeight="1" thickTop="1" thickBot="1" x14ac:dyDescent="0.3">
      <c r="A35" s="41" t="s">
        <v>31</v>
      </c>
      <c r="B35" s="42"/>
      <c r="C35" s="42"/>
      <c r="D35" s="42"/>
      <c r="E35" s="42"/>
      <c r="F35" s="42"/>
      <c r="G35" s="42"/>
      <c r="H35" s="42"/>
      <c r="I35" s="42"/>
      <c r="J35" s="43"/>
      <c r="L35" s="652"/>
      <c r="T35" s="654"/>
    </row>
    <row r="36" spans="1:40" ht="15" customHeight="1" thickTop="1" thickBot="1" x14ac:dyDescent="0.3">
      <c r="A36" s="44" t="s">
        <v>32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652"/>
      <c r="T36" s="654">
        <f t="shared" ref="T36:T38" si="27">SUM(B36:I36)-J36</f>
        <v>0</v>
      </c>
    </row>
    <row r="37" spans="1:40" ht="15" customHeight="1" thickBot="1" x14ac:dyDescent="0.3">
      <c r="A37" s="14" t="s">
        <v>27</v>
      </c>
      <c r="B37" s="22"/>
      <c r="C37" s="22"/>
      <c r="D37" s="22"/>
      <c r="E37" s="22"/>
      <c r="F37" s="22"/>
      <c r="G37" s="22"/>
      <c r="H37" s="22"/>
      <c r="I37" s="22"/>
      <c r="J37" s="15">
        <f t="shared" ref="J37:J38" si="28">SUM(B37:H37)</f>
        <v>0</v>
      </c>
      <c r="L37" s="652"/>
      <c r="T37" s="654">
        <f t="shared" si="27"/>
        <v>0</v>
      </c>
    </row>
    <row r="38" spans="1:40" ht="15" customHeight="1" thickBot="1" x14ac:dyDescent="0.3">
      <c r="A38" s="14" t="s">
        <v>28</v>
      </c>
      <c r="B38" s="22"/>
      <c r="C38" s="22"/>
      <c r="D38" s="22"/>
      <c r="E38" s="22"/>
      <c r="F38" s="22"/>
      <c r="G38" s="22"/>
      <c r="H38" s="22"/>
      <c r="I38" s="22"/>
      <c r="J38" s="15">
        <f t="shared" si="28"/>
        <v>0</v>
      </c>
      <c r="L38" s="652"/>
      <c r="T38" s="654">
        <f t="shared" si="27"/>
        <v>0</v>
      </c>
    </row>
    <row r="39" spans="1:40" ht="15" customHeight="1" thickBot="1" x14ac:dyDescent="0.3">
      <c r="A39" s="25" t="s">
        <v>30</v>
      </c>
      <c r="B39" s="26">
        <f>B36+B37-B38</f>
        <v>0</v>
      </c>
      <c r="C39" s="26">
        <f>C36+C37-C38</f>
        <v>0</v>
      </c>
      <c r="D39" s="26">
        <f t="shared" ref="D39:I39" si="29">D36+D37-D38</f>
        <v>0</v>
      </c>
      <c r="E39" s="26">
        <f t="shared" si="29"/>
        <v>0</v>
      </c>
      <c r="F39" s="26">
        <f t="shared" si="29"/>
        <v>0</v>
      </c>
      <c r="G39" s="26">
        <f t="shared" si="29"/>
        <v>0</v>
      </c>
      <c r="H39" s="26">
        <f t="shared" si="29"/>
        <v>0</v>
      </c>
      <c r="I39" s="26">
        <f t="shared" si="29"/>
        <v>0</v>
      </c>
      <c r="J39" s="17">
        <f>J36+J37-J38</f>
        <v>0</v>
      </c>
      <c r="L39" s="668">
        <f>B36+B37-B38-B39</f>
        <v>0</v>
      </c>
      <c r="M39" s="703">
        <f t="shared" ref="M39:T39" si="30">C36+C37-C38-C39</f>
        <v>0</v>
      </c>
      <c r="N39" s="703">
        <f t="shared" si="30"/>
        <v>0</v>
      </c>
      <c r="O39" s="703">
        <f t="shared" si="30"/>
        <v>0</v>
      </c>
      <c r="P39" s="703">
        <f t="shared" si="30"/>
        <v>0</v>
      </c>
      <c r="Q39" s="703">
        <f t="shared" si="30"/>
        <v>0</v>
      </c>
      <c r="R39" s="703">
        <f t="shared" si="30"/>
        <v>0</v>
      </c>
      <c r="S39" s="703">
        <f t="shared" si="30"/>
        <v>0</v>
      </c>
      <c r="T39" s="703">
        <f t="shared" si="30"/>
        <v>0</v>
      </c>
    </row>
    <row r="40" spans="1:40" ht="15" customHeight="1" thickTop="1" thickBot="1" x14ac:dyDescent="0.3">
      <c r="A40" s="41" t="s">
        <v>33</v>
      </c>
      <c r="B40" s="42"/>
      <c r="C40" s="42"/>
      <c r="D40" s="42"/>
      <c r="E40" s="42"/>
      <c r="F40" s="42"/>
      <c r="G40" s="42"/>
      <c r="H40" s="42"/>
      <c r="I40" s="42"/>
      <c r="J40" s="43"/>
      <c r="L40" s="652"/>
      <c r="T40" s="654"/>
    </row>
    <row r="41" spans="1:40" ht="15" customHeight="1" thickTop="1" thickBot="1" x14ac:dyDescent="0.3">
      <c r="A41" s="44" t="s">
        <v>32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652"/>
      <c r="T41" s="654">
        <f t="shared" ref="T41:T43" si="31">SUM(B41:I41)-J41</f>
        <v>0</v>
      </c>
    </row>
    <row r="42" spans="1:40" ht="15" customHeight="1" thickBot="1" x14ac:dyDescent="0.3">
      <c r="A42" s="14" t="s">
        <v>27</v>
      </c>
      <c r="B42" s="22"/>
      <c r="C42" s="22"/>
      <c r="D42" s="22"/>
      <c r="E42" s="22"/>
      <c r="F42" s="22"/>
      <c r="G42" s="22"/>
      <c r="H42" s="22"/>
      <c r="I42" s="22"/>
      <c r="J42" s="15">
        <f t="shared" ref="J42:J43" si="32">SUM(B42:H42)</f>
        <v>0</v>
      </c>
      <c r="L42" s="652"/>
      <c r="T42" s="654">
        <f t="shared" si="31"/>
        <v>0</v>
      </c>
    </row>
    <row r="43" spans="1:40" ht="15" customHeight="1" thickBot="1" x14ac:dyDescent="0.3">
      <c r="A43" s="14" t="s">
        <v>28</v>
      </c>
      <c r="B43" s="22"/>
      <c r="C43" s="22"/>
      <c r="D43" s="22"/>
      <c r="E43" s="22"/>
      <c r="F43" s="22"/>
      <c r="G43" s="22"/>
      <c r="H43" s="22"/>
      <c r="I43" s="22"/>
      <c r="J43" s="15">
        <f t="shared" si="32"/>
        <v>0</v>
      </c>
      <c r="L43" s="652"/>
      <c r="T43" s="654">
        <f t="shared" si="31"/>
        <v>0</v>
      </c>
    </row>
    <row r="44" spans="1:40" ht="15" customHeight="1" thickBot="1" x14ac:dyDescent="0.3">
      <c r="A44" s="25" t="s">
        <v>30</v>
      </c>
      <c r="B44" s="26">
        <f>B41+B42-B43</f>
        <v>0</v>
      </c>
      <c r="C44" s="26">
        <f>C41+C42-C43</f>
        <v>0</v>
      </c>
      <c r="D44" s="26">
        <f t="shared" ref="D44:I44" si="33">D41+D42-D43</f>
        <v>0</v>
      </c>
      <c r="E44" s="26">
        <f t="shared" si="33"/>
        <v>0</v>
      </c>
      <c r="F44" s="26">
        <f t="shared" si="33"/>
        <v>0</v>
      </c>
      <c r="G44" s="26">
        <f t="shared" si="33"/>
        <v>0</v>
      </c>
      <c r="H44" s="26">
        <f t="shared" si="33"/>
        <v>0</v>
      </c>
      <c r="I44" s="26">
        <f t="shared" si="33"/>
        <v>0</v>
      </c>
      <c r="J44" s="17">
        <f>J41+J42-J43</f>
        <v>0</v>
      </c>
      <c r="L44" s="668">
        <f>B41+B42-B43-B44</f>
        <v>0</v>
      </c>
      <c r="M44" s="703">
        <f t="shared" ref="M44:T44" si="34">C41+C42-C43-C44</f>
        <v>0</v>
      </c>
      <c r="N44" s="703">
        <f t="shared" si="34"/>
        <v>0</v>
      </c>
      <c r="O44" s="703">
        <f t="shared" si="34"/>
        <v>0</v>
      </c>
      <c r="P44" s="703">
        <f t="shared" si="34"/>
        <v>0</v>
      </c>
      <c r="Q44" s="703">
        <f t="shared" si="34"/>
        <v>0</v>
      </c>
      <c r="R44" s="703">
        <f t="shared" si="34"/>
        <v>0</v>
      </c>
      <c r="S44" s="703">
        <f t="shared" si="34"/>
        <v>0</v>
      </c>
      <c r="T44" s="703">
        <f t="shared" si="34"/>
        <v>0</v>
      </c>
    </row>
    <row r="45" spans="1:40" ht="15" customHeight="1" thickTop="1" thickBot="1" x14ac:dyDescent="0.3">
      <c r="A45" s="41" t="s">
        <v>34</v>
      </c>
      <c r="B45" s="42"/>
      <c r="C45" s="42"/>
      <c r="D45" s="42"/>
      <c r="E45" s="42"/>
      <c r="F45" s="42"/>
      <c r="G45" s="42"/>
      <c r="H45" s="42"/>
      <c r="I45" s="42"/>
      <c r="J45" s="43"/>
      <c r="L45" s="652"/>
      <c r="T45" s="654"/>
    </row>
    <row r="46" spans="1:40" ht="15" customHeight="1" thickTop="1" thickBot="1" x14ac:dyDescent="0.3">
      <c r="A46" s="44" t="s">
        <v>32</v>
      </c>
      <c r="B46" s="22">
        <f>B30-B36-B41</f>
        <v>0</v>
      </c>
      <c r="C46" s="22">
        <f t="shared" ref="C46:J46" si="35">C30-C36-C41</f>
        <v>0</v>
      </c>
      <c r="D46" s="22">
        <f t="shared" si="35"/>
        <v>0</v>
      </c>
      <c r="E46" s="22">
        <f t="shared" si="35"/>
        <v>0</v>
      </c>
      <c r="F46" s="22">
        <f t="shared" si="35"/>
        <v>0</v>
      </c>
      <c r="G46" s="22">
        <f t="shared" si="35"/>
        <v>0</v>
      </c>
      <c r="H46" s="22">
        <f t="shared" si="35"/>
        <v>0</v>
      </c>
      <c r="I46" s="22">
        <f t="shared" si="35"/>
        <v>0</v>
      </c>
      <c r="J46" s="15">
        <f t="shared" si="35"/>
        <v>0</v>
      </c>
      <c r="L46" s="668">
        <f>B30-B36-B41-B46</f>
        <v>0</v>
      </c>
      <c r="M46" s="703">
        <f t="shared" ref="M46:S46" si="36">C30-C36-C41-C46</f>
        <v>0</v>
      </c>
      <c r="N46" s="703">
        <f t="shared" si="36"/>
        <v>0</v>
      </c>
      <c r="O46" s="703">
        <f t="shared" si="36"/>
        <v>0</v>
      </c>
      <c r="P46" s="703">
        <f t="shared" si="36"/>
        <v>0</v>
      </c>
      <c r="Q46" s="703">
        <f t="shared" si="36"/>
        <v>0</v>
      </c>
      <c r="R46" s="703">
        <f t="shared" si="36"/>
        <v>0</v>
      </c>
      <c r="S46" s="703">
        <f t="shared" si="36"/>
        <v>0</v>
      </c>
      <c r="T46" s="654">
        <f t="shared" ref="T46:T47" si="37">SUM(B46:I46)-J46</f>
        <v>0</v>
      </c>
    </row>
    <row r="47" spans="1:40" ht="15" customHeight="1" thickBot="1" x14ac:dyDescent="0.3">
      <c r="A47" s="25" t="s">
        <v>30</v>
      </c>
      <c r="B47" s="26">
        <f>B34-B39-B44</f>
        <v>0</v>
      </c>
      <c r="C47" s="26">
        <f t="shared" ref="C47:J47" si="38">C34-C39-C44</f>
        <v>0</v>
      </c>
      <c r="D47" s="26">
        <f t="shared" si="38"/>
        <v>0</v>
      </c>
      <c r="E47" s="26">
        <f t="shared" si="38"/>
        <v>0</v>
      </c>
      <c r="F47" s="26">
        <f t="shared" si="38"/>
        <v>0</v>
      </c>
      <c r="G47" s="26">
        <f t="shared" si="38"/>
        <v>0</v>
      </c>
      <c r="H47" s="26">
        <f t="shared" si="38"/>
        <v>0</v>
      </c>
      <c r="I47" s="26">
        <f t="shared" si="38"/>
        <v>0</v>
      </c>
      <c r="J47" s="17">
        <f t="shared" si="38"/>
        <v>0</v>
      </c>
      <c r="L47" s="668">
        <f>B34-B39-B44-B47</f>
        <v>0</v>
      </c>
      <c r="M47" s="703">
        <f t="shared" ref="M47:S47" si="39">C34-C39-C44-C47</f>
        <v>0</v>
      </c>
      <c r="N47" s="703">
        <f t="shared" si="39"/>
        <v>0</v>
      </c>
      <c r="O47" s="703">
        <f t="shared" si="39"/>
        <v>0</v>
      </c>
      <c r="P47" s="703">
        <f t="shared" si="39"/>
        <v>0</v>
      </c>
      <c r="Q47" s="703">
        <f t="shared" si="39"/>
        <v>0</v>
      </c>
      <c r="R47" s="703">
        <f t="shared" si="39"/>
        <v>0</v>
      </c>
      <c r="S47" s="703">
        <f t="shared" si="39"/>
        <v>0</v>
      </c>
      <c r="T47" s="654">
        <f t="shared" si="37"/>
        <v>0</v>
      </c>
      <c r="AF47" s="668">
        <f>B47-BS!$G$21</f>
        <v>0</v>
      </c>
      <c r="AG47" s="703">
        <f>C47-BS!$G$22</f>
        <v>0</v>
      </c>
      <c r="AH47" s="703">
        <f>D47-BS!$G$23</f>
        <v>0</v>
      </c>
      <c r="AI47" s="703">
        <f>E47-BS!$G$24</f>
        <v>0</v>
      </c>
      <c r="AJ47" s="703">
        <f>F47-BS!$G$25</f>
        <v>0</v>
      </c>
      <c r="AK47" s="703">
        <f>G47-BS!$G$26</f>
        <v>0</v>
      </c>
      <c r="AL47" s="703">
        <f>H47-BS!$G$27</f>
        <v>0</v>
      </c>
      <c r="AM47" s="703">
        <f>I47-BS!$G$28</f>
        <v>0</v>
      </c>
      <c r="AN47" s="654">
        <f>J47-BS!$G$20</f>
        <v>0</v>
      </c>
    </row>
    <row r="48" spans="1:40" ht="15.75" thickTop="1" x14ac:dyDescent="0.25"/>
  </sheetData>
  <mergeCells count="7">
    <mergeCell ref="V1:AD1"/>
    <mergeCell ref="AF1:AN1"/>
    <mergeCell ref="A3:A4"/>
    <mergeCell ref="A27:A28"/>
    <mergeCell ref="B27:J27"/>
    <mergeCell ref="B3:J3"/>
    <mergeCell ref="L1:T1"/>
  </mergeCells>
  <conditionalFormatting sqref="L6:T23 V6:AD22 AF10:AN29">
    <cfRule type="cellIs" dxfId="247" priority="57" operator="lessThan">
      <formula>0</formula>
    </cfRule>
    <cfRule type="cellIs" dxfId="246" priority="58" operator="greaterThan">
      <formula>0</formula>
    </cfRule>
  </conditionalFormatting>
  <conditionalFormatting sqref="L30:T47">
    <cfRule type="cellIs" dxfId="245" priority="55" operator="lessThan">
      <formula>0</formula>
    </cfRule>
    <cfRule type="cellIs" dxfId="244" priority="56" operator="greaterThan">
      <formula>0</formula>
    </cfRule>
  </conditionalFormatting>
  <conditionalFormatting sqref="AF30:AN47">
    <cfRule type="cellIs" dxfId="243" priority="51" operator="lessThan">
      <formula>0</formula>
    </cfRule>
    <cfRule type="cellIs" dxfId="242" priority="52" operator="greaterThan">
      <formula>0</formula>
    </cfRule>
  </conditionalFormatting>
  <conditionalFormatting sqref="L30:T47">
    <cfRule type="cellIs" dxfId="241" priority="49" operator="lessThan">
      <formula>0</formula>
    </cfRule>
    <cfRule type="cellIs" dxfId="240" priority="50" operator="greaterThan">
      <formula>0</formula>
    </cfRule>
  </conditionalFormatting>
  <conditionalFormatting sqref="L6:T23">
    <cfRule type="cellIs" dxfId="239" priority="47" operator="lessThan">
      <formula>0</formula>
    </cfRule>
    <cfRule type="cellIs" dxfId="238" priority="48" operator="greaterThan">
      <formula>0</formula>
    </cfRule>
  </conditionalFormatting>
  <conditionalFormatting sqref="L30:T47">
    <cfRule type="cellIs" dxfId="237" priority="45" operator="lessThan">
      <formula>0</formula>
    </cfRule>
    <cfRule type="cellIs" dxfId="236" priority="46" operator="greaterThan">
      <formula>0</formula>
    </cfRule>
  </conditionalFormatting>
  <conditionalFormatting sqref="L30:T47">
    <cfRule type="cellIs" dxfId="235" priority="43" operator="lessThan">
      <formula>0</formula>
    </cfRule>
    <cfRule type="cellIs" dxfId="234" priority="44" operator="greaterThan">
      <formula>0</formula>
    </cfRule>
  </conditionalFormatting>
  <conditionalFormatting sqref="M10:T10 L15:T15 L20:T20 M11:S14 L10:L14 L16:S19 L21:S23">
    <cfRule type="cellIs" dxfId="233" priority="41" operator="lessThan">
      <formula>0</formula>
    </cfRule>
    <cfRule type="cellIs" dxfId="232" priority="42" operator="greaterThan">
      <formula>0</formula>
    </cfRule>
  </conditionalFormatting>
  <conditionalFormatting sqref="T10">
    <cfRule type="cellIs" dxfId="231" priority="39" operator="lessThan">
      <formula>0</formula>
    </cfRule>
    <cfRule type="cellIs" dxfId="230" priority="40" operator="greaterThan">
      <formula>0</formula>
    </cfRule>
  </conditionalFormatting>
  <conditionalFormatting sqref="T15">
    <cfRule type="cellIs" dxfId="229" priority="37" operator="lessThan">
      <formula>0</formula>
    </cfRule>
    <cfRule type="cellIs" dxfId="228" priority="38" operator="greaterThan">
      <formula>0</formula>
    </cfRule>
  </conditionalFormatting>
  <conditionalFormatting sqref="T20">
    <cfRule type="cellIs" dxfId="227" priority="35" operator="lessThan">
      <formula>0</formula>
    </cfRule>
    <cfRule type="cellIs" dxfId="226" priority="36" operator="greaterThan">
      <formula>0</formula>
    </cfRule>
  </conditionalFormatting>
  <conditionalFormatting sqref="T10">
    <cfRule type="cellIs" dxfId="225" priority="33" operator="lessThan">
      <formula>0</formula>
    </cfRule>
    <cfRule type="cellIs" dxfId="224" priority="34" operator="greaterThan">
      <formula>0</formula>
    </cfRule>
  </conditionalFormatting>
  <conditionalFormatting sqref="T15">
    <cfRule type="cellIs" dxfId="223" priority="31" operator="lessThan">
      <formula>0</formula>
    </cfRule>
    <cfRule type="cellIs" dxfId="222" priority="32" operator="greaterThan">
      <formula>0</formula>
    </cfRule>
  </conditionalFormatting>
  <conditionalFormatting sqref="T15">
    <cfRule type="cellIs" dxfId="221" priority="29" operator="lessThan">
      <formula>0</formula>
    </cfRule>
    <cfRule type="cellIs" dxfId="220" priority="30" operator="greaterThan">
      <formula>0</formula>
    </cfRule>
  </conditionalFormatting>
  <conditionalFormatting sqref="T20">
    <cfRule type="cellIs" dxfId="219" priority="27" operator="lessThan">
      <formula>0</formula>
    </cfRule>
    <cfRule type="cellIs" dxfId="218" priority="28" operator="greaterThan">
      <formula>0</formula>
    </cfRule>
  </conditionalFormatting>
  <conditionalFormatting sqref="T20">
    <cfRule type="cellIs" dxfId="217" priority="25" operator="lessThan">
      <formula>0</formula>
    </cfRule>
    <cfRule type="cellIs" dxfId="216" priority="26" operator="greaterThan">
      <formula>0</formula>
    </cfRule>
  </conditionalFormatting>
  <conditionalFormatting sqref="T20">
    <cfRule type="cellIs" dxfId="215" priority="23" operator="lessThan">
      <formula>0</formula>
    </cfRule>
    <cfRule type="cellIs" dxfId="214" priority="24" operator="greaterThan">
      <formula>0</formula>
    </cfRule>
  </conditionalFormatting>
  <conditionalFormatting sqref="L30:T47">
    <cfRule type="cellIs" dxfId="213" priority="21" operator="lessThan">
      <formula>0</formula>
    </cfRule>
    <cfRule type="cellIs" dxfId="212" priority="22" operator="greaterThan">
      <formula>0</formula>
    </cfRule>
  </conditionalFormatting>
  <conditionalFormatting sqref="M34:T34 L39:T39 L44:T44 M35:S38 L34:L38 L40:S43 L45:S47">
    <cfRule type="cellIs" dxfId="211" priority="19" operator="lessThan">
      <formula>0</formula>
    </cfRule>
    <cfRule type="cellIs" dxfId="210" priority="20" operator="greaterThan">
      <formula>0</formula>
    </cfRule>
  </conditionalFormatting>
  <conditionalFormatting sqref="T34">
    <cfRule type="cellIs" dxfId="209" priority="17" operator="lessThan">
      <formula>0</formula>
    </cfRule>
    <cfRule type="cellIs" dxfId="208" priority="18" operator="greaterThan">
      <formula>0</formula>
    </cfRule>
  </conditionalFormatting>
  <conditionalFormatting sqref="T39">
    <cfRule type="cellIs" dxfId="207" priority="15" operator="lessThan">
      <formula>0</formula>
    </cfRule>
    <cfRule type="cellIs" dxfId="206" priority="16" operator="greaterThan">
      <formula>0</formula>
    </cfRule>
  </conditionalFormatting>
  <conditionalFormatting sqref="T44">
    <cfRule type="cellIs" dxfId="205" priority="13" operator="lessThan">
      <formula>0</formula>
    </cfRule>
    <cfRule type="cellIs" dxfId="204" priority="14" operator="greaterThan">
      <formula>0</formula>
    </cfRule>
  </conditionalFormatting>
  <conditionalFormatting sqref="T34">
    <cfRule type="cellIs" dxfId="203" priority="11" operator="lessThan">
      <formula>0</formula>
    </cfRule>
    <cfRule type="cellIs" dxfId="202" priority="12" operator="greaterThan">
      <formula>0</formula>
    </cfRule>
  </conditionalFormatting>
  <conditionalFormatting sqref="T39">
    <cfRule type="cellIs" dxfId="201" priority="9" operator="lessThan">
      <formula>0</formula>
    </cfRule>
    <cfRule type="cellIs" dxfId="200" priority="10" operator="greaterThan">
      <formula>0</formula>
    </cfRule>
  </conditionalFormatting>
  <conditionalFormatting sqref="T39">
    <cfRule type="cellIs" dxfId="199" priority="7" operator="lessThan">
      <formula>0</formula>
    </cfRule>
    <cfRule type="cellIs" dxfId="198" priority="8" operator="greaterThan">
      <formula>0</formula>
    </cfRule>
  </conditionalFormatting>
  <conditionalFormatting sqref="T44">
    <cfRule type="cellIs" dxfId="197" priority="5" operator="lessThan">
      <formula>0</formula>
    </cfRule>
    <cfRule type="cellIs" dxfId="196" priority="6" operator="greaterThan">
      <formula>0</formula>
    </cfRule>
  </conditionalFormatting>
  <conditionalFormatting sqref="T44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T44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zoomScaleNormal="10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47</v>
      </c>
    </row>
    <row r="2" spans="1:2" ht="21" customHeight="1" thickTop="1" thickBot="1" x14ac:dyDescent="0.3">
      <c r="A2" s="10" t="s">
        <v>40</v>
      </c>
      <c r="B2" s="11" t="s">
        <v>36</v>
      </c>
    </row>
    <row r="3" spans="1:2" ht="23.25" customHeight="1" thickTop="1" thickBot="1" x14ac:dyDescent="0.3">
      <c r="A3" s="12" t="s">
        <v>48</v>
      </c>
      <c r="B3" s="13"/>
    </row>
    <row r="4" spans="1:2" ht="23.25" customHeight="1" thickBot="1" x14ac:dyDescent="0.3">
      <c r="A4" s="16" t="s">
        <v>49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391"/>
    <col min="12" max="19" width="9.140625" style="387" customWidth="1" outlineLevel="1"/>
    <col min="20" max="20" width="18.28515625" style="391" customWidth="1"/>
    <col min="21" max="21" width="9.140625" style="393"/>
    <col min="22" max="22" width="9.140625" style="387" customWidth="1" outlineLevel="1"/>
    <col min="23" max="29" width="9.140625" customWidth="1" outlineLevel="1"/>
    <col min="30" max="30" width="26.85546875" style="391" customWidth="1"/>
    <col min="31" max="31" width="9.140625" style="391"/>
    <col min="32" max="32" width="9.140625" style="386" customWidth="1" outlineLevel="1"/>
    <col min="33" max="39" width="9.140625" customWidth="1" outlineLevel="1"/>
    <col min="40" max="40" width="26.7109375" style="391" customWidth="1"/>
  </cols>
  <sheetData>
    <row r="1" spans="1:40" ht="16.5" x14ac:dyDescent="0.3">
      <c r="A1" s="1" t="s">
        <v>50</v>
      </c>
      <c r="L1" s="1370" t="s">
        <v>1138</v>
      </c>
      <c r="M1" s="1371"/>
      <c r="N1" s="1371"/>
      <c r="O1" s="1371"/>
      <c r="P1" s="1371"/>
      <c r="Q1" s="1371"/>
      <c r="R1" s="1371"/>
      <c r="S1" s="1371"/>
      <c r="T1" s="1372"/>
      <c r="V1" s="1370" t="s">
        <v>1139</v>
      </c>
      <c r="W1" s="1371"/>
      <c r="X1" s="1371"/>
      <c r="Y1" s="1371"/>
      <c r="Z1" s="1371"/>
      <c r="AA1" s="1371"/>
      <c r="AB1" s="1371"/>
      <c r="AC1" s="1371"/>
      <c r="AD1" s="1372"/>
      <c r="AF1" s="1370" t="s">
        <v>1140</v>
      </c>
      <c r="AG1" s="1371"/>
      <c r="AH1" s="1371"/>
      <c r="AI1" s="1371"/>
      <c r="AJ1" s="1371"/>
      <c r="AK1" s="1371"/>
      <c r="AL1" s="1371"/>
      <c r="AM1" s="1371"/>
      <c r="AN1" s="1372"/>
    </row>
    <row r="2" spans="1:40" ht="17.25" thickBot="1" x14ac:dyDescent="0.35">
      <c r="A2" s="2" t="s">
        <v>8</v>
      </c>
    </row>
    <row r="3" spans="1:40" ht="16.5" thickTop="1" thickBot="1" x14ac:dyDescent="0.3">
      <c r="A3" s="1358" t="s">
        <v>55</v>
      </c>
      <c r="B3" s="1360" t="s">
        <v>2</v>
      </c>
      <c r="C3" s="1366"/>
      <c r="D3" s="1366"/>
      <c r="E3" s="1366"/>
      <c r="F3" s="1366"/>
      <c r="G3" s="1366"/>
      <c r="H3" s="1366"/>
      <c r="I3" s="1366"/>
      <c r="J3" s="1361"/>
      <c r="K3" s="395"/>
    </row>
    <row r="4" spans="1:40" ht="60.75" customHeight="1" thickTop="1" thickBot="1" x14ac:dyDescent="0.3">
      <c r="A4" s="1365"/>
      <c r="B4" s="10" t="s">
        <v>51</v>
      </c>
      <c r="C4" s="137" t="s">
        <v>495</v>
      </c>
      <c r="D4" s="10" t="s">
        <v>52</v>
      </c>
      <c r="E4" s="137" t="s">
        <v>494</v>
      </c>
      <c r="F4" s="10" t="s">
        <v>53</v>
      </c>
      <c r="G4" s="10" t="s">
        <v>54</v>
      </c>
      <c r="H4" s="11" t="s">
        <v>446</v>
      </c>
      <c r="I4" s="10" t="s">
        <v>447</v>
      </c>
      <c r="J4" s="10" t="s">
        <v>14</v>
      </c>
      <c r="K4" s="387"/>
      <c r="L4" s="59" t="s">
        <v>51</v>
      </c>
      <c r="M4" s="438" t="s">
        <v>495</v>
      </c>
      <c r="N4" s="59" t="s">
        <v>52</v>
      </c>
      <c r="O4" s="438" t="s">
        <v>494</v>
      </c>
      <c r="P4" s="59" t="s">
        <v>53</v>
      </c>
      <c r="Q4" s="59" t="s">
        <v>54</v>
      </c>
      <c r="R4" s="438" t="s">
        <v>446</v>
      </c>
      <c r="S4" s="59" t="s">
        <v>447</v>
      </c>
      <c r="T4" s="59" t="s">
        <v>14</v>
      </c>
      <c r="U4" s="387"/>
      <c r="V4" s="59" t="s">
        <v>51</v>
      </c>
      <c r="W4" s="438" t="s">
        <v>495</v>
      </c>
      <c r="X4" s="59" t="s">
        <v>52</v>
      </c>
      <c r="Y4" s="438" t="s">
        <v>494</v>
      </c>
      <c r="Z4" s="59" t="s">
        <v>53</v>
      </c>
      <c r="AA4" s="59" t="s">
        <v>54</v>
      </c>
      <c r="AB4" s="438" t="s">
        <v>446</v>
      </c>
      <c r="AC4" s="59" t="s">
        <v>447</v>
      </c>
      <c r="AD4" s="59" t="s">
        <v>14</v>
      </c>
      <c r="AE4" s="387"/>
      <c r="AF4" s="59" t="s">
        <v>51</v>
      </c>
      <c r="AG4" s="438" t="s">
        <v>495</v>
      </c>
      <c r="AH4" s="59" t="s">
        <v>52</v>
      </c>
      <c r="AI4" s="438" t="s">
        <v>494</v>
      </c>
      <c r="AJ4" s="59" t="s">
        <v>53</v>
      </c>
      <c r="AK4" s="59" t="s">
        <v>54</v>
      </c>
      <c r="AL4" s="438" t="s">
        <v>446</v>
      </c>
      <c r="AM4" s="59" t="s">
        <v>447</v>
      </c>
      <c r="AN4" s="59" t="s">
        <v>14</v>
      </c>
    </row>
    <row r="5" spans="1:40" ht="15" customHeight="1" thickTop="1" thickBot="1" x14ac:dyDescent="0.3">
      <c r="A5" s="41" t="s">
        <v>25</v>
      </c>
      <c r="B5" s="42"/>
      <c r="C5" s="42"/>
      <c r="D5" s="42"/>
      <c r="E5" s="42"/>
      <c r="F5" s="42"/>
      <c r="G5" s="42"/>
      <c r="H5" s="42"/>
      <c r="I5" s="42"/>
      <c r="J5" s="43"/>
      <c r="K5" s="395"/>
    </row>
    <row r="6" spans="1:40" ht="15" customHeight="1" thickTop="1" thickBot="1" x14ac:dyDescent="0.3">
      <c r="A6" s="44" t="s">
        <v>26</v>
      </c>
      <c r="B6" s="22"/>
      <c r="C6" s="22"/>
      <c r="D6" s="22"/>
      <c r="E6" s="22"/>
      <c r="F6" s="45"/>
      <c r="G6" s="22"/>
      <c r="H6" s="22"/>
      <c r="I6" s="22"/>
      <c r="J6" s="15">
        <f>SUM(B6:H6)</f>
        <v>0</v>
      </c>
      <c r="T6" s="392">
        <f>SUM(B6:I6)-J6</f>
        <v>0</v>
      </c>
      <c r="V6" s="388">
        <f>B6-B34</f>
        <v>0</v>
      </c>
      <c r="W6" s="388">
        <f t="shared" ref="W6:AB6" si="0">C6-C34</f>
        <v>0</v>
      </c>
      <c r="X6" s="388">
        <f t="shared" si="0"/>
        <v>0</v>
      </c>
      <c r="Y6" s="388">
        <f t="shared" si="0"/>
        <v>0</v>
      </c>
      <c r="Z6" s="388">
        <f t="shared" si="0"/>
        <v>0</v>
      </c>
      <c r="AA6" s="388">
        <f t="shared" si="0"/>
        <v>0</v>
      </c>
      <c r="AB6" s="388">
        <f t="shared" si="0"/>
        <v>0</v>
      </c>
      <c r="AC6" s="388">
        <f>I6-I34</f>
        <v>0</v>
      </c>
      <c r="AD6" s="392">
        <f>J6-J34</f>
        <v>0</v>
      </c>
    </row>
    <row r="7" spans="1:40" ht="15" customHeight="1" thickBot="1" x14ac:dyDescent="0.3">
      <c r="A7" s="14" t="s">
        <v>27</v>
      </c>
      <c r="B7" s="22"/>
      <c r="C7" s="22"/>
      <c r="D7" s="22"/>
      <c r="E7" s="22"/>
      <c r="F7" s="46"/>
      <c r="G7" s="22"/>
      <c r="H7" s="22"/>
      <c r="I7" s="22"/>
      <c r="J7" s="15">
        <f t="shared" ref="J7:J9" si="1">SUM(B7:H7)</f>
        <v>0</v>
      </c>
      <c r="T7" s="392">
        <f t="shared" ref="T7:T9" si="2">SUM(B7:I7)-J7</f>
        <v>0</v>
      </c>
      <c r="W7" s="387"/>
      <c r="X7" s="387"/>
      <c r="Y7" s="387"/>
      <c r="Z7" s="387"/>
      <c r="AA7" s="387"/>
      <c r="AB7" s="387"/>
      <c r="AC7" s="387"/>
    </row>
    <row r="8" spans="1:40" ht="15" customHeight="1" thickBot="1" x14ac:dyDescent="0.3">
      <c r="A8" s="14" t="s">
        <v>28</v>
      </c>
      <c r="B8" s="22"/>
      <c r="C8" s="22"/>
      <c r="D8" s="22"/>
      <c r="E8" s="22"/>
      <c r="F8" s="46"/>
      <c r="G8" s="22"/>
      <c r="H8" s="22"/>
      <c r="I8" s="22"/>
      <c r="J8" s="15">
        <f t="shared" si="1"/>
        <v>0</v>
      </c>
      <c r="T8" s="392">
        <f t="shared" si="2"/>
        <v>0</v>
      </c>
      <c r="W8" s="387"/>
      <c r="X8" s="387"/>
      <c r="Y8" s="387"/>
      <c r="Z8" s="387"/>
      <c r="AA8" s="387"/>
      <c r="AB8" s="387"/>
      <c r="AC8" s="387"/>
    </row>
    <row r="9" spans="1:40" ht="15" customHeight="1" thickBot="1" x14ac:dyDescent="0.3">
      <c r="A9" s="14" t="s">
        <v>29</v>
      </c>
      <c r="B9" s="22"/>
      <c r="C9" s="22"/>
      <c r="D9" s="22"/>
      <c r="E9" s="22"/>
      <c r="F9" s="46"/>
      <c r="G9" s="22"/>
      <c r="H9" s="22"/>
      <c r="I9" s="22"/>
      <c r="J9" s="15">
        <f t="shared" si="1"/>
        <v>0</v>
      </c>
      <c r="T9" s="392">
        <f t="shared" si="2"/>
        <v>0</v>
      </c>
      <c r="W9" s="387"/>
      <c r="X9" s="387"/>
      <c r="Y9" s="387"/>
      <c r="Z9" s="387"/>
      <c r="AA9" s="387"/>
      <c r="AB9" s="387"/>
      <c r="AC9" s="387"/>
    </row>
    <row r="10" spans="1:40" ht="15" customHeight="1" thickBot="1" x14ac:dyDescent="0.3">
      <c r="A10" s="25" t="s">
        <v>30</v>
      </c>
      <c r="B10" s="26">
        <f>B6+B7-B8+B9</f>
        <v>0</v>
      </c>
      <c r="C10" s="26">
        <f>C6+C7-C8+C9</f>
        <v>0</v>
      </c>
      <c r="D10" s="26">
        <f>D6+D7-D8+D9</f>
        <v>0</v>
      </c>
      <c r="E10" s="26">
        <f t="shared" ref="E10:H10" si="3">E6+E7-E8+E9</f>
        <v>0</v>
      </c>
      <c r="F10" s="26">
        <f t="shared" si="3"/>
        <v>0</v>
      </c>
      <c r="G10" s="26">
        <f t="shared" si="3"/>
        <v>0</v>
      </c>
      <c r="H10" s="26">
        <f t="shared" si="3"/>
        <v>0</v>
      </c>
      <c r="I10" s="26">
        <f>I6+I7-I8+I9</f>
        <v>0</v>
      </c>
      <c r="J10" s="17">
        <f>J6+J7-J8+J9</f>
        <v>0</v>
      </c>
      <c r="L10" s="389">
        <f>B6+B7-B8+B9-B10</f>
        <v>0</v>
      </c>
      <c r="M10" s="388">
        <f t="shared" ref="M10:T10" si="4">C6+C7-C8+C9-C10</f>
        <v>0</v>
      </c>
      <c r="N10" s="388">
        <f t="shared" si="4"/>
        <v>0</v>
      </c>
      <c r="O10" s="388">
        <f t="shared" si="4"/>
        <v>0</v>
      </c>
      <c r="P10" s="388">
        <f t="shared" si="4"/>
        <v>0</v>
      </c>
      <c r="Q10" s="388">
        <f t="shared" si="4"/>
        <v>0</v>
      </c>
      <c r="R10" s="388">
        <f t="shared" si="4"/>
        <v>0</v>
      </c>
      <c r="S10" s="388">
        <f t="shared" si="4"/>
        <v>0</v>
      </c>
      <c r="T10" s="388">
        <f t="shared" si="4"/>
        <v>0</v>
      </c>
      <c r="W10" s="387"/>
      <c r="X10" s="387"/>
      <c r="Y10" s="387"/>
      <c r="Z10" s="387"/>
      <c r="AA10" s="387"/>
      <c r="AB10" s="387"/>
      <c r="AC10" s="387"/>
      <c r="AF10" s="389">
        <f>B10-BS!$D$31</f>
        <v>0</v>
      </c>
      <c r="AG10" s="388">
        <f>C10-BS!$D$32</f>
        <v>0</v>
      </c>
      <c r="AH10" s="388">
        <f>D10-BS!$D$33</f>
        <v>0</v>
      </c>
      <c r="AI10" s="388">
        <f>E10-BS!$D$34</f>
        <v>0</v>
      </c>
      <c r="AJ10" s="388">
        <f>F10-BS!$D$35</f>
        <v>0</v>
      </c>
      <c r="AK10" s="388">
        <f>G10-BS!$D$36</f>
        <v>0</v>
      </c>
      <c r="AL10" s="388">
        <f>H10-BS!$D$37</f>
        <v>0</v>
      </c>
      <c r="AM10" s="388">
        <f>I10-BS!$D$38</f>
        <v>0</v>
      </c>
      <c r="AN10" s="392">
        <f>J10-BS!$D$30</f>
        <v>0</v>
      </c>
    </row>
    <row r="11" spans="1:40" ht="15" customHeight="1" thickTop="1" thickBot="1" x14ac:dyDescent="0.3">
      <c r="A11" s="41" t="s">
        <v>31</v>
      </c>
      <c r="B11" s="42"/>
      <c r="C11" s="42"/>
      <c r="D11" s="42"/>
      <c r="E11" s="42"/>
      <c r="F11" s="42"/>
      <c r="G11" s="42"/>
      <c r="H11" s="42"/>
      <c r="I11" s="42"/>
      <c r="J11" s="43"/>
      <c r="L11" s="386"/>
      <c r="T11" s="392"/>
      <c r="W11" s="387"/>
      <c r="X11" s="387"/>
      <c r="Y11" s="387"/>
      <c r="Z11" s="387"/>
      <c r="AA11" s="387"/>
      <c r="AB11" s="387"/>
      <c r="AC11" s="387"/>
    </row>
    <row r="12" spans="1:40" ht="15" customHeight="1" thickTop="1" thickBot="1" x14ac:dyDescent="0.3">
      <c r="A12" s="44" t="s">
        <v>32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386"/>
      <c r="T12" s="392">
        <f t="shared" ref="T12:T14" si="5">SUM(B12:I12)-J12</f>
        <v>0</v>
      </c>
      <c r="V12" s="388">
        <f>B12-B39</f>
        <v>0</v>
      </c>
      <c r="W12" s="388">
        <f t="shared" ref="W12:AB12" si="6">C12-C39</f>
        <v>0</v>
      </c>
      <c r="X12" s="388">
        <f t="shared" si="6"/>
        <v>0</v>
      </c>
      <c r="Y12" s="388">
        <f t="shared" si="6"/>
        <v>0</v>
      </c>
      <c r="Z12" s="388">
        <f>F12-F39</f>
        <v>0</v>
      </c>
      <c r="AA12" s="388">
        <f t="shared" si="6"/>
        <v>0</v>
      </c>
      <c r="AB12" s="388">
        <f t="shared" si="6"/>
        <v>0</v>
      </c>
      <c r="AC12" s="388">
        <f>I12-I39</f>
        <v>0</v>
      </c>
      <c r="AD12" s="392">
        <f>J12-J39</f>
        <v>0</v>
      </c>
    </row>
    <row r="13" spans="1:40" ht="15" customHeight="1" thickBot="1" x14ac:dyDescent="0.3">
      <c r="A13" s="14" t="s">
        <v>27</v>
      </c>
      <c r="B13" s="22"/>
      <c r="C13" s="22"/>
      <c r="D13" s="22"/>
      <c r="E13" s="22"/>
      <c r="F13" s="22"/>
      <c r="G13" s="22"/>
      <c r="H13" s="22"/>
      <c r="I13" s="22"/>
      <c r="J13" s="15">
        <f t="shared" ref="J13:J14" si="7">SUM(B13:H13)</f>
        <v>0</v>
      </c>
      <c r="L13" s="386"/>
      <c r="T13" s="392">
        <f t="shared" si="5"/>
        <v>0</v>
      </c>
      <c r="W13" s="387"/>
      <c r="X13" s="387"/>
      <c r="Y13" s="387"/>
      <c r="Z13" s="387"/>
      <c r="AA13" s="387"/>
      <c r="AB13" s="387"/>
      <c r="AC13" s="387"/>
    </row>
    <row r="14" spans="1:40" ht="15" customHeight="1" thickBot="1" x14ac:dyDescent="0.3">
      <c r="A14" s="14" t="s">
        <v>28</v>
      </c>
      <c r="B14" s="22"/>
      <c r="C14" s="22"/>
      <c r="D14" s="22"/>
      <c r="E14" s="22"/>
      <c r="F14" s="22"/>
      <c r="G14" s="22"/>
      <c r="H14" s="22"/>
      <c r="I14" s="22"/>
      <c r="J14" s="15">
        <f t="shared" si="7"/>
        <v>0</v>
      </c>
      <c r="L14" s="386"/>
      <c r="T14" s="392">
        <f t="shared" si="5"/>
        <v>0</v>
      </c>
      <c r="W14" s="387"/>
      <c r="X14" s="387"/>
      <c r="Y14" s="387"/>
      <c r="Z14" s="387"/>
      <c r="AA14" s="387"/>
      <c r="AB14" s="387"/>
      <c r="AC14" s="387"/>
      <c r="AF14" s="394" t="s">
        <v>1141</v>
      </c>
    </row>
    <row r="15" spans="1:40" ht="15" customHeight="1" thickBot="1" x14ac:dyDescent="0.3">
      <c r="A15" s="25" t="s">
        <v>30</v>
      </c>
      <c r="B15" s="26">
        <f>B12+B13-B14</f>
        <v>0</v>
      </c>
      <c r="C15" s="26">
        <f>C12+C13-C14</f>
        <v>0</v>
      </c>
      <c r="D15" s="26">
        <f t="shared" ref="D15:I15" si="8">D12+D13-D14</f>
        <v>0</v>
      </c>
      <c r="E15" s="26">
        <f t="shared" si="8"/>
        <v>0</v>
      </c>
      <c r="F15" s="26">
        <f t="shared" si="8"/>
        <v>0</v>
      </c>
      <c r="G15" s="26">
        <f>G12+G13-G14</f>
        <v>0</v>
      </c>
      <c r="H15" s="26">
        <f t="shared" si="8"/>
        <v>0</v>
      </c>
      <c r="I15" s="26">
        <f t="shared" si="8"/>
        <v>0</v>
      </c>
      <c r="J15" s="17">
        <f>J12+J13-J14</f>
        <v>0</v>
      </c>
      <c r="L15" s="389">
        <f>B12+B13-B14-B15</f>
        <v>0</v>
      </c>
      <c r="M15" s="388">
        <f t="shared" ref="M15:T15" si="9">C12+C13-C14-C15</f>
        <v>0</v>
      </c>
      <c r="N15" s="388">
        <f t="shared" si="9"/>
        <v>0</v>
      </c>
      <c r="O15" s="388">
        <f t="shared" si="9"/>
        <v>0</v>
      </c>
      <c r="P15" s="388">
        <f t="shared" si="9"/>
        <v>0</v>
      </c>
      <c r="Q15" s="388">
        <f t="shared" si="9"/>
        <v>0</v>
      </c>
      <c r="R15" s="388">
        <f t="shared" si="9"/>
        <v>0</v>
      </c>
      <c r="S15" s="388">
        <f t="shared" si="9"/>
        <v>0</v>
      </c>
      <c r="T15" s="388">
        <f t="shared" si="9"/>
        <v>0</v>
      </c>
      <c r="W15" s="387"/>
      <c r="X15" s="387"/>
      <c r="Y15" s="387"/>
      <c r="Z15" s="387"/>
      <c r="AA15" s="387"/>
      <c r="AB15" s="387"/>
      <c r="AC15" s="387"/>
      <c r="AF15" s="389">
        <f>B15+B20-BS!$E$31</f>
        <v>0</v>
      </c>
      <c r="AG15" s="388">
        <f>C15+C20-BS!$E$32</f>
        <v>0</v>
      </c>
      <c r="AH15" s="388">
        <f>D15+D20-BS!$E$33</f>
        <v>0</v>
      </c>
      <c r="AI15" s="388">
        <f>E15+E20-BS!$E$34</f>
        <v>0</v>
      </c>
      <c r="AJ15" s="388">
        <f>F15+F20-BS!$E$35</f>
        <v>0</v>
      </c>
      <c r="AK15" s="388">
        <f>G15+G20-BS!$E$36</f>
        <v>0</v>
      </c>
      <c r="AL15" s="388">
        <f>H15+H20-BS!$E$37</f>
        <v>0</v>
      </c>
      <c r="AM15" s="388">
        <f>I15+I20-BS!$E$38</f>
        <v>0</v>
      </c>
      <c r="AN15" s="392">
        <f>J15+J20-BS!$E$30</f>
        <v>0</v>
      </c>
    </row>
    <row r="16" spans="1:40" ht="15" customHeight="1" thickTop="1" thickBot="1" x14ac:dyDescent="0.3">
      <c r="A16" s="41" t="s">
        <v>33</v>
      </c>
      <c r="B16" s="42"/>
      <c r="C16" s="42"/>
      <c r="D16" s="42"/>
      <c r="E16" s="42"/>
      <c r="F16" s="42"/>
      <c r="G16" s="42"/>
      <c r="H16" s="42"/>
      <c r="I16" s="42"/>
      <c r="J16" s="43"/>
      <c r="L16" s="386"/>
      <c r="T16" s="392"/>
      <c r="W16" s="387"/>
      <c r="X16" s="387"/>
      <c r="Y16" s="387"/>
      <c r="Z16" s="387"/>
      <c r="AA16" s="387"/>
      <c r="AB16" s="387"/>
      <c r="AC16" s="387"/>
      <c r="AG16" s="387"/>
      <c r="AH16" s="387"/>
      <c r="AI16" s="387"/>
      <c r="AJ16" s="387"/>
      <c r="AK16" s="387"/>
      <c r="AL16" s="387"/>
    </row>
    <row r="17" spans="1:40" ht="15" customHeight="1" thickTop="1" thickBot="1" x14ac:dyDescent="0.3">
      <c r="A17" s="44" t="s">
        <v>32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386"/>
      <c r="T17" s="392">
        <f t="shared" ref="T17:T19" si="10">SUM(B17:I17)-J17</f>
        <v>0</v>
      </c>
      <c r="V17" s="388">
        <f>B17-B44</f>
        <v>0</v>
      </c>
      <c r="W17" s="388">
        <f t="shared" ref="W17:AB17" si="11">C17-C44</f>
        <v>0</v>
      </c>
      <c r="X17" s="388">
        <f t="shared" si="11"/>
        <v>0</v>
      </c>
      <c r="Y17" s="388">
        <f t="shared" si="11"/>
        <v>0</v>
      </c>
      <c r="Z17" s="388">
        <f t="shared" si="11"/>
        <v>0</v>
      </c>
      <c r="AA17" s="388">
        <f t="shared" si="11"/>
        <v>0</v>
      </c>
      <c r="AB17" s="388">
        <f t="shared" si="11"/>
        <v>0</v>
      </c>
      <c r="AC17" s="388">
        <f>I17-I44</f>
        <v>0</v>
      </c>
      <c r="AD17" s="392">
        <f>J17-J44</f>
        <v>0</v>
      </c>
      <c r="AG17" s="387"/>
      <c r="AH17" s="387"/>
      <c r="AI17" s="387"/>
      <c r="AJ17" s="387"/>
      <c r="AK17" s="387"/>
      <c r="AL17" s="387"/>
    </row>
    <row r="18" spans="1:40" ht="15" customHeight="1" thickBot="1" x14ac:dyDescent="0.3">
      <c r="A18" s="14" t="s">
        <v>27</v>
      </c>
      <c r="B18" s="22"/>
      <c r="C18" s="22"/>
      <c r="D18" s="22"/>
      <c r="E18" s="22"/>
      <c r="F18" s="22"/>
      <c r="G18" s="22"/>
      <c r="H18" s="22"/>
      <c r="I18" s="22"/>
      <c r="J18" s="15">
        <f t="shared" ref="J18:J19" si="12">SUM(B18:H18)</f>
        <v>0</v>
      </c>
      <c r="L18" s="386"/>
      <c r="T18" s="392">
        <f t="shared" si="10"/>
        <v>0</v>
      </c>
      <c r="W18" s="387"/>
      <c r="X18" s="387"/>
      <c r="Y18" s="387"/>
      <c r="Z18" s="387"/>
      <c r="AA18" s="387"/>
      <c r="AB18" s="387"/>
      <c r="AC18" s="387"/>
      <c r="AG18" s="387"/>
      <c r="AH18" s="387"/>
      <c r="AI18" s="387"/>
      <c r="AJ18" s="387"/>
      <c r="AK18" s="387"/>
      <c r="AL18" s="387"/>
    </row>
    <row r="19" spans="1:40" ht="15" customHeight="1" thickBot="1" x14ac:dyDescent="0.3">
      <c r="A19" s="14" t="s">
        <v>28</v>
      </c>
      <c r="B19" s="22"/>
      <c r="C19" s="22"/>
      <c r="D19" s="22"/>
      <c r="E19" s="22"/>
      <c r="F19" s="22"/>
      <c r="G19" s="22"/>
      <c r="H19" s="22"/>
      <c r="I19" s="22"/>
      <c r="J19" s="15">
        <f t="shared" si="12"/>
        <v>0</v>
      </c>
      <c r="L19" s="386"/>
      <c r="T19" s="392">
        <f t="shared" si="10"/>
        <v>0</v>
      </c>
      <c r="W19" s="387"/>
      <c r="X19" s="387"/>
      <c r="Y19" s="387"/>
      <c r="Z19" s="387"/>
      <c r="AA19" s="387"/>
      <c r="AB19" s="387"/>
      <c r="AC19" s="387"/>
      <c r="AG19" s="387"/>
      <c r="AH19" s="387"/>
      <c r="AI19" s="387"/>
      <c r="AJ19" s="387"/>
      <c r="AK19" s="387"/>
      <c r="AL19" s="387"/>
    </row>
    <row r="20" spans="1:40" ht="15" customHeight="1" thickBot="1" x14ac:dyDescent="0.3">
      <c r="A20" s="25" t="s">
        <v>30</v>
      </c>
      <c r="B20" s="26">
        <f>B17+B18-B19</f>
        <v>0</v>
      </c>
      <c r="C20" s="26">
        <f>C17+C18-C19</f>
        <v>0</v>
      </c>
      <c r="D20" s="26">
        <f t="shared" ref="D20" si="13">D17+D18-D19</f>
        <v>0</v>
      </c>
      <c r="E20" s="26">
        <f t="shared" ref="E20" si="14">E17+E18-E19</f>
        <v>0</v>
      </c>
      <c r="F20" s="26">
        <f t="shared" ref="F20" si="15">F17+F18-F19</f>
        <v>0</v>
      </c>
      <c r="G20" s="26">
        <f t="shared" ref="G20" si="16">G17+G18-G19</f>
        <v>0</v>
      </c>
      <c r="H20" s="26">
        <f t="shared" ref="H20" si="17">H17+H18-H19</f>
        <v>0</v>
      </c>
      <c r="I20" s="26">
        <f t="shared" ref="I20" si="18">I17+I18-I19</f>
        <v>0</v>
      </c>
      <c r="J20" s="17">
        <f>J17+J18-J19</f>
        <v>0</v>
      </c>
      <c r="L20" s="389">
        <f>B17+B18-B19-B20</f>
        <v>0</v>
      </c>
      <c r="M20" s="388">
        <f t="shared" ref="M20:T20" si="19">C17+C18-C19-C20</f>
        <v>0</v>
      </c>
      <c r="N20" s="388">
        <f t="shared" si="19"/>
        <v>0</v>
      </c>
      <c r="O20" s="388">
        <f t="shared" si="19"/>
        <v>0</v>
      </c>
      <c r="P20" s="388">
        <f t="shared" si="19"/>
        <v>0</v>
      </c>
      <c r="Q20" s="388">
        <f t="shared" si="19"/>
        <v>0</v>
      </c>
      <c r="R20" s="388">
        <f t="shared" si="19"/>
        <v>0</v>
      </c>
      <c r="S20" s="388">
        <f t="shared" si="19"/>
        <v>0</v>
      </c>
      <c r="T20" s="388">
        <f t="shared" si="19"/>
        <v>0</v>
      </c>
      <c r="W20" s="387"/>
      <c r="X20" s="387"/>
      <c r="Y20" s="387"/>
      <c r="Z20" s="387"/>
      <c r="AA20" s="387"/>
      <c r="AB20" s="387"/>
      <c r="AC20" s="387"/>
      <c r="AG20" s="387"/>
      <c r="AH20" s="387"/>
      <c r="AI20" s="387"/>
      <c r="AJ20" s="387"/>
      <c r="AK20" s="387"/>
      <c r="AL20" s="387"/>
    </row>
    <row r="21" spans="1:40" ht="15" customHeight="1" thickTop="1" thickBot="1" x14ac:dyDescent="0.3">
      <c r="A21" s="41" t="s">
        <v>34</v>
      </c>
      <c r="B21" s="42"/>
      <c r="C21" s="42"/>
      <c r="D21" s="42"/>
      <c r="E21" s="42"/>
      <c r="F21" s="42"/>
      <c r="G21" s="42"/>
      <c r="H21" s="42"/>
      <c r="I21" s="42"/>
      <c r="J21" s="43"/>
      <c r="L21" s="386"/>
      <c r="T21" s="392"/>
      <c r="W21" s="387"/>
      <c r="X21" s="387"/>
      <c r="Y21" s="387"/>
      <c r="Z21" s="387"/>
      <c r="AA21" s="387"/>
      <c r="AB21" s="387"/>
      <c r="AC21" s="387"/>
      <c r="AG21" s="387"/>
      <c r="AH21" s="387"/>
      <c r="AI21" s="387"/>
      <c r="AJ21" s="387"/>
      <c r="AK21" s="387"/>
      <c r="AL21" s="387"/>
    </row>
    <row r="22" spans="1:40" ht="15" customHeight="1" thickTop="1" thickBot="1" x14ac:dyDescent="0.3">
      <c r="A22" s="44" t="s">
        <v>32</v>
      </c>
      <c r="B22" s="22">
        <f>B6-B12-B17</f>
        <v>0</v>
      </c>
      <c r="C22" s="22">
        <f t="shared" ref="C22:J22" si="20">C6-C12-C17</f>
        <v>0</v>
      </c>
      <c r="D22" s="22">
        <f t="shared" si="20"/>
        <v>0</v>
      </c>
      <c r="E22" s="22">
        <f t="shared" si="20"/>
        <v>0</v>
      </c>
      <c r="F22" s="22">
        <f t="shared" si="20"/>
        <v>0</v>
      </c>
      <c r="G22" s="22">
        <f t="shared" si="20"/>
        <v>0</v>
      </c>
      <c r="H22" s="22">
        <f t="shared" si="20"/>
        <v>0</v>
      </c>
      <c r="I22" s="22">
        <f t="shared" si="20"/>
        <v>0</v>
      </c>
      <c r="J22" s="15">
        <f t="shared" si="20"/>
        <v>0</v>
      </c>
      <c r="L22" s="389">
        <f>B6-B12-B17-B22</f>
        <v>0</v>
      </c>
      <c r="M22" s="388">
        <f t="shared" ref="M22:S22" si="21">C6-C12-C17-C22</f>
        <v>0</v>
      </c>
      <c r="N22" s="388">
        <f t="shared" si="21"/>
        <v>0</v>
      </c>
      <c r="O22" s="388">
        <f t="shared" si="21"/>
        <v>0</v>
      </c>
      <c r="P22" s="388">
        <f t="shared" si="21"/>
        <v>0</v>
      </c>
      <c r="Q22" s="388">
        <f t="shared" si="21"/>
        <v>0</v>
      </c>
      <c r="R22" s="388">
        <f t="shared" si="21"/>
        <v>0</v>
      </c>
      <c r="S22" s="388">
        <f t="shared" si="21"/>
        <v>0</v>
      </c>
      <c r="T22" s="392">
        <f t="shared" ref="T22:T23" si="22">SUM(B22:I22)-J22</f>
        <v>0</v>
      </c>
      <c r="V22" s="388">
        <f>B22-B47</f>
        <v>0</v>
      </c>
      <c r="W22" s="388">
        <f t="shared" ref="W22:AB22" si="23">C22-C47</f>
        <v>0</v>
      </c>
      <c r="X22" s="388">
        <f t="shared" si="23"/>
        <v>0</v>
      </c>
      <c r="Y22" s="388">
        <f t="shared" si="23"/>
        <v>0</v>
      </c>
      <c r="Z22" s="388">
        <f t="shared" si="23"/>
        <v>0</v>
      </c>
      <c r="AA22" s="388">
        <f t="shared" si="23"/>
        <v>0</v>
      </c>
      <c r="AB22" s="388">
        <f t="shared" si="23"/>
        <v>0</v>
      </c>
      <c r="AC22" s="388">
        <f>I22-I47</f>
        <v>0</v>
      </c>
      <c r="AD22" s="392">
        <f>J22-J47</f>
        <v>0</v>
      </c>
      <c r="AG22" s="387"/>
      <c r="AH22" s="387"/>
      <c r="AI22" s="387"/>
      <c r="AJ22" s="387"/>
      <c r="AK22" s="387"/>
      <c r="AL22" s="387"/>
    </row>
    <row r="23" spans="1:40" ht="15" customHeight="1" thickBot="1" x14ac:dyDescent="0.3">
      <c r="A23" s="25" t="s">
        <v>30</v>
      </c>
      <c r="B23" s="26">
        <f>B10-B15-B20</f>
        <v>0</v>
      </c>
      <c r="C23" s="26">
        <f t="shared" ref="C23:J23" si="24">C10-C15-C20</f>
        <v>0</v>
      </c>
      <c r="D23" s="26">
        <f t="shared" si="24"/>
        <v>0</v>
      </c>
      <c r="E23" s="26">
        <f t="shared" si="24"/>
        <v>0</v>
      </c>
      <c r="F23" s="26">
        <f t="shared" si="24"/>
        <v>0</v>
      </c>
      <c r="G23" s="26">
        <f t="shared" si="24"/>
        <v>0</v>
      </c>
      <c r="H23" s="26">
        <f t="shared" si="24"/>
        <v>0</v>
      </c>
      <c r="I23" s="26">
        <f t="shared" si="24"/>
        <v>0</v>
      </c>
      <c r="J23" s="17">
        <f t="shared" si="24"/>
        <v>0</v>
      </c>
      <c r="L23" s="389">
        <f>B10-B15-B20-B23</f>
        <v>0</v>
      </c>
      <c r="M23" s="388">
        <f t="shared" ref="M23:S23" si="25">C10-C15-C20-C23</f>
        <v>0</v>
      </c>
      <c r="N23" s="388">
        <f t="shared" si="25"/>
        <v>0</v>
      </c>
      <c r="O23" s="388">
        <f t="shared" si="25"/>
        <v>0</v>
      </c>
      <c r="P23" s="388">
        <f t="shared" si="25"/>
        <v>0</v>
      </c>
      <c r="Q23" s="388">
        <f t="shared" si="25"/>
        <v>0</v>
      </c>
      <c r="R23" s="388">
        <f t="shared" si="25"/>
        <v>0</v>
      </c>
      <c r="S23" s="388">
        <f t="shared" si="25"/>
        <v>0</v>
      </c>
      <c r="T23" s="392">
        <f t="shared" si="22"/>
        <v>0</v>
      </c>
      <c r="AF23" s="389">
        <f>B23-BS!$F$31</f>
        <v>0</v>
      </c>
      <c r="AG23" s="388">
        <f>C23-BS!$F$32</f>
        <v>0</v>
      </c>
      <c r="AH23" s="388">
        <f>D23-BS!$F$33</f>
        <v>0</v>
      </c>
      <c r="AI23" s="388">
        <f>E23-BS!$F$34</f>
        <v>0</v>
      </c>
      <c r="AJ23" s="388">
        <f>F23-BS!$F$35</f>
        <v>0</v>
      </c>
      <c r="AK23" s="388">
        <f>G23-BS!$F$36</f>
        <v>0</v>
      </c>
      <c r="AL23" s="388">
        <f>H23-BS!$F$37</f>
        <v>0</v>
      </c>
      <c r="AM23" s="388">
        <f>I23-BS!$F$38</f>
        <v>0</v>
      </c>
      <c r="AN23" s="392">
        <f>J23-BS!$F$30</f>
        <v>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15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thickTop="1" thickBot="1" x14ac:dyDescent="0.3">
      <c r="A27" s="1358" t="s">
        <v>55</v>
      </c>
      <c r="B27" s="1360" t="s">
        <v>3</v>
      </c>
      <c r="C27" s="1366"/>
      <c r="D27" s="1366"/>
      <c r="E27" s="1366"/>
      <c r="F27" s="1366"/>
      <c r="G27" s="1366"/>
      <c r="H27" s="1366"/>
      <c r="I27" s="1366"/>
      <c r="J27" s="1361"/>
      <c r="K27" s="395"/>
    </row>
    <row r="28" spans="1:40" ht="60.75" customHeight="1" thickTop="1" thickBot="1" x14ac:dyDescent="0.3">
      <c r="A28" s="1365"/>
      <c r="B28" s="136" t="s">
        <v>51</v>
      </c>
      <c r="C28" s="137" t="s">
        <v>495</v>
      </c>
      <c r="D28" s="136" t="s">
        <v>52</v>
      </c>
      <c r="E28" s="137" t="s">
        <v>494</v>
      </c>
      <c r="F28" s="136" t="s">
        <v>53</v>
      </c>
      <c r="G28" s="136" t="s">
        <v>54</v>
      </c>
      <c r="H28" s="137" t="s">
        <v>446</v>
      </c>
      <c r="I28" s="136" t="s">
        <v>447</v>
      </c>
      <c r="J28" s="136" t="s">
        <v>14</v>
      </c>
    </row>
    <row r="29" spans="1:40" ht="15" customHeight="1" thickTop="1" thickBot="1" x14ac:dyDescent="0.3">
      <c r="A29" s="41" t="s">
        <v>25</v>
      </c>
      <c r="B29" s="42"/>
      <c r="C29" s="42"/>
      <c r="D29" s="42"/>
      <c r="E29" s="42"/>
      <c r="F29" s="42"/>
      <c r="G29" s="42"/>
      <c r="H29" s="42"/>
      <c r="I29" s="42"/>
      <c r="J29" s="43"/>
      <c r="K29" s="395"/>
    </row>
    <row r="30" spans="1:40" ht="15" customHeight="1" thickTop="1" thickBot="1" x14ac:dyDescent="0.3">
      <c r="A30" s="44" t="s">
        <v>26</v>
      </c>
      <c r="B30" s="22"/>
      <c r="C30" s="22"/>
      <c r="D30" s="22"/>
      <c r="E30" s="22"/>
      <c r="F30" s="45"/>
      <c r="G30" s="22"/>
      <c r="H30" s="22"/>
      <c r="I30" s="22"/>
      <c r="J30" s="15">
        <f>SUM(B30:H30)</f>
        <v>0</v>
      </c>
      <c r="T30" s="392">
        <f>SUM(B30:I30)-J30</f>
        <v>0</v>
      </c>
    </row>
    <row r="31" spans="1:40" ht="15" customHeight="1" thickBot="1" x14ac:dyDescent="0.3">
      <c r="A31" s="14" t="s">
        <v>27</v>
      </c>
      <c r="B31" s="22"/>
      <c r="C31" s="22"/>
      <c r="D31" s="22"/>
      <c r="E31" s="22"/>
      <c r="F31" s="46"/>
      <c r="G31" s="22"/>
      <c r="H31" s="22"/>
      <c r="I31" s="22"/>
      <c r="J31" s="15">
        <f t="shared" ref="J31:J33" si="26">SUM(B31:H31)</f>
        <v>0</v>
      </c>
      <c r="T31" s="392">
        <f t="shared" ref="T31:T33" si="27">SUM(B31:I31)-J31</f>
        <v>0</v>
      </c>
    </row>
    <row r="32" spans="1:40" ht="15" customHeight="1" thickBot="1" x14ac:dyDescent="0.3">
      <c r="A32" s="14" t="s">
        <v>28</v>
      </c>
      <c r="B32" s="22"/>
      <c r="C32" s="22"/>
      <c r="D32" s="22"/>
      <c r="E32" s="22"/>
      <c r="F32" s="46"/>
      <c r="G32" s="22"/>
      <c r="H32" s="22"/>
      <c r="I32" s="22"/>
      <c r="J32" s="15">
        <f t="shared" si="26"/>
        <v>0</v>
      </c>
      <c r="T32" s="392">
        <f t="shared" si="27"/>
        <v>0</v>
      </c>
    </row>
    <row r="33" spans="1:40" ht="15" customHeight="1" thickBot="1" x14ac:dyDescent="0.3">
      <c r="A33" s="14" t="s">
        <v>29</v>
      </c>
      <c r="B33" s="22"/>
      <c r="C33" s="22"/>
      <c r="D33" s="22"/>
      <c r="E33" s="22"/>
      <c r="F33" s="46"/>
      <c r="G33" s="22"/>
      <c r="H33" s="22"/>
      <c r="I33" s="22"/>
      <c r="J33" s="15">
        <f t="shared" si="26"/>
        <v>0</v>
      </c>
      <c r="T33" s="392">
        <f t="shared" si="27"/>
        <v>0</v>
      </c>
    </row>
    <row r="34" spans="1:40" ht="15" customHeight="1" thickBot="1" x14ac:dyDescent="0.3">
      <c r="A34" s="25" t="s">
        <v>30</v>
      </c>
      <c r="B34" s="26">
        <f>B30+B31-B32+B33</f>
        <v>0</v>
      </c>
      <c r="C34" s="26">
        <f>C30+C31-C32+C33</f>
        <v>0</v>
      </c>
      <c r="D34" s="26">
        <f>D30+D31-D32+D33</f>
        <v>0</v>
      </c>
      <c r="E34" s="26">
        <f t="shared" ref="E34:H34" si="28">E30+E31-E32+E33</f>
        <v>0</v>
      </c>
      <c r="F34" s="26">
        <f t="shared" si="28"/>
        <v>0</v>
      </c>
      <c r="G34" s="26">
        <f t="shared" si="28"/>
        <v>0</v>
      </c>
      <c r="H34" s="26">
        <f t="shared" si="28"/>
        <v>0</v>
      </c>
      <c r="I34" s="26">
        <f>I30+I31-I32+I33</f>
        <v>0</v>
      </c>
      <c r="J34" s="17">
        <f>J30+J31-J32+J33</f>
        <v>0</v>
      </c>
      <c r="L34" s="389">
        <f>B30+B31-B32+B33-B34</f>
        <v>0</v>
      </c>
      <c r="M34" s="388">
        <f t="shared" ref="M34:T34" si="29">C30+C31-C32+C33-C34</f>
        <v>0</v>
      </c>
      <c r="N34" s="388">
        <f t="shared" si="29"/>
        <v>0</v>
      </c>
      <c r="O34" s="388">
        <f t="shared" si="29"/>
        <v>0</v>
      </c>
      <c r="P34" s="388">
        <f t="shared" si="29"/>
        <v>0</v>
      </c>
      <c r="Q34" s="388">
        <f t="shared" si="29"/>
        <v>0</v>
      </c>
      <c r="R34" s="388">
        <f t="shared" si="29"/>
        <v>0</v>
      </c>
      <c r="S34" s="388">
        <f t="shared" si="29"/>
        <v>0</v>
      </c>
      <c r="T34" s="388">
        <f t="shared" si="29"/>
        <v>0</v>
      </c>
    </row>
    <row r="35" spans="1:40" ht="15" customHeight="1" thickTop="1" thickBot="1" x14ac:dyDescent="0.3">
      <c r="A35" s="41" t="s">
        <v>31</v>
      </c>
      <c r="B35" s="42"/>
      <c r="C35" s="42"/>
      <c r="D35" s="42"/>
      <c r="E35" s="42"/>
      <c r="F35" s="42"/>
      <c r="G35" s="42"/>
      <c r="H35" s="42"/>
      <c r="I35" s="42"/>
      <c r="J35" s="43"/>
      <c r="L35" s="386"/>
      <c r="T35" s="392"/>
    </row>
    <row r="36" spans="1:40" ht="15" customHeight="1" thickTop="1" thickBot="1" x14ac:dyDescent="0.3">
      <c r="A36" s="44" t="s">
        <v>32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386"/>
      <c r="T36" s="392">
        <f t="shared" ref="T36:T38" si="30">SUM(B36:I36)-J36</f>
        <v>0</v>
      </c>
    </row>
    <row r="37" spans="1:40" ht="15" customHeight="1" thickBot="1" x14ac:dyDescent="0.3">
      <c r="A37" s="14" t="s">
        <v>27</v>
      </c>
      <c r="B37" s="22"/>
      <c r="C37" s="22"/>
      <c r="D37" s="22"/>
      <c r="E37" s="22"/>
      <c r="F37" s="22"/>
      <c r="G37" s="22"/>
      <c r="H37" s="22"/>
      <c r="I37" s="22"/>
      <c r="J37" s="15">
        <f t="shared" ref="J37:J38" si="31">SUM(B37:H37)</f>
        <v>0</v>
      </c>
      <c r="L37" s="386"/>
      <c r="T37" s="392">
        <f t="shared" si="30"/>
        <v>0</v>
      </c>
    </row>
    <row r="38" spans="1:40" ht="15" customHeight="1" thickBot="1" x14ac:dyDescent="0.3">
      <c r="A38" s="14" t="s">
        <v>28</v>
      </c>
      <c r="B38" s="22"/>
      <c r="C38" s="22"/>
      <c r="D38" s="22"/>
      <c r="E38" s="22"/>
      <c r="F38" s="22"/>
      <c r="G38" s="22"/>
      <c r="H38" s="22"/>
      <c r="I38" s="22"/>
      <c r="J38" s="15">
        <f t="shared" si="31"/>
        <v>0</v>
      </c>
      <c r="L38" s="386"/>
      <c r="T38" s="392">
        <f t="shared" si="30"/>
        <v>0</v>
      </c>
    </row>
    <row r="39" spans="1:40" ht="15" customHeight="1" thickBot="1" x14ac:dyDescent="0.3">
      <c r="A39" s="25" t="s">
        <v>30</v>
      </c>
      <c r="B39" s="26">
        <f>B36+B37-B38</f>
        <v>0</v>
      </c>
      <c r="C39" s="26">
        <f>C36+C37-C38</f>
        <v>0</v>
      </c>
      <c r="D39" s="26">
        <f t="shared" ref="D39:I39" si="32">D36+D37-D38</f>
        <v>0</v>
      </c>
      <c r="E39" s="26">
        <f t="shared" si="32"/>
        <v>0</v>
      </c>
      <c r="F39" s="26">
        <f t="shared" si="32"/>
        <v>0</v>
      </c>
      <c r="G39" s="26">
        <f t="shared" si="32"/>
        <v>0</v>
      </c>
      <c r="H39" s="26">
        <f t="shared" si="32"/>
        <v>0</v>
      </c>
      <c r="I39" s="26">
        <f t="shared" si="32"/>
        <v>0</v>
      </c>
      <c r="J39" s="17">
        <f>J36+J37-J38</f>
        <v>0</v>
      </c>
      <c r="L39" s="389">
        <f>B36+B37-B38-B39</f>
        <v>0</v>
      </c>
      <c r="M39" s="388">
        <f t="shared" ref="M39:T39" si="33">C36+C37-C38-C39</f>
        <v>0</v>
      </c>
      <c r="N39" s="388">
        <f t="shared" si="33"/>
        <v>0</v>
      </c>
      <c r="O39" s="388">
        <f t="shared" si="33"/>
        <v>0</v>
      </c>
      <c r="P39" s="388">
        <f t="shared" si="33"/>
        <v>0</v>
      </c>
      <c r="Q39" s="388">
        <f t="shared" si="33"/>
        <v>0</v>
      </c>
      <c r="R39" s="388">
        <f t="shared" si="33"/>
        <v>0</v>
      </c>
      <c r="S39" s="388">
        <f t="shared" si="33"/>
        <v>0</v>
      </c>
      <c r="T39" s="388">
        <f t="shared" si="33"/>
        <v>0</v>
      </c>
    </row>
    <row r="40" spans="1:40" ht="15" customHeight="1" thickTop="1" thickBot="1" x14ac:dyDescent="0.3">
      <c r="A40" s="41" t="s">
        <v>33</v>
      </c>
      <c r="B40" s="42"/>
      <c r="C40" s="42"/>
      <c r="D40" s="42"/>
      <c r="E40" s="42"/>
      <c r="F40" s="42"/>
      <c r="G40" s="42"/>
      <c r="H40" s="42"/>
      <c r="I40" s="42"/>
      <c r="J40" s="43"/>
      <c r="L40" s="386"/>
      <c r="T40" s="392"/>
    </row>
    <row r="41" spans="1:40" ht="15" customHeight="1" thickTop="1" thickBot="1" x14ac:dyDescent="0.3">
      <c r="A41" s="44" t="s">
        <v>32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386"/>
      <c r="T41" s="392">
        <f t="shared" ref="T41:T43" si="34">SUM(B41:I41)-J41</f>
        <v>0</v>
      </c>
    </row>
    <row r="42" spans="1:40" ht="15" customHeight="1" thickBot="1" x14ac:dyDescent="0.3">
      <c r="A42" s="14" t="s">
        <v>27</v>
      </c>
      <c r="B42" s="22"/>
      <c r="C42" s="22"/>
      <c r="D42" s="22"/>
      <c r="E42" s="22"/>
      <c r="F42" s="22"/>
      <c r="G42" s="22"/>
      <c r="H42" s="22"/>
      <c r="I42" s="22"/>
      <c r="J42" s="15">
        <f t="shared" ref="J42:J43" si="35">SUM(B42:H42)</f>
        <v>0</v>
      </c>
      <c r="L42" s="386"/>
      <c r="T42" s="392">
        <f t="shared" si="34"/>
        <v>0</v>
      </c>
    </row>
    <row r="43" spans="1:40" ht="15" customHeight="1" thickBot="1" x14ac:dyDescent="0.3">
      <c r="A43" s="14" t="s">
        <v>28</v>
      </c>
      <c r="B43" s="22"/>
      <c r="C43" s="22"/>
      <c r="D43" s="22"/>
      <c r="E43" s="22"/>
      <c r="F43" s="22"/>
      <c r="G43" s="22"/>
      <c r="H43" s="22"/>
      <c r="I43" s="22"/>
      <c r="J43" s="15">
        <f t="shared" si="35"/>
        <v>0</v>
      </c>
      <c r="L43" s="386"/>
      <c r="T43" s="392">
        <f t="shared" si="34"/>
        <v>0</v>
      </c>
    </row>
    <row r="44" spans="1:40" ht="15" customHeight="1" thickBot="1" x14ac:dyDescent="0.3">
      <c r="A44" s="25" t="s">
        <v>30</v>
      </c>
      <c r="B44" s="26">
        <f>B41+B42-B43</f>
        <v>0</v>
      </c>
      <c r="C44" s="26">
        <f>C41+C42-C43</f>
        <v>0</v>
      </c>
      <c r="D44" s="26">
        <f t="shared" ref="D44:I44" si="36">D41+D42-D43</f>
        <v>0</v>
      </c>
      <c r="E44" s="26">
        <f t="shared" si="36"/>
        <v>0</v>
      </c>
      <c r="F44" s="26">
        <f t="shared" si="36"/>
        <v>0</v>
      </c>
      <c r="G44" s="26">
        <f t="shared" si="36"/>
        <v>0</v>
      </c>
      <c r="H44" s="26">
        <f t="shared" si="36"/>
        <v>0</v>
      </c>
      <c r="I44" s="26">
        <f t="shared" si="36"/>
        <v>0</v>
      </c>
      <c r="J44" s="17">
        <f>J41+J42-J43</f>
        <v>0</v>
      </c>
      <c r="L44" s="389">
        <f>B41+B42-B43-B44</f>
        <v>0</v>
      </c>
      <c r="M44" s="388">
        <f t="shared" ref="M44:T44" si="37">C41+C42-C43-C44</f>
        <v>0</v>
      </c>
      <c r="N44" s="388">
        <f t="shared" si="37"/>
        <v>0</v>
      </c>
      <c r="O44" s="388">
        <f t="shared" si="37"/>
        <v>0</v>
      </c>
      <c r="P44" s="388">
        <f t="shared" si="37"/>
        <v>0</v>
      </c>
      <c r="Q44" s="388">
        <f t="shared" si="37"/>
        <v>0</v>
      </c>
      <c r="R44" s="388">
        <f t="shared" si="37"/>
        <v>0</v>
      </c>
      <c r="S44" s="388">
        <f t="shared" si="37"/>
        <v>0</v>
      </c>
      <c r="T44" s="388">
        <f t="shared" si="37"/>
        <v>0</v>
      </c>
    </row>
    <row r="45" spans="1:40" ht="15" customHeight="1" thickTop="1" thickBot="1" x14ac:dyDescent="0.3">
      <c r="A45" s="41" t="s">
        <v>34</v>
      </c>
      <c r="B45" s="42"/>
      <c r="C45" s="42"/>
      <c r="D45" s="42"/>
      <c r="E45" s="42"/>
      <c r="F45" s="42"/>
      <c r="G45" s="42"/>
      <c r="H45" s="42"/>
      <c r="I45" s="42"/>
      <c r="J45" s="43"/>
      <c r="L45" s="386"/>
      <c r="T45" s="392"/>
    </row>
    <row r="46" spans="1:40" ht="15" customHeight="1" thickTop="1" thickBot="1" x14ac:dyDescent="0.3">
      <c r="A46" s="44" t="s">
        <v>32</v>
      </c>
      <c r="B46" s="22">
        <f>B30-B36-B41</f>
        <v>0</v>
      </c>
      <c r="C46" s="22">
        <f t="shared" ref="C46:J46" si="38">C30-C36-C41</f>
        <v>0</v>
      </c>
      <c r="D46" s="22">
        <f t="shared" si="38"/>
        <v>0</v>
      </c>
      <c r="E46" s="22">
        <f t="shared" si="38"/>
        <v>0</v>
      </c>
      <c r="F46" s="22">
        <f t="shared" si="38"/>
        <v>0</v>
      </c>
      <c r="G46" s="22">
        <f t="shared" si="38"/>
        <v>0</v>
      </c>
      <c r="H46" s="22">
        <f t="shared" si="38"/>
        <v>0</v>
      </c>
      <c r="I46" s="22">
        <f t="shared" si="38"/>
        <v>0</v>
      </c>
      <c r="J46" s="15">
        <f t="shared" si="38"/>
        <v>0</v>
      </c>
      <c r="L46" s="389">
        <f>B30-B36-B41-B46</f>
        <v>0</v>
      </c>
      <c r="M46" s="388">
        <f t="shared" ref="M46:S46" si="39">C30-C36-C41-C46</f>
        <v>0</v>
      </c>
      <c r="N46" s="388">
        <f t="shared" si="39"/>
        <v>0</v>
      </c>
      <c r="O46" s="388">
        <f t="shared" si="39"/>
        <v>0</v>
      </c>
      <c r="P46" s="388">
        <f t="shared" si="39"/>
        <v>0</v>
      </c>
      <c r="Q46" s="388">
        <f t="shared" si="39"/>
        <v>0</v>
      </c>
      <c r="R46" s="388">
        <f t="shared" si="39"/>
        <v>0</v>
      </c>
      <c r="S46" s="388">
        <f t="shared" si="39"/>
        <v>0</v>
      </c>
      <c r="T46" s="392">
        <f t="shared" ref="T46:T47" si="40">SUM(B46:I46)-J46</f>
        <v>0</v>
      </c>
    </row>
    <row r="47" spans="1:40" ht="15" customHeight="1" thickBot="1" x14ac:dyDescent="0.3">
      <c r="A47" s="25" t="s">
        <v>30</v>
      </c>
      <c r="B47" s="26">
        <f>B34-B39-B44</f>
        <v>0</v>
      </c>
      <c r="C47" s="26">
        <f t="shared" ref="C47:J47" si="41">C34-C39-C44</f>
        <v>0</v>
      </c>
      <c r="D47" s="26">
        <f t="shared" si="41"/>
        <v>0</v>
      </c>
      <c r="E47" s="26">
        <f t="shared" si="41"/>
        <v>0</v>
      </c>
      <c r="F47" s="26">
        <f t="shared" si="41"/>
        <v>0</v>
      </c>
      <c r="G47" s="26">
        <f t="shared" si="41"/>
        <v>0</v>
      </c>
      <c r="H47" s="26">
        <f t="shared" si="41"/>
        <v>0</v>
      </c>
      <c r="I47" s="26">
        <f t="shared" si="41"/>
        <v>0</v>
      </c>
      <c r="J47" s="17">
        <f t="shared" si="41"/>
        <v>0</v>
      </c>
      <c r="L47" s="389">
        <f>B34-B39-B44-B47</f>
        <v>0</v>
      </c>
      <c r="M47" s="388">
        <f t="shared" ref="M47:S47" si="42">C34-C39-C44-C47</f>
        <v>0</v>
      </c>
      <c r="N47" s="388">
        <f t="shared" si="42"/>
        <v>0</v>
      </c>
      <c r="O47" s="388">
        <f t="shared" si="42"/>
        <v>0</v>
      </c>
      <c r="P47" s="388">
        <f t="shared" si="42"/>
        <v>0</v>
      </c>
      <c r="Q47" s="388">
        <f t="shared" si="42"/>
        <v>0</v>
      </c>
      <c r="R47" s="388">
        <f t="shared" si="42"/>
        <v>0</v>
      </c>
      <c r="S47" s="388">
        <f t="shared" si="42"/>
        <v>0</v>
      </c>
      <c r="T47" s="392">
        <f t="shared" si="40"/>
        <v>0</v>
      </c>
      <c r="AF47" s="389">
        <f>B47-BS!$G$31</f>
        <v>0</v>
      </c>
      <c r="AG47" s="388">
        <f>C47-BS!$G$32</f>
        <v>0</v>
      </c>
      <c r="AH47" s="388">
        <f>D47-BS!$G$33</f>
        <v>0</v>
      </c>
      <c r="AI47" s="388">
        <f>E47-BS!$G$34</f>
        <v>0</v>
      </c>
      <c r="AJ47" s="388">
        <f>F47-BS!$G$35</f>
        <v>0</v>
      </c>
      <c r="AK47" s="388">
        <f>G47-BS!$G$36</f>
        <v>0</v>
      </c>
      <c r="AL47" s="388">
        <f>H47-BS!$G$37</f>
        <v>0</v>
      </c>
      <c r="AM47" s="388">
        <f>I47-BS!$G$38</f>
        <v>0</v>
      </c>
      <c r="AN47" s="392">
        <f>J47-BS!$G$30</f>
        <v>0</v>
      </c>
    </row>
    <row r="48" spans="1:40" ht="15.75" thickTop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191" priority="61" operator="lessThan">
      <formula>0</formula>
    </cfRule>
    <cfRule type="cellIs" dxfId="190" priority="62" operator="greaterThan">
      <formula>0</formula>
    </cfRule>
  </conditionalFormatting>
  <conditionalFormatting sqref="L30:T47">
    <cfRule type="cellIs" dxfId="189" priority="59" operator="lessThan">
      <formula>0</formula>
    </cfRule>
    <cfRule type="cellIs" dxfId="188" priority="60" operator="greaterThan">
      <formula>0</formula>
    </cfRule>
  </conditionalFormatting>
  <conditionalFormatting sqref="AF30:AN47">
    <cfRule type="cellIs" dxfId="187" priority="57" operator="lessThan">
      <formula>0</formula>
    </cfRule>
    <cfRule type="cellIs" dxfId="186" priority="58" operator="greaterThan">
      <formula>0</formula>
    </cfRule>
  </conditionalFormatting>
  <conditionalFormatting sqref="L30:T47">
    <cfRule type="cellIs" dxfId="185" priority="55" operator="lessThan">
      <formula>0</formula>
    </cfRule>
    <cfRule type="cellIs" dxfId="184" priority="56" operator="greaterThan">
      <formula>0</formula>
    </cfRule>
  </conditionalFormatting>
  <conditionalFormatting sqref="L6:T23">
    <cfRule type="cellIs" dxfId="183" priority="53" operator="lessThan">
      <formula>0</formula>
    </cfRule>
    <cfRule type="cellIs" dxfId="182" priority="54" operator="greaterThan">
      <formula>0</formula>
    </cfRule>
  </conditionalFormatting>
  <conditionalFormatting sqref="L30:T47">
    <cfRule type="cellIs" dxfId="181" priority="51" operator="lessThan">
      <formula>0</formula>
    </cfRule>
    <cfRule type="cellIs" dxfId="180" priority="52" operator="greaterThan">
      <formula>0</formula>
    </cfRule>
  </conditionalFormatting>
  <conditionalFormatting sqref="L30:T47">
    <cfRule type="cellIs" dxfId="179" priority="49" operator="lessThan">
      <formula>0</formula>
    </cfRule>
    <cfRule type="cellIs" dxfId="178" priority="50" operator="greaterThan">
      <formula>0</formula>
    </cfRule>
  </conditionalFormatting>
  <conditionalFormatting sqref="L6:T23">
    <cfRule type="cellIs" dxfId="177" priority="47" operator="lessThan">
      <formula>0</formula>
    </cfRule>
    <cfRule type="cellIs" dxfId="176" priority="48" operator="greaterThan">
      <formula>0</formula>
    </cfRule>
  </conditionalFormatting>
  <conditionalFormatting sqref="L30:T47">
    <cfRule type="cellIs" dxfId="175" priority="45" operator="lessThan">
      <formula>0</formula>
    </cfRule>
    <cfRule type="cellIs" dxfId="174" priority="46" operator="greaterThan">
      <formula>0</formula>
    </cfRule>
  </conditionalFormatting>
  <conditionalFormatting sqref="L30:T47">
    <cfRule type="cellIs" dxfId="173" priority="43" operator="lessThan">
      <formula>0</formula>
    </cfRule>
    <cfRule type="cellIs" dxfId="172" priority="44" operator="greaterThan">
      <formula>0</formula>
    </cfRule>
  </conditionalFormatting>
  <conditionalFormatting sqref="M10:T10 L15:T15 L20:T20 M11:S14 L10:L14 L16:S19 L21:S23">
    <cfRule type="cellIs" dxfId="171" priority="41" operator="lessThan">
      <formula>0</formula>
    </cfRule>
    <cfRule type="cellIs" dxfId="170" priority="42" operator="greaterThan">
      <formula>0</formula>
    </cfRule>
  </conditionalFormatting>
  <conditionalFormatting sqref="T10">
    <cfRule type="cellIs" dxfId="169" priority="39" operator="lessThan">
      <formula>0</formula>
    </cfRule>
    <cfRule type="cellIs" dxfId="168" priority="40" operator="greaterThan">
      <formula>0</formula>
    </cfRule>
  </conditionalFormatting>
  <conditionalFormatting sqref="T15">
    <cfRule type="cellIs" dxfId="167" priority="37" operator="lessThan">
      <formula>0</formula>
    </cfRule>
    <cfRule type="cellIs" dxfId="166" priority="38" operator="greaterThan">
      <formula>0</formula>
    </cfRule>
  </conditionalFormatting>
  <conditionalFormatting sqref="T20">
    <cfRule type="cellIs" dxfId="165" priority="35" operator="lessThan">
      <formula>0</formula>
    </cfRule>
    <cfRule type="cellIs" dxfId="164" priority="36" operator="greaterThan">
      <formula>0</formula>
    </cfRule>
  </conditionalFormatting>
  <conditionalFormatting sqref="T10">
    <cfRule type="cellIs" dxfId="163" priority="33" operator="lessThan">
      <formula>0</formula>
    </cfRule>
    <cfRule type="cellIs" dxfId="162" priority="34" operator="greaterThan">
      <formula>0</formula>
    </cfRule>
  </conditionalFormatting>
  <conditionalFormatting sqref="T15">
    <cfRule type="cellIs" dxfId="161" priority="31" operator="lessThan">
      <formula>0</formula>
    </cfRule>
    <cfRule type="cellIs" dxfId="160" priority="32" operator="greaterThan">
      <formula>0</formula>
    </cfRule>
  </conditionalFormatting>
  <conditionalFormatting sqref="T15">
    <cfRule type="cellIs" dxfId="159" priority="29" operator="lessThan">
      <formula>0</formula>
    </cfRule>
    <cfRule type="cellIs" dxfId="158" priority="30" operator="greaterThan">
      <formula>0</formula>
    </cfRule>
  </conditionalFormatting>
  <conditionalFormatting sqref="T20">
    <cfRule type="cellIs" dxfId="157" priority="27" operator="lessThan">
      <formula>0</formula>
    </cfRule>
    <cfRule type="cellIs" dxfId="156" priority="28" operator="greaterThan">
      <formula>0</formula>
    </cfRule>
  </conditionalFormatting>
  <conditionalFormatting sqref="T20">
    <cfRule type="cellIs" dxfId="155" priority="25" operator="lessThan">
      <formula>0</formula>
    </cfRule>
    <cfRule type="cellIs" dxfId="154" priority="26" operator="greaterThan">
      <formula>0</formula>
    </cfRule>
  </conditionalFormatting>
  <conditionalFormatting sqref="T20">
    <cfRule type="cellIs" dxfId="153" priority="23" operator="lessThan">
      <formula>0</formula>
    </cfRule>
    <cfRule type="cellIs" dxfId="152" priority="24" operator="greaterThan">
      <formula>0</formula>
    </cfRule>
  </conditionalFormatting>
  <conditionalFormatting sqref="L30:T47">
    <cfRule type="cellIs" dxfId="151" priority="21" operator="lessThan">
      <formula>0</formula>
    </cfRule>
    <cfRule type="cellIs" dxfId="150" priority="22" operator="greaterThan">
      <formula>0</formula>
    </cfRule>
  </conditionalFormatting>
  <conditionalFormatting sqref="M34:T34 L39:T39 L44:T44 M35:S38 L34:L38 L40:S43 L45:S47">
    <cfRule type="cellIs" dxfId="149" priority="19" operator="lessThan">
      <formula>0</formula>
    </cfRule>
    <cfRule type="cellIs" dxfId="148" priority="20" operator="greaterThan">
      <formula>0</formula>
    </cfRule>
  </conditionalFormatting>
  <conditionalFormatting sqref="T34">
    <cfRule type="cellIs" dxfId="147" priority="17" operator="lessThan">
      <formula>0</formula>
    </cfRule>
    <cfRule type="cellIs" dxfId="146" priority="18" operator="greaterThan">
      <formula>0</formula>
    </cfRule>
  </conditionalFormatting>
  <conditionalFormatting sqref="T39">
    <cfRule type="cellIs" dxfId="145" priority="15" operator="lessThan">
      <formula>0</formula>
    </cfRule>
    <cfRule type="cellIs" dxfId="144" priority="16" operator="greaterThan">
      <formula>0</formula>
    </cfRule>
  </conditionalFormatting>
  <conditionalFormatting sqref="T44">
    <cfRule type="cellIs" dxfId="143" priority="13" operator="lessThan">
      <formula>0</formula>
    </cfRule>
    <cfRule type="cellIs" dxfId="142" priority="14" operator="greaterThan">
      <formula>0</formula>
    </cfRule>
  </conditionalFormatting>
  <conditionalFormatting sqref="T34">
    <cfRule type="cellIs" dxfId="141" priority="11" operator="lessThan">
      <formula>0</formula>
    </cfRule>
    <cfRule type="cellIs" dxfId="140" priority="12" operator="greaterThan">
      <formula>0</formula>
    </cfRule>
  </conditionalFormatting>
  <conditionalFormatting sqref="T39">
    <cfRule type="cellIs" dxfId="139" priority="9" operator="lessThan">
      <formula>0</formula>
    </cfRule>
    <cfRule type="cellIs" dxfId="138" priority="10" operator="greaterThan">
      <formula>0</formula>
    </cfRule>
  </conditionalFormatting>
  <conditionalFormatting sqref="T39">
    <cfRule type="cellIs" dxfId="137" priority="7" operator="lessThan">
      <formula>0</formula>
    </cfRule>
    <cfRule type="cellIs" dxfId="136" priority="8" operator="greaterThan">
      <formula>0</formula>
    </cfRule>
  </conditionalFormatting>
  <conditionalFormatting sqref="T44">
    <cfRule type="cellIs" dxfId="135" priority="5" operator="lessThan">
      <formula>0</formula>
    </cfRule>
    <cfRule type="cellIs" dxfId="134" priority="6" operator="greaterThan">
      <formula>0</formula>
    </cfRule>
  </conditionalFormatting>
  <conditionalFormatting sqref="T44">
    <cfRule type="cellIs" dxfId="133" priority="3" operator="lessThan">
      <formula>0</formula>
    </cfRule>
    <cfRule type="cellIs" dxfId="132" priority="4" operator="greaterThan">
      <formula>0</formula>
    </cfRule>
  </conditionalFormatting>
  <conditionalFormatting sqref="T44">
    <cfRule type="cellIs" dxfId="131" priority="1" operator="lessThan">
      <formula>0</formula>
    </cfRule>
    <cfRule type="cellIs" dxfId="1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zoomScaleNormal="10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56</v>
      </c>
    </row>
    <row r="2" spans="1:2" ht="21" customHeight="1" thickTop="1" thickBot="1" x14ac:dyDescent="0.3">
      <c r="A2" s="636" t="s">
        <v>55</v>
      </c>
      <c r="B2" s="11" t="s">
        <v>36</v>
      </c>
    </row>
    <row r="3" spans="1:2" ht="23.25" customHeight="1" thickTop="1" thickBot="1" x14ac:dyDescent="0.3">
      <c r="A3" s="12" t="s">
        <v>57</v>
      </c>
      <c r="B3" s="13"/>
    </row>
    <row r="4" spans="1:2" ht="23.25" customHeight="1" thickBot="1" x14ac:dyDescent="0.3">
      <c r="A4" s="16" t="s">
        <v>58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zoomScaleNormal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59</v>
      </c>
    </row>
    <row r="2" spans="1:6" ht="16.5" thickTop="1" thickBot="1" x14ac:dyDescent="0.3">
      <c r="A2" s="1358" t="s">
        <v>60</v>
      </c>
      <c r="B2" s="1373" t="s">
        <v>2</v>
      </c>
      <c r="C2" s="1374"/>
      <c r="D2" s="1374"/>
      <c r="E2" s="1374"/>
      <c r="F2" s="1375"/>
    </row>
    <row r="3" spans="1:6" ht="70.5" customHeight="1" thickBot="1" x14ac:dyDescent="0.3">
      <c r="A3" s="1365"/>
      <c r="B3" s="57" t="s">
        <v>61</v>
      </c>
      <c r="C3" s="57" t="s">
        <v>62</v>
      </c>
      <c r="D3" s="40" t="s">
        <v>448</v>
      </c>
      <c r="E3" s="57" t="s">
        <v>449</v>
      </c>
      <c r="F3" s="57" t="s">
        <v>64</v>
      </c>
    </row>
    <row r="4" spans="1:6" ht="16.5" thickTop="1" thickBot="1" x14ac:dyDescent="0.3">
      <c r="A4" s="138" t="s">
        <v>65</v>
      </c>
      <c r="B4" s="53"/>
      <c r="C4" s="53"/>
      <c r="D4" s="53"/>
      <c r="E4" s="53"/>
      <c r="F4" s="54"/>
    </row>
    <row r="5" spans="1:6" ht="16.5" thickTop="1" thickBot="1" x14ac:dyDescent="0.3">
      <c r="A5" s="139"/>
      <c r="B5" s="55"/>
      <c r="C5" s="55"/>
      <c r="D5" s="22"/>
      <c r="E5" s="22"/>
      <c r="F5" s="15"/>
    </row>
    <row r="6" spans="1:6" ht="15.75" thickBot="1" x14ac:dyDescent="0.3">
      <c r="A6" s="139"/>
      <c r="B6" s="55"/>
      <c r="C6" s="55"/>
      <c r="D6" s="22"/>
      <c r="E6" s="22"/>
      <c r="F6" s="15"/>
    </row>
    <row r="7" spans="1:6" ht="15.75" thickBot="1" x14ac:dyDescent="0.3">
      <c r="A7" s="140"/>
      <c r="B7" s="56"/>
      <c r="C7" s="56"/>
      <c r="D7" s="26"/>
      <c r="E7" s="26"/>
      <c r="F7" s="17"/>
    </row>
    <row r="8" spans="1:6" ht="16.5" thickTop="1" thickBot="1" x14ac:dyDescent="0.3">
      <c r="A8" s="138" t="s">
        <v>66</v>
      </c>
      <c r="B8" s="53"/>
      <c r="C8" s="53"/>
      <c r="D8" s="53"/>
      <c r="E8" s="53"/>
      <c r="F8" s="54"/>
    </row>
    <row r="9" spans="1:6" ht="16.5" thickTop="1" thickBot="1" x14ac:dyDescent="0.3">
      <c r="A9" s="139"/>
      <c r="B9" s="55"/>
      <c r="C9" s="55"/>
      <c r="D9" s="22"/>
      <c r="E9" s="22"/>
      <c r="F9" s="15"/>
    </row>
    <row r="10" spans="1:6" ht="15.75" thickBot="1" x14ac:dyDescent="0.3">
      <c r="A10" s="139"/>
      <c r="B10" s="55"/>
      <c r="C10" s="55"/>
      <c r="D10" s="22"/>
      <c r="E10" s="22"/>
      <c r="F10" s="15"/>
    </row>
    <row r="11" spans="1:6" ht="15.75" thickBot="1" x14ac:dyDescent="0.3">
      <c r="A11" s="140"/>
      <c r="B11" s="56"/>
      <c r="C11" s="56"/>
      <c r="D11" s="26"/>
      <c r="E11" s="26"/>
      <c r="F11" s="17"/>
    </row>
    <row r="12" spans="1:6" ht="16.5" thickTop="1" thickBot="1" x14ac:dyDescent="0.3">
      <c r="A12" s="138" t="s">
        <v>67</v>
      </c>
      <c r="B12" s="53"/>
      <c r="C12" s="53"/>
      <c r="D12" s="53"/>
      <c r="E12" s="53"/>
      <c r="F12" s="54"/>
    </row>
    <row r="13" spans="1:6" ht="16.5" thickTop="1" thickBot="1" x14ac:dyDescent="0.3">
      <c r="A13" s="139"/>
      <c r="B13" s="55"/>
      <c r="C13" s="55"/>
      <c r="D13" s="22"/>
      <c r="E13" s="22"/>
      <c r="F13" s="15"/>
    </row>
    <row r="14" spans="1:6" ht="15.75" thickBot="1" x14ac:dyDescent="0.3">
      <c r="A14" s="139"/>
      <c r="B14" s="55"/>
      <c r="C14" s="55"/>
      <c r="D14" s="22"/>
      <c r="E14" s="22"/>
      <c r="F14" s="15"/>
    </row>
    <row r="15" spans="1:6" ht="15.75" thickBot="1" x14ac:dyDescent="0.3">
      <c r="A15" s="140"/>
      <c r="B15" s="56"/>
      <c r="C15" s="56"/>
      <c r="D15" s="26"/>
      <c r="E15" s="26"/>
      <c r="F15" s="17"/>
    </row>
    <row r="16" spans="1:6" ht="16.5" thickTop="1" thickBot="1" x14ac:dyDescent="0.3">
      <c r="A16" s="138" t="s">
        <v>68</v>
      </c>
      <c r="B16" s="53"/>
      <c r="C16" s="53"/>
      <c r="D16" s="53"/>
      <c r="E16" s="53"/>
      <c r="F16" s="54"/>
    </row>
    <row r="17" spans="1:6" ht="16.5" thickTop="1" thickBot="1" x14ac:dyDescent="0.3">
      <c r="A17" s="141"/>
      <c r="B17" s="55"/>
      <c r="C17" s="55"/>
      <c r="D17" s="22"/>
      <c r="E17" s="22"/>
      <c r="F17" s="15"/>
    </row>
    <row r="18" spans="1:6" ht="15.75" thickBot="1" x14ac:dyDescent="0.3">
      <c r="A18" s="86"/>
      <c r="B18" s="56"/>
      <c r="C18" s="56"/>
      <c r="D18" s="173"/>
      <c r="E18" s="47"/>
      <c r="F18" s="174"/>
    </row>
    <row r="19" spans="1:6" ht="24" thickTop="1" thickBot="1" x14ac:dyDescent="0.3">
      <c r="A19" s="25" t="s">
        <v>69</v>
      </c>
      <c r="B19" s="34" t="s">
        <v>18</v>
      </c>
      <c r="C19" s="34" t="s">
        <v>18</v>
      </c>
      <c r="D19" s="34" t="s">
        <v>18</v>
      </c>
      <c r="E19" s="34" t="s">
        <v>18</v>
      </c>
      <c r="F19" s="17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zoomScaleNormal="10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391"/>
    <col min="9" max="9" width="9.140625" style="386" customWidth="1" outlineLevel="1"/>
    <col min="10" max="11" width="9.140625" customWidth="1" outlineLevel="1"/>
    <col min="12" max="12" width="17" customWidth="1" outlineLevel="1"/>
    <col min="13" max="13" width="19.7109375" style="391" customWidth="1"/>
  </cols>
  <sheetData>
    <row r="1" spans="1:13" ht="17.25" thickBot="1" x14ac:dyDescent="0.35">
      <c r="A1" s="1" t="s">
        <v>70</v>
      </c>
      <c r="I1" s="1376" t="s">
        <v>1138</v>
      </c>
      <c r="J1" s="1377"/>
      <c r="K1" s="1377"/>
      <c r="L1" s="1377"/>
      <c r="M1" s="1378"/>
    </row>
    <row r="2" spans="1:13" ht="74.25" customHeight="1" thickTop="1" thickBot="1" x14ac:dyDescent="0.3">
      <c r="A2" s="59" t="s">
        <v>452</v>
      </c>
      <c r="B2" s="59" t="s">
        <v>71</v>
      </c>
      <c r="C2" s="38" t="s">
        <v>450</v>
      </c>
      <c r="D2" s="59" t="s">
        <v>72</v>
      </c>
      <c r="E2" s="59" t="s">
        <v>73</v>
      </c>
      <c r="F2" s="38" t="s">
        <v>451</v>
      </c>
      <c r="G2" s="59" t="s">
        <v>79</v>
      </c>
      <c r="H2" s="387"/>
      <c r="I2" s="59" t="s">
        <v>450</v>
      </c>
      <c r="J2" s="59" t="s">
        <v>72</v>
      </c>
      <c r="K2" s="59" t="s">
        <v>73</v>
      </c>
      <c r="L2" s="177" t="s">
        <v>451</v>
      </c>
      <c r="M2" s="59" t="s">
        <v>79</v>
      </c>
    </row>
    <row r="3" spans="1:13" ht="27" customHeight="1" thickTop="1" thickBot="1" x14ac:dyDescent="0.3">
      <c r="A3" s="14" t="s">
        <v>74</v>
      </c>
      <c r="B3" s="62"/>
      <c r="C3" s="22"/>
      <c r="D3" s="22"/>
      <c r="E3" s="22"/>
      <c r="F3" s="22"/>
      <c r="G3" s="15">
        <f>SUM(C3:F3)</f>
        <v>0</v>
      </c>
      <c r="J3" s="387"/>
      <c r="K3" s="387"/>
      <c r="L3" s="387"/>
      <c r="M3" s="392">
        <f>SUM(C3:F3)-G3</f>
        <v>0</v>
      </c>
    </row>
    <row r="4" spans="1:13" ht="27" customHeight="1" thickBot="1" x14ac:dyDescent="0.3">
      <c r="A4" s="14" t="s">
        <v>75</v>
      </c>
      <c r="B4" s="62"/>
      <c r="C4" s="22"/>
      <c r="D4" s="22"/>
      <c r="E4" s="22"/>
      <c r="F4" s="22"/>
      <c r="G4" s="15">
        <f>SUM(C4:F4)</f>
        <v>0</v>
      </c>
      <c r="J4" s="387"/>
      <c r="K4" s="387"/>
      <c r="L4" s="387"/>
      <c r="M4" s="392">
        <f t="shared" ref="M4" si="0">SUM(C4:F4)-G4</f>
        <v>0</v>
      </c>
    </row>
    <row r="5" spans="1:13" ht="27" customHeight="1" thickBot="1" x14ac:dyDescent="0.3">
      <c r="A5" s="14" t="s">
        <v>76</v>
      </c>
      <c r="B5" s="62"/>
      <c r="C5" s="22"/>
      <c r="D5" s="22"/>
      <c r="E5" s="22"/>
      <c r="F5" s="22"/>
      <c r="G5" s="15">
        <f>SUM(C5:F5)</f>
        <v>0</v>
      </c>
      <c r="J5" s="387"/>
      <c r="K5" s="387"/>
      <c r="L5" s="387"/>
      <c r="M5" s="392">
        <f>SUM(C5:F5)-G5</f>
        <v>0</v>
      </c>
    </row>
    <row r="6" spans="1:13" ht="27" customHeight="1" thickBot="1" x14ac:dyDescent="0.3">
      <c r="A6" s="14" t="s">
        <v>77</v>
      </c>
      <c r="B6" s="62"/>
      <c r="C6" s="22"/>
      <c r="D6" s="22"/>
      <c r="E6" s="22"/>
      <c r="F6" s="22"/>
      <c r="G6" s="15">
        <f>SUM(C6:F6)</f>
        <v>0</v>
      </c>
      <c r="J6" s="387"/>
      <c r="K6" s="387"/>
      <c r="L6" s="387"/>
      <c r="M6" s="392">
        <f>SUM(C6:F6)-G6</f>
        <v>0</v>
      </c>
    </row>
    <row r="7" spans="1:13" ht="27" customHeight="1" thickBot="1" x14ac:dyDescent="0.3">
      <c r="A7" s="25" t="s">
        <v>78</v>
      </c>
      <c r="B7" s="61" t="s">
        <v>18</v>
      </c>
      <c r="C7" s="58">
        <f>SUM(C3:C6)</f>
        <v>0</v>
      </c>
      <c r="D7" s="58">
        <f>SUM(D3:D6)</f>
        <v>0</v>
      </c>
      <c r="E7" s="58">
        <f>SUM(E3:E6)</f>
        <v>0</v>
      </c>
      <c r="F7" s="58">
        <f>SUM(F3:F6)</f>
        <v>0</v>
      </c>
      <c r="G7" s="60">
        <f>SUM(G3:G6)</f>
        <v>0</v>
      </c>
      <c r="I7" s="389">
        <f>SUM(C3:C6)-C7</f>
        <v>0</v>
      </c>
      <c r="J7" s="388">
        <f>SUM(D3:D6)-D7</f>
        <v>0</v>
      </c>
      <c r="K7" s="388">
        <f>SUM(E3:E6)-E7</f>
        <v>0</v>
      </c>
      <c r="L7" s="388">
        <f>SUM(F3:F6)-F7</f>
        <v>0</v>
      </c>
      <c r="M7" s="392">
        <f>SUM(G3:G6)-G7</f>
        <v>0</v>
      </c>
    </row>
    <row r="8" spans="1:13" ht="15.75" thickTop="1" x14ac:dyDescent="0.25"/>
  </sheetData>
  <mergeCells count="1">
    <mergeCell ref="I1:M1"/>
  </mergeCells>
  <conditionalFormatting sqref="I3:M7">
    <cfRule type="cellIs" dxfId="129" priority="5" operator="lessThan">
      <formula>0</formula>
    </cfRule>
    <cfRule type="cellIs" dxfId="128" priority="6" operator="greaterThan">
      <formula>0</formula>
    </cfRule>
    <cfRule type="cellIs" dxfId="127" priority="7" operator="lessThan">
      <formula>0</formula>
    </cfRule>
    <cfRule type="cellIs" dxfId="126" priority="8" operator="greaterThan">
      <formula>0</formula>
    </cfRule>
  </conditionalFormatting>
  <conditionalFormatting sqref="I3:M7">
    <cfRule type="cellIs" dxfId="125" priority="1" operator="lessThan">
      <formula>0</formula>
    </cfRule>
    <cfRule type="cellIs" dxfId="124" priority="2" operator="greaterThan">
      <formula>0</formula>
    </cfRule>
    <cfRule type="cellIs" dxfId="123" priority="3" operator="lessThan">
      <formula>0</formula>
    </cfRule>
    <cfRule type="cellIs" dxfId="1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zoomScaleNormal="10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391" customWidth="1"/>
    <col min="8" max="8" width="9.140625" style="386" customWidth="1" outlineLevel="1"/>
    <col min="9" max="11" width="9.140625" customWidth="1" outlineLevel="1"/>
    <col min="12" max="12" width="23.5703125" style="391" customWidth="1"/>
  </cols>
  <sheetData>
    <row r="1" spans="1:12" ht="17.25" thickBot="1" x14ac:dyDescent="0.35">
      <c r="A1" s="1" t="s">
        <v>80</v>
      </c>
      <c r="H1" s="1370" t="s">
        <v>1138</v>
      </c>
      <c r="I1" s="1371"/>
      <c r="J1" s="1371"/>
      <c r="K1" s="1371"/>
      <c r="L1" s="1372"/>
    </row>
    <row r="2" spans="1:12" ht="58.5" customHeight="1" thickTop="1" thickBot="1" x14ac:dyDescent="0.3">
      <c r="A2" s="59" t="s">
        <v>81</v>
      </c>
      <c r="B2" s="38" t="s">
        <v>450</v>
      </c>
      <c r="C2" s="59" t="s">
        <v>72</v>
      </c>
      <c r="D2" s="59" t="s">
        <v>73</v>
      </c>
      <c r="E2" s="59" t="s">
        <v>453</v>
      </c>
      <c r="F2" s="38" t="s">
        <v>30</v>
      </c>
      <c r="G2" s="387"/>
      <c r="H2" s="59" t="s">
        <v>450</v>
      </c>
      <c r="I2" s="59" t="s">
        <v>72</v>
      </c>
      <c r="J2" s="59" t="s">
        <v>73</v>
      </c>
      <c r="K2" s="59" t="s">
        <v>453</v>
      </c>
      <c r="L2" s="59" t="s">
        <v>30</v>
      </c>
    </row>
    <row r="3" spans="1:12" ht="27" customHeight="1" thickTop="1" thickBot="1" x14ac:dyDescent="0.3">
      <c r="A3" s="14" t="s">
        <v>74</v>
      </c>
      <c r="B3" s="22"/>
      <c r="C3" s="22"/>
      <c r="D3" s="22"/>
      <c r="E3" s="22"/>
      <c r="F3" s="15">
        <f>SUM(B3:E3)</f>
        <v>0</v>
      </c>
      <c r="I3" s="387"/>
      <c r="J3" s="387"/>
      <c r="K3" s="387"/>
      <c r="L3" s="392">
        <f>SUM(B3:E3)-F3</f>
        <v>0</v>
      </c>
    </row>
    <row r="4" spans="1:12" ht="27" customHeight="1" thickBot="1" x14ac:dyDescent="0.3">
      <c r="A4" s="14" t="s">
        <v>82</v>
      </c>
      <c r="B4" s="22"/>
      <c r="C4" s="22"/>
      <c r="D4" s="22"/>
      <c r="E4" s="22"/>
      <c r="F4" s="15">
        <f>SUM(B4:E4)</f>
        <v>0</v>
      </c>
      <c r="I4" s="387"/>
      <c r="J4" s="387"/>
      <c r="K4" s="387"/>
      <c r="L4" s="392">
        <f>SUM(B4:E4)-F4</f>
        <v>0</v>
      </c>
    </row>
    <row r="5" spans="1:12" ht="27" customHeight="1" thickBot="1" x14ac:dyDescent="0.3">
      <c r="A5" s="14" t="s">
        <v>83</v>
      </c>
      <c r="B5" s="22"/>
      <c r="C5" s="22"/>
      <c r="D5" s="22"/>
      <c r="E5" s="22"/>
      <c r="F5" s="15">
        <f>SUM(B5:E5)</f>
        <v>0</v>
      </c>
      <c r="I5" s="387"/>
      <c r="J5" s="387"/>
      <c r="K5" s="387"/>
      <c r="L5" s="392">
        <f t="shared" ref="L5:L6" si="0">SUM(B5:E5)-F5</f>
        <v>0</v>
      </c>
    </row>
    <row r="6" spans="1:12" ht="27" customHeight="1" thickBot="1" x14ac:dyDescent="0.3">
      <c r="A6" s="14" t="s">
        <v>77</v>
      </c>
      <c r="B6" s="22"/>
      <c r="C6" s="22"/>
      <c r="D6" s="22"/>
      <c r="E6" s="22"/>
      <c r="F6" s="15">
        <f>SUM(B6:E6)</f>
        <v>0</v>
      </c>
      <c r="I6" s="387"/>
      <c r="J6" s="387"/>
      <c r="K6" s="387"/>
      <c r="L6" s="392">
        <f t="shared" si="0"/>
        <v>0</v>
      </c>
    </row>
    <row r="7" spans="1:12" ht="27" customHeight="1" thickBot="1" x14ac:dyDescent="0.3">
      <c r="A7" s="25" t="s">
        <v>84</v>
      </c>
      <c r="B7" s="58">
        <f>SUM(B3:B6)</f>
        <v>0</v>
      </c>
      <c r="C7" s="58">
        <f>SUM(C3:C6)</f>
        <v>0</v>
      </c>
      <c r="D7" s="58">
        <f>SUM(D3:D6)</f>
        <v>0</v>
      </c>
      <c r="E7" s="58">
        <f>SUM(E3:E6)</f>
        <v>0</v>
      </c>
      <c r="F7" s="60">
        <f>SUM(F3:F6)</f>
        <v>0</v>
      </c>
      <c r="H7" s="389">
        <f>SUM(B3:B6)-B7</f>
        <v>0</v>
      </c>
      <c r="I7" s="388">
        <f>SUM(C3:C6)-C7</f>
        <v>0</v>
      </c>
      <c r="J7" s="388">
        <f>SUM(D3:D6)-D7</f>
        <v>0</v>
      </c>
      <c r="K7" s="388">
        <f>SUM(E3:E6)-E7</f>
        <v>0</v>
      </c>
      <c r="L7" s="392">
        <f>SUM(F3:F6)-F7</f>
        <v>0</v>
      </c>
    </row>
    <row r="8" spans="1:12" ht="15.75" thickTop="1" x14ac:dyDescent="0.25"/>
  </sheetData>
  <mergeCells count="1">
    <mergeCell ref="H1:L1"/>
  </mergeCells>
  <conditionalFormatting sqref="H3:L7">
    <cfRule type="cellIs" dxfId="121" priority="1" operator="lessThan">
      <formula>0</formula>
    </cfRule>
    <cfRule type="cellIs" dxfId="120" priority="2" operator="greaterThan">
      <formula>0</formula>
    </cfRule>
    <cfRule type="cellIs" dxfId="119" priority="3" operator="lessThan">
      <formula>0</formula>
    </cfRule>
    <cfRule type="cellIs" dxfId="118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7"/>
  <sheetViews>
    <sheetView showGridLines="0" workbookViewId="0">
      <selection activeCell="E26" sqref="E26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405</v>
      </c>
    </row>
    <row r="2" spans="1:2" x14ac:dyDescent="0.25">
      <c r="A2" t="s">
        <v>406</v>
      </c>
    </row>
    <row r="3" spans="1:2" x14ac:dyDescent="0.25">
      <c r="A3" t="s">
        <v>407</v>
      </c>
    </row>
    <row r="4" spans="1:2" x14ac:dyDescent="0.25">
      <c r="A4" t="s">
        <v>408</v>
      </c>
    </row>
    <row r="5" spans="1:2" x14ac:dyDescent="0.25">
      <c r="A5" t="s">
        <v>409</v>
      </c>
    </row>
    <row r="6" spans="1:2" x14ac:dyDescent="0.25">
      <c r="A6" t="s">
        <v>410</v>
      </c>
    </row>
    <row r="7" spans="1:2" x14ac:dyDescent="0.25">
      <c r="A7" t="s">
        <v>411</v>
      </c>
    </row>
    <row r="8" spans="1:2" x14ac:dyDescent="0.25">
      <c r="A8" t="s">
        <v>412</v>
      </c>
    </row>
    <row r="9" spans="1:2" x14ac:dyDescent="0.25">
      <c r="A9" t="s">
        <v>413</v>
      </c>
    </row>
    <row r="10" spans="1:2" x14ac:dyDescent="0.25">
      <c r="A10" t="s">
        <v>414</v>
      </c>
    </row>
    <row r="11" spans="1:2" x14ac:dyDescent="0.25">
      <c r="A11" s="9" t="s">
        <v>388</v>
      </c>
      <c r="B11" s="9" t="s">
        <v>415</v>
      </c>
    </row>
    <row r="12" spans="1:2" x14ac:dyDescent="0.25">
      <c r="A12" s="7">
        <v>1</v>
      </c>
      <c r="B12" s="8" t="s">
        <v>416</v>
      </c>
    </row>
    <row r="13" spans="1:2" x14ac:dyDescent="0.25">
      <c r="A13" s="7">
        <v>2</v>
      </c>
      <c r="B13" s="8" t="s">
        <v>417</v>
      </c>
    </row>
    <row r="14" spans="1:2" x14ac:dyDescent="0.25">
      <c r="A14" s="7">
        <v>3</v>
      </c>
      <c r="B14" s="8" t="s">
        <v>418</v>
      </c>
    </row>
    <row r="15" spans="1:2" x14ac:dyDescent="0.25">
      <c r="A15" s="7">
        <v>4</v>
      </c>
      <c r="B15" s="8" t="s">
        <v>419</v>
      </c>
    </row>
    <row r="16" spans="1:2" x14ac:dyDescent="0.25">
      <c r="A16" s="7">
        <v>5</v>
      </c>
      <c r="B16" s="8" t="s">
        <v>420</v>
      </c>
    </row>
    <row r="17" spans="1:2" x14ac:dyDescent="0.25">
      <c r="A17" s="7">
        <v>6</v>
      </c>
      <c r="B17" s="8" t="s">
        <v>421</v>
      </c>
    </row>
    <row r="18" spans="1:2" x14ac:dyDescent="0.25">
      <c r="A18" s="7">
        <v>7</v>
      </c>
      <c r="B18" s="8" t="s">
        <v>422</v>
      </c>
    </row>
    <row r="19" spans="1:2" x14ac:dyDescent="0.25">
      <c r="A19" s="7">
        <v>8</v>
      </c>
      <c r="B19" s="8" t="s">
        <v>423</v>
      </c>
    </row>
    <row r="20" spans="1:2" x14ac:dyDescent="0.25">
      <c r="A20" s="7">
        <v>9</v>
      </c>
      <c r="B20" s="8" t="s">
        <v>424</v>
      </c>
    </row>
    <row r="21" spans="1:2" x14ac:dyDescent="0.25">
      <c r="A21" s="7">
        <v>10</v>
      </c>
      <c r="B21" s="8" t="s">
        <v>425</v>
      </c>
    </row>
    <row r="22" spans="1:2" x14ac:dyDescent="0.25">
      <c r="A22" s="7">
        <v>11</v>
      </c>
      <c r="B22" s="8" t="s">
        <v>426</v>
      </c>
    </row>
    <row r="24" spans="1:2" x14ac:dyDescent="0.25">
      <c r="A24" t="s">
        <v>427</v>
      </c>
    </row>
    <row r="25" spans="1:2" x14ac:dyDescent="0.25">
      <c r="A25" t="s">
        <v>428</v>
      </c>
    </row>
    <row r="26" spans="1:2" x14ac:dyDescent="0.25">
      <c r="A26" t="s">
        <v>429</v>
      </c>
    </row>
    <row r="27" spans="1:2" x14ac:dyDescent="0.25">
      <c r="A27" t="s">
        <v>430</v>
      </c>
    </row>
    <row r="28" spans="1:2" x14ac:dyDescent="0.25">
      <c r="A28" t="s">
        <v>431</v>
      </c>
    </row>
    <row r="29" spans="1:2" x14ac:dyDescent="0.25">
      <c r="A29" t="s">
        <v>432</v>
      </c>
    </row>
    <row r="30" spans="1:2" x14ac:dyDescent="0.25">
      <c r="A30" t="s">
        <v>433</v>
      </c>
    </row>
    <row r="31" spans="1:2" x14ac:dyDescent="0.25">
      <c r="A31" t="s">
        <v>434</v>
      </c>
    </row>
    <row r="32" spans="1:2" x14ac:dyDescent="0.25">
      <c r="A32" t="s">
        <v>435</v>
      </c>
    </row>
    <row r="33" spans="1:1" x14ac:dyDescent="0.25">
      <c r="A33" t="s">
        <v>436</v>
      </c>
    </row>
    <row r="34" spans="1:1" x14ac:dyDescent="0.25">
      <c r="A34" t="s">
        <v>437</v>
      </c>
    </row>
    <row r="35" spans="1:1" x14ac:dyDescent="0.25">
      <c r="A35" t="s">
        <v>438</v>
      </c>
    </row>
    <row r="36" spans="1:1" x14ac:dyDescent="0.25">
      <c r="A36" t="s">
        <v>439</v>
      </c>
    </row>
    <row r="37" spans="1:1" x14ac:dyDescent="0.25">
      <c r="A37" t="s">
        <v>440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zoomScaleNormal="10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391" customWidth="1"/>
    <col min="8" max="8" width="13.42578125" style="387" customWidth="1" outlineLevel="1"/>
    <col min="9" max="10" width="13.42578125" customWidth="1" outlineLevel="1"/>
    <col min="11" max="11" width="21.140625" customWidth="1" outlineLevel="1"/>
    <col min="12" max="12" width="24.7109375" style="391" customWidth="1"/>
    <col min="14" max="14" width="22" style="393" customWidth="1"/>
    <col min="22" max="22" width="9.140625" style="387"/>
  </cols>
  <sheetData>
    <row r="1" spans="1:22" ht="16.5" x14ac:dyDescent="0.3">
      <c r="A1" s="1" t="s">
        <v>85</v>
      </c>
      <c r="H1" s="1370" t="s">
        <v>1138</v>
      </c>
      <c r="I1" s="1371"/>
      <c r="J1" s="1371"/>
      <c r="K1" s="1371"/>
      <c r="L1" s="1372"/>
      <c r="N1" s="401" t="s">
        <v>1140</v>
      </c>
      <c r="O1" s="396"/>
      <c r="P1" s="396"/>
      <c r="Q1" s="396"/>
      <c r="R1" s="396"/>
      <c r="S1" s="396"/>
      <c r="T1" s="396"/>
      <c r="U1" s="396"/>
      <c r="V1" s="396"/>
    </row>
    <row r="2" spans="1:22" ht="17.25" thickBot="1" x14ac:dyDescent="0.35">
      <c r="A2" s="2" t="s">
        <v>8</v>
      </c>
    </row>
    <row r="3" spans="1:22" ht="16.5" thickTop="1" thickBot="1" x14ac:dyDescent="0.3">
      <c r="A3" s="1358" t="s">
        <v>86</v>
      </c>
      <c r="B3" s="1360" t="s">
        <v>2</v>
      </c>
      <c r="C3" s="1366"/>
      <c r="D3" s="1366"/>
      <c r="E3" s="1366"/>
      <c r="F3" s="1361"/>
    </row>
    <row r="4" spans="1:22" ht="60" customHeight="1" thickTop="1" thickBot="1" x14ac:dyDescent="0.3">
      <c r="A4" s="1359"/>
      <c r="B4" s="642" t="s">
        <v>87</v>
      </c>
      <c r="C4" s="21" t="s">
        <v>455</v>
      </c>
      <c r="D4" s="642" t="s">
        <v>1443</v>
      </c>
      <c r="E4" s="21" t="s">
        <v>457</v>
      </c>
      <c r="F4" s="642" t="s">
        <v>89</v>
      </c>
      <c r="G4" s="387"/>
      <c r="H4" s="59" t="s">
        <v>87</v>
      </c>
      <c r="I4" s="438" t="s">
        <v>456</v>
      </c>
      <c r="J4" s="59" t="s">
        <v>459</v>
      </c>
      <c r="K4" s="438" t="s">
        <v>457</v>
      </c>
      <c r="L4" s="59" t="s">
        <v>89</v>
      </c>
      <c r="N4" s="59" t="s">
        <v>89</v>
      </c>
    </row>
    <row r="5" spans="1:22" ht="23.25" customHeight="1" thickTop="1" thickBot="1" x14ac:dyDescent="0.3">
      <c r="A5" s="14" t="s">
        <v>90</v>
      </c>
      <c r="B5" s="22"/>
      <c r="C5" s="22"/>
      <c r="D5" s="22"/>
      <c r="E5" s="22"/>
      <c r="F5" s="15">
        <f>SUM(B5:E5)</f>
        <v>0</v>
      </c>
      <c r="I5" s="387"/>
      <c r="J5" s="387"/>
      <c r="K5" s="387"/>
      <c r="L5" s="392">
        <f>SUM(B5:E5)-F5</f>
        <v>0</v>
      </c>
      <c r="N5" s="400">
        <f>F5-BS!E41</f>
        <v>0</v>
      </c>
    </row>
    <row r="6" spans="1:22" ht="23.25" customHeight="1" thickBot="1" x14ac:dyDescent="0.3">
      <c r="A6" s="14" t="s">
        <v>98</v>
      </c>
      <c r="B6" s="22"/>
      <c r="C6" s="22"/>
      <c r="D6" s="22"/>
      <c r="E6" s="22"/>
      <c r="F6" s="15">
        <f t="shared" ref="F6:F11" si="0">SUM(B6:E6)</f>
        <v>0</v>
      </c>
      <c r="I6" s="387"/>
      <c r="J6" s="387"/>
      <c r="K6" s="387"/>
      <c r="L6" s="392">
        <f t="shared" ref="L6:L11" si="1">SUM(B6:E6)-F6</f>
        <v>0</v>
      </c>
      <c r="N6" s="400">
        <f>F6-BS!E42</f>
        <v>0</v>
      </c>
    </row>
    <row r="7" spans="1:22" ht="23.25" customHeight="1" thickBot="1" x14ac:dyDescent="0.3">
      <c r="A7" s="14" t="s">
        <v>91</v>
      </c>
      <c r="B7" s="22"/>
      <c r="C7" s="22"/>
      <c r="D7" s="22"/>
      <c r="E7" s="22"/>
      <c r="F7" s="15">
        <f t="shared" si="0"/>
        <v>0</v>
      </c>
      <c r="I7" s="387"/>
      <c r="J7" s="387"/>
      <c r="K7" s="387"/>
      <c r="L7" s="392">
        <f t="shared" si="1"/>
        <v>0</v>
      </c>
      <c r="N7" s="400">
        <f>F7-BS!E43</f>
        <v>0</v>
      </c>
    </row>
    <row r="8" spans="1:22" ht="23.25" customHeight="1" thickBot="1" x14ac:dyDescent="0.3">
      <c r="A8" s="14" t="s">
        <v>92</v>
      </c>
      <c r="B8" s="22"/>
      <c r="C8" s="22"/>
      <c r="D8" s="22"/>
      <c r="E8" s="22"/>
      <c r="F8" s="15">
        <f t="shared" si="0"/>
        <v>0</v>
      </c>
      <c r="I8" s="387"/>
      <c r="J8" s="387"/>
      <c r="K8" s="387"/>
      <c r="L8" s="392">
        <f t="shared" si="1"/>
        <v>0</v>
      </c>
      <c r="N8" s="400">
        <f>F8-BS!E44</f>
        <v>0</v>
      </c>
    </row>
    <row r="9" spans="1:22" ht="23.25" customHeight="1" thickBot="1" x14ac:dyDescent="0.3">
      <c r="A9" s="14" t="s">
        <v>93</v>
      </c>
      <c r="B9" s="22"/>
      <c r="C9" s="22"/>
      <c r="D9" s="22"/>
      <c r="E9" s="22"/>
      <c r="F9" s="15">
        <f t="shared" si="0"/>
        <v>0</v>
      </c>
      <c r="L9" s="392">
        <f t="shared" si="1"/>
        <v>0</v>
      </c>
      <c r="N9" s="400">
        <f>F9-BS!E45</f>
        <v>0</v>
      </c>
    </row>
    <row r="10" spans="1:22" ht="23.25" customHeight="1" thickBot="1" x14ac:dyDescent="0.3">
      <c r="A10" s="14" t="s">
        <v>94</v>
      </c>
      <c r="B10" s="22"/>
      <c r="C10" s="22"/>
      <c r="D10" s="22"/>
      <c r="E10" s="22"/>
      <c r="F10" s="15">
        <f t="shared" si="0"/>
        <v>0</v>
      </c>
      <c r="L10" s="392">
        <f t="shared" si="1"/>
        <v>0</v>
      </c>
      <c r="N10" s="439"/>
    </row>
    <row r="11" spans="1:22" ht="23.25" customHeight="1" thickBot="1" x14ac:dyDescent="0.3">
      <c r="A11" s="14" t="s">
        <v>458</v>
      </c>
      <c r="B11" s="22"/>
      <c r="C11" s="22"/>
      <c r="D11" s="22"/>
      <c r="E11" s="22"/>
      <c r="F11" s="15">
        <f t="shared" si="0"/>
        <v>0</v>
      </c>
      <c r="L11" s="392">
        <f t="shared" si="1"/>
        <v>0</v>
      </c>
      <c r="N11" s="400">
        <f>F11-BS!E46</f>
        <v>0</v>
      </c>
    </row>
    <row r="12" spans="1:22" ht="23.25" customHeight="1" thickBot="1" x14ac:dyDescent="0.3">
      <c r="A12" s="25" t="s">
        <v>95</v>
      </c>
      <c r="B12" s="58">
        <f>SUM(B5:B11)</f>
        <v>0</v>
      </c>
      <c r="C12" s="58">
        <f t="shared" ref="C12:E12" si="2">SUM(C5:C11)</f>
        <v>0</v>
      </c>
      <c r="D12" s="58">
        <f>SUM(D5:D11)</f>
        <v>0</v>
      </c>
      <c r="E12" s="58">
        <f t="shared" si="2"/>
        <v>0</v>
      </c>
      <c r="F12" s="60">
        <f>SUM(F5:F11)</f>
        <v>0</v>
      </c>
      <c r="H12" s="388">
        <f>SUM(B5:B11)-B12</f>
        <v>0</v>
      </c>
      <c r="I12" s="388">
        <f t="shared" ref="I12:L12" si="3">SUM(C5:C11)-C12</f>
        <v>0</v>
      </c>
      <c r="J12" s="388">
        <f t="shared" si="3"/>
        <v>0</v>
      </c>
      <c r="K12" s="388">
        <f t="shared" si="3"/>
        <v>0</v>
      </c>
      <c r="L12" s="392">
        <f t="shared" si="3"/>
        <v>0</v>
      </c>
      <c r="N12" s="400">
        <f>F12-BS!E40</f>
        <v>0</v>
      </c>
    </row>
    <row r="13" spans="1:22" ht="17.25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117" priority="3" operator="lessThan">
      <formula>0</formula>
    </cfRule>
    <cfRule type="cellIs" dxfId="116" priority="4" operator="greaterThan">
      <formula>0</formula>
    </cfRule>
    <cfRule type="cellIs" dxfId="115" priority="5" operator="lessThan">
      <formula>0</formula>
    </cfRule>
    <cfRule type="cellIs" dxfId="114" priority="6" operator="greaterThan">
      <formula>0</formula>
    </cfRule>
  </conditionalFormatting>
  <conditionalFormatting sqref="N5:N12">
    <cfRule type="cellIs" dxfId="113" priority="1" operator="lessThan">
      <formula>0</formula>
    </cfRule>
    <cfRule type="cellIs" dxfId="1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85</v>
      </c>
    </row>
    <row r="2" spans="1:2" ht="16.5" x14ac:dyDescent="0.3">
      <c r="A2" s="2"/>
    </row>
    <row r="3" spans="1:2" ht="17.25" thickBot="1" x14ac:dyDescent="0.35">
      <c r="A3" s="2" t="s">
        <v>15</v>
      </c>
    </row>
    <row r="4" spans="1:2" ht="24" customHeight="1" thickTop="1" thickBot="1" x14ac:dyDescent="0.3">
      <c r="A4" s="10" t="s">
        <v>94</v>
      </c>
      <c r="B4" s="11" t="s">
        <v>63</v>
      </c>
    </row>
    <row r="5" spans="1:2" ht="24" thickTop="1" thickBot="1" x14ac:dyDescent="0.3">
      <c r="A5" s="12" t="s">
        <v>96</v>
      </c>
      <c r="B5" s="13"/>
    </row>
    <row r="6" spans="1:2" ht="24.75" customHeight="1" thickBot="1" x14ac:dyDescent="0.3">
      <c r="A6" s="16" t="s">
        <v>97</v>
      </c>
      <c r="B6" s="17"/>
    </row>
    <row r="7" spans="1:2" ht="15.75" thickTop="1" x14ac:dyDescent="0.25">
      <c r="A7" s="63"/>
      <c r="B7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zoomScaleNormal="10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99</v>
      </c>
    </row>
    <row r="2" spans="1:2" ht="16.5" thickTop="1" thickBot="1" x14ac:dyDescent="0.3">
      <c r="A2" s="641" t="s">
        <v>86</v>
      </c>
      <c r="B2" s="644" t="s">
        <v>36</v>
      </c>
    </row>
    <row r="3" spans="1:2" ht="24" customHeight="1" thickTop="1" thickBot="1" x14ac:dyDescent="0.3">
      <c r="A3" s="12" t="s">
        <v>100</v>
      </c>
      <c r="B3" s="13"/>
    </row>
    <row r="4" spans="1:2" ht="24" customHeight="1" thickBot="1" x14ac:dyDescent="0.3">
      <c r="A4" s="16" t="s">
        <v>101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4"/>
  <sheetViews>
    <sheetView showGridLines="0" zoomScaleNormal="10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386" customWidth="1"/>
    <col min="9" max="9" width="15.28515625" style="387" customWidth="1"/>
    <col min="10" max="10" width="20.85546875" style="391" customWidth="1"/>
  </cols>
  <sheetData>
    <row r="1" spans="1:13" ht="16.5" x14ac:dyDescent="0.3">
      <c r="A1" s="1" t="s">
        <v>102</v>
      </c>
      <c r="H1" s="1370" t="s">
        <v>1138</v>
      </c>
      <c r="I1" s="1371"/>
      <c r="J1" s="1372"/>
      <c r="K1" s="396"/>
      <c r="L1" s="396"/>
      <c r="M1" s="387"/>
    </row>
    <row r="2" spans="1:13" ht="17.25" thickBot="1" x14ac:dyDescent="0.35">
      <c r="A2" s="2" t="s">
        <v>8</v>
      </c>
    </row>
    <row r="3" spans="1:13" ht="45" customHeight="1" thickTop="1" thickBot="1" x14ac:dyDescent="0.3">
      <c r="A3" s="59" t="s">
        <v>1</v>
      </c>
      <c r="B3" s="70" t="s">
        <v>489</v>
      </c>
      <c r="C3" s="70" t="s">
        <v>104</v>
      </c>
      <c r="D3" s="70" t="s">
        <v>491</v>
      </c>
      <c r="H3" s="59" t="s">
        <v>489</v>
      </c>
      <c r="I3" s="438" t="s">
        <v>104</v>
      </c>
      <c r="J3" s="438" t="s">
        <v>491</v>
      </c>
    </row>
    <row r="4" spans="1:13" ht="20.25" customHeight="1" thickTop="1" thickBot="1" x14ac:dyDescent="0.3">
      <c r="A4" s="14" t="s">
        <v>106</v>
      </c>
      <c r="B4" s="15"/>
      <c r="C4" s="15"/>
      <c r="D4" s="15"/>
    </row>
    <row r="5" spans="1:13" ht="20.25" customHeight="1" thickBot="1" x14ac:dyDescent="0.3">
      <c r="A5" s="14" t="s">
        <v>107</v>
      </c>
      <c r="B5" s="15"/>
      <c r="C5" s="15"/>
      <c r="D5" s="15"/>
    </row>
    <row r="6" spans="1:13" ht="20.25" customHeight="1" thickBot="1" x14ac:dyDescent="0.3">
      <c r="A6" s="16" t="s">
        <v>108</v>
      </c>
      <c r="B6" s="17">
        <f>B4+B5</f>
        <v>0</v>
      </c>
      <c r="C6" s="17">
        <f t="shared" ref="C6:D6" si="0">C4+C5</f>
        <v>0</v>
      </c>
      <c r="D6" s="17">
        <f t="shared" si="0"/>
        <v>0</v>
      </c>
      <c r="H6" s="389">
        <f>SUM(B4:B5)-B6</f>
        <v>0</v>
      </c>
      <c r="I6" s="388">
        <f t="shared" ref="I6" si="1">SUM(C4:C5)-C6</f>
        <v>0</v>
      </c>
      <c r="J6" s="392">
        <f>SUM(D4:D5)-D6</f>
        <v>0</v>
      </c>
    </row>
    <row r="7" spans="1:13" ht="15.75" thickTop="1" x14ac:dyDescent="0.25">
      <c r="A7" s="48"/>
      <c r="B7" s="20"/>
      <c r="C7" s="20"/>
      <c r="D7" s="20"/>
    </row>
    <row r="8" spans="1:13" x14ac:dyDescent="0.25">
      <c r="A8" s="48"/>
      <c r="B8" s="20"/>
      <c r="C8" s="20"/>
      <c r="D8" s="20"/>
    </row>
    <row r="9" spans="1:13" ht="15.75" thickBot="1" x14ac:dyDescent="0.3">
      <c r="A9" s="48" t="s">
        <v>114</v>
      </c>
      <c r="B9" s="20"/>
      <c r="C9" s="20"/>
      <c r="D9" s="20"/>
    </row>
    <row r="10" spans="1:13" ht="45" customHeight="1" thickTop="1" thickBot="1" x14ac:dyDescent="0.3">
      <c r="A10" s="59" t="s">
        <v>1</v>
      </c>
      <c r="B10" s="70" t="s">
        <v>489</v>
      </c>
      <c r="C10" s="70" t="s">
        <v>104</v>
      </c>
      <c r="D10" s="643" t="s">
        <v>490</v>
      </c>
    </row>
    <row r="11" spans="1:13" ht="20.25" customHeight="1" thickTop="1" thickBot="1" x14ac:dyDescent="0.3">
      <c r="A11" s="14" t="s">
        <v>115</v>
      </c>
      <c r="B11" s="15"/>
      <c r="C11" s="15"/>
      <c r="D11" s="15"/>
    </row>
    <row r="12" spans="1:13" ht="20.25" customHeight="1" thickBot="1" x14ac:dyDescent="0.3">
      <c r="A12" s="14" t="s">
        <v>116</v>
      </c>
      <c r="B12" s="15"/>
      <c r="C12" s="15"/>
      <c r="D12" s="15"/>
    </row>
    <row r="13" spans="1:13" ht="20.25" customHeight="1" thickBot="1" x14ac:dyDescent="0.3">
      <c r="A13" s="16" t="s">
        <v>108</v>
      </c>
      <c r="B13" s="17">
        <f>B11+B12</f>
        <v>0</v>
      </c>
      <c r="C13" s="17">
        <f t="shared" ref="C13:D13" si="2">C11+C12</f>
        <v>0</v>
      </c>
      <c r="D13" s="17">
        <f t="shared" si="2"/>
        <v>0</v>
      </c>
      <c r="H13" s="389">
        <f>SUM(B11:B12)-B13</f>
        <v>0</v>
      </c>
      <c r="I13" s="388">
        <f>SUM(C11:C12)-C13</f>
        <v>0</v>
      </c>
      <c r="J13" s="392">
        <f t="shared" ref="J13" si="3">SUM(D11:D12)-D13</f>
        <v>0</v>
      </c>
    </row>
    <row r="14" spans="1:13" ht="17.25" thickTop="1" x14ac:dyDescent="0.3">
      <c r="A14" s="5"/>
    </row>
  </sheetData>
  <mergeCells count="1">
    <mergeCell ref="H1:J1"/>
  </mergeCells>
  <conditionalFormatting sqref="H4:J13">
    <cfRule type="cellIs" dxfId="111" priority="1" operator="lessThan">
      <formula>0</formula>
    </cfRule>
    <cfRule type="cellIs" dxfId="11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102</v>
      </c>
    </row>
    <row r="2" spans="1:3" ht="16.5" x14ac:dyDescent="0.3">
      <c r="A2" s="2"/>
    </row>
    <row r="3" spans="1:3" ht="15.75" thickBot="1" x14ac:dyDescent="0.3">
      <c r="A3" s="20" t="s">
        <v>15</v>
      </c>
      <c r="B3" s="20"/>
      <c r="C3" s="20"/>
    </row>
    <row r="4" spans="1:3" ht="45" customHeight="1" thickTop="1" thickBot="1" x14ac:dyDescent="0.3">
      <c r="A4" s="59" t="s">
        <v>109</v>
      </c>
      <c r="B4" s="70" t="s">
        <v>103</v>
      </c>
      <c r="C4" s="70" t="s">
        <v>105</v>
      </c>
    </row>
    <row r="5" spans="1:3" ht="20.25" customHeight="1" thickTop="1" thickBot="1" x14ac:dyDescent="0.3">
      <c r="A5" s="14" t="s">
        <v>110</v>
      </c>
      <c r="B5" s="15"/>
      <c r="C5" s="15"/>
    </row>
    <row r="6" spans="1:3" ht="20.25" customHeight="1" thickBot="1" x14ac:dyDescent="0.3">
      <c r="A6" s="14" t="s">
        <v>111</v>
      </c>
      <c r="B6" s="15"/>
      <c r="C6" s="15"/>
    </row>
    <row r="7" spans="1:3" ht="20.25" customHeight="1" thickBot="1" x14ac:dyDescent="0.3">
      <c r="A7" s="14" t="s">
        <v>112</v>
      </c>
      <c r="B7" s="15"/>
      <c r="C7" s="15"/>
    </row>
    <row r="8" spans="1:3" ht="20.25" customHeight="1" thickBot="1" x14ac:dyDescent="0.3">
      <c r="A8" s="16" t="s">
        <v>113</v>
      </c>
      <c r="B8" s="17"/>
      <c r="C8" s="17"/>
    </row>
    <row r="9" spans="1:3" ht="15.75" thickTop="1" x14ac:dyDescent="0.25">
      <c r="A9" s="20"/>
      <c r="B9" s="20"/>
      <c r="C9" s="20"/>
    </row>
    <row r="10" spans="1:3" x14ac:dyDescent="0.25">
      <c r="A10" s="49"/>
      <c r="B10" s="20"/>
      <c r="C10" s="20"/>
    </row>
    <row r="11" spans="1:3" ht="15.75" thickBot="1" x14ac:dyDescent="0.3">
      <c r="A11" s="49" t="s">
        <v>117</v>
      </c>
      <c r="B11" s="20"/>
      <c r="C11" s="20"/>
    </row>
    <row r="12" spans="1:3" ht="45" customHeight="1" thickTop="1" thickBot="1" x14ac:dyDescent="0.3">
      <c r="A12" s="59" t="s">
        <v>118</v>
      </c>
      <c r="B12" s="70" t="s">
        <v>103</v>
      </c>
      <c r="C12" s="643" t="s">
        <v>490</v>
      </c>
    </row>
    <row r="13" spans="1:3" ht="20.25" customHeight="1" thickTop="1" thickBot="1" x14ac:dyDescent="0.3">
      <c r="A13" s="14" t="s">
        <v>119</v>
      </c>
      <c r="B13" s="15"/>
      <c r="C13" s="15"/>
    </row>
    <row r="14" spans="1:3" ht="20.25" customHeight="1" thickBot="1" x14ac:dyDescent="0.3">
      <c r="A14" s="14" t="s">
        <v>111</v>
      </c>
      <c r="B14" s="15"/>
      <c r="C14" s="15"/>
    </row>
    <row r="15" spans="1:3" ht="20.25" customHeight="1" thickBot="1" x14ac:dyDescent="0.3">
      <c r="A15" s="14" t="s">
        <v>120</v>
      </c>
      <c r="B15" s="15"/>
      <c r="C15" s="15"/>
    </row>
    <row r="16" spans="1:3" ht="20.25" customHeight="1" thickBot="1" x14ac:dyDescent="0.3">
      <c r="A16" s="16" t="s">
        <v>113</v>
      </c>
      <c r="B16" s="17"/>
      <c r="C16" s="17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zoomScaleNormal="10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386" hidden="1" customWidth="1" outlineLevel="1"/>
    <col min="9" max="11" width="18.85546875" hidden="1" customWidth="1" outlineLevel="1"/>
    <col min="12" max="12" width="24.7109375" style="391" customWidth="1" collapsed="1"/>
    <col min="14" max="14" width="22" style="393" customWidth="1"/>
  </cols>
  <sheetData>
    <row r="1" spans="1:15" ht="17.25" thickBot="1" x14ac:dyDescent="0.35">
      <c r="A1" s="1" t="s">
        <v>121</v>
      </c>
      <c r="H1" s="1370" t="s">
        <v>1138</v>
      </c>
      <c r="I1" s="1371"/>
      <c r="J1" s="1371"/>
      <c r="K1" s="1371"/>
      <c r="L1" s="1372"/>
      <c r="N1" s="401" t="s">
        <v>1140</v>
      </c>
    </row>
    <row r="2" spans="1:15" ht="16.5" thickTop="1" thickBot="1" x14ac:dyDescent="0.3">
      <c r="A2" s="1358" t="s">
        <v>122</v>
      </c>
      <c r="B2" s="1360" t="s">
        <v>2</v>
      </c>
      <c r="C2" s="1366"/>
      <c r="D2" s="1366"/>
      <c r="E2" s="1366"/>
      <c r="F2" s="1361"/>
    </row>
    <row r="3" spans="1:15" ht="62.25" customHeight="1" thickTop="1" thickBot="1" x14ac:dyDescent="0.3">
      <c r="A3" s="1359"/>
      <c r="B3" s="30" t="s">
        <v>123</v>
      </c>
      <c r="C3" s="21" t="s">
        <v>455</v>
      </c>
      <c r="D3" s="30" t="s">
        <v>459</v>
      </c>
      <c r="E3" s="21" t="s">
        <v>457</v>
      </c>
      <c r="F3" s="30" t="s">
        <v>89</v>
      </c>
      <c r="H3" s="59" t="s">
        <v>123</v>
      </c>
      <c r="I3" s="177" t="s">
        <v>455</v>
      </c>
      <c r="J3" s="59" t="s">
        <v>459</v>
      </c>
      <c r="K3" s="177" t="s">
        <v>457</v>
      </c>
      <c r="L3" s="59" t="s">
        <v>89</v>
      </c>
      <c r="N3" s="59" t="s">
        <v>89</v>
      </c>
    </row>
    <row r="4" spans="1:15" s="4" customFormat="1" ht="33" customHeight="1" thickTop="1" thickBot="1" x14ac:dyDescent="0.3">
      <c r="A4" s="14" t="s">
        <v>125</v>
      </c>
      <c r="B4" s="22"/>
      <c r="C4" s="22"/>
      <c r="D4" s="22"/>
      <c r="E4" s="22"/>
      <c r="F4" s="15">
        <f>SUM(B4:E4)</f>
        <v>0</v>
      </c>
      <c r="H4" s="386"/>
      <c r="I4" s="387"/>
      <c r="J4" s="387"/>
      <c r="K4" s="387"/>
      <c r="L4" s="392">
        <f>SUM(B4:E4)-F4</f>
        <v>0</v>
      </c>
      <c r="N4" s="400">
        <f>F4-BS!$E$56-BS!$E$48</f>
        <v>0</v>
      </c>
      <c r="O4" s="39"/>
    </row>
    <row r="5" spans="1:15" s="4" customFormat="1" ht="33" customHeight="1" thickBot="1" x14ac:dyDescent="0.3">
      <c r="A5" s="14" t="s">
        <v>126</v>
      </c>
      <c r="B5" s="22"/>
      <c r="C5" s="22"/>
      <c r="D5" s="22"/>
      <c r="E5" s="22"/>
      <c r="F5" s="15">
        <f t="shared" ref="F5:F8" si="0">SUM(B5:E5)</f>
        <v>0</v>
      </c>
      <c r="H5" s="386"/>
      <c r="I5" s="387"/>
      <c r="J5" s="387"/>
      <c r="K5" s="387"/>
      <c r="L5" s="392">
        <f>SUM(B5:E5)-F5</f>
        <v>0</v>
      </c>
      <c r="N5" s="400">
        <f>F5-BS!$E$58-BS!$E$50</f>
        <v>0</v>
      </c>
      <c r="O5" s="39"/>
    </row>
    <row r="6" spans="1:15" s="4" customFormat="1" ht="33" customHeight="1" thickBot="1" x14ac:dyDescent="0.3">
      <c r="A6" s="14" t="s">
        <v>136</v>
      </c>
      <c r="B6" s="22"/>
      <c r="C6" s="22"/>
      <c r="D6" s="22"/>
      <c r="E6" s="22"/>
      <c r="F6" s="15">
        <f t="shared" si="0"/>
        <v>0</v>
      </c>
      <c r="H6" s="386"/>
      <c r="I6" s="387"/>
      <c r="J6" s="387"/>
      <c r="K6" s="387"/>
      <c r="L6" s="392">
        <f t="shared" ref="L6:L8" si="1">SUM(B6:E6)-F6</f>
        <v>0</v>
      </c>
      <c r="N6" s="400">
        <f>F6-BS!$E$59-BS!$E$51</f>
        <v>0</v>
      </c>
      <c r="O6" s="39"/>
    </row>
    <row r="7" spans="1:15" s="4" customFormat="1" ht="33" customHeight="1" thickBot="1" x14ac:dyDescent="0.3">
      <c r="A7" s="14" t="s">
        <v>127</v>
      </c>
      <c r="B7" s="22"/>
      <c r="C7" s="22"/>
      <c r="D7" s="22"/>
      <c r="E7" s="22"/>
      <c r="F7" s="15">
        <f t="shared" si="0"/>
        <v>0</v>
      </c>
      <c r="H7" s="386"/>
      <c r="I7" s="387"/>
      <c r="J7" s="387"/>
      <c r="K7" s="387"/>
      <c r="L7" s="392">
        <f t="shared" si="1"/>
        <v>0</v>
      </c>
      <c r="N7" s="400">
        <f>F7-BS!$E$60-BS!$E$52</f>
        <v>0</v>
      </c>
      <c r="O7" s="39"/>
    </row>
    <row r="8" spans="1:15" s="4" customFormat="1" ht="33" customHeight="1" thickBot="1" x14ac:dyDescent="0.3">
      <c r="A8" s="14" t="s">
        <v>128</v>
      </c>
      <c r="B8" s="22"/>
      <c r="C8" s="22"/>
      <c r="D8" s="22"/>
      <c r="E8" s="22"/>
      <c r="F8" s="15">
        <f t="shared" si="0"/>
        <v>0</v>
      </c>
      <c r="H8" s="386"/>
      <c r="I8"/>
      <c r="J8"/>
      <c r="K8"/>
      <c r="L8" s="392">
        <f t="shared" si="1"/>
        <v>0</v>
      </c>
      <c r="N8" s="400">
        <f>F8-SUM(BS!$E$61:$E$63,BS!$E$53,BS!$E$54)</f>
        <v>0</v>
      </c>
      <c r="O8" s="39"/>
    </row>
    <row r="9" spans="1:15" s="4" customFormat="1" ht="33" customHeight="1" thickBot="1" x14ac:dyDescent="0.3">
      <c r="A9" s="25" t="s">
        <v>129</v>
      </c>
      <c r="B9" s="58">
        <f>SUM(B4:B8)</f>
        <v>0</v>
      </c>
      <c r="C9" s="58">
        <f>SUM(C4:C8)</f>
        <v>0</v>
      </c>
      <c r="D9" s="58">
        <f>SUM(D4:D8)</f>
        <v>0</v>
      </c>
      <c r="E9" s="58">
        <f>SUM(E4:E8)</f>
        <v>0</v>
      </c>
      <c r="F9" s="60">
        <f>SUM(F4:F8)</f>
        <v>0</v>
      </c>
      <c r="H9" s="386"/>
      <c r="I9"/>
      <c r="J9"/>
      <c r="K9"/>
      <c r="L9" s="392">
        <f>SUM(F4:F8)-F9</f>
        <v>0</v>
      </c>
      <c r="N9" s="400">
        <f>F9-BS!$E$47-BS!$E$55</f>
        <v>0</v>
      </c>
      <c r="O9" s="39"/>
    </row>
    <row r="10" spans="1:15" ht="15.75" thickTop="1" x14ac:dyDescent="0.25">
      <c r="L10" s="392"/>
      <c r="N10" s="400"/>
      <c r="O10" s="39"/>
    </row>
    <row r="11" spans="1:15" x14ac:dyDescent="0.25">
      <c r="H11" s="389"/>
      <c r="I11" s="388"/>
      <c r="J11" s="388"/>
      <c r="K11" s="388"/>
      <c r="L11" s="392"/>
      <c r="N11" s="400"/>
      <c r="O11" s="39"/>
    </row>
  </sheetData>
  <mergeCells count="3">
    <mergeCell ref="B2:F2"/>
    <mergeCell ref="A2:A3"/>
    <mergeCell ref="H1:L1"/>
  </mergeCells>
  <conditionalFormatting sqref="H4:L7 H11:L11 L5:L10">
    <cfRule type="cellIs" dxfId="109" priority="7" operator="lessThan">
      <formula>0</formula>
    </cfRule>
    <cfRule type="cellIs" dxfId="108" priority="8" operator="greaterThan">
      <formula>0</formula>
    </cfRule>
    <cfRule type="cellIs" dxfId="107" priority="9" operator="lessThan">
      <formula>0</formula>
    </cfRule>
    <cfRule type="cellIs" dxfId="106" priority="10" operator="greaterThan">
      <formula>0</formula>
    </cfRule>
  </conditionalFormatting>
  <conditionalFormatting sqref="N4:N11">
    <cfRule type="cellIs" dxfId="105" priority="5" operator="lessThan">
      <formula>0</formula>
    </cfRule>
    <cfRule type="cellIs" dxfId="104" priority="6" operator="greaterThan">
      <formula>0</formula>
    </cfRule>
  </conditionalFormatting>
  <conditionalFormatting sqref="L9">
    <cfRule type="cellIs" dxfId="103" priority="1" operator="lessThan">
      <formula>0</formula>
    </cfRule>
    <cfRule type="cellIs" dxfId="102" priority="2" operator="greaterThan">
      <formula>0</formula>
    </cfRule>
    <cfRule type="cellIs" dxfId="101" priority="3" operator="lessThan">
      <formula>0</formula>
    </cfRule>
    <cfRule type="cellIs" dxfId="10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zoomScaleNormal="10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386" customWidth="1" outlineLevel="1"/>
    <col min="7" max="7" width="18.85546875" style="387" customWidth="1" outlineLevel="1"/>
    <col min="8" max="8" width="20.85546875" style="391" customWidth="1"/>
    <col min="10" max="10" width="22" style="393" customWidth="1"/>
  </cols>
  <sheetData>
    <row r="1" spans="1:10" ht="16.5" x14ac:dyDescent="0.3">
      <c r="A1" s="1" t="s">
        <v>130</v>
      </c>
      <c r="F1" s="1370" t="s">
        <v>1138</v>
      </c>
      <c r="G1" s="1371"/>
      <c r="H1" s="1372"/>
      <c r="J1" s="399" t="s">
        <v>1140</v>
      </c>
    </row>
    <row r="2" spans="1:10" ht="17.25" thickBot="1" x14ac:dyDescent="0.35">
      <c r="A2" s="2" t="s">
        <v>8</v>
      </c>
    </row>
    <row r="3" spans="1:10" ht="22.5" customHeight="1" thickTop="1" thickBot="1" x14ac:dyDescent="0.3">
      <c r="A3" s="10" t="s">
        <v>131</v>
      </c>
      <c r="B3" s="11" t="s">
        <v>132</v>
      </c>
      <c r="C3" s="11" t="s">
        <v>133</v>
      </c>
      <c r="D3" s="11" t="s">
        <v>129</v>
      </c>
      <c r="F3" s="59" t="s">
        <v>132</v>
      </c>
      <c r="G3" s="437" t="s">
        <v>133</v>
      </c>
      <c r="H3" s="437" t="s">
        <v>129</v>
      </c>
      <c r="J3" s="59" t="s">
        <v>129</v>
      </c>
    </row>
    <row r="4" spans="1:10" ht="22.5" customHeight="1" thickTop="1" thickBot="1" x14ac:dyDescent="0.3">
      <c r="A4" s="64" t="s">
        <v>134</v>
      </c>
      <c r="B4" s="53"/>
      <c r="C4" s="53"/>
      <c r="D4" s="54"/>
      <c r="J4" s="400"/>
    </row>
    <row r="5" spans="1:10" ht="22.5" customHeight="1" thickTop="1" thickBot="1" x14ac:dyDescent="0.3">
      <c r="A5" s="14" t="s">
        <v>135</v>
      </c>
      <c r="B5" s="22"/>
      <c r="C5" s="22"/>
      <c r="D5" s="15">
        <f>B5+C5</f>
        <v>0</v>
      </c>
      <c r="H5" s="392">
        <f>SUM(B5:C5)-D5</f>
        <v>0</v>
      </c>
      <c r="J5" s="400">
        <f>D5-BS!$D$48</f>
        <v>0</v>
      </c>
    </row>
    <row r="6" spans="1:10" ht="22.5" customHeight="1" thickBot="1" x14ac:dyDescent="0.3">
      <c r="A6" s="14" t="s">
        <v>126</v>
      </c>
      <c r="B6" s="22"/>
      <c r="C6" s="22"/>
      <c r="D6" s="15">
        <f t="shared" ref="D6:D9" si="0">B6+C6</f>
        <v>0</v>
      </c>
      <c r="H6" s="392">
        <f t="shared" ref="H6:H9" si="1">SUM(B6:C6)-D6</f>
        <v>0</v>
      </c>
      <c r="J6" s="400">
        <f>D6-BS!$D$50</f>
        <v>0</v>
      </c>
    </row>
    <row r="7" spans="1:10" ht="22.5" customHeight="1" thickBot="1" x14ac:dyDescent="0.3">
      <c r="A7" s="14" t="s">
        <v>136</v>
      </c>
      <c r="B7" s="22"/>
      <c r="C7" s="22"/>
      <c r="D7" s="15">
        <f t="shared" si="0"/>
        <v>0</v>
      </c>
      <c r="H7" s="392">
        <f t="shared" si="1"/>
        <v>0</v>
      </c>
      <c r="J7" s="400">
        <f>D7-BS!$D$51</f>
        <v>0</v>
      </c>
    </row>
    <row r="8" spans="1:10" ht="22.5" customHeight="1" thickBot="1" x14ac:dyDescent="0.3">
      <c r="A8" s="14" t="s">
        <v>127</v>
      </c>
      <c r="B8" s="22"/>
      <c r="C8" s="22"/>
      <c r="D8" s="15">
        <f t="shared" si="0"/>
        <v>0</v>
      </c>
      <c r="H8" s="392">
        <f t="shared" si="1"/>
        <v>0</v>
      </c>
      <c r="J8" s="400">
        <f>D8-BS!$D$52</f>
        <v>0</v>
      </c>
    </row>
    <row r="9" spans="1:10" ht="22.5" customHeight="1" thickBot="1" x14ac:dyDescent="0.3">
      <c r="A9" s="14" t="s">
        <v>128</v>
      </c>
      <c r="B9" s="22"/>
      <c r="C9" s="22"/>
      <c r="D9" s="15">
        <f t="shared" si="0"/>
        <v>0</v>
      </c>
      <c r="H9" s="392">
        <f t="shared" si="1"/>
        <v>0</v>
      </c>
      <c r="J9" s="400">
        <f>D9-BS!$D$53-BS!$D$54</f>
        <v>-50197</v>
      </c>
    </row>
    <row r="10" spans="1:10" ht="22.5" customHeight="1" thickBot="1" x14ac:dyDescent="0.3">
      <c r="A10" s="25" t="s">
        <v>137</v>
      </c>
      <c r="B10" s="58">
        <f>SUM(B5:B9)</f>
        <v>0</v>
      </c>
      <c r="C10" s="58">
        <f>SUM(C5:C9)</f>
        <v>0</v>
      </c>
      <c r="D10" s="60">
        <f>SUM(D5:D9)</f>
        <v>0</v>
      </c>
      <c r="F10" s="389">
        <f>SUM(B5:B9)-B10</f>
        <v>0</v>
      </c>
      <c r="G10" s="388">
        <f>SUM(C5:C9)-C10</f>
        <v>0</v>
      </c>
      <c r="H10" s="392">
        <f>SUM(D5:D9)-D10</f>
        <v>0</v>
      </c>
      <c r="J10" s="400">
        <f>D10-BS!$D$47</f>
        <v>-50197</v>
      </c>
    </row>
    <row r="11" spans="1:10" ht="22.5" customHeight="1" thickTop="1" thickBot="1" x14ac:dyDescent="0.3">
      <c r="A11" s="64" t="s">
        <v>138</v>
      </c>
      <c r="B11" s="53"/>
      <c r="C11" s="53"/>
      <c r="D11" s="54"/>
      <c r="J11" s="400"/>
    </row>
    <row r="12" spans="1:10" ht="22.5" customHeight="1" thickTop="1" thickBot="1" x14ac:dyDescent="0.3">
      <c r="A12" s="14" t="s">
        <v>139</v>
      </c>
      <c r="B12" s="22"/>
      <c r="C12" s="22"/>
      <c r="D12" s="15">
        <f>B12+C12</f>
        <v>0</v>
      </c>
      <c r="H12" s="392">
        <f>SUM(B12:C12)-D12</f>
        <v>0</v>
      </c>
      <c r="J12" s="400">
        <f>D12-BS!$D$56</f>
        <v>-860706</v>
      </c>
    </row>
    <row r="13" spans="1:10" ht="22.5" customHeight="1" thickBot="1" x14ac:dyDescent="0.3">
      <c r="A13" s="14" t="s">
        <v>126</v>
      </c>
      <c r="B13" s="22"/>
      <c r="C13" s="22"/>
      <c r="D13" s="15">
        <f t="shared" ref="D13:D18" si="2">B13+C13</f>
        <v>0</v>
      </c>
      <c r="H13" s="392">
        <f t="shared" ref="H13:H18" si="3">SUM(B13:C13)-D13</f>
        <v>0</v>
      </c>
      <c r="J13" s="400">
        <f>D13-BS!$D$58</f>
        <v>0</v>
      </c>
    </row>
    <row r="14" spans="1:10" ht="22.5" customHeight="1" thickBot="1" x14ac:dyDescent="0.3">
      <c r="A14" s="14" t="s">
        <v>136</v>
      </c>
      <c r="B14" s="22"/>
      <c r="C14" s="22"/>
      <c r="D14" s="15">
        <f t="shared" si="2"/>
        <v>0</v>
      </c>
      <c r="H14" s="392">
        <f t="shared" si="3"/>
        <v>0</v>
      </c>
      <c r="J14" s="400">
        <f>D14-BS!$D$59</f>
        <v>0</v>
      </c>
    </row>
    <row r="15" spans="1:10" ht="22.5" customHeight="1" thickBot="1" x14ac:dyDescent="0.3">
      <c r="A15" s="14" t="s">
        <v>127</v>
      </c>
      <c r="B15" s="22"/>
      <c r="C15" s="22"/>
      <c r="D15" s="15">
        <f t="shared" si="2"/>
        <v>0</v>
      </c>
      <c r="H15" s="392">
        <f t="shared" si="3"/>
        <v>0</v>
      </c>
      <c r="J15" s="400">
        <f>D15-BS!$D$60</f>
        <v>0</v>
      </c>
    </row>
    <row r="16" spans="1:10" ht="22.5" customHeight="1" thickBot="1" x14ac:dyDescent="0.3">
      <c r="A16" s="14" t="s">
        <v>140</v>
      </c>
      <c r="B16" s="22"/>
      <c r="C16" s="22"/>
      <c r="D16" s="15">
        <f t="shared" si="2"/>
        <v>0</v>
      </c>
      <c r="H16" s="392">
        <f t="shared" si="3"/>
        <v>0</v>
      </c>
      <c r="J16" s="400">
        <f>D16-BS!$D$61</f>
        <v>0</v>
      </c>
    </row>
    <row r="17" spans="1:10" ht="22.5" customHeight="1" thickBot="1" x14ac:dyDescent="0.3">
      <c r="A17" s="14" t="s">
        <v>141</v>
      </c>
      <c r="B17" s="22"/>
      <c r="C17" s="22"/>
      <c r="D17" s="15">
        <f t="shared" si="2"/>
        <v>0</v>
      </c>
      <c r="H17" s="392">
        <f t="shared" si="3"/>
        <v>0</v>
      </c>
      <c r="J17" s="400">
        <f>D17-BS!$D$62</f>
        <v>0</v>
      </c>
    </row>
    <row r="18" spans="1:10" ht="22.5" customHeight="1" thickBot="1" x14ac:dyDescent="0.3">
      <c r="A18" s="14" t="s">
        <v>128</v>
      </c>
      <c r="B18" s="22"/>
      <c r="C18" s="22"/>
      <c r="D18" s="15">
        <f t="shared" si="2"/>
        <v>0</v>
      </c>
      <c r="H18" s="392">
        <f t="shared" si="3"/>
        <v>0</v>
      </c>
      <c r="J18" s="400">
        <f>D18-BS!$D$63</f>
        <v>0</v>
      </c>
    </row>
    <row r="19" spans="1:10" ht="22.5" customHeight="1" thickBot="1" x14ac:dyDescent="0.3">
      <c r="A19" s="25" t="s">
        <v>142</v>
      </c>
      <c r="B19" s="58">
        <f>SUM(B12:B18)</f>
        <v>0</v>
      </c>
      <c r="C19" s="58">
        <f>SUM(C12:C18)</f>
        <v>0</v>
      </c>
      <c r="D19" s="60">
        <f>SUM(D12:D18)</f>
        <v>0</v>
      </c>
      <c r="F19" s="389">
        <f>SUM(B12:B18)-B19</f>
        <v>0</v>
      </c>
      <c r="G19" s="388">
        <f>SUM(C12:C18)-C19</f>
        <v>0</v>
      </c>
      <c r="H19" s="392">
        <f>SUM(D12:D18)-D19</f>
        <v>0</v>
      </c>
      <c r="J19" s="400">
        <f>D19-BS!$D$55</f>
        <v>-860706</v>
      </c>
    </row>
    <row r="20" spans="1:10" ht="17.25" thickTop="1" x14ac:dyDescent="0.3">
      <c r="A20" s="6"/>
    </row>
  </sheetData>
  <mergeCells count="1">
    <mergeCell ref="F1:H1"/>
  </mergeCells>
  <conditionalFormatting sqref="F5:H19">
    <cfRule type="cellIs" dxfId="99" priority="9" operator="lessThan">
      <formula>0</formula>
    </cfRule>
    <cfRule type="cellIs" dxfId="98" priority="10" operator="greaterThan">
      <formula>0</formula>
    </cfRule>
  </conditionalFormatting>
  <conditionalFormatting sqref="J4:J11">
    <cfRule type="cellIs" dxfId="97" priority="7" operator="lessThan">
      <formula>0</formula>
    </cfRule>
    <cfRule type="cellIs" dxfId="96" priority="8" operator="greaterThan">
      <formula>0</formula>
    </cfRule>
  </conditionalFormatting>
  <conditionalFormatting sqref="J12:J19">
    <cfRule type="cellIs" dxfId="95" priority="5" operator="lessThan">
      <formula>0</formula>
    </cfRule>
    <cfRule type="cellIs" dxfId="94" priority="6" operator="greaterThan">
      <formula>0</formula>
    </cfRule>
  </conditionalFormatting>
  <conditionalFormatting sqref="F5:H19">
    <cfRule type="cellIs" dxfId="93" priority="3" operator="lessThan">
      <formula>0</formula>
    </cfRule>
    <cfRule type="cellIs" dxfId="92" priority="4" operator="greaterThan">
      <formula>0</formula>
    </cfRule>
  </conditionalFormatting>
  <conditionalFormatting sqref="J5">
    <cfRule type="cellIs" dxfId="91" priority="1" operator="lessThan">
      <formula>0</formula>
    </cfRule>
    <cfRule type="cellIs" dxfId="9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zoomScaleNormal="10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386" customWidth="1"/>
    <col min="6" max="6" width="25.7109375" style="391" customWidth="1"/>
    <col min="7" max="7" width="3.85546875" customWidth="1"/>
    <col min="8" max="8" width="26" style="386" customWidth="1"/>
    <col min="9" max="9" width="26" style="391" customWidth="1"/>
  </cols>
  <sheetData>
    <row r="1" spans="1:9" ht="16.5" x14ac:dyDescent="0.3">
      <c r="A1" s="1" t="s">
        <v>130</v>
      </c>
      <c r="E1" s="1370" t="s">
        <v>1138</v>
      </c>
      <c r="F1" s="1372"/>
      <c r="G1" s="396"/>
      <c r="H1" s="1370" t="s">
        <v>1140</v>
      </c>
      <c r="I1" s="1372"/>
    </row>
    <row r="2" spans="1:9" ht="17.25" thickBot="1" x14ac:dyDescent="0.35">
      <c r="A2" s="5" t="s">
        <v>15</v>
      </c>
    </row>
    <row r="3" spans="1:9" ht="33" customHeight="1" thickTop="1" x14ac:dyDescent="0.25">
      <c r="A3" s="1358" t="s">
        <v>460</v>
      </c>
      <c r="B3" s="1358" t="s">
        <v>2</v>
      </c>
      <c r="C3" s="1358" t="s">
        <v>3</v>
      </c>
      <c r="E3" s="1358" t="s">
        <v>2</v>
      </c>
      <c r="F3" s="1358" t="s">
        <v>3</v>
      </c>
      <c r="H3" s="1358" t="s">
        <v>2</v>
      </c>
      <c r="I3" s="1358" t="s">
        <v>3</v>
      </c>
    </row>
    <row r="4" spans="1:9" ht="15.75" customHeight="1" thickBot="1" x14ac:dyDescent="0.3">
      <c r="A4" s="1359"/>
      <c r="B4" s="1359"/>
      <c r="C4" s="1359"/>
      <c r="E4" s="1359"/>
      <c r="F4" s="1359"/>
      <c r="H4" s="1359"/>
      <c r="I4" s="1359"/>
    </row>
    <row r="5" spans="1:9" ht="23.25" customHeight="1" thickTop="1" thickBot="1" x14ac:dyDescent="0.3">
      <c r="A5" s="14" t="s">
        <v>143</v>
      </c>
      <c r="B5" s="65"/>
      <c r="C5" s="66"/>
    </row>
    <row r="6" spans="1:9" ht="23.25" customHeight="1" thickBot="1" x14ac:dyDescent="0.3">
      <c r="A6" s="14" t="s">
        <v>461</v>
      </c>
      <c r="B6" s="65"/>
      <c r="C6" s="66"/>
    </row>
    <row r="7" spans="1:9" ht="23.25" customHeight="1" thickBot="1" x14ac:dyDescent="0.3">
      <c r="A7" s="44" t="s">
        <v>142</v>
      </c>
      <c r="B7" s="65">
        <f>B5+B6</f>
        <v>0</v>
      </c>
      <c r="C7" s="66">
        <f>C5+C6</f>
        <v>0</v>
      </c>
      <c r="E7" s="389">
        <f>SUM(B5:B6)-B7</f>
        <v>0</v>
      </c>
      <c r="F7" s="392">
        <f>SUM(C5:C6)-C7</f>
        <v>0</v>
      </c>
      <c r="H7" s="389">
        <f>B7-BS!$D$55</f>
        <v>-860706</v>
      </c>
      <c r="I7" s="392">
        <f>C7-BS!$G$55</f>
        <v>-735953</v>
      </c>
    </row>
    <row r="8" spans="1:9" ht="23.25" customHeight="1" thickBot="1" x14ac:dyDescent="0.3">
      <c r="A8" s="14" t="s">
        <v>144</v>
      </c>
      <c r="B8" s="65"/>
      <c r="C8" s="66"/>
    </row>
    <row r="9" spans="1:9" ht="23.25" customHeight="1" thickBot="1" x14ac:dyDescent="0.3">
      <c r="A9" s="14" t="s">
        <v>145</v>
      </c>
      <c r="B9" s="65"/>
      <c r="C9" s="66"/>
    </row>
    <row r="10" spans="1:9" ht="23.25" customHeight="1" thickBot="1" x14ac:dyDescent="0.3">
      <c r="A10" s="25" t="s">
        <v>137</v>
      </c>
      <c r="B10" s="67">
        <f>B8+B9</f>
        <v>0</v>
      </c>
      <c r="C10" s="68">
        <f>C8+C9</f>
        <v>0</v>
      </c>
      <c r="E10" s="389">
        <f>SUM(B8:B9)-B10</f>
        <v>0</v>
      </c>
      <c r="F10" s="392">
        <f>SUM(C8:C9)-C10</f>
        <v>0</v>
      </c>
      <c r="H10" s="389">
        <f>B10-BS!$D$47</f>
        <v>-50197</v>
      </c>
      <c r="I10" s="392">
        <f>C10-BS!$G$47</f>
        <v>-7916</v>
      </c>
    </row>
    <row r="11" spans="1:9" ht="17.25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89" priority="6" operator="lessThan">
      <formula>0</formula>
    </cfRule>
    <cfRule type="cellIs" dxfId="88" priority="7" operator="greaterThan">
      <formula>0</formula>
    </cfRule>
  </conditionalFormatting>
  <conditionalFormatting sqref="H7:I10">
    <cfRule type="cellIs" dxfId="87" priority="1" operator="lessThan">
      <formula>0</formula>
    </cfRule>
    <cfRule type="cellIs" dxfId="86" priority="2" operator="greaterThan">
      <formula>0</formula>
    </cfRule>
    <cfRule type="cellIs" dxfId="85" priority="4" operator="lessThan">
      <formula>0</formula>
    </cfRule>
    <cfRule type="cellIs" dxfId="84" priority="5" operator="greaterThan">
      <formula>0</formula>
    </cfRule>
  </conditionalFormatting>
  <conditionalFormatting sqref="H1:I2 H5:I1048576"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zoomScaleNormal="10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146</v>
      </c>
    </row>
    <row r="2" spans="1:3" ht="16.5" thickTop="1" thickBot="1" x14ac:dyDescent="0.3">
      <c r="A2" s="1358" t="s">
        <v>147</v>
      </c>
      <c r="B2" s="1379" t="s">
        <v>2</v>
      </c>
      <c r="C2" s="1380"/>
    </row>
    <row r="3" spans="1:3" ht="16.5" thickTop="1" thickBot="1" x14ac:dyDescent="0.3">
      <c r="A3" s="1359"/>
      <c r="B3" s="11" t="s">
        <v>148</v>
      </c>
      <c r="C3" s="59" t="s">
        <v>149</v>
      </c>
    </row>
    <row r="4" spans="1:3" ht="23.25" customHeight="1" thickTop="1" thickBot="1" x14ac:dyDescent="0.3">
      <c r="A4" s="12" t="s">
        <v>150</v>
      </c>
      <c r="B4" s="45"/>
      <c r="C4" s="13"/>
    </row>
    <row r="5" spans="1:3" ht="23.25" customHeight="1" thickBot="1" x14ac:dyDescent="0.3">
      <c r="A5" s="14" t="s">
        <v>151</v>
      </c>
      <c r="B5" s="62" t="s">
        <v>18</v>
      </c>
      <c r="C5" s="15"/>
    </row>
    <row r="6" spans="1:3" ht="23.25" customHeight="1" thickBot="1" x14ac:dyDescent="0.3">
      <c r="A6" s="16" t="s">
        <v>152</v>
      </c>
      <c r="B6" s="34" t="s">
        <v>18</v>
      </c>
      <c r="C6" s="17"/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zoomScaleNormal="100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386" customWidth="1"/>
    <col min="6" max="6" width="36" style="391" customWidth="1"/>
    <col min="7" max="7" width="3.85546875" customWidth="1"/>
    <col min="8" max="8" width="18.5703125" style="386" customWidth="1"/>
    <col min="9" max="9" width="37" style="391" customWidth="1"/>
  </cols>
  <sheetData>
    <row r="1" spans="1:9" ht="16.5" x14ac:dyDescent="0.3">
      <c r="A1" s="1" t="s">
        <v>153</v>
      </c>
      <c r="E1" s="1370" t="s">
        <v>1138</v>
      </c>
      <c r="F1" s="1372"/>
      <c r="H1" s="1370" t="s">
        <v>1140</v>
      </c>
      <c r="I1" s="1372"/>
    </row>
    <row r="2" spans="1:9" ht="17.25" thickBot="1" x14ac:dyDescent="0.35">
      <c r="A2" s="5" t="s">
        <v>154</v>
      </c>
    </row>
    <row r="3" spans="1:9" ht="30" customHeight="1" thickTop="1" thickBot="1" x14ac:dyDescent="0.3">
      <c r="A3" s="10" t="s">
        <v>131</v>
      </c>
      <c r="B3" s="11" t="s">
        <v>2</v>
      </c>
      <c r="C3" s="11" t="s">
        <v>3</v>
      </c>
      <c r="E3" s="59" t="s">
        <v>2</v>
      </c>
      <c r="F3" s="59" t="s">
        <v>3</v>
      </c>
      <c r="H3" s="59" t="s">
        <v>2</v>
      </c>
      <c r="I3" s="59" t="s">
        <v>3</v>
      </c>
    </row>
    <row r="4" spans="1:9" ht="18.75" customHeight="1" thickTop="1" thickBot="1" x14ac:dyDescent="0.3">
      <c r="A4" s="12" t="s">
        <v>155</v>
      </c>
      <c r="B4" s="45"/>
      <c r="C4" s="13"/>
      <c r="H4" s="389">
        <f>B4+B7-BS!$D$65</f>
        <v>-210</v>
      </c>
      <c r="I4" s="392">
        <f>C4+C7-BS!$G$65</f>
        <v>-684</v>
      </c>
    </row>
    <row r="5" spans="1:9" ht="18.75" customHeight="1" thickBot="1" x14ac:dyDescent="0.3">
      <c r="A5" s="14" t="s">
        <v>156</v>
      </c>
      <c r="B5" s="22"/>
      <c r="C5" s="15"/>
      <c r="H5" s="389">
        <f>B5-BS!$D$66</f>
        <v>0</v>
      </c>
      <c r="I5" s="392">
        <f>C5-BS!$G$66</f>
        <v>0</v>
      </c>
    </row>
    <row r="6" spans="1:9" ht="18.75" customHeight="1" thickBot="1" x14ac:dyDescent="0.3">
      <c r="A6" s="14" t="s">
        <v>157</v>
      </c>
      <c r="B6" s="22"/>
      <c r="C6" s="15"/>
      <c r="E6" s="389"/>
      <c r="F6" s="392"/>
      <c r="H6" s="389">
        <f>B6-BS!$D$67</f>
        <v>0</v>
      </c>
      <c r="I6" s="392">
        <f>C6-BS!$G$67</f>
        <v>0</v>
      </c>
    </row>
    <row r="7" spans="1:9" ht="18.75" customHeight="1" thickBot="1" x14ac:dyDescent="0.3">
      <c r="A7" s="14" t="s">
        <v>158</v>
      </c>
      <c r="B7" s="22"/>
      <c r="C7" s="15"/>
      <c r="H7" s="389">
        <f>H4</f>
        <v>-210</v>
      </c>
      <c r="I7" s="392">
        <f>I4</f>
        <v>-684</v>
      </c>
    </row>
    <row r="8" spans="1:9" ht="18.75" customHeight="1" thickBot="1" x14ac:dyDescent="0.3">
      <c r="A8" s="25" t="s">
        <v>14</v>
      </c>
      <c r="B8" s="58">
        <f>SUM(B4:B7)</f>
        <v>0</v>
      </c>
      <c r="C8" s="60">
        <f>SUM(C4:C7)</f>
        <v>0</v>
      </c>
      <c r="E8" s="389">
        <f>SUM(B4:B7)-B8</f>
        <v>0</v>
      </c>
      <c r="F8" s="392">
        <f>SUM(C4:C7)-C8</f>
        <v>0</v>
      </c>
      <c r="H8" s="389">
        <f>B8-SUM(BS!$D$65:$D$67)</f>
        <v>-210</v>
      </c>
      <c r="I8" s="392">
        <f>C8-SUM(BS!$G$65:$G$67)</f>
        <v>-684</v>
      </c>
    </row>
    <row r="9" spans="1:9" ht="15.75" thickTop="1" x14ac:dyDescent="0.25">
      <c r="E9" s="389"/>
      <c r="F9" s="392"/>
    </row>
  </sheetData>
  <mergeCells count="2">
    <mergeCell ref="E1:F1"/>
    <mergeCell ref="H1:I1"/>
  </mergeCells>
  <conditionalFormatting sqref="E6:F9">
    <cfRule type="cellIs" dxfId="83" priority="9" operator="lessThan">
      <formula>0</formula>
    </cfRule>
    <cfRule type="cellIs" dxfId="82" priority="10" operator="greaterThan">
      <formula>0</formula>
    </cfRule>
  </conditionalFormatting>
  <conditionalFormatting sqref="H1:I1">
    <cfRule type="cellIs" priority="8" stopIfTrue="1" operator="greaterThan">
      <formula>0</formula>
    </cfRule>
  </conditionalFormatting>
  <conditionalFormatting sqref="H8:I8">
    <cfRule type="cellIs" dxfId="81" priority="6" operator="lessThan">
      <formula>0</formula>
    </cfRule>
    <cfRule type="cellIs" dxfId="80" priority="7" operator="greaterThan">
      <formula>0</formula>
    </cfRule>
  </conditionalFormatting>
  <conditionalFormatting sqref="H4:I8">
    <cfRule type="cellIs" dxfId="79" priority="1" operator="lessThan">
      <formula>0</formula>
    </cfRule>
    <cfRule type="cellIs" dxfId="78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</sheetPr>
  <dimension ref="A1:AK53"/>
  <sheetViews>
    <sheetView showGridLines="0" view="pageBreakPreview" zoomScaleNormal="100" zoomScaleSheetLayoutView="100" workbookViewId="0">
      <selection activeCell="B1" sqref="B1"/>
    </sheetView>
  </sheetViews>
  <sheetFormatPr defaultRowHeight="12.75" x14ac:dyDescent="0.25"/>
  <cols>
    <col min="1" max="45" width="2.5703125" style="959" customWidth="1"/>
    <col min="46" max="46" width="7.7109375" style="959" customWidth="1"/>
    <col min="47" max="61" width="2.5703125" style="959" customWidth="1"/>
    <col min="62" max="16384" width="9.140625" style="959"/>
  </cols>
  <sheetData>
    <row r="1" spans="1:37" s="551" customFormat="1" ht="9.75" x14ac:dyDescent="0.25">
      <c r="C1" s="552" t="s">
        <v>1848</v>
      </c>
    </row>
    <row r="2" spans="1:37" s="448" customFormat="1" ht="21" customHeight="1" x14ac:dyDescent="0.25">
      <c r="C2" s="550" t="s">
        <v>1849</v>
      </c>
      <c r="D2" s="549"/>
      <c r="E2" s="549"/>
      <c r="F2" s="549"/>
      <c r="G2" s="549"/>
      <c r="H2" s="549"/>
      <c r="I2" s="549"/>
      <c r="J2" s="549"/>
      <c r="K2" s="548"/>
      <c r="Q2" s="547" t="s">
        <v>1473</v>
      </c>
    </row>
    <row r="3" spans="1:37" ht="13.5" thickBot="1" x14ac:dyDescent="0.3">
      <c r="N3" s="963"/>
      <c r="O3" s="963" t="s">
        <v>1846</v>
      </c>
    </row>
    <row r="4" spans="1:37" ht="28.5" customHeight="1" thickBot="1" x14ac:dyDescent="0.3">
      <c r="K4" s="961" t="s">
        <v>1847</v>
      </c>
      <c r="L4" s="545"/>
      <c r="M4" s="545"/>
      <c r="N4" s="545"/>
      <c r="O4" s="545" t="str">
        <f>+MID('Input data'!$B$11,1,1)</f>
        <v>3</v>
      </c>
      <c r="P4" s="545" t="str">
        <f>+MID('Input data'!$B$11,2,1)</f>
        <v>1</v>
      </c>
      <c r="Q4" s="545" t="s">
        <v>1147</v>
      </c>
      <c r="R4" s="545" t="str">
        <f>LEFT('Input data'!B13,1)</f>
        <v>1</v>
      </c>
      <c r="S4" s="545" t="str">
        <f>RIGHT('Input data'!B13,1)</f>
        <v>2</v>
      </c>
      <c r="T4" s="545" t="s">
        <v>1147</v>
      </c>
      <c r="U4" s="545" t="str">
        <f>+LEFT('Input data'!$B$14,1)</f>
        <v>2</v>
      </c>
      <c r="V4" s="545" t="str">
        <f>+MID('Input data'!$B$14,2,1)</f>
        <v>0</v>
      </c>
      <c r="W4" s="545" t="str">
        <f>+MID('Input data'!$B$14,3,1)</f>
        <v>1</v>
      </c>
      <c r="X4" s="545" t="str">
        <f>+MID('Input data'!$B$14,4,1)</f>
        <v>3</v>
      </c>
      <c r="Y4" s="962"/>
      <c r="Z4" s="542"/>
    </row>
    <row r="5" spans="1:37" ht="7.5" customHeight="1" thickBot="1" x14ac:dyDescent="0.3"/>
    <row r="6" spans="1:37" s="538" customFormat="1" ht="14.25" customHeight="1" x14ac:dyDescent="0.25">
      <c r="A6" s="541" t="s">
        <v>1149</v>
      </c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39"/>
    </row>
    <row r="7" spans="1:37" s="442" customFormat="1" ht="15" customHeight="1" x14ac:dyDescent="0.25">
      <c r="A7" s="454" t="s">
        <v>1150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537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537"/>
    </row>
    <row r="8" spans="1:37" s="533" customFormat="1" ht="18" customHeight="1" thickBot="1" x14ac:dyDescent="0.3">
      <c r="A8" s="536" t="s">
        <v>1151</v>
      </c>
      <c r="B8" s="535"/>
      <c r="C8" s="535"/>
      <c r="D8" s="535"/>
      <c r="E8" s="536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4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4"/>
    </row>
    <row r="9" spans="1:37" s="513" customFormat="1" ht="3.75" customHeight="1" thickBot="1" x14ac:dyDescent="0.3"/>
    <row r="10" spans="1:37" s="513" customFormat="1" ht="14.25" customHeight="1" x14ac:dyDescent="0.25">
      <c r="A10" s="515" t="s">
        <v>1152</v>
      </c>
      <c r="B10" s="514"/>
      <c r="C10" s="514"/>
      <c r="D10" s="514"/>
      <c r="E10" s="514"/>
      <c r="F10" s="514"/>
      <c r="G10" s="514"/>
      <c r="H10" s="514"/>
      <c r="I10" s="458"/>
      <c r="J10" s="457"/>
      <c r="K10" s="531" t="s">
        <v>1153</v>
      </c>
      <c r="L10" s="514"/>
      <c r="M10" s="532"/>
      <c r="N10" s="532"/>
      <c r="O10" s="532"/>
      <c r="P10" s="514"/>
      <c r="Q10" s="531" t="s">
        <v>1153</v>
      </c>
      <c r="R10" s="514"/>
      <c r="S10" s="458"/>
      <c r="T10" s="514"/>
      <c r="U10" s="514"/>
      <c r="V10" s="530"/>
      <c r="W10" s="514"/>
      <c r="X10" s="514"/>
      <c r="Y10" s="514"/>
      <c r="Z10" s="514"/>
      <c r="AA10" s="514"/>
      <c r="AB10" s="514"/>
      <c r="AC10" s="514"/>
      <c r="AD10" s="531" t="s">
        <v>1154</v>
      </c>
      <c r="AE10" s="531"/>
      <c r="AF10" s="531"/>
      <c r="AG10" s="531" t="s">
        <v>1155</v>
      </c>
      <c r="AH10" s="514"/>
      <c r="AI10" s="514"/>
      <c r="AJ10" s="514"/>
      <c r="AK10" s="530"/>
    </row>
    <row r="11" spans="1:37" s="513" customFormat="1" ht="19.5" customHeight="1" x14ac:dyDescent="0.2">
      <c r="A11" s="527" t="str">
        <f>LEFT('Input data'!C24,1)</f>
        <v>2</v>
      </c>
      <c r="B11" s="492" t="str">
        <f>MID('Input data'!$C$24,2,1)</f>
        <v>0</v>
      </c>
      <c r="C11" s="492" t="str">
        <f>MID('Input data'!$C$24,3,1)</f>
        <v>2</v>
      </c>
      <c r="D11" s="492" t="str">
        <f>MID('Input data'!$C$24,4,1)</f>
        <v>1</v>
      </c>
      <c r="E11" s="492" t="str">
        <f>MID('Input data'!$C$24,5,1)</f>
        <v>8</v>
      </c>
      <c r="F11" s="492" t="str">
        <f>MID('Input data'!$C$24,6,1)</f>
        <v>7</v>
      </c>
      <c r="G11" s="492" t="str">
        <f>MID('Input data'!$C$24,7,1)</f>
        <v>0</v>
      </c>
      <c r="H11" s="492" t="str">
        <f>MID('Input data'!$C$24,8,1)</f>
        <v>2</v>
      </c>
      <c r="I11" s="492" t="str">
        <f>MID('Input data'!$C$24,9,1)</f>
        <v>9</v>
      </c>
      <c r="J11" s="499" t="str">
        <f>MID('Input data'!$C$24,10,1)</f>
        <v>0</v>
      </c>
      <c r="K11" s="450"/>
      <c r="L11" s="529" t="str">
        <f>IF('Input data'!D7="x","x"," ")</f>
        <v>x</v>
      </c>
      <c r="M11" s="521" t="s">
        <v>1159</v>
      </c>
      <c r="N11" s="523"/>
      <c r="O11" s="523"/>
      <c r="P11" s="523"/>
      <c r="Q11" s="523"/>
      <c r="R11" s="529" t="str">
        <f>IF('Input data'!D16="x","x"," ")</f>
        <v>x</v>
      </c>
      <c r="S11" s="521" t="s">
        <v>1160</v>
      </c>
      <c r="T11" s="516"/>
      <c r="U11" s="516"/>
      <c r="V11" s="522"/>
      <c r="W11" s="521" t="s">
        <v>1156</v>
      </c>
      <c r="X11" s="516"/>
      <c r="Y11" s="516"/>
      <c r="Z11" s="516"/>
      <c r="AA11" s="516"/>
      <c r="AB11" s="521" t="s">
        <v>1157</v>
      </c>
      <c r="AC11" s="516"/>
      <c r="AD11" s="492" t="str">
        <f>MID('Input data'!$B$8,1,1)</f>
        <v>0</v>
      </c>
      <c r="AE11" s="492" t="str">
        <f>MID('Input data'!$B$8,2,1)</f>
        <v>1</v>
      </c>
      <c r="AF11" s="492"/>
      <c r="AG11" s="492" t="str">
        <f>MID('Input data'!$B$9,1,1)</f>
        <v>2</v>
      </c>
      <c r="AH11" s="492" t="str">
        <f>MID('Input data'!$B$9,2,1)</f>
        <v>0</v>
      </c>
      <c r="AI11" s="492" t="str">
        <f>MID('Input data'!$B$9,3,1)</f>
        <v>1</v>
      </c>
      <c r="AJ11" s="492" t="str">
        <f>MID('Input data'!$B$9,4,1)</f>
        <v>3</v>
      </c>
      <c r="AK11" s="522"/>
    </row>
    <row r="12" spans="1:37" s="513" customFormat="1" ht="19.5" customHeight="1" thickBot="1" x14ac:dyDescent="0.3">
      <c r="A12" s="454" t="s">
        <v>1158</v>
      </c>
      <c r="B12" s="516"/>
      <c r="C12" s="516"/>
      <c r="D12" s="516"/>
      <c r="E12" s="516"/>
      <c r="F12" s="516"/>
      <c r="G12" s="516"/>
      <c r="H12" s="450"/>
      <c r="I12" s="450"/>
      <c r="J12" s="449"/>
      <c r="K12" s="450"/>
      <c r="L12" s="525" t="str">
        <f>IF('Input data'!D8="x","x", "")</f>
        <v/>
      </c>
      <c r="M12" s="521" t="s">
        <v>1162</v>
      </c>
      <c r="N12" s="523"/>
      <c r="O12" s="523"/>
      <c r="P12" s="523"/>
      <c r="Q12" s="523"/>
      <c r="R12" s="526" t="str">
        <f>IF('Input data'!D17="x","x"," ")</f>
        <v xml:space="preserve"> </v>
      </c>
      <c r="S12" s="521" t="s">
        <v>1163</v>
      </c>
      <c r="T12" s="516"/>
      <c r="U12" s="516"/>
      <c r="V12" s="522"/>
      <c r="W12" s="528"/>
      <c r="X12" s="518"/>
      <c r="Y12" s="518"/>
      <c r="Z12" s="518"/>
      <c r="AA12" s="518"/>
      <c r="AB12" s="517" t="s">
        <v>1161</v>
      </c>
      <c r="AC12" s="518"/>
      <c r="AD12" s="490" t="str">
        <f>MID('Input data'!$B$13,1,1)</f>
        <v>1</v>
      </c>
      <c r="AE12" s="490" t="str">
        <f>MID('Input data'!$B$13,2,1)</f>
        <v>2</v>
      </c>
      <c r="AF12" s="490"/>
      <c r="AG12" s="490" t="str">
        <f>MID('Input data'!$B$14,1,1)</f>
        <v>2</v>
      </c>
      <c r="AH12" s="490" t="str">
        <f>MID('Input data'!$B$14,2,1)</f>
        <v>0</v>
      </c>
      <c r="AI12" s="490" t="str">
        <f>MID('Input data'!$B$14,3,1)</f>
        <v>1</v>
      </c>
      <c r="AJ12" s="490" t="str">
        <f>MID('Input data'!$B$14,4,1)</f>
        <v>3</v>
      </c>
      <c r="AK12" s="519"/>
    </row>
    <row r="13" spans="1:37" s="513" customFormat="1" ht="19.5" customHeight="1" x14ac:dyDescent="0.2">
      <c r="A13" s="527" t="str">
        <f>LEFT('Input data'!C26,1)</f>
        <v>3</v>
      </c>
      <c r="B13" s="492" t="str">
        <f>MID('Input data'!$C$26,2,1)</f>
        <v>5</v>
      </c>
      <c r="C13" s="492" t="str">
        <f>MID('Input data'!$C$26,3,1)</f>
        <v>8</v>
      </c>
      <c r="D13" s="492" t="str">
        <f>MID('Input data'!$C$26,4,1)</f>
        <v>9</v>
      </c>
      <c r="E13" s="492" t="str">
        <f>MID('Input data'!$C$26,5,1)</f>
        <v>6</v>
      </c>
      <c r="F13" s="492" t="str">
        <f>MID('Input data'!$C$26,6,1)</f>
        <v>2</v>
      </c>
      <c r="G13" s="492" t="str">
        <f>MID('Input data'!$C$26,7,1)</f>
        <v>8</v>
      </c>
      <c r="H13" s="492" t="str">
        <f>MID('Input data'!$C$26,8,1)</f>
        <v>1</v>
      </c>
      <c r="I13" s="450"/>
      <c r="J13" s="449"/>
      <c r="K13" s="964"/>
      <c r="L13" s="874"/>
      <c r="M13" s="875" t="s">
        <v>1474</v>
      </c>
      <c r="N13" s="874"/>
      <c r="O13" s="874"/>
      <c r="P13" s="874"/>
      <c r="Q13" s="874"/>
      <c r="R13" s="965" t="s">
        <v>1166</v>
      </c>
      <c r="S13" s="874"/>
      <c r="T13" s="874"/>
      <c r="U13" s="874"/>
      <c r="V13" s="877"/>
      <c r="W13" s="521" t="s">
        <v>1164</v>
      </c>
      <c r="X13" s="516"/>
      <c r="Y13" s="453"/>
      <c r="Z13" s="450"/>
      <c r="AA13" s="450"/>
      <c r="AB13" s="523"/>
      <c r="AC13" s="450"/>
      <c r="AD13" s="525"/>
      <c r="AE13" s="525"/>
      <c r="AF13" s="525"/>
      <c r="AG13" s="525"/>
      <c r="AH13" s="525"/>
      <c r="AI13" s="525"/>
      <c r="AJ13" s="525"/>
      <c r="AK13" s="449"/>
    </row>
    <row r="14" spans="1:37" s="513" customFormat="1" ht="19.5" customHeight="1" x14ac:dyDescent="0.2">
      <c r="A14" s="454" t="s">
        <v>1165</v>
      </c>
      <c r="B14" s="516"/>
      <c r="C14" s="516"/>
      <c r="D14" s="516"/>
      <c r="E14" s="516"/>
      <c r="F14" s="516"/>
      <c r="G14" s="516"/>
      <c r="H14" s="516"/>
      <c r="I14" s="450"/>
      <c r="J14" s="449"/>
      <c r="K14" s="450"/>
      <c r="L14" s="529"/>
      <c r="M14" s="521" t="s">
        <v>1850</v>
      </c>
      <c r="N14" s="523"/>
      <c r="O14" s="523"/>
      <c r="P14" s="523"/>
      <c r="Q14" s="523"/>
      <c r="S14" s="523"/>
      <c r="T14" s="516"/>
      <c r="U14" s="516"/>
      <c r="V14" s="522"/>
      <c r="W14" s="521" t="s">
        <v>987</v>
      </c>
      <c r="X14" s="516"/>
      <c r="Y14" s="453"/>
      <c r="Z14" s="450"/>
      <c r="AA14" s="450"/>
      <c r="AB14" s="521" t="s">
        <v>1157</v>
      </c>
      <c r="AC14" s="450"/>
      <c r="AD14" s="492" t="str">
        <f>MID('Input data'!$B$18,1,1)</f>
        <v>0</v>
      </c>
      <c r="AE14" s="492" t="str">
        <f>MID('Input data'!$B$18,2,1)</f>
        <v>1</v>
      </c>
      <c r="AF14" s="492"/>
      <c r="AG14" s="492" t="str">
        <f>MID('Input data'!$B$19,1,1)</f>
        <v>2</v>
      </c>
      <c r="AH14" s="492" t="str">
        <f>MID('Input data'!$B$19,2,1)</f>
        <v>0</v>
      </c>
      <c r="AI14" s="492" t="str">
        <f>MID('Input data'!$B$19,3,1)</f>
        <v>1</v>
      </c>
      <c r="AJ14" s="492" t="str">
        <f>MID('Input data'!$B$19,4,1)</f>
        <v>2</v>
      </c>
      <c r="AK14" s="449"/>
    </row>
    <row r="15" spans="1:37" s="513" customFormat="1" ht="19.5" customHeight="1" thickBot="1" x14ac:dyDescent="0.25">
      <c r="A15" s="520" t="str">
        <f>LEFT('Input data'!$E$12,1)</f>
        <v>7</v>
      </c>
      <c r="B15" s="445" t="str">
        <f>MID('Input data'!$E$12,2,1)</f>
        <v>3</v>
      </c>
      <c r="C15" s="518" t="s">
        <v>1147</v>
      </c>
      <c r="D15" s="445" t="str">
        <f>MID('Input data'!$E$12,3,1)</f>
        <v>1</v>
      </c>
      <c r="E15" s="445" t="str">
        <f>MID('Input data'!$E$12,4,1)</f>
        <v>1</v>
      </c>
      <c r="F15" s="469" t="s">
        <v>1147</v>
      </c>
      <c r="G15" s="445" t="str">
        <f>MID('Input data'!$E$12,5,1)</f>
        <v>0</v>
      </c>
      <c r="H15" s="445"/>
      <c r="I15" s="445"/>
      <c r="J15" s="444"/>
      <c r="K15" s="445"/>
      <c r="L15" s="445"/>
      <c r="M15" s="517" t="s">
        <v>1851</v>
      </c>
      <c r="N15" s="445"/>
      <c r="O15" s="445"/>
      <c r="P15" s="445"/>
      <c r="Q15" s="445"/>
      <c r="R15" s="966" t="s">
        <v>1166</v>
      </c>
      <c r="S15" s="445"/>
      <c r="T15" s="518"/>
      <c r="U15" s="518"/>
      <c r="V15" s="519"/>
      <c r="W15" s="517" t="s">
        <v>1167</v>
      </c>
      <c r="X15" s="518"/>
      <c r="Y15" s="446"/>
      <c r="Z15" s="445"/>
      <c r="AA15" s="445"/>
      <c r="AB15" s="517" t="s">
        <v>1161</v>
      </c>
      <c r="AC15" s="445"/>
      <c r="AD15" s="490" t="str">
        <f>MID('Input data'!$B$21,1,1)</f>
        <v>1</v>
      </c>
      <c r="AE15" s="490" t="str">
        <f>MID('Input data'!$B$21,2,1)</f>
        <v>2</v>
      </c>
      <c r="AF15" s="490"/>
      <c r="AG15" s="490" t="str">
        <f>MID('Input data'!$B$22,1,1)</f>
        <v>2</v>
      </c>
      <c r="AH15" s="490" t="str">
        <f>MID('Input data'!$B$22,2,1)</f>
        <v>0</v>
      </c>
      <c r="AI15" s="490" t="str">
        <f>MID('Input data'!$B$22,3,1)</f>
        <v>1</v>
      </c>
      <c r="AJ15" s="490" t="str">
        <f>MID('Input data'!$B$22,4,1)</f>
        <v>2</v>
      </c>
      <c r="AK15" s="444"/>
    </row>
    <row r="16" spans="1:37" s="513" customFormat="1" ht="4.5" customHeight="1" x14ac:dyDescent="0.25">
      <c r="A16" s="516"/>
      <c r="B16" s="516"/>
      <c r="C16" s="516"/>
      <c r="D16" s="516"/>
      <c r="E16" s="516"/>
      <c r="F16" s="514"/>
      <c r="G16" s="516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516"/>
      <c r="U16" s="516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</row>
    <row r="17" spans="1:37" s="513" customFormat="1" ht="3" customHeight="1" thickBot="1" x14ac:dyDescent="0.3"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3"/>
      <c r="AG17" s="443"/>
      <c r="AH17" s="443"/>
      <c r="AI17" s="443"/>
      <c r="AJ17" s="443"/>
      <c r="AK17" s="443"/>
    </row>
    <row r="18" spans="1:37" s="513" customFormat="1" ht="16.5" x14ac:dyDescent="0.25">
      <c r="A18" s="515" t="s">
        <v>1168</v>
      </c>
      <c r="B18" s="514"/>
      <c r="C18" s="514"/>
      <c r="D18" s="514"/>
      <c r="E18" s="514"/>
      <c r="F18" s="514"/>
      <c r="G18" s="514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514"/>
      <c r="U18" s="514"/>
      <c r="V18" s="514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7"/>
    </row>
    <row r="19" spans="1:37" s="513" customFormat="1" ht="19.5" customHeight="1" x14ac:dyDescent="0.25">
      <c r="A19" s="500" t="str">
        <f>+LEFT('Input data'!$F$3,1)</f>
        <v>V</v>
      </c>
      <c r="B19" s="492" t="str">
        <f>+MID('Input data'!$F$3,2,1)</f>
        <v>i</v>
      </c>
      <c r="C19" s="492" t="str">
        <f>+MID('Input data'!$F$3,3,1)</f>
        <v>z</v>
      </c>
      <c r="D19" s="492" t="str">
        <f>+MID('Input data'!$F$3,4,1)</f>
        <v>e</v>
      </c>
      <c r="E19" s="492" t="str">
        <f>+MID('Input data'!$F$3,5,1)</f>
        <v>u</v>
      </c>
      <c r="F19" s="492" t="str">
        <f>+MID('Input data'!$F$3,6,1)</f>
        <v>m</v>
      </c>
      <c r="G19" s="492" t="str">
        <f>+MID('Input data'!$F$3,7,1)</f>
        <v xml:space="preserve"> </v>
      </c>
      <c r="H19" s="492" t="str">
        <f>+MID('Input data'!$F$3,8,1)</f>
        <v>S</v>
      </c>
      <c r="I19" s="492" t="str">
        <f>+MID('Input data'!$F$3,9,1)</f>
        <v>l</v>
      </c>
      <c r="J19" s="492" t="str">
        <f>+MID('Input data'!$F$3,10,1)</f>
        <v>o</v>
      </c>
      <c r="K19" s="492" t="str">
        <f>+MID('Input data'!$F$3,11,1)</f>
        <v>v</v>
      </c>
      <c r="L19" s="492" t="str">
        <f>+MID('Input data'!$F$3,12,1)</f>
        <v>a</v>
      </c>
      <c r="M19" s="492" t="str">
        <f>+MID('Input data'!$F$3,13,1)</f>
        <v>k</v>
      </c>
      <c r="N19" s="492" t="str">
        <f>+MID('Input data'!$F$3,14,1)</f>
        <v>i</v>
      </c>
      <c r="O19" s="492" t="str">
        <f>+MID('Input data'!$F$3,15,1)</f>
        <v>a</v>
      </c>
      <c r="P19" s="492" t="str">
        <f>+MID('Input data'!$F$3,16,1)</f>
        <v>,</v>
      </c>
      <c r="Q19" s="492" t="str">
        <f>+MID('Input data'!$F$3,17,1)</f>
        <v xml:space="preserve"> </v>
      </c>
      <c r="R19" s="492" t="str">
        <f>+MID('Input data'!$F$3,18,1)</f>
        <v>s</v>
      </c>
      <c r="S19" s="492" t="str">
        <f>+MID('Input data'!$F$3,19,1)</f>
        <v>.</v>
      </c>
      <c r="T19" s="492" t="str">
        <f>+MID('Input data'!$F$3,20,1)</f>
        <v>r</v>
      </c>
      <c r="U19" s="492" t="str">
        <f>+MID('Input data'!$F$3,21,1)</f>
        <v>.</v>
      </c>
      <c r="V19" s="492" t="str">
        <f>+MID('Input data'!$F$3,22,1)</f>
        <v>o</v>
      </c>
      <c r="W19" s="492" t="str">
        <f>+MID('Input data'!$F$3,23,1)</f>
        <v>.</v>
      </c>
      <c r="X19" s="492" t="str">
        <f>+MID('Input data'!$F$3,24,1)</f>
        <v/>
      </c>
      <c r="Y19" s="492" t="str">
        <f>+MID('Input data'!$F$3,25,1)</f>
        <v/>
      </c>
      <c r="Z19" s="492" t="str">
        <f>+MID('Input data'!$F$3,26,1)</f>
        <v/>
      </c>
      <c r="AA19" s="492" t="str">
        <f>+MID('Input data'!$F$3,27,1)</f>
        <v/>
      </c>
      <c r="AB19" s="492" t="str">
        <f>+MID('Input data'!$F$3,28,1)</f>
        <v/>
      </c>
      <c r="AC19" s="492" t="str">
        <f>+MID('Input data'!$F$3,29,1)</f>
        <v/>
      </c>
      <c r="AD19" s="492" t="str">
        <f>+MID('Input data'!$F$3,30,1)</f>
        <v/>
      </c>
      <c r="AE19" s="492" t="str">
        <f>+MID('Input data'!$F$3,31,1)</f>
        <v/>
      </c>
      <c r="AF19" s="492" t="str">
        <f>+MID('Input data'!$F$3,32,1)</f>
        <v/>
      </c>
      <c r="AG19" s="492" t="str">
        <f>+MID('Input data'!$F$3,33,1)</f>
        <v/>
      </c>
      <c r="AH19" s="492" t="str">
        <f>+MID('Input data'!$E$3,34,1)</f>
        <v/>
      </c>
      <c r="AI19" s="492" t="str">
        <f>+MID('Input data'!$E$3,35,1)</f>
        <v/>
      </c>
      <c r="AJ19" s="492" t="str">
        <f>+MID('Input data'!$E$3,36,1)</f>
        <v/>
      </c>
      <c r="AK19" s="499" t="str">
        <f>+MID('Input data'!$E$3,37,1)</f>
        <v/>
      </c>
    </row>
    <row r="20" spans="1:37" ht="19.5" customHeight="1" x14ac:dyDescent="0.25">
      <c r="A20" s="500" t="str">
        <f>+MID('Input data'!$E$3,38,1)</f>
        <v/>
      </c>
      <c r="B20" s="492" t="str">
        <f>+MID('Input data'!$E$3,39,1)</f>
        <v/>
      </c>
      <c r="C20" s="492" t="str">
        <f>+MID('Input data'!$E$3,40,1)</f>
        <v/>
      </c>
      <c r="D20" s="492" t="str">
        <f>+MID('Input data'!$E$3,41,1)</f>
        <v/>
      </c>
      <c r="E20" s="492" t="str">
        <f>+MID('Input data'!$E$3,42,1)</f>
        <v/>
      </c>
      <c r="F20" s="492" t="str">
        <f>+MID('Input data'!$E$3,43,1)</f>
        <v/>
      </c>
      <c r="G20" s="492" t="str">
        <f>+MID('Input data'!$E$3,44,1)</f>
        <v/>
      </c>
      <c r="H20" s="492" t="str">
        <f>+MID('Input data'!$E$3,45,1)</f>
        <v/>
      </c>
      <c r="I20" s="492" t="str">
        <f>+MID('Input data'!$E$3,46,1)</f>
        <v/>
      </c>
      <c r="J20" s="492" t="str">
        <f>+MID('Input data'!$E$3,47,1)</f>
        <v/>
      </c>
      <c r="K20" s="492" t="str">
        <f>+MID('Input data'!$E$3,48,1)</f>
        <v/>
      </c>
      <c r="L20" s="492" t="str">
        <f>+MID('Input data'!$E$3,49,1)</f>
        <v/>
      </c>
      <c r="M20" s="492" t="str">
        <f>+MID('Input data'!$E$3,50,1)</f>
        <v/>
      </c>
      <c r="N20" s="492" t="str">
        <f>+MID('Input data'!$E$3,51,1)</f>
        <v/>
      </c>
      <c r="O20" s="492" t="str">
        <f>+MID('Input data'!$E$3,52,1)</f>
        <v/>
      </c>
      <c r="P20" s="492" t="str">
        <f>+MID('Input data'!$E$3,53,1)</f>
        <v/>
      </c>
      <c r="Q20" s="492" t="str">
        <f>+MID('Input data'!$E$3,54,1)</f>
        <v/>
      </c>
      <c r="R20" s="492" t="str">
        <f>+MID('Input data'!$E$3,55,1)</f>
        <v/>
      </c>
      <c r="S20" s="492" t="str">
        <f>+MID('Input data'!$E$3,56,1)</f>
        <v/>
      </c>
      <c r="T20" s="492" t="str">
        <f>+MID('Input data'!$E$3,57,1)</f>
        <v/>
      </c>
      <c r="U20" s="492" t="str">
        <f>+MID('Input data'!$E$3,58,1)</f>
        <v/>
      </c>
      <c r="V20" s="492" t="str">
        <f>+MID('Input data'!$E$3,59,1)</f>
        <v/>
      </c>
      <c r="W20" s="492" t="str">
        <f>+MID('Input data'!$E$3,60,1)</f>
        <v/>
      </c>
      <c r="X20" s="492" t="str">
        <f>+MID('Input data'!$E$3,61,1)</f>
        <v/>
      </c>
      <c r="Y20" s="492" t="str">
        <f>+MID('Input data'!$E$3,62,1)</f>
        <v/>
      </c>
      <c r="Z20" s="492" t="str">
        <f>+MID('Input data'!$E$3,63,1)</f>
        <v/>
      </c>
      <c r="AA20" s="492" t="str">
        <f>+MID('Input data'!$E$3,64,1)</f>
        <v/>
      </c>
      <c r="AB20" s="492" t="str">
        <f>+MID('Input data'!$E$3,65,1)</f>
        <v/>
      </c>
      <c r="AC20" s="492" t="str">
        <f>+MID('Input data'!$E$3,66,1)</f>
        <v/>
      </c>
      <c r="AD20" s="492" t="str">
        <f>+MID('Input data'!$E$3,67,1)</f>
        <v/>
      </c>
      <c r="AE20" s="492" t="str">
        <f>+MID('Input data'!$E$3,68,1)</f>
        <v/>
      </c>
      <c r="AF20" s="492" t="str">
        <f>+MID('Input data'!$E$3,69,1)</f>
        <v/>
      </c>
      <c r="AG20" s="492" t="str">
        <f>+MID('Input data'!$E$3,70,1)</f>
        <v/>
      </c>
      <c r="AH20" s="492" t="str">
        <f>+MID('Input data'!$E$3,71,1)</f>
        <v/>
      </c>
      <c r="AI20" s="492" t="str">
        <f>+MID('Input data'!$E$3,72,1)</f>
        <v/>
      </c>
      <c r="AJ20" s="492" t="str">
        <f>+MID('Input data'!$E$3,73,1)</f>
        <v/>
      </c>
      <c r="AK20" s="499" t="str">
        <f>+MID('Input data'!$E$3,74,1)</f>
        <v/>
      </c>
    </row>
    <row r="21" spans="1:37" ht="14.25" customHeight="1" x14ac:dyDescent="0.25">
      <c r="A21" s="512"/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09"/>
    </row>
    <row r="22" spans="1:37" ht="19.5" hidden="1" customHeight="1" x14ac:dyDescent="0.25">
      <c r="A22" s="508"/>
      <c r="B22" s="507"/>
      <c r="C22" s="507"/>
      <c r="D22" s="507"/>
      <c r="E22" s="507"/>
      <c r="F22" s="507"/>
      <c r="G22" s="507" t="e">
        <f>+MID('Input data'!#REF!,7,1)</f>
        <v>#REF!</v>
      </c>
      <c r="H22" s="507" t="e">
        <f>+MID('Input data'!#REF!,8,1)</f>
        <v>#REF!</v>
      </c>
      <c r="I22" s="507" t="e">
        <f>+MID('Input data'!#REF!,9,1)</f>
        <v>#REF!</v>
      </c>
      <c r="J22" s="507" t="e">
        <f>+MID('Input data'!#REF!,10,1)</f>
        <v>#REF!</v>
      </c>
      <c r="K22" s="507" t="e">
        <f>+MID('Input data'!#REF!,11,1)</f>
        <v>#REF!</v>
      </c>
      <c r="L22" s="507" t="e">
        <f>+MID('Input data'!#REF!,12,1)</f>
        <v>#REF!</v>
      </c>
      <c r="M22" s="507" t="e">
        <f>+MID('Input data'!#REF!,13,1)</f>
        <v>#REF!</v>
      </c>
      <c r="N22" s="507" t="e">
        <f>+MID('Input data'!#REF!,14,1)</f>
        <v>#REF!</v>
      </c>
      <c r="O22" s="507" t="e">
        <f>+MID('Input data'!#REF!,15,1)</f>
        <v>#REF!</v>
      </c>
      <c r="P22" s="507" t="e">
        <f>+MID('Input data'!#REF!,16,1)</f>
        <v>#REF!</v>
      </c>
      <c r="Q22" s="507" t="e">
        <f>+MID('Input data'!#REF!,17,1)</f>
        <v>#REF!</v>
      </c>
      <c r="R22" s="507" t="e">
        <f>+MID('Input data'!#REF!,18,1)</f>
        <v>#REF!</v>
      </c>
      <c r="S22" s="507" t="e">
        <f>+MID('Input data'!#REF!,19,1)</f>
        <v>#REF!</v>
      </c>
      <c r="T22" s="507" t="e">
        <f>+MID('Input data'!#REF!,20,1)</f>
        <v>#REF!</v>
      </c>
      <c r="U22" s="507" t="e">
        <f>+MID('Input data'!#REF!,21,1)</f>
        <v>#REF!</v>
      </c>
      <c r="V22" s="507" t="e">
        <f>+MID('Input data'!#REF!,22,1)</f>
        <v>#REF!</v>
      </c>
      <c r="W22" s="507" t="e">
        <f>+MID('Input data'!#REF!,23,1)</f>
        <v>#REF!</v>
      </c>
      <c r="X22" s="507" t="e">
        <f>+MID('Input data'!#REF!,24,1)</f>
        <v>#REF!</v>
      </c>
      <c r="Y22" s="507" t="e">
        <f>+MID('Input data'!#REF!,25,1)</f>
        <v>#REF!</v>
      </c>
      <c r="Z22" s="507" t="e">
        <f>+MID('Input data'!#REF!,26,1)</f>
        <v>#REF!</v>
      </c>
      <c r="AA22" s="507" t="e">
        <f>+MID('Input data'!#REF!,27,1)</f>
        <v>#REF!</v>
      </c>
      <c r="AB22" s="507" t="e">
        <f>+MID('Input data'!#REF!,28,1)</f>
        <v>#REF!</v>
      </c>
      <c r="AC22" s="507" t="e">
        <f>+MID('Input data'!#REF!,29,1)</f>
        <v>#REF!</v>
      </c>
      <c r="AD22" s="507" t="e">
        <f>+MID('Input data'!#REF!,30,1)</f>
        <v>#REF!</v>
      </c>
      <c r="AE22" s="507" t="e">
        <f>+MID('Input data'!#REF!,31,1)</f>
        <v>#REF!</v>
      </c>
      <c r="AF22" s="507" t="e">
        <f>+MID('Input data'!#REF!,32,1)</f>
        <v>#REF!</v>
      </c>
      <c r="AG22" s="507" t="e">
        <f>+MID('Input data'!#REF!,33,1)</f>
        <v>#REF!</v>
      </c>
      <c r="AH22" s="507" t="e">
        <f>+MID('Input data'!#REF!,34,1)</f>
        <v>#REF!</v>
      </c>
      <c r="AI22" s="507" t="e">
        <f>+MID('Input data'!#REF!,35,1)</f>
        <v>#REF!</v>
      </c>
      <c r="AJ22" s="507" t="e">
        <f>+MID('Input data'!#REF!,36,1)</f>
        <v>#REF!</v>
      </c>
      <c r="AK22" s="506" t="e">
        <f>+MID('Input data'!#REF!,37,1)</f>
        <v>#REF!</v>
      </c>
    </row>
    <row r="23" spans="1:37" s="501" customFormat="1" ht="12" customHeight="1" x14ac:dyDescent="0.25">
      <c r="A23" s="505" t="s">
        <v>1169</v>
      </c>
      <c r="B23" s="504"/>
      <c r="C23" s="504"/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3"/>
      <c r="X23" s="503"/>
      <c r="Y23" s="503"/>
      <c r="Z23" s="503"/>
      <c r="AA23" s="503"/>
      <c r="AB23" s="503"/>
      <c r="AC23" s="503"/>
      <c r="AD23" s="503"/>
      <c r="AE23" s="503"/>
      <c r="AF23" s="503"/>
      <c r="AG23" s="503"/>
      <c r="AH23" s="503"/>
      <c r="AI23" s="503"/>
      <c r="AJ23" s="503"/>
      <c r="AK23" s="502"/>
    </row>
    <row r="24" spans="1:37" x14ac:dyDescent="0.25">
      <c r="A24" s="497" t="s">
        <v>1170</v>
      </c>
      <c r="B24" s="960"/>
      <c r="C24" s="960"/>
      <c r="D24" s="960"/>
      <c r="E24" s="960"/>
      <c r="F24" s="960"/>
      <c r="G24" s="960"/>
      <c r="H24" s="960"/>
      <c r="I24" s="960"/>
      <c r="J24" s="960"/>
      <c r="K24" s="960"/>
      <c r="L24" s="960"/>
      <c r="M24" s="960"/>
      <c r="N24" s="960"/>
      <c r="O24" s="960"/>
      <c r="P24" s="960"/>
      <c r="Q24" s="960"/>
      <c r="R24" s="960"/>
      <c r="S24" s="960"/>
      <c r="T24" s="960"/>
      <c r="U24" s="960"/>
      <c r="V24" s="960"/>
      <c r="W24" s="450"/>
      <c r="X24" s="450"/>
      <c r="Y24" s="450"/>
      <c r="Z24" s="450"/>
      <c r="AA24" s="450"/>
      <c r="AB24" s="960"/>
      <c r="AC24" s="450"/>
      <c r="AD24" s="453" t="s">
        <v>1171</v>
      </c>
      <c r="AE24" s="450"/>
      <c r="AF24" s="450"/>
      <c r="AG24" s="450"/>
      <c r="AH24" s="450"/>
      <c r="AI24" s="450"/>
      <c r="AJ24" s="450"/>
      <c r="AK24" s="449"/>
    </row>
    <row r="25" spans="1:37" ht="19.5" customHeight="1" x14ac:dyDescent="0.25">
      <c r="A25" s="500" t="str">
        <f>+LEFT('Input data'!$C$28,1)</f>
        <v>T</v>
      </c>
      <c r="B25" s="492" t="str">
        <f>+MID('Input data'!$C$28,2,1)</f>
        <v>e</v>
      </c>
      <c r="C25" s="492" t="str">
        <f>+MID('Input data'!$C$28,3,1)</f>
        <v>s</v>
      </c>
      <c r="D25" s="492" t="str">
        <f>+MID('Input data'!$C$28,4,1)</f>
        <v>l</v>
      </c>
      <c r="E25" s="492" t="str">
        <f>+MID('Input data'!$C$28,5,1)</f>
        <v>o</v>
      </c>
      <c r="F25" s="492" t="str">
        <f>+MID('Input data'!$C$28,6,1)</f>
        <v>v</v>
      </c>
      <c r="G25" s="492" t="str">
        <f>+MID('Input data'!$C$28,7,1)</f>
        <v>a</v>
      </c>
      <c r="H25" s="492" t="str">
        <f>+MID('Input data'!$C$28,8,1)</f>
        <v/>
      </c>
      <c r="I25" s="492" t="str">
        <f>+MID('Input data'!$C$28,9,1)</f>
        <v/>
      </c>
      <c r="J25" s="492" t="str">
        <f>+MID('Input data'!$C$28,10,1)</f>
        <v/>
      </c>
      <c r="K25" s="492" t="str">
        <f>+MID('Input data'!$C$28,11,1)</f>
        <v/>
      </c>
      <c r="L25" s="492" t="str">
        <f>+MID('Input data'!$C$28,12,1)</f>
        <v/>
      </c>
      <c r="M25" s="492" t="str">
        <f>+MID('Input data'!$C$28,13,1)</f>
        <v/>
      </c>
      <c r="N25" s="492" t="str">
        <f>+MID('Input data'!$C$28,14,1)</f>
        <v/>
      </c>
      <c r="O25" s="492" t="str">
        <f>+MID('Input data'!$C$28,15,1)</f>
        <v/>
      </c>
      <c r="P25" s="492" t="str">
        <f>+MID('Input data'!$C$28,16,1)</f>
        <v/>
      </c>
      <c r="Q25" s="492" t="str">
        <f>+MID('Input data'!$C$28,17,1)</f>
        <v/>
      </c>
      <c r="R25" s="492" t="str">
        <f>+MID('Input data'!$C$28,18,1)</f>
        <v/>
      </c>
      <c r="S25" s="492" t="str">
        <f>+MID('Input data'!$C$28,19,1)</f>
        <v/>
      </c>
      <c r="T25" s="492" t="str">
        <f>+MID('Input data'!$C$28,20,1)</f>
        <v/>
      </c>
      <c r="U25" s="492" t="str">
        <f>+MID('Input data'!$C$28,21,1)</f>
        <v/>
      </c>
      <c r="V25" s="492" t="str">
        <f>+MID('Input data'!$C$28,22,1)</f>
        <v/>
      </c>
      <c r="W25" s="492" t="str">
        <f>+MID('Input data'!$C$28,23,1)</f>
        <v/>
      </c>
      <c r="X25" s="492" t="str">
        <f>+MID('Input data'!$C$28,24,1)</f>
        <v/>
      </c>
      <c r="Y25" s="492" t="str">
        <f>+MID('Input data'!$C$28,25,1)</f>
        <v/>
      </c>
      <c r="Z25" s="492" t="str">
        <f>+MID('Input data'!$C$28,26,1)</f>
        <v/>
      </c>
      <c r="AA25" s="492" t="str">
        <f>+MID('Input data'!$C$28,27,1)</f>
        <v/>
      </c>
      <c r="AB25" s="492" t="str">
        <f>+MID('Input data'!$C$28,28,1)</f>
        <v/>
      </c>
      <c r="AC25" s="494"/>
      <c r="AD25" s="492" t="str">
        <f>+LEFT('Input data'!$C$30,1)</f>
        <v>2</v>
      </c>
      <c r="AE25" s="492" t="str">
        <f>+MID('Input data'!$C$30,2,1)</f>
        <v>0</v>
      </c>
      <c r="AF25" s="492" t="str">
        <f>+MID('Input data'!$C$30,3,1)</f>
        <v/>
      </c>
      <c r="AG25" s="492" t="str">
        <f>+MID('Input data'!$C$30,4,1)</f>
        <v/>
      </c>
      <c r="AH25" s="492" t="str">
        <f>+MID('Input data'!$C$30,5,1)</f>
        <v/>
      </c>
      <c r="AI25" s="492" t="str">
        <f>+MID('Input data'!$C$30,6,1)</f>
        <v/>
      </c>
      <c r="AJ25" s="492" t="str">
        <f>+MID('Input data'!$C$30,7,1)</f>
        <v/>
      </c>
      <c r="AK25" s="499" t="str">
        <f>+MID('Input data'!$C$30,8,1)</f>
        <v/>
      </c>
    </row>
    <row r="26" spans="1:37" x14ac:dyDescent="0.25">
      <c r="A26" s="497" t="s">
        <v>1172</v>
      </c>
      <c r="B26" s="960"/>
      <c r="C26" s="960"/>
      <c r="D26" s="960"/>
      <c r="E26" s="960"/>
      <c r="F26" s="960"/>
      <c r="G26" s="496" t="s">
        <v>1173</v>
      </c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49"/>
    </row>
    <row r="27" spans="1:37" s="498" customFormat="1" ht="19.5" customHeight="1" x14ac:dyDescent="0.25">
      <c r="A27" s="500" t="str">
        <f>+LEFT('Input data'!$C$32,1)</f>
        <v>8</v>
      </c>
      <c r="B27" s="492" t="str">
        <f>+MID('Input data'!$C$32,2,1)</f>
        <v>2</v>
      </c>
      <c r="C27" s="492" t="str">
        <f>+MID('Input data'!$C$32,3,1)</f>
        <v>1</v>
      </c>
      <c r="D27" s="492" t="str">
        <f>+MID('Input data'!$C$32,4,1)</f>
        <v>0</v>
      </c>
      <c r="E27" s="492" t="str">
        <f>+MID('Input data'!$C$32,5,1)</f>
        <v>2</v>
      </c>
      <c r="F27" s="492"/>
      <c r="G27" s="492" t="str">
        <f>+LEFT('Input data'!$C$34,1)</f>
        <v>B</v>
      </c>
      <c r="H27" s="492" t="str">
        <f>+MID('Input data'!$C$34,2,1)</f>
        <v>r</v>
      </c>
      <c r="I27" s="492" t="str">
        <f>+MID('Input data'!$C$34,3,1)</f>
        <v>a</v>
      </c>
      <c r="J27" s="492" t="str">
        <f>+MID('Input data'!$C$34,4,1)</f>
        <v>t</v>
      </c>
      <c r="K27" s="492" t="str">
        <f>+MID('Input data'!$C$34,5,1)</f>
        <v>u</v>
      </c>
      <c r="L27" s="492" t="str">
        <f>+MID('Input data'!$C$34,6,1)</f>
        <v>s</v>
      </c>
      <c r="M27" s="492" t="str">
        <f>+MID('Input data'!$C$34,7,1)</f>
        <v>l</v>
      </c>
      <c r="N27" s="492" t="str">
        <f>+MID('Input data'!$C$34,8,1)</f>
        <v>a</v>
      </c>
      <c r="O27" s="492" t="str">
        <f>+MID('Input data'!$C$34,9,1)</f>
        <v>v</v>
      </c>
      <c r="P27" s="492" t="str">
        <f>+MID('Input data'!$C$34,10,1)</f>
        <v>a</v>
      </c>
      <c r="Q27" s="492" t="str">
        <f>+MID('Input data'!$C$34,11,1)</f>
        <v/>
      </c>
      <c r="R27" s="492" t="str">
        <f>+MID('Input data'!$C$34,12,1)</f>
        <v/>
      </c>
      <c r="S27" s="492" t="str">
        <f>+MID('Input data'!$C$34,13,1)</f>
        <v/>
      </c>
      <c r="T27" s="492" t="str">
        <f>+MID('Input data'!$C$34,14,1)</f>
        <v/>
      </c>
      <c r="U27" s="492" t="str">
        <f>+MID('Input data'!$C$34,15,1)</f>
        <v/>
      </c>
      <c r="V27" s="492" t="str">
        <f>+MID('Input data'!$C$34,16,1)</f>
        <v/>
      </c>
      <c r="W27" s="492" t="str">
        <f>+MID('Input data'!$C$34,17,1)</f>
        <v/>
      </c>
      <c r="X27" s="492" t="str">
        <f>+MID('Input data'!$C$34,18,1)</f>
        <v/>
      </c>
      <c r="Y27" s="492" t="str">
        <f>+MID('Input data'!$C$34,19,1)</f>
        <v/>
      </c>
      <c r="Z27" s="492" t="str">
        <f>+MID('Input data'!$C$34,20,1)</f>
        <v/>
      </c>
      <c r="AA27" s="492" t="str">
        <f>+MID('Input data'!$C$34,21,1)</f>
        <v/>
      </c>
      <c r="AB27" s="492" t="str">
        <f>+MID('Input data'!$C$34,22,1)</f>
        <v/>
      </c>
      <c r="AC27" s="492" t="str">
        <f>+MID('Input data'!$C$34,23,1)</f>
        <v/>
      </c>
      <c r="AD27" s="492" t="str">
        <f>+MID('Input data'!$C$34,24,1)</f>
        <v/>
      </c>
      <c r="AE27" s="492" t="str">
        <f>+MID('Input data'!$C$34,25,1)</f>
        <v/>
      </c>
      <c r="AF27" s="492" t="str">
        <f>+MID('Input data'!$C$34,26,1)</f>
        <v/>
      </c>
      <c r="AG27" s="492" t="str">
        <f>+MID('Input data'!$C$34,27,1)</f>
        <v/>
      </c>
      <c r="AH27" s="492" t="str">
        <f>+MID('Input data'!$C$34,28,1)</f>
        <v/>
      </c>
      <c r="AI27" s="492" t="str">
        <f>+MID('Input data'!$C$34,29,1)</f>
        <v/>
      </c>
      <c r="AJ27" s="492" t="str">
        <f>+MID('Input data'!$C$34,30,1)</f>
        <v/>
      </c>
      <c r="AK27" s="499" t="str">
        <f>+MID('Input data'!$C$34,31,1)</f>
        <v/>
      </c>
    </row>
    <row r="28" spans="1:37" x14ac:dyDescent="0.25">
      <c r="A28" s="497" t="s">
        <v>1174</v>
      </c>
      <c r="B28" s="960"/>
      <c r="C28" s="960"/>
      <c r="D28" s="960"/>
      <c r="E28" s="960"/>
      <c r="F28" s="960"/>
      <c r="G28" s="496"/>
      <c r="H28" s="496"/>
      <c r="I28" s="496"/>
      <c r="J28" s="496"/>
      <c r="K28" s="496"/>
      <c r="L28" s="496"/>
      <c r="M28" s="496"/>
      <c r="N28" s="960"/>
      <c r="O28" s="496" t="s">
        <v>1175</v>
      </c>
      <c r="P28" s="496"/>
      <c r="Q28" s="496"/>
      <c r="R28" s="496"/>
      <c r="S28" s="496"/>
      <c r="T28" s="496"/>
      <c r="U28" s="496"/>
      <c r="V28" s="496"/>
      <c r="W28" s="496"/>
      <c r="X28" s="496"/>
      <c r="Y28" s="496"/>
      <c r="Z28" s="496"/>
      <c r="AA28" s="496"/>
      <c r="AB28" s="496"/>
      <c r="AC28" s="496"/>
      <c r="AD28" s="496"/>
      <c r="AE28" s="450"/>
      <c r="AF28" s="450"/>
      <c r="AG28" s="450"/>
      <c r="AH28" s="450"/>
      <c r="AI28" s="450"/>
      <c r="AJ28" s="450"/>
      <c r="AK28" s="449"/>
    </row>
    <row r="29" spans="1:37" ht="19.5" customHeight="1" x14ac:dyDescent="0.25">
      <c r="A29" s="495">
        <v>0</v>
      </c>
      <c r="B29" s="492" t="str">
        <f>+LEFT('Input data'!$C$36,1)</f>
        <v>2</v>
      </c>
      <c r="C29" s="492" t="str">
        <f>+MID('Input data'!$C$36,2,1)</f>
        <v/>
      </c>
      <c r="D29" s="492" t="str">
        <f>+MID('Input data'!$C$36,3,1)</f>
        <v/>
      </c>
      <c r="E29" s="492" t="s">
        <v>1176</v>
      </c>
      <c r="F29" s="492" t="str">
        <f>+LEFT('Input data'!$C$38,1)</f>
        <v>4</v>
      </c>
      <c r="G29" s="492" t="str">
        <f>+MID('Input data'!$C$38,2,1)</f>
        <v>9</v>
      </c>
      <c r="H29" s="492" t="str">
        <f>+MID('Input data'!$C$38,3,1)</f>
        <v>3</v>
      </c>
      <c r="I29" s="492" t="str">
        <f>+MID('Input data'!$C$38,4,1)</f>
        <v>0</v>
      </c>
      <c r="J29" s="492" t="str">
        <f>+MID('Input data'!$C$38,5,1)</f>
        <v>0</v>
      </c>
      <c r="K29" s="492" t="str">
        <f>+MID('Input data'!$C$38,6,1)</f>
        <v>5</v>
      </c>
      <c r="L29" s="492" t="str">
        <f>+MID('Input data'!$C$38,7,1)</f>
        <v>1</v>
      </c>
      <c r="M29" s="492" t="str">
        <f>+MID('Input data'!$C$38,8,1)</f>
        <v>3</v>
      </c>
      <c r="N29" s="494"/>
      <c r="O29" s="493">
        <v>0</v>
      </c>
      <c r="P29" s="492" t="str">
        <f>+LEFT('Input data'!$C$36,1)</f>
        <v>2</v>
      </c>
      <c r="Q29" s="492" t="str">
        <f>+MID('Input data'!$C$36,2,1)</f>
        <v/>
      </c>
      <c r="R29" s="492" t="str">
        <f>+MID('Input data'!$C$36,3,1)</f>
        <v/>
      </c>
      <c r="S29" s="492" t="s">
        <v>1176</v>
      </c>
      <c r="T29" s="492" t="str">
        <f>+LEFT('Input data'!$C$40,1)</f>
        <v>4</v>
      </c>
      <c r="U29" s="492" t="str">
        <f>+MID('Input data'!$C$40,2,1)</f>
        <v>9</v>
      </c>
      <c r="V29" s="492" t="str">
        <f>+MID('Input data'!$C$40,3,1)</f>
        <v>3</v>
      </c>
      <c r="W29" s="492" t="str">
        <f>+MID('Input data'!$C$40,4,1)</f>
        <v>0</v>
      </c>
      <c r="X29" s="492" t="str">
        <f>+MID('Input data'!$C$40,5,1)</f>
        <v>0</v>
      </c>
      <c r="Y29" s="492" t="str">
        <f>+MID('Input data'!$C$40,6,1)</f>
        <v>5</v>
      </c>
      <c r="Z29" s="492" t="str">
        <f>+MID('Input data'!$C$40,7,1)</f>
        <v>5</v>
      </c>
      <c r="AA29" s="492" t="str">
        <f>+MID('Input data'!$C$40,8,1)</f>
        <v>0</v>
      </c>
      <c r="AB29" s="492"/>
      <c r="AC29" s="492"/>
      <c r="AD29" s="492"/>
      <c r="AE29" s="450"/>
      <c r="AF29" s="450"/>
      <c r="AG29" s="450" t="s">
        <v>1177</v>
      </c>
      <c r="AH29" s="450"/>
      <c r="AI29" s="450"/>
      <c r="AJ29" s="450"/>
      <c r="AK29" s="449"/>
    </row>
    <row r="30" spans="1:37" s="442" customFormat="1" x14ac:dyDescent="0.25">
      <c r="A30" s="454" t="s">
        <v>1178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453"/>
      <c r="S30" s="453"/>
      <c r="T30" s="453"/>
      <c r="U30" s="453"/>
      <c r="V30" s="453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49"/>
    </row>
    <row r="31" spans="1:37" ht="19.5" customHeight="1" thickBot="1" x14ac:dyDescent="0.3">
      <c r="A31" s="491" t="str">
        <f>+LEFT('Input data'!$B$42,1)</f>
        <v/>
      </c>
      <c r="B31" s="490" t="str">
        <f>+MID('Input data'!$B$42,2,1)</f>
        <v/>
      </c>
      <c r="C31" s="490" t="str">
        <f>+MID('Input data'!$B$42,3,1)</f>
        <v/>
      </c>
      <c r="D31" s="490" t="str">
        <f>+MID('Input data'!$B$42,4,1)</f>
        <v/>
      </c>
      <c r="E31" s="490" t="str">
        <f>+MID('Input data'!$B$42,5,1)</f>
        <v/>
      </c>
      <c r="F31" s="490" t="str">
        <f>+MID('Input data'!$B$42,6,1)</f>
        <v/>
      </c>
      <c r="G31" s="490" t="str">
        <f>+MID('Input data'!$B$42,7,1)</f>
        <v/>
      </c>
      <c r="H31" s="490" t="str">
        <f>+MID('Input data'!$B$42,8,1)</f>
        <v/>
      </c>
      <c r="I31" s="490" t="str">
        <f>+MID('Input data'!$B$42,9,1)</f>
        <v/>
      </c>
      <c r="J31" s="490" t="str">
        <f>+MID('Input data'!$B$42,10,1)</f>
        <v/>
      </c>
      <c r="K31" s="490" t="str">
        <f>+MID('Input data'!$B$42,11,1)</f>
        <v/>
      </c>
      <c r="L31" s="490" t="str">
        <f>+MID('Input data'!$B$42,12,1)</f>
        <v/>
      </c>
      <c r="M31" s="490" t="str">
        <f>+MID('Input data'!$B$42,13,1)</f>
        <v/>
      </c>
      <c r="N31" s="490" t="str">
        <f>+MID('Input data'!$B$42,14,1)</f>
        <v/>
      </c>
      <c r="O31" s="490" t="str">
        <f>+MID('Input data'!$B$42,15,1)</f>
        <v/>
      </c>
      <c r="P31" s="490" t="str">
        <f>+MID('Input data'!$B$42,16,1)</f>
        <v/>
      </c>
      <c r="Q31" s="490" t="str">
        <f>+MID('Input data'!$B$42,17,1)</f>
        <v/>
      </c>
      <c r="R31" s="490" t="str">
        <f>+MID('Input data'!$B$42,18,1)</f>
        <v/>
      </c>
      <c r="S31" s="490" t="str">
        <f>+MID('Input data'!$B$42,19,1)</f>
        <v/>
      </c>
      <c r="T31" s="490" t="str">
        <f>+MID('Input data'!$B$42,20,1)</f>
        <v/>
      </c>
      <c r="U31" s="490" t="str">
        <f>+MID('Input data'!$B$42,21,1)</f>
        <v/>
      </c>
      <c r="V31" s="490" t="str">
        <f>+MID('Input data'!$B$42,22,1)</f>
        <v/>
      </c>
      <c r="W31" s="490" t="str">
        <f>+MID('Input data'!$B$42,23,1)</f>
        <v/>
      </c>
      <c r="X31" s="490" t="str">
        <f>+MID('Input data'!$B$42,24,1)</f>
        <v/>
      </c>
      <c r="Y31" s="490" t="str">
        <f>+MID('Input data'!$B$42,25,1)</f>
        <v/>
      </c>
      <c r="Z31" s="490" t="str">
        <f>+MID('Input data'!$B$42,26,1)</f>
        <v/>
      </c>
      <c r="AA31" s="490" t="str">
        <f>+MID('Input data'!$B$42,27,1)</f>
        <v/>
      </c>
      <c r="AB31" s="490" t="str">
        <f>+MID('Input data'!$B$42,28,1)</f>
        <v/>
      </c>
      <c r="AC31" s="490" t="str">
        <f>+MID('Input data'!$B$42,29,1)</f>
        <v/>
      </c>
      <c r="AD31" s="490" t="str">
        <f>+MID('Input data'!$B$42,30,1)</f>
        <v/>
      </c>
      <c r="AE31" s="490" t="str">
        <f>+MID('Input data'!$B$42,31,1)</f>
        <v/>
      </c>
      <c r="AF31" s="490" t="str">
        <f>+MID('Input data'!$B$42,32,1)</f>
        <v/>
      </c>
      <c r="AG31" s="490" t="str">
        <f>+MID('Input data'!$B$42,33,1)</f>
        <v/>
      </c>
      <c r="AH31" s="490" t="str">
        <f>+MID('Input data'!$B$42,34,1)</f>
        <v/>
      </c>
      <c r="AI31" s="490" t="str">
        <f>+MID('Input data'!$B$42,35,1)</f>
        <v/>
      </c>
      <c r="AJ31" s="490" t="str">
        <f>+MID('Input data'!$B$42,36,1)</f>
        <v/>
      </c>
      <c r="AK31" s="489" t="str">
        <f>+MID('Input data'!$B$42,37,1)</f>
        <v/>
      </c>
    </row>
    <row r="32" spans="1:37" s="442" customFormat="1" ht="4.5" customHeight="1" thickBot="1" x14ac:dyDescent="0.3">
      <c r="W32" s="443"/>
      <c r="X32" s="443"/>
      <c r="Y32" s="443"/>
      <c r="Z32" s="443"/>
      <c r="AA32" s="443"/>
      <c r="AB32" s="443"/>
      <c r="AC32" s="443"/>
      <c r="AD32" s="443"/>
      <c r="AE32" s="443"/>
      <c r="AF32" s="443"/>
      <c r="AG32" s="443"/>
      <c r="AH32" s="443"/>
      <c r="AI32" s="443"/>
      <c r="AJ32" s="443"/>
      <c r="AK32" s="443"/>
    </row>
    <row r="33" spans="1:37" s="485" customFormat="1" ht="12.75" customHeight="1" x14ac:dyDescent="0.25">
      <c r="A33" s="488" t="s">
        <v>1179</v>
      </c>
      <c r="B33" s="487"/>
      <c r="C33" s="487"/>
      <c r="D33" s="487"/>
      <c r="E33" s="487"/>
      <c r="F33" s="487"/>
      <c r="G33" s="487"/>
      <c r="H33" s="487"/>
      <c r="I33" s="487"/>
      <c r="J33" s="487"/>
      <c r="K33" s="486"/>
      <c r="L33" s="990" t="s">
        <v>1853</v>
      </c>
      <c r="M33" s="991"/>
      <c r="N33" s="991"/>
      <c r="O33" s="991"/>
      <c r="P33" s="991"/>
      <c r="Q33" s="991"/>
      <c r="R33" s="991"/>
      <c r="S33" s="991"/>
      <c r="T33" s="992"/>
      <c r="U33" s="991" t="s">
        <v>1181</v>
      </c>
      <c r="V33" s="991"/>
      <c r="W33" s="991"/>
      <c r="X33" s="991"/>
      <c r="Y33" s="991"/>
      <c r="Z33" s="991"/>
      <c r="AA33" s="991"/>
      <c r="AB33" s="992"/>
      <c r="AC33" s="990" t="s">
        <v>1852</v>
      </c>
      <c r="AD33" s="991"/>
      <c r="AE33" s="991"/>
      <c r="AF33" s="991"/>
      <c r="AG33" s="991"/>
      <c r="AH33" s="991"/>
      <c r="AI33" s="991"/>
      <c r="AJ33" s="991"/>
      <c r="AK33" s="996"/>
    </row>
    <row r="34" spans="1:37" s="442" customFormat="1" ht="19.5" customHeight="1" x14ac:dyDescent="0.25">
      <c r="A34" s="471" t="str">
        <f>LEFT(TEXT('Input data'!F25,"dd.m.yyyy"),1)</f>
        <v>1</v>
      </c>
      <c r="B34" s="470" t="str">
        <f>MID(TEXT('Input data'!$F$25,"dd.mm.yyyy"),2,1)</f>
        <v>3</v>
      </c>
      <c r="C34" s="469" t="s">
        <v>1147</v>
      </c>
      <c r="D34" s="470" t="str">
        <f>MID(TEXT('Input data'!$F$25,"dd.mm.yyyy"),4,1)</f>
        <v>0</v>
      </c>
      <c r="E34" s="470" t="str">
        <f>MID(TEXT('Input data'!$F$25,"dd.mm.yyyy"),5,1)</f>
        <v>6</v>
      </c>
      <c r="F34" s="469" t="s">
        <v>1147</v>
      </c>
      <c r="G34" s="468" t="str">
        <f>MID(TEXT('Input data'!$F$25,"dd.mm.yyyy"),7,1)</f>
        <v>2</v>
      </c>
      <c r="H34" s="468" t="str">
        <f>MID(TEXT('Input data'!$F$25,"dd.mm.yyyy"),8,1)</f>
        <v>0</v>
      </c>
      <c r="I34" s="468" t="str">
        <f>MID(TEXT('Input data'!$F$25,"dd.mm.yyyy"),9,1)</f>
        <v>1</v>
      </c>
      <c r="J34" s="468" t="str">
        <f>MID(TEXT('Input data'!$F$25,"dd.mm.yyyy"),10,1)</f>
        <v>4</v>
      </c>
      <c r="K34" s="484"/>
      <c r="L34" s="993"/>
      <c r="M34" s="994"/>
      <c r="N34" s="994"/>
      <c r="O34" s="994"/>
      <c r="P34" s="994"/>
      <c r="Q34" s="994"/>
      <c r="R34" s="994"/>
      <c r="S34" s="994"/>
      <c r="T34" s="995"/>
      <c r="U34" s="994"/>
      <c r="V34" s="994"/>
      <c r="W34" s="994"/>
      <c r="X34" s="994"/>
      <c r="Y34" s="994"/>
      <c r="Z34" s="994"/>
      <c r="AA34" s="994"/>
      <c r="AB34" s="995"/>
      <c r="AC34" s="993"/>
      <c r="AD34" s="994"/>
      <c r="AE34" s="994"/>
      <c r="AF34" s="994"/>
      <c r="AG34" s="994"/>
      <c r="AH34" s="994"/>
      <c r="AI34" s="994"/>
      <c r="AJ34" s="994"/>
      <c r="AK34" s="997"/>
    </row>
    <row r="35" spans="1:37" s="442" customFormat="1" ht="13.5" customHeight="1" x14ac:dyDescent="0.25">
      <c r="A35" s="483"/>
      <c r="B35" s="482"/>
      <c r="C35" s="482"/>
      <c r="D35" s="482"/>
      <c r="E35" s="482"/>
      <c r="F35" s="482"/>
      <c r="G35" s="481"/>
      <c r="H35" s="481"/>
      <c r="I35" s="481"/>
      <c r="J35" s="481"/>
      <c r="K35" s="480"/>
      <c r="L35" s="993"/>
      <c r="M35" s="994"/>
      <c r="N35" s="994"/>
      <c r="O35" s="994"/>
      <c r="P35" s="994"/>
      <c r="Q35" s="994"/>
      <c r="R35" s="994"/>
      <c r="S35" s="994"/>
      <c r="T35" s="995"/>
      <c r="U35" s="994"/>
      <c r="V35" s="994"/>
      <c r="W35" s="994"/>
      <c r="X35" s="994"/>
      <c r="Y35" s="994"/>
      <c r="Z35" s="994"/>
      <c r="AA35" s="994"/>
      <c r="AB35" s="995"/>
      <c r="AC35" s="993"/>
      <c r="AD35" s="994"/>
      <c r="AE35" s="994"/>
      <c r="AF35" s="994"/>
      <c r="AG35" s="994"/>
      <c r="AH35" s="994"/>
      <c r="AI35" s="994"/>
      <c r="AJ35" s="994"/>
      <c r="AK35" s="997"/>
    </row>
    <row r="36" spans="1:37" s="442" customFormat="1" x14ac:dyDescent="0.2">
      <c r="A36" s="454" t="s">
        <v>1183</v>
      </c>
      <c r="B36" s="453"/>
      <c r="C36" s="453"/>
      <c r="D36" s="453"/>
      <c r="E36" s="453"/>
      <c r="F36" s="453"/>
      <c r="G36" s="479"/>
      <c r="H36" s="479"/>
      <c r="I36" s="479"/>
      <c r="J36" s="479"/>
      <c r="K36" s="478"/>
      <c r="L36" s="477"/>
      <c r="M36" s="477"/>
      <c r="N36" s="477"/>
      <c r="O36" s="477"/>
      <c r="P36" s="477"/>
      <c r="Q36" s="477"/>
      <c r="R36" s="477"/>
      <c r="S36" s="453"/>
      <c r="T36" s="475"/>
      <c r="U36" s="476"/>
      <c r="V36" s="476"/>
      <c r="W36" s="476"/>
      <c r="X36" s="476"/>
      <c r="Y36" s="476"/>
      <c r="Z36" s="450"/>
      <c r="AA36" s="476"/>
      <c r="AB36" s="475"/>
      <c r="AC36" s="474"/>
      <c r="AD36" s="473"/>
      <c r="AE36" s="473"/>
      <c r="AF36" s="473"/>
      <c r="AG36" s="473"/>
      <c r="AH36" s="473"/>
      <c r="AI36" s="473"/>
      <c r="AJ36" s="473"/>
      <c r="AK36" s="472"/>
    </row>
    <row r="37" spans="1:37" s="442" customFormat="1" ht="19.5" customHeight="1" x14ac:dyDescent="0.25">
      <c r="A37" s="471" t="str">
        <f>IF('Input data'!$F$27="","",LEFT(TEXT('Input data'!$F$27,"dd.mm.yyyy"),1))</f>
        <v/>
      </c>
      <c r="B37" s="470" t="str">
        <f>IF('Input data'!$F$27="","",MID(TEXT('Input data'!$F$27,"dd.mm.yyyy"),2,1))</f>
        <v/>
      </c>
      <c r="C37" s="469" t="s">
        <v>1147</v>
      </c>
      <c r="D37" s="470" t="str">
        <f>IF('Input data'!$F$27="","",MID(TEXT('Input data'!$F$27,"dd.mm.yyyy"),4,1))</f>
        <v/>
      </c>
      <c r="E37" s="470" t="str">
        <f>IF('Input data'!$F$27="","",MID(TEXT('Input data'!$F$27,"dd.mm.yyyy"),5,1))</f>
        <v/>
      </c>
      <c r="F37" s="469" t="s">
        <v>1147</v>
      </c>
      <c r="G37" s="468" t="str">
        <f>IF('Input data'!$F$27="","",MID(TEXT('Input data'!$F$27,"dd.mm.yyyy"),7,1))</f>
        <v/>
      </c>
      <c r="H37" s="468" t="str">
        <f>IF('Input data'!$F$27="","",MID(TEXT('Input data'!$F$27,"dd.mm.yyyy"),8,1))</f>
        <v/>
      </c>
      <c r="I37" s="468" t="str">
        <f>IF('Input data'!$F$27="","",MID(TEXT('Input data'!$F$27,"dd.mm.yyyy"),9,1))</f>
        <v/>
      </c>
      <c r="J37" s="468" t="str">
        <f>IF('Input data'!$F$27="","",MID(TEXT('Input data'!$F$27,"dd.mm.yyyy"),10,1))</f>
        <v/>
      </c>
      <c r="K37" s="467"/>
      <c r="L37" s="466"/>
      <c r="M37" s="465"/>
      <c r="N37" s="465"/>
      <c r="O37" s="465"/>
      <c r="P37" s="465"/>
      <c r="Q37" s="465"/>
      <c r="R37" s="465"/>
      <c r="S37" s="465"/>
      <c r="T37" s="464"/>
      <c r="U37" s="466"/>
      <c r="V37" s="465"/>
      <c r="W37" s="465"/>
      <c r="X37" s="465"/>
      <c r="Y37" s="465"/>
      <c r="Z37" s="465"/>
      <c r="AA37" s="465"/>
      <c r="AB37" s="464"/>
      <c r="AC37" s="450"/>
      <c r="AD37" s="450"/>
      <c r="AE37" s="450"/>
      <c r="AF37" s="450"/>
      <c r="AG37" s="450"/>
      <c r="AH37" s="450"/>
      <c r="AI37" s="450"/>
      <c r="AJ37" s="450"/>
      <c r="AK37" s="449"/>
    </row>
    <row r="38" spans="1:37" s="448" customFormat="1" thickBot="1" x14ac:dyDescent="0.3">
      <c r="A38" s="463"/>
      <c r="B38" s="462"/>
      <c r="C38" s="462"/>
      <c r="D38" s="462"/>
      <c r="E38" s="462"/>
      <c r="F38" s="462"/>
      <c r="G38" s="462"/>
      <c r="H38" s="462"/>
      <c r="I38" s="462"/>
      <c r="J38" s="462"/>
      <c r="K38" s="461"/>
      <c r="L38" s="998">
        <f>'Input data'!F31</f>
        <v>0</v>
      </c>
      <c r="M38" s="999"/>
      <c r="N38" s="999"/>
      <c r="O38" s="999"/>
      <c r="P38" s="999"/>
      <c r="Q38" s="999"/>
      <c r="R38" s="999"/>
      <c r="S38" s="999"/>
      <c r="T38" s="1000"/>
      <c r="U38" s="998">
        <f>'Input data'!F35</f>
        <v>0</v>
      </c>
      <c r="V38" s="999"/>
      <c r="W38" s="999"/>
      <c r="X38" s="999"/>
      <c r="Y38" s="999"/>
      <c r="Z38" s="999"/>
      <c r="AA38" s="999"/>
      <c r="AB38" s="1000"/>
      <c r="AC38" s="1001">
        <f>'Input data'!F39</f>
        <v>0</v>
      </c>
      <c r="AD38" s="999"/>
      <c r="AE38" s="999"/>
      <c r="AF38" s="999"/>
      <c r="AG38" s="999"/>
      <c r="AH38" s="999"/>
      <c r="AI38" s="999"/>
      <c r="AJ38" s="999"/>
      <c r="AK38" s="1002"/>
    </row>
    <row r="39" spans="1:37" s="448" customFormat="1" x14ac:dyDescent="0.25"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</row>
    <row r="40" spans="1:37" s="448" customFormat="1" ht="12.75" customHeight="1" x14ac:dyDescent="0.25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37" s="448" customFormat="1" x14ac:dyDescent="0.25"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</row>
    <row r="42" spans="1:37" ht="13.5" thickBot="1" x14ac:dyDescent="0.3">
      <c r="W42" s="443"/>
      <c r="X42" s="443"/>
      <c r="Y42" s="443"/>
      <c r="Z42" s="443"/>
      <c r="AA42" s="443"/>
      <c r="AB42" s="443"/>
      <c r="AC42" s="443"/>
      <c r="AD42" s="443"/>
      <c r="AE42" s="443"/>
      <c r="AF42" s="443"/>
      <c r="AG42" s="443"/>
      <c r="AH42" s="443"/>
      <c r="AI42" s="443"/>
      <c r="AJ42" s="443"/>
      <c r="AK42" s="443"/>
    </row>
    <row r="43" spans="1:37" s="448" customFormat="1" x14ac:dyDescent="0.25">
      <c r="B43" s="460" t="s">
        <v>1184</v>
      </c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8"/>
      <c r="X43" s="458"/>
      <c r="Y43" s="458"/>
      <c r="Z43" s="458"/>
      <c r="AA43" s="458"/>
      <c r="AB43" s="458"/>
      <c r="AC43" s="458"/>
      <c r="AD43" s="458"/>
      <c r="AE43" s="458"/>
      <c r="AF43" s="458"/>
      <c r="AG43" s="458"/>
      <c r="AH43" s="458"/>
      <c r="AI43" s="458"/>
      <c r="AJ43" s="457"/>
      <c r="AK43" s="443"/>
    </row>
    <row r="44" spans="1:37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7" ht="12.75" customHeight="1" x14ac:dyDescent="0.25">
      <c r="B45" s="456"/>
      <c r="C45" s="960"/>
      <c r="D45" s="960"/>
      <c r="E45" s="960"/>
      <c r="F45" s="960"/>
      <c r="G45" s="960"/>
      <c r="H45" s="960"/>
      <c r="I45" s="960"/>
      <c r="J45" s="960"/>
      <c r="K45" s="960"/>
      <c r="L45" s="960"/>
      <c r="M45" s="960"/>
      <c r="N45" s="960"/>
      <c r="O45" s="960"/>
      <c r="P45" s="960"/>
      <c r="Q45" s="960"/>
      <c r="R45" s="960"/>
      <c r="S45" s="960"/>
      <c r="T45" s="960"/>
      <c r="U45" s="960"/>
      <c r="V45" s="960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7" s="448" customFormat="1" x14ac:dyDescent="0.25">
      <c r="B46" s="452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7" s="442" customFormat="1" x14ac:dyDescent="0.25">
      <c r="B47" s="454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7" s="442" customFormat="1" x14ac:dyDescent="0.25">
      <c r="B48" s="454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8" customFormat="1" x14ac:dyDescent="0.25">
      <c r="B51" s="452"/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0"/>
      <c r="AJ51" s="449"/>
      <c r="AK51" s="443"/>
    </row>
    <row r="52" spans="2:37" s="448" customFormat="1" x14ac:dyDescent="0.25">
      <c r="B52" s="452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1"/>
      <c r="U52" s="451"/>
      <c r="V52" s="451"/>
      <c r="W52" s="450"/>
      <c r="X52" s="450"/>
      <c r="Y52" s="450"/>
      <c r="Z52" s="450"/>
      <c r="AA52" s="450"/>
      <c r="AB52" s="450"/>
      <c r="AC52" s="450"/>
      <c r="AD52" s="450"/>
      <c r="AE52" s="450"/>
      <c r="AF52" s="450"/>
      <c r="AG52" s="450"/>
      <c r="AH52" s="450"/>
      <c r="AI52" s="450"/>
      <c r="AJ52" s="449"/>
      <c r="AK52" s="443"/>
    </row>
    <row r="53" spans="2:37" s="442" customFormat="1" ht="13.5" thickBot="1" x14ac:dyDescent="0.3">
      <c r="B53" s="447"/>
      <c r="C53" s="446"/>
      <c r="D53" s="446"/>
      <c r="E53" s="446"/>
      <c r="F53" s="446"/>
      <c r="G53" s="446" t="s">
        <v>1185</v>
      </c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 t="s">
        <v>1186</v>
      </c>
      <c r="V53" s="446"/>
      <c r="W53" s="445"/>
      <c r="X53" s="445"/>
      <c r="Y53" s="445"/>
      <c r="Z53" s="445"/>
      <c r="AA53" s="445"/>
      <c r="AB53" s="445"/>
      <c r="AC53" s="445"/>
      <c r="AD53" s="445"/>
      <c r="AE53" s="445"/>
      <c r="AF53" s="445"/>
      <c r="AG53" s="445"/>
      <c r="AH53" s="445"/>
      <c r="AI53" s="445"/>
      <c r="AJ53" s="444"/>
      <c r="AK53" s="443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25947/1/2010&amp;RStrana 1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zoomScaleNormal="10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386" customWidth="1" outlineLevel="1"/>
    <col min="8" max="9" width="20.42578125" style="387" customWidth="1" outlineLevel="1"/>
    <col min="10" max="10" width="20.42578125" style="391" customWidth="1"/>
    <col min="12" max="12" width="20.42578125" style="393" customWidth="1"/>
  </cols>
  <sheetData>
    <row r="1" spans="1:13" ht="16.5" x14ac:dyDescent="0.3">
      <c r="A1" s="1" t="s">
        <v>153</v>
      </c>
      <c r="G1" s="1370" t="s">
        <v>1138</v>
      </c>
      <c r="H1" s="1371"/>
      <c r="I1" s="1371"/>
      <c r="J1" s="1372"/>
      <c r="L1" s="399" t="s">
        <v>1140</v>
      </c>
      <c r="M1" s="396"/>
    </row>
    <row r="3" spans="1:13" ht="17.25" thickBot="1" x14ac:dyDescent="0.35">
      <c r="A3" s="5" t="s">
        <v>15</v>
      </c>
    </row>
    <row r="4" spans="1:13" ht="16.5" thickTop="1" thickBot="1" x14ac:dyDescent="0.3">
      <c r="A4" s="1358" t="s">
        <v>159</v>
      </c>
      <c r="B4" s="1360" t="s">
        <v>2</v>
      </c>
      <c r="C4" s="1366"/>
      <c r="D4" s="1366"/>
      <c r="E4" s="1361"/>
    </row>
    <row r="5" spans="1:13" ht="18" customHeight="1" thickTop="1" x14ac:dyDescent="0.25">
      <c r="A5" s="1365"/>
      <c r="B5" s="1365" t="s">
        <v>32</v>
      </c>
      <c r="C5" s="1365" t="s">
        <v>27</v>
      </c>
      <c r="D5" s="1365" t="s">
        <v>28</v>
      </c>
      <c r="E5" s="1365" t="s">
        <v>30</v>
      </c>
      <c r="G5" s="1358" t="s">
        <v>32</v>
      </c>
      <c r="H5" s="1358" t="s">
        <v>27</v>
      </c>
      <c r="I5" s="1358" t="s">
        <v>28</v>
      </c>
      <c r="J5" s="1358" t="s">
        <v>30</v>
      </c>
      <c r="L5" s="1358" t="s">
        <v>30</v>
      </c>
    </row>
    <row r="6" spans="1:13" ht="17.25" customHeight="1" thickBot="1" x14ac:dyDescent="0.3">
      <c r="A6" s="1359"/>
      <c r="B6" s="1359"/>
      <c r="C6" s="1359"/>
      <c r="D6" s="1359"/>
      <c r="E6" s="1359"/>
      <c r="G6" s="1359"/>
      <c r="H6" s="1359"/>
      <c r="I6" s="1359"/>
      <c r="J6" s="1359"/>
      <c r="L6" s="1359"/>
    </row>
    <row r="7" spans="1:13" ht="21.75" customHeight="1" thickTop="1" thickBot="1" x14ac:dyDescent="0.3">
      <c r="A7" s="14" t="s">
        <v>160</v>
      </c>
      <c r="B7" s="22"/>
      <c r="C7" s="22"/>
      <c r="D7" s="22"/>
      <c r="E7" s="15">
        <f>SUM(B7:D7)</f>
        <v>0</v>
      </c>
      <c r="J7" s="392">
        <f>SUM(B7:D7)-E7</f>
        <v>0</v>
      </c>
    </row>
    <row r="8" spans="1:13" ht="21.75" customHeight="1" thickBot="1" x14ac:dyDescent="0.3">
      <c r="A8" s="14" t="s">
        <v>161</v>
      </c>
      <c r="B8" s="22"/>
      <c r="C8" s="22"/>
      <c r="D8" s="22"/>
      <c r="E8" s="15">
        <f t="shared" ref="E8:E12" si="0">SUM(B8:D8)</f>
        <v>0</v>
      </c>
      <c r="J8" s="392">
        <f t="shared" ref="J8:J12" si="1">SUM(B8:D8)-E8</f>
        <v>0</v>
      </c>
    </row>
    <row r="9" spans="1:13" ht="21.75" customHeight="1" thickBot="1" x14ac:dyDescent="0.3">
      <c r="A9" s="14" t="s">
        <v>162</v>
      </c>
      <c r="B9" s="22"/>
      <c r="C9" s="22"/>
      <c r="D9" s="22"/>
      <c r="E9" s="15">
        <f t="shared" si="0"/>
        <v>0</v>
      </c>
      <c r="J9" s="392">
        <f t="shared" si="1"/>
        <v>0</v>
      </c>
    </row>
    <row r="10" spans="1:13" ht="21.75" customHeight="1" thickBot="1" x14ac:dyDescent="0.3">
      <c r="A10" s="14" t="s">
        <v>163</v>
      </c>
      <c r="B10" s="22"/>
      <c r="C10" s="22"/>
      <c r="D10" s="22"/>
      <c r="E10" s="15">
        <f t="shared" si="0"/>
        <v>0</v>
      </c>
      <c r="J10" s="392">
        <f t="shared" si="1"/>
        <v>0</v>
      </c>
    </row>
    <row r="11" spans="1:13" ht="21.75" customHeight="1" thickBot="1" x14ac:dyDescent="0.3">
      <c r="A11" s="14" t="s">
        <v>164</v>
      </c>
      <c r="B11" s="22"/>
      <c r="C11" s="22"/>
      <c r="D11" s="22"/>
      <c r="E11" s="15">
        <f t="shared" si="0"/>
        <v>0</v>
      </c>
      <c r="J11" s="392">
        <f t="shared" si="1"/>
        <v>0</v>
      </c>
    </row>
    <row r="12" spans="1:13" ht="21.75" customHeight="1" thickBot="1" x14ac:dyDescent="0.3">
      <c r="A12" s="14" t="s">
        <v>165</v>
      </c>
      <c r="B12" s="22"/>
      <c r="C12" s="22"/>
      <c r="D12" s="22"/>
      <c r="E12" s="15">
        <f t="shared" si="0"/>
        <v>0</v>
      </c>
      <c r="J12" s="392">
        <f t="shared" si="1"/>
        <v>0</v>
      </c>
    </row>
    <row r="13" spans="1:13" ht="21.75" customHeight="1" thickBot="1" x14ac:dyDescent="0.3">
      <c r="A13" s="25" t="s">
        <v>166</v>
      </c>
      <c r="B13" s="58">
        <f>SUM(B7:B12)</f>
        <v>0</v>
      </c>
      <c r="C13" s="58">
        <f t="shared" ref="C13:E13" si="2">SUM(C7:C12)</f>
        <v>0</v>
      </c>
      <c r="D13" s="58">
        <f t="shared" si="2"/>
        <v>0</v>
      </c>
      <c r="E13" s="60">
        <f t="shared" si="2"/>
        <v>0</v>
      </c>
      <c r="G13" s="389">
        <f>SUM(B7:B12)-B13</f>
        <v>0</v>
      </c>
      <c r="H13" s="388">
        <f t="shared" ref="H13:J13" si="3">SUM(C7:C12)-C13</f>
        <v>0</v>
      </c>
      <c r="I13" s="388">
        <f t="shared" si="3"/>
        <v>0</v>
      </c>
      <c r="J13" s="392">
        <f t="shared" si="3"/>
        <v>0</v>
      </c>
      <c r="L13" s="400">
        <f>E13-SUM(BS!$D$68:$D$69)</f>
        <v>0</v>
      </c>
    </row>
    <row r="14" spans="1:13" ht="15.75" thickTop="1" x14ac:dyDescent="0.25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77" priority="3" operator="lessThan">
      <formula>0</formula>
    </cfRule>
    <cfRule type="cellIs" dxfId="76" priority="4" operator="greaterThan">
      <formula>0</formula>
    </cfRule>
  </conditionalFormatting>
  <conditionalFormatting sqref="J13">
    <cfRule type="cellIs" dxfId="75" priority="1" operator="lessThan">
      <formula>0</formula>
    </cfRule>
    <cfRule type="cellIs" dxfId="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zoomScaleNormal="100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386" hidden="1" customWidth="1" outlineLevel="1"/>
    <col min="10" max="11" width="23.140625" style="387" hidden="1" customWidth="1" outlineLevel="1"/>
    <col min="12" max="12" width="20.140625" style="387" hidden="1" customWidth="1" outlineLevel="1"/>
    <col min="13" max="13" width="24.85546875" style="391" customWidth="1" collapsed="1"/>
    <col min="14" max="14" width="9.140625" style="387"/>
    <col min="15" max="15" width="20.42578125" style="393" customWidth="1"/>
  </cols>
  <sheetData>
    <row r="1" spans="1:15" ht="17.25" thickBot="1" x14ac:dyDescent="0.35">
      <c r="A1" s="1" t="s">
        <v>167</v>
      </c>
      <c r="I1" s="1376" t="s">
        <v>1138</v>
      </c>
      <c r="J1" s="1377"/>
      <c r="K1" s="1377"/>
      <c r="L1" s="1377"/>
      <c r="M1" s="1378"/>
      <c r="N1" s="391"/>
      <c r="O1" s="399" t="s">
        <v>1140</v>
      </c>
    </row>
    <row r="2" spans="1:15" ht="55.5" customHeight="1" thickTop="1" thickBot="1" x14ac:dyDescent="0.3">
      <c r="A2" s="59" t="s">
        <v>168</v>
      </c>
      <c r="B2" s="59" t="s">
        <v>169</v>
      </c>
      <c r="C2" s="59" t="s">
        <v>170</v>
      </c>
      <c r="D2" s="59" t="s">
        <v>88</v>
      </c>
      <c r="E2" s="59" t="s">
        <v>457</v>
      </c>
      <c r="F2" s="59" t="s">
        <v>171</v>
      </c>
      <c r="I2" s="59" t="s">
        <v>169</v>
      </c>
      <c r="J2" s="59" t="s">
        <v>170</v>
      </c>
      <c r="K2" s="59" t="s">
        <v>88</v>
      </c>
      <c r="L2" s="176" t="s">
        <v>457</v>
      </c>
      <c r="M2" s="59" t="s">
        <v>171</v>
      </c>
      <c r="N2" s="402"/>
      <c r="O2" s="59" t="s">
        <v>171</v>
      </c>
    </row>
    <row r="3" spans="1:15" ht="23.25" customHeight="1" thickTop="1" thickBot="1" x14ac:dyDescent="0.3">
      <c r="A3" s="71" t="s">
        <v>164</v>
      </c>
      <c r="B3" s="79"/>
      <c r="C3" s="79"/>
      <c r="D3" s="79"/>
      <c r="E3" s="79"/>
      <c r="F3" s="80">
        <f>SUM(B3:E3)</f>
        <v>0</v>
      </c>
      <c r="M3" s="392">
        <f>SUM(B3:E3)-F3</f>
        <v>0</v>
      </c>
      <c r="N3" s="392"/>
    </row>
    <row r="4" spans="1:15" ht="23.25" customHeight="1" thickBot="1" x14ac:dyDescent="0.3">
      <c r="A4" s="14" t="s">
        <v>165</v>
      </c>
      <c r="B4" s="79"/>
      <c r="C4" s="79"/>
      <c r="D4" s="79"/>
      <c r="E4" s="79"/>
      <c r="F4" s="80">
        <f t="shared" ref="F4:F5" si="0">SUM(B4:E4)</f>
        <v>0</v>
      </c>
      <c r="M4" s="392">
        <f>SUM(B4:E4)-F4</f>
        <v>0</v>
      </c>
      <c r="N4" s="392"/>
    </row>
    <row r="5" spans="1:15" ht="23.25" customHeight="1" thickBot="1" x14ac:dyDescent="0.3">
      <c r="A5" s="25" t="s">
        <v>166</v>
      </c>
      <c r="B5" s="81">
        <f>SUM(B3:B4)</f>
        <v>0</v>
      </c>
      <c r="C5" s="81">
        <f>SUM(C3:C4)</f>
        <v>0</v>
      </c>
      <c r="D5" s="81">
        <f>SUM(D3:D4)</f>
        <v>0</v>
      </c>
      <c r="E5" s="81">
        <f>SUM(E3:E4)</f>
        <v>0</v>
      </c>
      <c r="F5" s="82">
        <f t="shared" si="0"/>
        <v>0</v>
      </c>
      <c r="I5" s="389">
        <f>SUM(B3:B4)-B5</f>
        <v>0</v>
      </c>
      <c r="J5" s="388">
        <f>SUM(C3:C4)-C5</f>
        <v>0</v>
      </c>
      <c r="K5" s="388">
        <f>SUM(D3:D4)-D5</f>
        <v>0</v>
      </c>
      <c r="L5" s="388">
        <f>SUM(E3:E4)-E5</f>
        <v>0</v>
      </c>
      <c r="M5" s="392">
        <f>SUM(F3:F4)-F5</f>
        <v>0</v>
      </c>
      <c r="N5" s="392"/>
      <c r="O5" s="400">
        <f>F5-SUM(BS!E68:E69)</f>
        <v>0</v>
      </c>
    </row>
    <row r="6" spans="1:15" ht="15.75" thickTop="1" x14ac:dyDescent="0.25">
      <c r="M6" s="392"/>
      <c r="N6" s="392"/>
    </row>
    <row r="7" spans="1:15" x14ac:dyDescent="0.25">
      <c r="M7" s="392"/>
      <c r="N7" s="392"/>
    </row>
    <row r="8" spans="1:15" x14ac:dyDescent="0.25">
      <c r="M8" s="392"/>
      <c r="N8" s="392"/>
    </row>
    <row r="10" spans="1:15" x14ac:dyDescent="0.25">
      <c r="B10" s="20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73" priority="1" operator="lessThan">
      <formula>0</formula>
    </cfRule>
    <cfRule type="cellIs" dxfId="7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174</v>
      </c>
    </row>
    <row r="2" spans="1:2" ht="16.5" thickTop="1" thickBot="1" x14ac:dyDescent="0.3">
      <c r="A2" s="75" t="s">
        <v>131</v>
      </c>
      <c r="B2" s="76" t="s">
        <v>36</v>
      </c>
    </row>
    <row r="3" spans="1:2" ht="24" thickTop="1" thickBot="1" x14ac:dyDescent="0.3">
      <c r="A3" s="12" t="s">
        <v>172</v>
      </c>
      <c r="B3" s="77"/>
    </row>
    <row r="4" spans="1:2" ht="23.25" thickBot="1" x14ac:dyDescent="0.3">
      <c r="A4" s="16" t="s">
        <v>173</v>
      </c>
      <c r="B4" s="78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zoomScaleNormal="10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175</v>
      </c>
    </row>
    <row r="2" spans="1:4" ht="44.25" customHeight="1" thickTop="1" thickBot="1" x14ac:dyDescent="0.3">
      <c r="A2" s="84" t="s">
        <v>168</v>
      </c>
      <c r="B2" s="643" t="s">
        <v>462</v>
      </c>
      <c r="C2" s="643" t="s">
        <v>463</v>
      </c>
      <c r="D2" s="643" t="s">
        <v>464</v>
      </c>
    </row>
    <row r="3" spans="1:4" ht="16.5" thickTop="1" thickBot="1" x14ac:dyDescent="0.3">
      <c r="A3" s="71" t="s">
        <v>160</v>
      </c>
      <c r="B3" s="79"/>
      <c r="C3" s="79"/>
      <c r="D3" s="80"/>
    </row>
    <row r="4" spans="1:4" ht="15.75" thickBot="1" x14ac:dyDescent="0.3">
      <c r="A4" s="71" t="s">
        <v>161</v>
      </c>
      <c r="B4" s="79"/>
      <c r="C4" s="79"/>
      <c r="D4" s="80"/>
    </row>
    <row r="5" spans="1:4" ht="15.75" thickBot="1" x14ac:dyDescent="0.3">
      <c r="A5" s="71" t="s">
        <v>176</v>
      </c>
      <c r="B5" s="79"/>
      <c r="C5" s="79"/>
      <c r="D5" s="80"/>
    </row>
    <row r="6" spans="1:4" ht="15.75" thickBot="1" x14ac:dyDescent="0.3">
      <c r="A6" s="71" t="s">
        <v>164</v>
      </c>
      <c r="B6" s="79"/>
      <c r="C6" s="79"/>
      <c r="D6" s="80"/>
    </row>
    <row r="7" spans="1:4" ht="26.25" customHeight="1" thickBot="1" x14ac:dyDescent="0.3">
      <c r="A7" s="86" t="s">
        <v>166</v>
      </c>
      <c r="B7" s="85"/>
      <c r="C7" s="85"/>
      <c r="D7" s="78"/>
    </row>
    <row r="8" spans="1:4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zoomScaleNormal="100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386" customWidth="1"/>
    <col min="6" max="6" width="41.28515625" style="391" customWidth="1"/>
    <col min="8" max="8" width="26.7109375" style="386" customWidth="1"/>
    <col min="9" max="9" width="26.7109375" style="391" customWidth="1"/>
  </cols>
  <sheetData>
    <row r="1" spans="1:9" ht="17.25" thickBot="1" x14ac:dyDescent="0.35">
      <c r="A1" s="1" t="s">
        <v>177</v>
      </c>
      <c r="E1" s="1376" t="s">
        <v>1138</v>
      </c>
      <c r="F1" s="1378"/>
      <c r="G1" s="396"/>
      <c r="H1" s="1370" t="s">
        <v>1140</v>
      </c>
      <c r="I1" s="1372"/>
    </row>
    <row r="2" spans="1:9" ht="35.25" thickTop="1" thickBot="1" x14ac:dyDescent="0.3">
      <c r="A2" s="84" t="s">
        <v>178</v>
      </c>
      <c r="B2" s="643" t="s">
        <v>2</v>
      </c>
      <c r="C2" s="643" t="s">
        <v>3</v>
      </c>
      <c r="E2" s="59" t="s">
        <v>2</v>
      </c>
      <c r="F2" s="59" t="s">
        <v>3</v>
      </c>
      <c r="H2" s="59" t="s">
        <v>2</v>
      </c>
      <c r="I2" s="59" t="s">
        <v>3</v>
      </c>
    </row>
    <row r="3" spans="1:9" ht="24" thickTop="1" thickBot="1" x14ac:dyDescent="0.3">
      <c r="A3" s="25" t="s">
        <v>179</v>
      </c>
      <c r="B3" s="403">
        <f>SUM(B4:B5)</f>
        <v>0</v>
      </c>
      <c r="C3" s="143">
        <f>SUM(C4:C5)</f>
        <v>0</v>
      </c>
      <c r="E3" s="389">
        <f>SUM(B4:B5)-B3</f>
        <v>0</v>
      </c>
      <c r="F3" s="392">
        <f>SUM(C4:C5)-C3</f>
        <v>0</v>
      </c>
      <c r="H3" s="389">
        <f>B3-BS!$D$71</f>
        <v>0</v>
      </c>
      <c r="I3" s="406">
        <f>C3-BS!$G$71</f>
        <v>0</v>
      </c>
    </row>
    <row r="4" spans="1:9" ht="16.5" thickTop="1" thickBot="1" x14ac:dyDescent="0.3">
      <c r="A4" s="14"/>
      <c r="B4" s="404"/>
      <c r="C4" s="80"/>
    </row>
    <row r="5" spans="1:9" ht="15.75" thickBot="1" x14ac:dyDescent="0.3">
      <c r="A5" s="16"/>
      <c r="B5" s="405"/>
      <c r="C5" s="78"/>
    </row>
    <row r="6" spans="1:9" ht="24" thickTop="1" thickBot="1" x14ac:dyDescent="0.3">
      <c r="A6" s="25" t="s">
        <v>180</v>
      </c>
      <c r="B6" s="405">
        <f>SUM(B7:B8)</f>
        <v>0</v>
      </c>
      <c r="C6" s="143">
        <f>SUM(C7:C8)</f>
        <v>0</v>
      </c>
      <c r="E6" s="389">
        <f>SUM(B7:B8)-B6</f>
        <v>0</v>
      </c>
      <c r="F6" s="392">
        <f>SUM(C7:C8)-C6</f>
        <v>0</v>
      </c>
      <c r="H6" s="389">
        <f>B6-BS!$D$72</f>
        <v>-5</v>
      </c>
      <c r="I6" s="392">
        <f>C6-BS!$G$72</f>
        <v>-5</v>
      </c>
    </row>
    <row r="7" spans="1:9" ht="16.5" thickTop="1" thickBot="1" x14ac:dyDescent="0.3">
      <c r="A7" s="14"/>
      <c r="B7" s="404"/>
      <c r="C7" s="80"/>
    </row>
    <row r="8" spans="1:9" ht="15.75" thickBot="1" x14ac:dyDescent="0.3">
      <c r="A8" s="16"/>
      <c r="B8" s="405"/>
      <c r="C8" s="78"/>
    </row>
    <row r="9" spans="1:9" ht="24" customHeight="1" thickTop="1" thickBot="1" x14ac:dyDescent="0.3">
      <c r="A9" s="25" t="s">
        <v>181</v>
      </c>
      <c r="B9" s="405">
        <f>SUM(B10:B11)</f>
        <v>0</v>
      </c>
      <c r="C9" s="143">
        <f>SUM(C10:C11)</f>
        <v>0</v>
      </c>
      <c r="E9" s="389">
        <f>SUM(B10:B11)-B9</f>
        <v>0</v>
      </c>
      <c r="F9" s="392">
        <f>SUM(C10:C11)-C9</f>
        <v>0</v>
      </c>
      <c r="H9" s="389">
        <f>B9-BS!$D$73</f>
        <v>0</v>
      </c>
      <c r="I9" s="392">
        <f>C9-BS!$G$73</f>
        <v>0</v>
      </c>
    </row>
    <row r="10" spans="1:9" ht="16.5" thickTop="1" thickBot="1" x14ac:dyDescent="0.3">
      <c r="A10" s="14"/>
      <c r="B10" s="404"/>
      <c r="C10" s="80"/>
    </row>
    <row r="11" spans="1:9" ht="15.75" thickBot="1" x14ac:dyDescent="0.3">
      <c r="A11" s="16"/>
      <c r="B11" s="405"/>
      <c r="C11" s="78"/>
    </row>
    <row r="12" spans="1:9" ht="24" thickTop="1" thickBot="1" x14ac:dyDescent="0.3">
      <c r="A12" s="25" t="s">
        <v>182</v>
      </c>
      <c r="B12" s="405">
        <f>SUM(B13:B14)</f>
        <v>0</v>
      </c>
      <c r="C12" s="143">
        <f>SUM(C13:C14)</f>
        <v>0</v>
      </c>
      <c r="E12" s="389">
        <f>SUM(B13:B14)-B12</f>
        <v>0</v>
      </c>
      <c r="F12" s="392">
        <f>SUM(C13:C14)-C12</f>
        <v>0</v>
      </c>
      <c r="H12" s="389">
        <f>B12-BS!$D$74</f>
        <v>-1</v>
      </c>
      <c r="I12" s="392">
        <f>C12-BS!$G$74</f>
        <v>0</v>
      </c>
    </row>
    <row r="13" spans="1:9" ht="16.5" thickTop="1" thickBot="1" x14ac:dyDescent="0.3">
      <c r="A13" s="14"/>
      <c r="B13" s="404"/>
      <c r="C13" s="80"/>
    </row>
    <row r="14" spans="1:9" ht="15.75" thickBot="1" x14ac:dyDescent="0.3">
      <c r="A14" s="16"/>
      <c r="B14" s="405"/>
      <c r="C14" s="78"/>
    </row>
    <row r="15" spans="1:9" ht="15.75" thickTop="1" x14ac:dyDescent="0.25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71" priority="3" operator="lessThan">
      <formula>0</formula>
    </cfRule>
    <cfRule type="cellIs" dxfId="70" priority="4" operator="greaterThan">
      <formula>0</formula>
    </cfRule>
  </conditionalFormatting>
  <conditionalFormatting sqref="H3:I12">
    <cfRule type="cellIs" dxfId="69" priority="1" operator="lessThan">
      <formula>0</formula>
    </cfRule>
    <cfRule type="cellIs" dxfId="6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zoomScaleNormal="10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386"/>
    <col min="11" max="14" width="9.140625" style="387"/>
    <col min="15" max="15" width="9.140625" style="391"/>
  </cols>
  <sheetData>
    <row r="1" spans="1:15" ht="17.25" thickBot="1" x14ac:dyDescent="0.35">
      <c r="A1" s="1" t="s">
        <v>183</v>
      </c>
      <c r="J1" s="1376" t="s">
        <v>1138</v>
      </c>
      <c r="K1" s="1377"/>
      <c r="L1" s="1377"/>
      <c r="M1" s="1377"/>
      <c r="N1" s="1377"/>
      <c r="O1" s="1378"/>
    </row>
    <row r="2" spans="1:15" ht="49.5" customHeight="1" thickTop="1" thickBot="1" x14ac:dyDescent="0.3">
      <c r="A2" s="1381" t="s">
        <v>1</v>
      </c>
      <c r="B2" s="1367" t="s">
        <v>2</v>
      </c>
      <c r="C2" s="1368"/>
      <c r="D2" s="1369"/>
      <c r="E2" s="1360" t="s">
        <v>492</v>
      </c>
      <c r="F2" s="1366"/>
      <c r="G2" s="1361"/>
      <c r="J2" s="1367" t="s">
        <v>2</v>
      </c>
      <c r="K2" s="1368"/>
      <c r="L2" s="1369"/>
      <c r="M2" s="1360" t="s">
        <v>492</v>
      </c>
      <c r="N2" s="1366"/>
      <c r="O2" s="1361"/>
    </row>
    <row r="3" spans="1:15" ht="16.5" thickTop="1" thickBot="1" x14ac:dyDescent="0.3">
      <c r="A3" s="1382"/>
      <c r="B3" s="1367" t="s">
        <v>184</v>
      </c>
      <c r="C3" s="1368"/>
      <c r="D3" s="1369"/>
      <c r="E3" s="1367" t="s">
        <v>184</v>
      </c>
      <c r="F3" s="1368"/>
      <c r="G3" s="1369"/>
      <c r="J3" s="1367" t="s">
        <v>184</v>
      </c>
      <c r="K3" s="1368"/>
      <c r="L3" s="1369"/>
      <c r="M3" s="1367" t="s">
        <v>184</v>
      </c>
      <c r="N3" s="1368"/>
      <c r="O3" s="1369"/>
    </row>
    <row r="4" spans="1:15" s="4" customFormat="1" ht="45" customHeight="1" thickTop="1" thickBot="1" x14ac:dyDescent="0.3">
      <c r="A4" s="1383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  <c r="J4" s="59" t="s">
        <v>185</v>
      </c>
      <c r="K4" s="21" t="s">
        <v>186</v>
      </c>
      <c r="L4" s="21" t="s">
        <v>187</v>
      </c>
      <c r="M4" s="21" t="s">
        <v>185</v>
      </c>
      <c r="N4" s="21" t="s">
        <v>186</v>
      </c>
      <c r="O4" s="21" t="s">
        <v>187</v>
      </c>
    </row>
    <row r="5" spans="1:15" ht="16.5" thickTop="1" thickBot="1" x14ac:dyDescent="0.3">
      <c r="A5" s="71" t="s">
        <v>188</v>
      </c>
      <c r="B5" s="79"/>
      <c r="C5" s="79"/>
      <c r="D5" s="79"/>
      <c r="E5" s="79"/>
      <c r="F5" s="79"/>
      <c r="G5" s="80"/>
    </row>
    <row r="6" spans="1:15" ht="15.75" thickBot="1" x14ac:dyDescent="0.3">
      <c r="A6" s="71" t="s">
        <v>189</v>
      </c>
      <c r="B6" s="79"/>
      <c r="C6" s="79"/>
      <c r="D6" s="79"/>
      <c r="E6" s="79"/>
      <c r="F6" s="79"/>
      <c r="G6" s="80"/>
    </row>
    <row r="7" spans="1:15" ht="15.75" thickBot="1" x14ac:dyDescent="0.3">
      <c r="A7" s="72" t="s">
        <v>14</v>
      </c>
      <c r="B7" s="85">
        <f>B5+B6</f>
        <v>0</v>
      </c>
      <c r="C7" s="85">
        <f t="shared" ref="C7:G7" si="0">C5+C6</f>
        <v>0</v>
      </c>
      <c r="D7" s="85">
        <f t="shared" si="0"/>
        <v>0</v>
      </c>
      <c r="E7" s="85">
        <f t="shared" si="0"/>
        <v>0</v>
      </c>
      <c r="F7" s="85">
        <f t="shared" si="0"/>
        <v>0</v>
      </c>
      <c r="G7" s="78">
        <f t="shared" si="0"/>
        <v>0</v>
      </c>
      <c r="J7" s="389">
        <f>SUM(B5:B6)-B7</f>
        <v>0</v>
      </c>
      <c r="K7" s="388">
        <f t="shared" ref="K7:O7" si="1">SUM(C5:C6)-C7</f>
        <v>0</v>
      </c>
      <c r="L7" s="388">
        <f t="shared" si="1"/>
        <v>0</v>
      </c>
      <c r="M7" s="388">
        <f t="shared" si="1"/>
        <v>0</v>
      </c>
      <c r="N7" s="388">
        <f t="shared" si="1"/>
        <v>0</v>
      </c>
      <c r="O7" s="392">
        <f t="shared" si="1"/>
        <v>0</v>
      </c>
    </row>
    <row r="8" spans="1:15" ht="15.75" thickTop="1" x14ac:dyDescent="0.25"/>
  </sheetData>
  <mergeCells count="10">
    <mergeCell ref="J2:L2"/>
    <mergeCell ref="M2:O2"/>
    <mergeCell ref="J3:L3"/>
    <mergeCell ref="M3:O3"/>
    <mergeCell ref="J1:O1"/>
    <mergeCell ref="B2:D2"/>
    <mergeCell ref="E2:G2"/>
    <mergeCell ref="B3:D3"/>
    <mergeCell ref="E3:G3"/>
    <mergeCell ref="A2:A4"/>
  </mergeCells>
  <conditionalFormatting sqref="J5:O7">
    <cfRule type="cellIs" dxfId="67" priority="3" operator="lessThan">
      <formula>0</formula>
    </cfRule>
    <cfRule type="cellIs" dxfId="66" priority="4" operator="greaterThan">
      <formula>0</formula>
    </cfRule>
  </conditionalFormatting>
  <conditionalFormatting sqref="J7:O7">
    <cfRule type="cellIs" dxfId="65" priority="1" operator="lessThan">
      <formula>0</formula>
    </cfRule>
    <cfRule type="cellIs" dxfId="6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393" customWidth="1"/>
    <col min="5" max="5" width="14.42578125" customWidth="1"/>
    <col min="6" max="6" width="11.42578125" customWidth="1"/>
  </cols>
  <sheetData>
    <row r="1" spans="1:8" ht="49.5" x14ac:dyDescent="0.3">
      <c r="A1" s="3" t="s">
        <v>190</v>
      </c>
      <c r="D1" s="401" t="s">
        <v>1138</v>
      </c>
      <c r="E1" s="396"/>
      <c r="F1" s="396"/>
      <c r="G1" s="396"/>
      <c r="H1" s="396"/>
    </row>
    <row r="2" spans="1:8" ht="15.75" thickBot="1" x14ac:dyDescent="0.3">
      <c r="A2" s="20" t="s">
        <v>8</v>
      </c>
      <c r="B2" s="20"/>
    </row>
    <row r="3" spans="1:8" ht="18.75" customHeight="1" thickTop="1" thickBot="1" x14ac:dyDescent="0.3">
      <c r="A3" s="84" t="s">
        <v>131</v>
      </c>
      <c r="B3" s="51" t="s">
        <v>3</v>
      </c>
      <c r="D3" s="84" t="s">
        <v>3</v>
      </c>
    </row>
    <row r="4" spans="1:8" ht="18.75" customHeight="1" thickTop="1" thickBot="1" x14ac:dyDescent="0.3">
      <c r="A4" s="72" t="s">
        <v>191</v>
      </c>
      <c r="B4" s="89"/>
    </row>
    <row r="5" spans="1:8" ht="18.75" customHeight="1" thickTop="1" thickBot="1" x14ac:dyDescent="0.3">
      <c r="A5" s="72" t="s">
        <v>192</v>
      </c>
      <c r="B5" s="88" t="s">
        <v>2</v>
      </c>
    </row>
    <row r="6" spans="1:8" ht="18.75" customHeight="1" thickTop="1" thickBot="1" x14ac:dyDescent="0.3">
      <c r="A6" s="71" t="s">
        <v>193</v>
      </c>
      <c r="B6" s="80"/>
    </row>
    <row r="7" spans="1:8" ht="18.75" customHeight="1" thickBot="1" x14ac:dyDescent="0.3">
      <c r="A7" s="71" t="s">
        <v>194</v>
      </c>
      <c r="B7" s="80"/>
    </row>
    <row r="8" spans="1:8" ht="18.75" customHeight="1" thickBot="1" x14ac:dyDescent="0.3">
      <c r="A8" s="71" t="s">
        <v>195</v>
      </c>
      <c r="B8" s="80"/>
    </row>
    <row r="9" spans="1:8" ht="18.75" customHeight="1" thickBot="1" x14ac:dyDescent="0.3">
      <c r="A9" s="71" t="s">
        <v>196</v>
      </c>
      <c r="B9" s="80"/>
    </row>
    <row r="10" spans="1:8" ht="18.75" customHeight="1" thickBot="1" x14ac:dyDescent="0.3">
      <c r="A10" s="71" t="s">
        <v>197</v>
      </c>
      <c r="B10" s="80"/>
    </row>
    <row r="11" spans="1:8" ht="18.75" customHeight="1" thickBot="1" x14ac:dyDescent="0.3">
      <c r="A11" s="71" t="s">
        <v>198</v>
      </c>
      <c r="B11" s="80"/>
    </row>
    <row r="12" spans="1:8" ht="18.75" customHeight="1" thickBot="1" x14ac:dyDescent="0.3">
      <c r="A12" s="71" t="s">
        <v>199</v>
      </c>
      <c r="B12" s="80"/>
    </row>
    <row r="13" spans="1:8" ht="18.75" customHeight="1" thickBot="1" x14ac:dyDescent="0.3">
      <c r="A13" s="71" t="s">
        <v>200</v>
      </c>
      <c r="B13" s="80"/>
    </row>
    <row r="14" spans="1:8" ht="18.75" customHeight="1" thickBot="1" x14ac:dyDescent="0.3">
      <c r="A14" s="72" t="s">
        <v>14</v>
      </c>
      <c r="B14" s="78">
        <f>SUM(B6:B13)</f>
        <v>0</v>
      </c>
      <c r="D14" s="400">
        <f>SUM(B6:B13)-B14</f>
        <v>0</v>
      </c>
    </row>
    <row r="15" spans="1:8" ht="18.75" customHeight="1" thickTop="1" x14ac:dyDescent="0.25">
      <c r="A15" s="20"/>
      <c r="B15" s="20"/>
    </row>
    <row r="16" spans="1:8" ht="18.75" customHeight="1" thickBot="1" x14ac:dyDescent="0.3">
      <c r="A16" s="20" t="s">
        <v>15</v>
      </c>
      <c r="B16" s="20"/>
    </row>
    <row r="17" spans="1:4" ht="18.75" customHeight="1" thickTop="1" thickBot="1" x14ac:dyDescent="0.3">
      <c r="A17" s="84" t="s">
        <v>131</v>
      </c>
      <c r="B17" s="51" t="s">
        <v>3</v>
      </c>
    </row>
    <row r="18" spans="1:4" ht="18.75" customHeight="1" thickTop="1" thickBot="1" x14ac:dyDescent="0.3">
      <c r="A18" s="72" t="s">
        <v>201</v>
      </c>
      <c r="B18" s="89"/>
    </row>
    <row r="19" spans="1:4" ht="18.75" customHeight="1" thickTop="1" thickBot="1" x14ac:dyDescent="0.3">
      <c r="A19" s="72" t="s">
        <v>202</v>
      </c>
      <c r="B19" s="88" t="s">
        <v>2</v>
      </c>
    </row>
    <row r="20" spans="1:4" ht="18.75" customHeight="1" thickTop="1" thickBot="1" x14ac:dyDescent="0.3">
      <c r="A20" s="71" t="s">
        <v>203</v>
      </c>
      <c r="B20" s="80"/>
    </row>
    <row r="21" spans="1:4" ht="18.75" customHeight="1" thickBot="1" x14ac:dyDescent="0.3">
      <c r="A21" s="71" t="s">
        <v>204</v>
      </c>
      <c r="B21" s="80"/>
    </row>
    <row r="22" spans="1:4" ht="18.75" customHeight="1" thickBot="1" x14ac:dyDescent="0.3">
      <c r="A22" s="71" t="s">
        <v>205</v>
      </c>
      <c r="B22" s="80"/>
    </row>
    <row r="23" spans="1:4" ht="18.75" customHeight="1" thickBot="1" x14ac:dyDescent="0.3">
      <c r="A23" s="71" t="s">
        <v>206</v>
      </c>
      <c r="B23" s="80"/>
    </row>
    <row r="24" spans="1:4" ht="18.75" customHeight="1" thickBot="1" x14ac:dyDescent="0.3">
      <c r="A24" s="71" t="s">
        <v>207</v>
      </c>
      <c r="B24" s="80"/>
    </row>
    <row r="25" spans="1:4" ht="18.75" customHeight="1" thickBot="1" x14ac:dyDescent="0.3">
      <c r="A25" s="71" t="s">
        <v>200</v>
      </c>
      <c r="B25" s="80"/>
    </row>
    <row r="26" spans="1:4" ht="18.75" customHeight="1" thickBot="1" x14ac:dyDescent="0.3">
      <c r="A26" s="72" t="s">
        <v>208</v>
      </c>
      <c r="B26" s="78">
        <f>SUM(B20:B25)</f>
        <v>0</v>
      </c>
      <c r="D26" s="400">
        <f>SUM(B20:B25)-B26</f>
        <v>0</v>
      </c>
    </row>
    <row r="27" spans="1:4" ht="17.25" thickTop="1" x14ac:dyDescent="0.3">
      <c r="A27" s="1"/>
    </row>
  </sheetData>
  <conditionalFormatting sqref="D14:D26">
    <cfRule type="cellIs" dxfId="63" priority="2" operator="lessThan">
      <formula>0</formula>
    </cfRule>
    <cfRule type="cellIs" dxfId="62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RowHeight="11.25" x14ac:dyDescent="0.25"/>
  <cols>
    <col min="1" max="1" width="28.42578125" style="20" customWidth="1"/>
    <col min="2" max="6" width="11.5703125" style="20" customWidth="1"/>
    <col min="7" max="8" width="9.140625" style="20"/>
    <col min="9" max="9" width="20.140625" style="409" customWidth="1"/>
    <col min="10" max="10" width="9.140625" style="20" customWidth="1"/>
    <col min="11" max="11" width="26.85546875" style="409" customWidth="1"/>
    <col min="12" max="12" width="9.140625" style="20"/>
    <col min="13" max="13" width="31.28515625" style="409" customWidth="1"/>
    <col min="14" max="16384" width="9.140625" style="20"/>
  </cols>
  <sheetData>
    <row r="1" spans="1:13" ht="15" x14ac:dyDescent="0.25">
      <c r="I1" s="399" t="s">
        <v>1138</v>
      </c>
      <c r="K1" s="399" t="s">
        <v>1142</v>
      </c>
      <c r="M1" s="401" t="s">
        <v>1140</v>
      </c>
    </row>
    <row r="2" spans="1:13" ht="12" thickBot="1" x14ac:dyDescent="0.3"/>
    <row r="3" spans="1:13" ht="13.5" customHeight="1" thickTop="1" thickBot="1" x14ac:dyDescent="0.3">
      <c r="A3" s="1387" t="s">
        <v>465</v>
      </c>
      <c r="B3" s="1384" t="s">
        <v>2</v>
      </c>
      <c r="C3" s="1385"/>
      <c r="D3" s="1385"/>
      <c r="E3" s="1385"/>
      <c r="F3" s="1386"/>
    </row>
    <row r="4" spans="1:13" ht="46.5" thickTop="1" thickBot="1" x14ac:dyDescent="0.3">
      <c r="A4" s="1388"/>
      <c r="B4" s="92" t="s">
        <v>472</v>
      </c>
      <c r="C4" s="92" t="s">
        <v>27</v>
      </c>
      <c r="D4" s="92" t="s">
        <v>28</v>
      </c>
      <c r="E4" s="92" t="s">
        <v>29</v>
      </c>
      <c r="F4" s="21" t="s">
        <v>392</v>
      </c>
      <c r="I4" s="59" t="s">
        <v>392</v>
      </c>
      <c r="K4" s="59" t="s">
        <v>472</v>
      </c>
      <c r="M4" s="59" t="s">
        <v>392</v>
      </c>
    </row>
    <row r="5" spans="1:13" ht="22.5" customHeight="1" thickTop="1" thickBot="1" x14ac:dyDescent="0.3">
      <c r="A5" s="90" t="s">
        <v>393</v>
      </c>
      <c r="B5" s="93"/>
      <c r="C5" s="93"/>
      <c r="D5" s="93"/>
      <c r="E5" s="93"/>
      <c r="F5" s="94">
        <f>SUM(B5:E5)</f>
        <v>0</v>
      </c>
      <c r="I5" s="409">
        <f>SUM(B5:E5)-F5</f>
        <v>0</v>
      </c>
      <c r="K5" s="409">
        <f>B5-F27</f>
        <v>0</v>
      </c>
      <c r="M5" s="410">
        <f>F5-BS!$D$84</f>
        <v>-6639</v>
      </c>
    </row>
    <row r="6" spans="1:13" ht="22.5" customHeight="1" thickBot="1" x14ac:dyDescent="0.3">
      <c r="A6" s="90" t="s">
        <v>394</v>
      </c>
      <c r="B6" s="93"/>
      <c r="C6" s="93"/>
      <c r="D6" s="93"/>
      <c r="E6" s="93"/>
      <c r="F6" s="94">
        <f t="shared" ref="F6:F21" si="0">SUM(B6:E6)</f>
        <v>0</v>
      </c>
      <c r="I6" s="409">
        <f>SUM(B6:E6)-F6</f>
        <v>0</v>
      </c>
      <c r="K6" s="409">
        <f>B6-F28</f>
        <v>0</v>
      </c>
      <c r="M6" s="410">
        <f>F6-BS!$D$85</f>
        <v>0</v>
      </c>
    </row>
    <row r="7" spans="1:13" ht="22.5" customHeight="1" thickBot="1" x14ac:dyDescent="0.3">
      <c r="A7" s="90" t="s">
        <v>466</v>
      </c>
      <c r="B7" s="93"/>
      <c r="C7" s="93"/>
      <c r="D7" s="93"/>
      <c r="E7" s="93"/>
      <c r="F7" s="94">
        <f t="shared" si="0"/>
        <v>0</v>
      </c>
      <c r="I7" s="409">
        <f t="shared" ref="I7:I22" si="1">SUM(B7:E7)-F7</f>
        <v>0</v>
      </c>
      <c r="K7" s="409">
        <f t="shared" ref="K7:K22" si="2">B7-F29</f>
        <v>0</v>
      </c>
      <c r="M7" s="410">
        <f>F7-BS!$D$86</f>
        <v>0</v>
      </c>
    </row>
    <row r="8" spans="1:13" ht="22.5" customHeight="1" thickBot="1" x14ac:dyDescent="0.3">
      <c r="A8" s="90" t="s">
        <v>467</v>
      </c>
      <c r="B8" s="93"/>
      <c r="C8" s="93"/>
      <c r="D8" s="93"/>
      <c r="E8" s="93"/>
      <c r="F8" s="94">
        <f t="shared" si="0"/>
        <v>0</v>
      </c>
      <c r="I8" s="409">
        <f t="shared" si="1"/>
        <v>0</v>
      </c>
      <c r="K8" s="409">
        <f t="shared" si="2"/>
        <v>0</v>
      </c>
      <c r="M8" s="409">
        <f>F8-BS!$D$87</f>
        <v>0</v>
      </c>
    </row>
    <row r="9" spans="1:13" ht="22.5" customHeight="1" thickBot="1" x14ac:dyDescent="0.3">
      <c r="A9" s="90" t="s">
        <v>395</v>
      </c>
      <c r="B9" s="93"/>
      <c r="C9" s="93"/>
      <c r="D9" s="93"/>
      <c r="E9" s="93"/>
      <c r="F9" s="94">
        <f t="shared" si="0"/>
        <v>0</v>
      </c>
      <c r="I9" s="409">
        <f t="shared" si="1"/>
        <v>0</v>
      </c>
      <c r="K9" s="409">
        <f t="shared" si="2"/>
        <v>0</v>
      </c>
      <c r="M9" s="410">
        <f>F9-BS!$D$89</f>
        <v>0</v>
      </c>
    </row>
    <row r="10" spans="1:13" ht="22.5" customHeight="1" thickBot="1" x14ac:dyDescent="0.3">
      <c r="A10" s="90" t="s">
        <v>396</v>
      </c>
      <c r="B10" s="93"/>
      <c r="C10" s="93"/>
      <c r="D10" s="93"/>
      <c r="E10" s="93"/>
      <c r="F10" s="94">
        <f t="shared" si="0"/>
        <v>0</v>
      </c>
      <c r="I10" s="409">
        <f t="shared" si="1"/>
        <v>0</v>
      </c>
      <c r="K10" s="409">
        <f t="shared" si="2"/>
        <v>0</v>
      </c>
      <c r="M10" s="410">
        <f>F10-BS!$D$90</f>
        <v>0</v>
      </c>
    </row>
    <row r="11" spans="1:13" ht="22.5" customHeight="1" thickBot="1" x14ac:dyDescent="0.3">
      <c r="A11" s="90" t="s">
        <v>397</v>
      </c>
      <c r="B11" s="93"/>
      <c r="C11" s="93"/>
      <c r="D11" s="93"/>
      <c r="E11" s="93"/>
      <c r="F11" s="94">
        <f>SUM(B11:E11)</f>
        <v>0</v>
      </c>
      <c r="I11" s="409">
        <f t="shared" si="1"/>
        <v>0</v>
      </c>
      <c r="K11" s="409">
        <f t="shared" si="2"/>
        <v>0</v>
      </c>
      <c r="M11" s="410">
        <f>F11-BS!$D$91</f>
        <v>0</v>
      </c>
    </row>
    <row r="12" spans="1:13" ht="22.5" customHeight="1" thickBot="1" x14ac:dyDescent="0.3">
      <c r="A12" s="90" t="s">
        <v>398</v>
      </c>
      <c r="B12" s="93"/>
      <c r="C12" s="93"/>
      <c r="D12" s="93"/>
      <c r="E12" s="93"/>
      <c r="F12" s="94">
        <f t="shared" si="0"/>
        <v>0</v>
      </c>
      <c r="I12" s="409">
        <f t="shared" si="1"/>
        <v>0</v>
      </c>
      <c r="K12" s="409">
        <f t="shared" si="2"/>
        <v>0</v>
      </c>
      <c r="M12" s="410">
        <f>F12-BS!$D$92-BS!$D$93</f>
        <v>0</v>
      </c>
    </row>
    <row r="13" spans="1:13" ht="22.5" customHeight="1" thickBot="1" x14ac:dyDescent="0.3">
      <c r="A13" s="90" t="s">
        <v>468</v>
      </c>
      <c r="B13" s="93"/>
      <c r="C13" s="93"/>
      <c r="D13" s="93"/>
      <c r="E13" s="93"/>
      <c r="F13" s="94">
        <f t="shared" si="0"/>
        <v>0</v>
      </c>
      <c r="I13" s="409">
        <f t="shared" si="1"/>
        <v>0</v>
      </c>
      <c r="K13" s="409">
        <f t="shared" si="2"/>
        <v>0</v>
      </c>
      <c r="M13" s="410">
        <f>F13-BS!$D$94</f>
        <v>0</v>
      </c>
    </row>
    <row r="14" spans="1:13" ht="22.5" customHeight="1" thickBot="1" x14ac:dyDescent="0.3">
      <c r="A14" s="90" t="s">
        <v>399</v>
      </c>
      <c r="B14" s="93"/>
      <c r="C14" s="93"/>
      <c r="D14" s="93"/>
      <c r="E14" s="93"/>
      <c r="F14" s="94">
        <f t="shared" si="0"/>
        <v>0</v>
      </c>
      <c r="I14" s="409">
        <f t="shared" si="1"/>
        <v>0</v>
      </c>
      <c r="K14" s="409">
        <f t="shared" si="2"/>
        <v>0</v>
      </c>
      <c r="M14" s="410">
        <f>F14-BS!$D$96</f>
        <v>-664</v>
      </c>
    </row>
    <row r="15" spans="1:13" ht="22.5" customHeight="1" thickBot="1" x14ac:dyDescent="0.3">
      <c r="A15" s="90" t="s">
        <v>400</v>
      </c>
      <c r="B15" s="93"/>
      <c r="C15" s="93"/>
      <c r="D15" s="93"/>
      <c r="E15" s="93"/>
      <c r="F15" s="94">
        <f t="shared" si="0"/>
        <v>0</v>
      </c>
      <c r="I15" s="409">
        <f t="shared" si="1"/>
        <v>0</v>
      </c>
      <c r="K15" s="409">
        <f t="shared" si="2"/>
        <v>0</v>
      </c>
      <c r="M15" s="410">
        <f>F15-BS!$D$97</f>
        <v>0</v>
      </c>
    </row>
    <row r="16" spans="1:13" ht="22.5" customHeight="1" thickBot="1" x14ac:dyDescent="0.3">
      <c r="A16" s="90" t="s">
        <v>401</v>
      </c>
      <c r="B16" s="93"/>
      <c r="C16" s="93"/>
      <c r="D16" s="93"/>
      <c r="E16" s="93"/>
      <c r="F16" s="94">
        <f t="shared" si="0"/>
        <v>0</v>
      </c>
      <c r="I16" s="409">
        <f t="shared" si="1"/>
        <v>0</v>
      </c>
      <c r="K16" s="409">
        <f t="shared" si="2"/>
        <v>0</v>
      </c>
      <c r="M16" s="410">
        <f>F16-BS!$D$98</f>
        <v>0</v>
      </c>
    </row>
    <row r="17" spans="1:13" ht="22.5" customHeight="1" thickBot="1" x14ac:dyDescent="0.3">
      <c r="A17" s="90" t="s">
        <v>402</v>
      </c>
      <c r="B17" s="93"/>
      <c r="C17" s="93"/>
      <c r="D17" s="93"/>
      <c r="E17" s="93"/>
      <c r="F17" s="94">
        <f t="shared" si="0"/>
        <v>0</v>
      </c>
      <c r="I17" s="409">
        <f t="shared" si="1"/>
        <v>0</v>
      </c>
      <c r="K17" s="409">
        <f t="shared" si="2"/>
        <v>0</v>
      </c>
      <c r="M17" s="410">
        <f>F17-BS!$D$100</f>
        <v>0</v>
      </c>
    </row>
    <row r="18" spans="1:13" ht="22.5" customHeight="1" thickBot="1" x14ac:dyDescent="0.3">
      <c r="A18" s="90" t="s">
        <v>469</v>
      </c>
      <c r="B18" s="93"/>
      <c r="C18" s="93"/>
      <c r="D18" s="93"/>
      <c r="E18" s="93"/>
      <c r="F18" s="94">
        <f t="shared" si="0"/>
        <v>0</v>
      </c>
      <c r="I18" s="409">
        <f t="shared" si="1"/>
        <v>0</v>
      </c>
      <c r="K18" s="409">
        <f t="shared" si="2"/>
        <v>0</v>
      </c>
      <c r="M18" s="410">
        <f>F18-BS!$D$101</f>
        <v>0</v>
      </c>
    </row>
    <row r="19" spans="1:13" ht="22.5" customHeight="1" thickBot="1" x14ac:dyDescent="0.3">
      <c r="A19" s="90" t="s">
        <v>470</v>
      </c>
      <c r="B19" s="93"/>
      <c r="C19" s="93"/>
      <c r="D19" s="93"/>
      <c r="E19" s="93"/>
      <c r="F19" s="94">
        <f t="shared" si="0"/>
        <v>0</v>
      </c>
      <c r="I19" s="409">
        <f t="shared" si="1"/>
        <v>0</v>
      </c>
      <c r="K19" s="409">
        <f t="shared" si="2"/>
        <v>0</v>
      </c>
      <c r="M19" s="410">
        <f>F19-BS!$D$102</f>
        <v>-50683</v>
      </c>
    </row>
    <row r="20" spans="1:13" ht="22.5" customHeight="1" thickBot="1" x14ac:dyDescent="0.3">
      <c r="A20" s="90" t="s">
        <v>403</v>
      </c>
      <c r="B20" s="93"/>
      <c r="C20" s="93"/>
      <c r="D20" s="93"/>
      <c r="E20" s="93"/>
      <c r="F20" s="94">
        <f t="shared" si="0"/>
        <v>0</v>
      </c>
      <c r="I20" s="409">
        <f t="shared" si="1"/>
        <v>0</v>
      </c>
      <c r="K20" s="409">
        <f t="shared" si="2"/>
        <v>0</v>
      </c>
      <c r="M20" s="411"/>
    </row>
    <row r="21" spans="1:13" ht="22.5" customHeight="1" thickBot="1" x14ac:dyDescent="0.3">
      <c r="A21" s="90" t="s">
        <v>404</v>
      </c>
      <c r="B21" s="93"/>
      <c r="C21" s="93"/>
      <c r="D21" s="93"/>
      <c r="E21" s="93"/>
      <c r="F21" s="94">
        <f t="shared" si="0"/>
        <v>0</v>
      </c>
      <c r="I21" s="409">
        <f t="shared" si="1"/>
        <v>0</v>
      </c>
      <c r="K21" s="409">
        <f t="shared" si="2"/>
        <v>0</v>
      </c>
      <c r="M21" s="411"/>
    </row>
    <row r="22" spans="1:13" ht="22.5" customHeight="1" thickBot="1" x14ac:dyDescent="0.3">
      <c r="A22" s="91" t="s">
        <v>471</v>
      </c>
      <c r="B22" s="95"/>
      <c r="C22" s="95"/>
      <c r="D22" s="95"/>
      <c r="E22" s="95"/>
      <c r="F22" s="98">
        <f>SUM(B22:E22)</f>
        <v>0</v>
      </c>
      <c r="I22" s="409">
        <f t="shared" si="1"/>
        <v>0</v>
      </c>
      <c r="K22" s="409">
        <f t="shared" si="2"/>
        <v>0</v>
      </c>
      <c r="M22" s="411"/>
    </row>
    <row r="23" spans="1:13" ht="22.5" customHeight="1" thickTop="1" x14ac:dyDescent="0.25">
      <c r="A23" s="96"/>
      <c r="B23" s="97"/>
      <c r="C23" s="97"/>
      <c r="D23" s="97"/>
      <c r="E23" s="97"/>
      <c r="F23" s="97"/>
    </row>
    <row r="24" spans="1:13" ht="12" thickBot="1" x14ac:dyDescent="0.3"/>
    <row r="25" spans="1:13" ht="13.5" customHeight="1" thickTop="1" thickBot="1" x14ac:dyDescent="0.3">
      <c r="A25" s="1387" t="s">
        <v>465</v>
      </c>
      <c r="B25" s="1384" t="s">
        <v>3</v>
      </c>
      <c r="C25" s="1385"/>
      <c r="D25" s="1385"/>
      <c r="E25" s="1385"/>
      <c r="F25" s="1386"/>
    </row>
    <row r="26" spans="1:13" ht="46.5" thickTop="1" thickBot="1" x14ac:dyDescent="0.3">
      <c r="A26" s="1388"/>
      <c r="B26" s="92" t="s">
        <v>472</v>
      </c>
      <c r="C26" s="92" t="s">
        <v>27</v>
      </c>
      <c r="D26" s="92" t="s">
        <v>28</v>
      </c>
      <c r="E26" s="92" t="s">
        <v>29</v>
      </c>
      <c r="F26" s="21" t="s">
        <v>392</v>
      </c>
      <c r="I26" s="59" t="s">
        <v>392</v>
      </c>
      <c r="M26" s="59" t="s">
        <v>392</v>
      </c>
    </row>
    <row r="27" spans="1:13" ht="22.5" customHeight="1" thickTop="1" thickBot="1" x14ac:dyDescent="0.3">
      <c r="A27" s="90" t="s">
        <v>393</v>
      </c>
      <c r="B27" s="93"/>
      <c r="C27" s="93"/>
      <c r="D27" s="93"/>
      <c r="E27" s="93"/>
      <c r="F27" s="94">
        <f>SUM(B27:E27)</f>
        <v>0</v>
      </c>
      <c r="I27" s="409">
        <f>SUM(B27:E27)-F27</f>
        <v>0</v>
      </c>
      <c r="M27" s="410">
        <f>F27-BS!E84</f>
        <v>-6639</v>
      </c>
    </row>
    <row r="28" spans="1:13" ht="22.5" customHeight="1" thickBot="1" x14ac:dyDescent="0.3">
      <c r="A28" s="90" t="s">
        <v>394</v>
      </c>
      <c r="B28" s="93"/>
      <c r="C28" s="93"/>
      <c r="D28" s="93"/>
      <c r="E28" s="93"/>
      <c r="F28" s="94">
        <f t="shared" ref="F28:F42" si="3">SUM(B28:E28)</f>
        <v>0</v>
      </c>
      <c r="I28" s="409">
        <f>SUM(B28:E28)-F28</f>
        <v>0</v>
      </c>
      <c r="M28" s="410">
        <f>F28-BS!E85</f>
        <v>0</v>
      </c>
    </row>
    <row r="29" spans="1:13" ht="22.5" customHeight="1" thickBot="1" x14ac:dyDescent="0.3">
      <c r="A29" s="90" t="s">
        <v>466</v>
      </c>
      <c r="B29" s="93"/>
      <c r="C29" s="93"/>
      <c r="D29" s="93"/>
      <c r="E29" s="93"/>
      <c r="F29" s="94">
        <f t="shared" si="3"/>
        <v>0</v>
      </c>
      <c r="I29" s="409">
        <f t="shared" ref="I29:I44" si="4">SUM(B29:E29)-F29</f>
        <v>0</v>
      </c>
      <c r="M29" s="410">
        <f>F29-BS!E86</f>
        <v>0</v>
      </c>
    </row>
    <row r="30" spans="1:13" ht="22.5" customHeight="1" thickBot="1" x14ac:dyDescent="0.3">
      <c r="A30" s="90" t="s">
        <v>467</v>
      </c>
      <c r="B30" s="93"/>
      <c r="C30" s="93"/>
      <c r="D30" s="93"/>
      <c r="E30" s="93"/>
      <c r="F30" s="94">
        <f t="shared" si="3"/>
        <v>0</v>
      </c>
      <c r="I30" s="409">
        <f t="shared" si="4"/>
        <v>0</v>
      </c>
      <c r="M30" s="410">
        <f>F30-BS!E87</f>
        <v>0</v>
      </c>
    </row>
    <row r="31" spans="1:13" ht="22.5" customHeight="1" thickBot="1" x14ac:dyDescent="0.3">
      <c r="A31" s="90" t="s">
        <v>395</v>
      </c>
      <c r="B31" s="93"/>
      <c r="C31" s="93"/>
      <c r="D31" s="93"/>
      <c r="E31" s="93"/>
      <c r="F31" s="94">
        <f t="shared" si="3"/>
        <v>0</v>
      </c>
      <c r="I31" s="409">
        <f t="shared" si="4"/>
        <v>0</v>
      </c>
      <c r="M31" s="410">
        <f>F31-BS!E89</f>
        <v>0</v>
      </c>
    </row>
    <row r="32" spans="1:13" ht="22.5" customHeight="1" thickBot="1" x14ac:dyDescent="0.3">
      <c r="A32" s="90" t="s">
        <v>396</v>
      </c>
      <c r="B32" s="93"/>
      <c r="C32" s="93"/>
      <c r="D32" s="93"/>
      <c r="E32" s="93"/>
      <c r="F32" s="94">
        <f t="shared" si="3"/>
        <v>0</v>
      </c>
      <c r="I32" s="409">
        <f t="shared" si="4"/>
        <v>0</v>
      </c>
      <c r="M32" s="410">
        <f>F32-BS!E90</f>
        <v>0</v>
      </c>
    </row>
    <row r="33" spans="1:13" ht="22.5" customHeight="1" thickBot="1" x14ac:dyDescent="0.3">
      <c r="A33" s="90" t="s">
        <v>397</v>
      </c>
      <c r="B33" s="93"/>
      <c r="C33" s="93"/>
      <c r="D33" s="93"/>
      <c r="E33" s="93"/>
      <c r="F33" s="94">
        <f t="shared" si="3"/>
        <v>0</v>
      </c>
      <c r="I33" s="409">
        <f t="shared" si="4"/>
        <v>0</v>
      </c>
      <c r="M33" s="410">
        <f>F33-BS!E91</f>
        <v>0</v>
      </c>
    </row>
    <row r="34" spans="1:13" ht="22.5" customHeight="1" thickBot="1" x14ac:dyDescent="0.3">
      <c r="A34" s="90" t="s">
        <v>398</v>
      </c>
      <c r="B34" s="93"/>
      <c r="C34" s="93"/>
      <c r="D34" s="93"/>
      <c r="E34" s="93"/>
      <c r="F34" s="94">
        <f t="shared" si="3"/>
        <v>0</v>
      </c>
      <c r="I34" s="409">
        <f t="shared" si="4"/>
        <v>0</v>
      </c>
      <c r="M34" s="410">
        <f>F34-BS!E92-BS!E93</f>
        <v>0</v>
      </c>
    </row>
    <row r="35" spans="1:13" ht="22.5" customHeight="1" thickBot="1" x14ac:dyDescent="0.3">
      <c r="A35" s="90" t="s">
        <v>468</v>
      </c>
      <c r="B35" s="93"/>
      <c r="C35" s="93"/>
      <c r="D35" s="93"/>
      <c r="E35" s="93"/>
      <c r="F35" s="94">
        <f t="shared" si="3"/>
        <v>0</v>
      </c>
      <c r="I35" s="409">
        <f t="shared" si="4"/>
        <v>0</v>
      </c>
      <c r="M35" s="410">
        <f>F35-BS!E94</f>
        <v>0</v>
      </c>
    </row>
    <row r="36" spans="1:13" ht="22.5" customHeight="1" thickBot="1" x14ac:dyDescent="0.3">
      <c r="A36" s="90" t="s">
        <v>399</v>
      </c>
      <c r="B36" s="93"/>
      <c r="C36" s="93"/>
      <c r="D36" s="93"/>
      <c r="E36" s="93"/>
      <c r="F36" s="94">
        <f t="shared" si="3"/>
        <v>0</v>
      </c>
      <c r="I36" s="409">
        <f t="shared" si="4"/>
        <v>0</v>
      </c>
      <c r="M36" s="410">
        <f>F36-BS!E96</f>
        <v>-332</v>
      </c>
    </row>
    <row r="37" spans="1:13" ht="22.5" customHeight="1" thickBot="1" x14ac:dyDescent="0.3">
      <c r="A37" s="90" t="s">
        <v>400</v>
      </c>
      <c r="B37" s="93"/>
      <c r="C37" s="93"/>
      <c r="D37" s="93"/>
      <c r="E37" s="93"/>
      <c r="F37" s="94">
        <f t="shared" si="3"/>
        <v>0</v>
      </c>
      <c r="I37" s="409">
        <f t="shared" si="4"/>
        <v>0</v>
      </c>
      <c r="M37" s="410">
        <f>F37-BS!E97</f>
        <v>0</v>
      </c>
    </row>
    <row r="38" spans="1:13" ht="22.5" customHeight="1" thickBot="1" x14ac:dyDescent="0.3">
      <c r="A38" s="90" t="s">
        <v>401</v>
      </c>
      <c r="B38" s="93"/>
      <c r="C38" s="93"/>
      <c r="D38" s="93"/>
      <c r="E38" s="93"/>
      <c r="F38" s="94">
        <f t="shared" si="3"/>
        <v>0</v>
      </c>
      <c r="I38" s="409">
        <f t="shared" si="4"/>
        <v>0</v>
      </c>
      <c r="M38" s="410">
        <f>F38-BS!E98</f>
        <v>0</v>
      </c>
    </row>
    <row r="39" spans="1:13" ht="22.5" customHeight="1" thickBot="1" x14ac:dyDescent="0.3">
      <c r="A39" s="90" t="s">
        <v>402</v>
      </c>
      <c r="B39" s="93"/>
      <c r="C39" s="93"/>
      <c r="D39" s="93"/>
      <c r="E39" s="93"/>
      <c r="F39" s="94">
        <f t="shared" si="3"/>
        <v>0</v>
      </c>
      <c r="I39" s="409">
        <f t="shared" si="4"/>
        <v>0</v>
      </c>
      <c r="M39" s="410">
        <f>F39-BS!E100</f>
        <v>-296198</v>
      </c>
    </row>
    <row r="40" spans="1:13" ht="22.5" customHeight="1" thickBot="1" x14ac:dyDescent="0.3">
      <c r="A40" s="90" t="s">
        <v>469</v>
      </c>
      <c r="B40" s="93"/>
      <c r="C40" s="93"/>
      <c r="D40" s="93"/>
      <c r="E40" s="93"/>
      <c r="F40" s="94">
        <f t="shared" si="3"/>
        <v>0</v>
      </c>
      <c r="I40" s="409">
        <f t="shared" si="4"/>
        <v>0</v>
      </c>
      <c r="M40" s="410">
        <f>F40-BS!E101</f>
        <v>308934</v>
      </c>
    </row>
    <row r="41" spans="1:13" ht="22.5" customHeight="1" thickBot="1" x14ac:dyDescent="0.3">
      <c r="A41" s="90" t="s">
        <v>470</v>
      </c>
      <c r="B41" s="93"/>
      <c r="C41" s="93"/>
      <c r="D41" s="93"/>
      <c r="E41" s="93"/>
      <c r="F41" s="94">
        <f t="shared" si="3"/>
        <v>0</v>
      </c>
      <c r="I41" s="409">
        <f t="shared" si="4"/>
        <v>0</v>
      </c>
      <c r="M41" s="410">
        <f>F41-BS!E102</f>
        <v>-120260</v>
      </c>
    </row>
    <row r="42" spans="1:13" ht="22.5" customHeight="1" thickBot="1" x14ac:dyDescent="0.3">
      <c r="A42" s="90" t="s">
        <v>403</v>
      </c>
      <c r="B42" s="93"/>
      <c r="C42" s="93"/>
      <c r="D42" s="93"/>
      <c r="E42" s="93"/>
      <c r="F42" s="94">
        <f t="shared" si="3"/>
        <v>0</v>
      </c>
      <c r="I42" s="409">
        <f t="shared" si="4"/>
        <v>0</v>
      </c>
      <c r="M42" s="411"/>
    </row>
    <row r="43" spans="1:13" ht="22.5" customHeight="1" thickBot="1" x14ac:dyDescent="0.3">
      <c r="A43" s="90" t="s">
        <v>404</v>
      </c>
      <c r="B43" s="93"/>
      <c r="C43" s="93"/>
      <c r="D43" s="93"/>
      <c r="E43" s="93"/>
      <c r="F43" s="94">
        <f>SUM(B43:E43)</f>
        <v>0</v>
      </c>
      <c r="I43" s="409">
        <f t="shared" si="4"/>
        <v>0</v>
      </c>
      <c r="M43" s="411"/>
    </row>
    <row r="44" spans="1:13" ht="22.5" customHeight="1" thickBot="1" x14ac:dyDescent="0.3">
      <c r="A44" s="91" t="s">
        <v>471</v>
      </c>
      <c r="B44" s="95"/>
      <c r="C44" s="95"/>
      <c r="D44" s="95"/>
      <c r="E44" s="95"/>
      <c r="F44" s="98">
        <f>SUM(B44:E44)</f>
        <v>0</v>
      </c>
      <c r="I44" s="409">
        <f t="shared" si="4"/>
        <v>0</v>
      </c>
      <c r="M44" s="411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61" priority="12" operator="lessThan">
      <formula>0</formula>
    </cfRule>
    <cfRule type="cellIs" dxfId="60" priority="13" operator="greaterThan">
      <formula>0</formula>
    </cfRule>
  </conditionalFormatting>
  <conditionalFormatting sqref="M1">
    <cfRule type="cellIs" priority="9" stopIfTrue="1" operator="greaterThan">
      <formula>0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zoomScaleNormal="100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386" hidden="1" customWidth="1" outlineLevel="1"/>
    <col min="9" max="11" width="12.7109375" style="387" hidden="1" customWidth="1" outlineLevel="1"/>
    <col min="12" max="12" width="18" style="391" customWidth="1" collapsed="1"/>
    <col min="14" max="14" width="27.42578125" style="393" customWidth="1"/>
    <col min="16" max="16" width="24.7109375" style="393" customWidth="1"/>
    <col min="17" max="17" width="27.7109375" customWidth="1"/>
  </cols>
  <sheetData>
    <row r="1" spans="1:16" x14ac:dyDescent="0.25">
      <c r="A1" s="99" t="s">
        <v>209</v>
      </c>
      <c r="B1" s="20"/>
      <c r="C1" s="20"/>
      <c r="D1" s="20"/>
      <c r="E1" s="20"/>
      <c r="F1" s="20"/>
      <c r="H1" s="1370" t="s">
        <v>1138</v>
      </c>
      <c r="I1" s="1371"/>
      <c r="J1" s="1371"/>
      <c r="K1" s="1371"/>
      <c r="L1" s="1372"/>
      <c r="N1" s="399" t="s">
        <v>1142</v>
      </c>
      <c r="P1" s="401" t="s">
        <v>1140</v>
      </c>
    </row>
    <row r="2" spans="1:16" ht="15.75" thickBot="1" x14ac:dyDescent="0.3">
      <c r="A2" s="20" t="s">
        <v>8</v>
      </c>
      <c r="B2" s="20"/>
      <c r="C2" s="20"/>
      <c r="D2" s="20"/>
      <c r="E2" s="20"/>
      <c r="F2" s="20"/>
      <c r="N2" s="409"/>
    </row>
    <row r="3" spans="1:16" ht="16.5" thickTop="1" thickBot="1" x14ac:dyDescent="0.3">
      <c r="A3" s="1381" t="s">
        <v>131</v>
      </c>
      <c r="B3" s="1367" t="s">
        <v>2</v>
      </c>
      <c r="C3" s="1368"/>
      <c r="D3" s="1368"/>
      <c r="E3" s="1368"/>
      <c r="F3" s="1369"/>
      <c r="N3" s="409"/>
    </row>
    <row r="4" spans="1:16" s="4" customFormat="1" ht="33" customHeight="1" thickTop="1" thickBot="1" x14ac:dyDescent="0.3">
      <c r="A4" s="1383"/>
      <c r="B4" s="21" t="s">
        <v>32</v>
      </c>
      <c r="C4" s="21" t="s">
        <v>124</v>
      </c>
      <c r="D4" s="102" t="s">
        <v>210</v>
      </c>
      <c r="E4" s="642" t="s">
        <v>211</v>
      </c>
      <c r="F4" s="21" t="s">
        <v>30</v>
      </c>
      <c r="H4" s="59" t="s">
        <v>32</v>
      </c>
      <c r="I4" s="59" t="s">
        <v>124</v>
      </c>
      <c r="J4" s="59" t="s">
        <v>210</v>
      </c>
      <c r="K4" s="59" t="s">
        <v>211</v>
      </c>
      <c r="L4" s="59" t="s">
        <v>30</v>
      </c>
      <c r="N4" s="59" t="s">
        <v>472</v>
      </c>
      <c r="P4" s="59" t="s">
        <v>30</v>
      </c>
    </row>
    <row r="5" spans="1:16" ht="21" customHeight="1" thickTop="1" thickBot="1" x14ac:dyDescent="0.3">
      <c r="A5" s="86" t="s">
        <v>212</v>
      </c>
      <c r="B5" s="85">
        <f>SUM(B6:B10)</f>
        <v>0</v>
      </c>
      <c r="C5" s="85">
        <f>SUM(C6:C10)</f>
        <v>0</v>
      </c>
      <c r="D5" s="85">
        <f t="shared" ref="D5:E5" si="0">SUM(D6:D10)</f>
        <v>0</v>
      </c>
      <c r="E5" s="85">
        <f t="shared" si="0"/>
        <v>0</v>
      </c>
      <c r="F5" s="143">
        <f>SUM(B5:E5)</f>
        <v>0</v>
      </c>
      <c r="H5" s="389">
        <f>SUM(B6:B10)-B5</f>
        <v>0</v>
      </c>
      <c r="I5" s="388">
        <f t="shared" ref="I5:K5" si="1">SUM(C6:C10)-C5</f>
        <v>0</v>
      </c>
      <c r="J5" s="388">
        <f t="shared" si="1"/>
        <v>0</v>
      </c>
      <c r="K5" s="388">
        <f t="shared" si="1"/>
        <v>0</v>
      </c>
      <c r="L5" s="392">
        <f>SUM(B5:E5)-F5</f>
        <v>0</v>
      </c>
      <c r="N5" s="400">
        <f>B5-F23</f>
        <v>0</v>
      </c>
      <c r="P5" s="400">
        <f>F5-BS!$D$105-BS!$D$107</f>
        <v>0</v>
      </c>
    </row>
    <row r="6" spans="1:16" ht="21" customHeight="1" thickTop="1" thickBot="1" x14ac:dyDescent="0.3">
      <c r="A6" s="108"/>
      <c r="B6" s="79"/>
      <c r="C6" s="79"/>
      <c r="D6" s="144"/>
      <c r="E6" s="144"/>
      <c r="F6" s="145">
        <f t="shared" ref="F6:F17" si="2">SUM(B6:E6)</f>
        <v>0</v>
      </c>
      <c r="L6" s="392">
        <f>SUM(B6:E6)-F6</f>
        <v>0</v>
      </c>
      <c r="N6" s="400">
        <f>B6-F24</f>
        <v>0</v>
      </c>
    </row>
    <row r="7" spans="1:16" ht="21" customHeight="1" thickBot="1" x14ac:dyDescent="0.3">
      <c r="A7" s="108"/>
      <c r="B7" s="79"/>
      <c r="C7" s="79"/>
      <c r="D7" s="120"/>
      <c r="E7" s="120"/>
      <c r="F7" s="145">
        <f t="shared" si="2"/>
        <v>0</v>
      </c>
      <c r="L7" s="392">
        <f t="shared" ref="L7:L10" si="3">SUM(B7:E7)-F7</f>
        <v>0</v>
      </c>
      <c r="N7" s="400">
        <f t="shared" ref="N7:N17" si="4">B7-F25</f>
        <v>0</v>
      </c>
    </row>
    <row r="8" spans="1:16" ht="21" customHeight="1" thickBot="1" x14ac:dyDescent="0.3">
      <c r="A8" s="108"/>
      <c r="B8" s="79"/>
      <c r="C8" s="79"/>
      <c r="D8" s="120"/>
      <c r="E8" s="120"/>
      <c r="F8" s="145">
        <f t="shared" si="2"/>
        <v>0</v>
      </c>
      <c r="L8" s="392">
        <f t="shared" si="3"/>
        <v>0</v>
      </c>
      <c r="N8" s="400">
        <f t="shared" si="4"/>
        <v>0</v>
      </c>
    </row>
    <row r="9" spans="1:16" ht="21" customHeight="1" thickBot="1" x14ac:dyDescent="0.3">
      <c r="A9" s="108"/>
      <c r="B9" s="79"/>
      <c r="C9" s="79"/>
      <c r="D9" s="120"/>
      <c r="E9" s="120"/>
      <c r="F9" s="145">
        <f t="shared" si="2"/>
        <v>0</v>
      </c>
      <c r="L9" s="392">
        <f t="shared" si="3"/>
        <v>0</v>
      </c>
      <c r="N9" s="400">
        <f t="shared" si="4"/>
        <v>0</v>
      </c>
    </row>
    <row r="10" spans="1:16" ht="21" customHeight="1" thickBot="1" x14ac:dyDescent="0.3">
      <c r="A10" s="150"/>
      <c r="B10" s="85"/>
      <c r="C10" s="85"/>
      <c r="D10" s="146"/>
      <c r="E10" s="146"/>
      <c r="F10" s="147">
        <f t="shared" si="2"/>
        <v>0</v>
      </c>
      <c r="L10" s="392">
        <f t="shared" si="3"/>
        <v>0</v>
      </c>
      <c r="N10" s="400">
        <f t="shared" si="4"/>
        <v>0</v>
      </c>
    </row>
    <row r="11" spans="1:16" ht="21" customHeight="1" thickTop="1" thickBot="1" x14ac:dyDescent="0.3">
      <c r="A11" s="86" t="s">
        <v>213</v>
      </c>
      <c r="B11" s="85">
        <f>SUM(B12:B17)</f>
        <v>0</v>
      </c>
      <c r="C11" s="85">
        <f>SUM(C12:C17)</f>
        <v>0</v>
      </c>
      <c r="D11" s="85">
        <f t="shared" ref="D11:E11" si="5">SUM(D12:D17)</f>
        <v>0</v>
      </c>
      <c r="E11" s="85">
        <f t="shared" si="5"/>
        <v>0</v>
      </c>
      <c r="F11" s="143">
        <f>SUM(B11:E11)</f>
        <v>0</v>
      </c>
      <c r="H11" s="389">
        <f>SUM(B12:B17)-B11</f>
        <v>0</v>
      </c>
      <c r="I11" s="388">
        <f t="shared" ref="I11:K11" si="6">SUM(C12:C17)-C11</f>
        <v>0</v>
      </c>
      <c r="J11" s="388">
        <f t="shared" si="6"/>
        <v>0</v>
      </c>
      <c r="K11" s="388">
        <f t="shared" si="6"/>
        <v>0</v>
      </c>
      <c r="L11" s="392">
        <f>SUM(B11:E11)-F11</f>
        <v>0</v>
      </c>
      <c r="N11" s="400">
        <f t="shared" si="4"/>
        <v>0</v>
      </c>
      <c r="P11" s="400">
        <f>F11-BS!$D$106-BS!$D$108</f>
        <v>-213482</v>
      </c>
    </row>
    <row r="12" spans="1:16" ht="21" customHeight="1" thickTop="1" thickBot="1" x14ac:dyDescent="0.3">
      <c r="A12" s="108"/>
      <c r="B12" s="79"/>
      <c r="C12" s="79"/>
      <c r="D12" s="144"/>
      <c r="E12" s="144"/>
      <c r="F12" s="145">
        <f t="shared" si="2"/>
        <v>0</v>
      </c>
      <c r="L12" s="392">
        <f>SUM(B12:E12)-F12</f>
        <v>0</v>
      </c>
      <c r="N12" s="400">
        <f t="shared" si="4"/>
        <v>0</v>
      </c>
    </row>
    <row r="13" spans="1:16" ht="21" customHeight="1" thickBot="1" x14ac:dyDescent="0.3">
      <c r="A13" s="108"/>
      <c r="B13" s="79"/>
      <c r="C13" s="79"/>
      <c r="D13" s="120"/>
      <c r="E13" s="120"/>
      <c r="F13" s="145">
        <f t="shared" si="2"/>
        <v>0</v>
      </c>
      <c r="L13" s="392">
        <f>SUM(B13:E13)-F13</f>
        <v>0</v>
      </c>
      <c r="N13" s="400">
        <f>B13-F31</f>
        <v>0</v>
      </c>
    </row>
    <row r="14" spans="1:16" ht="21" customHeight="1" thickBot="1" x14ac:dyDescent="0.3">
      <c r="A14" s="108"/>
      <c r="B14" s="79"/>
      <c r="C14" s="79"/>
      <c r="D14" s="120"/>
      <c r="E14" s="120"/>
      <c r="F14" s="145">
        <f t="shared" si="2"/>
        <v>0</v>
      </c>
      <c r="L14" s="392">
        <f t="shared" ref="L14:L17" si="7">SUM(B14:E14)-F14</f>
        <v>0</v>
      </c>
      <c r="N14" s="400">
        <f t="shared" si="4"/>
        <v>0</v>
      </c>
    </row>
    <row r="15" spans="1:16" ht="21" customHeight="1" thickBot="1" x14ac:dyDescent="0.3">
      <c r="A15" s="108"/>
      <c r="B15" s="79"/>
      <c r="C15" s="79"/>
      <c r="D15" s="120"/>
      <c r="E15" s="120"/>
      <c r="F15" s="145">
        <f t="shared" si="2"/>
        <v>0</v>
      </c>
      <c r="L15" s="392">
        <f t="shared" si="7"/>
        <v>0</v>
      </c>
      <c r="N15" s="400">
        <f t="shared" si="4"/>
        <v>0</v>
      </c>
    </row>
    <row r="16" spans="1:16" ht="21" customHeight="1" thickBot="1" x14ac:dyDescent="0.3">
      <c r="A16" s="108"/>
      <c r="B16" s="79"/>
      <c r="C16" s="79"/>
      <c r="D16" s="120"/>
      <c r="E16" s="120"/>
      <c r="F16" s="145">
        <f t="shared" si="2"/>
        <v>0</v>
      </c>
      <c r="L16" s="392">
        <f t="shared" si="7"/>
        <v>0</v>
      </c>
      <c r="N16" s="400">
        <f t="shared" si="4"/>
        <v>0</v>
      </c>
    </row>
    <row r="17" spans="1:16" ht="21" customHeight="1" thickBot="1" x14ac:dyDescent="0.3">
      <c r="A17" s="150"/>
      <c r="B17" s="81"/>
      <c r="C17" s="81"/>
      <c r="D17" s="148"/>
      <c r="E17" s="148"/>
      <c r="F17" s="149">
        <f t="shared" si="2"/>
        <v>0</v>
      </c>
      <c r="L17" s="392">
        <f t="shared" si="7"/>
        <v>0</v>
      </c>
      <c r="N17" s="400">
        <f t="shared" si="4"/>
        <v>0</v>
      </c>
    </row>
    <row r="18" spans="1:16" ht="15.75" thickTop="1" x14ac:dyDescent="0.25">
      <c r="A18" s="4"/>
      <c r="B18" s="4"/>
      <c r="C18" s="4"/>
      <c r="D18" s="4"/>
      <c r="E18" s="4"/>
      <c r="F18" s="4"/>
      <c r="N18" s="400"/>
    </row>
    <row r="19" spans="1:16" ht="16.5" x14ac:dyDescent="0.3">
      <c r="A19" s="2"/>
      <c r="N19" s="400"/>
    </row>
    <row r="20" spans="1:16" ht="15.75" thickBot="1" x14ac:dyDescent="0.3">
      <c r="A20" s="20" t="s">
        <v>15</v>
      </c>
      <c r="B20" s="20"/>
      <c r="C20" s="20"/>
      <c r="D20" s="20"/>
      <c r="E20" s="20"/>
      <c r="F20" s="20"/>
      <c r="N20" s="400"/>
    </row>
    <row r="21" spans="1:16" ht="16.5" thickTop="1" thickBot="1" x14ac:dyDescent="0.3">
      <c r="A21" s="1381" t="s">
        <v>131</v>
      </c>
      <c r="B21" s="1367" t="s">
        <v>3</v>
      </c>
      <c r="C21" s="1368"/>
      <c r="D21" s="1368"/>
      <c r="E21" s="1368"/>
      <c r="F21" s="1369"/>
      <c r="N21" s="400"/>
    </row>
    <row r="22" spans="1:16" s="4" customFormat="1" ht="35.25" thickTop="1" thickBot="1" x14ac:dyDescent="0.3">
      <c r="A22" s="1383"/>
      <c r="B22" s="21" t="s">
        <v>32</v>
      </c>
      <c r="C22" s="21" t="s">
        <v>124</v>
      </c>
      <c r="D22" s="102" t="s">
        <v>210</v>
      </c>
      <c r="E22" s="30" t="s">
        <v>211</v>
      </c>
      <c r="F22" s="21" t="s">
        <v>30</v>
      </c>
      <c r="H22" s="413"/>
      <c r="I22" s="412"/>
      <c r="J22" s="412"/>
      <c r="K22" s="412"/>
      <c r="L22" s="395"/>
      <c r="N22" s="400"/>
      <c r="P22" s="414"/>
    </row>
    <row r="23" spans="1:16" ht="21" customHeight="1" thickTop="1" thickBot="1" x14ac:dyDescent="0.3">
      <c r="A23" s="150" t="s">
        <v>212</v>
      </c>
      <c r="B23" s="85">
        <f>SUM(B24:B28)</f>
        <v>0</v>
      </c>
      <c r="C23" s="85">
        <f>SUM(C24:C28)</f>
        <v>0</v>
      </c>
      <c r="D23" s="85">
        <f t="shared" ref="D23" si="8">SUM(D24:D28)</f>
        <v>0</v>
      </c>
      <c r="E23" s="85">
        <f t="shared" ref="E23" si="9">SUM(E24:E28)</f>
        <v>0</v>
      </c>
      <c r="F23" s="143">
        <f>SUM(B23:E23)</f>
        <v>0</v>
      </c>
      <c r="H23" s="389">
        <f>SUM(B24:B28)-B23</f>
        <v>0</v>
      </c>
      <c r="I23" s="388">
        <f t="shared" ref="I23" si="10">SUM(C24:C28)-C23</f>
        <v>0</v>
      </c>
      <c r="J23" s="388">
        <f t="shared" ref="J23" si="11">SUM(D24:D28)-D23</f>
        <v>0</v>
      </c>
      <c r="K23" s="388">
        <f t="shared" ref="K23" si="12">SUM(E24:E28)-E23</f>
        <v>0</v>
      </c>
      <c r="L23" s="392">
        <f>SUM(B23:E23)-F23</f>
        <v>0</v>
      </c>
      <c r="N23" s="400"/>
      <c r="P23" s="400">
        <f>F23-BS!E105-BS!E107</f>
        <v>0</v>
      </c>
    </row>
    <row r="24" spans="1:16" ht="21" customHeight="1" thickTop="1" thickBot="1" x14ac:dyDescent="0.3">
      <c r="A24" s="108"/>
      <c r="B24" s="79"/>
      <c r="C24" s="79"/>
      <c r="D24" s="144"/>
      <c r="E24" s="144"/>
      <c r="F24" s="145">
        <f t="shared" ref="F24:F35" si="13">SUM(B24:E24)</f>
        <v>0</v>
      </c>
      <c r="L24" s="392">
        <f>SUM(B24:E24)-F24</f>
        <v>0</v>
      </c>
      <c r="N24" s="400"/>
    </row>
    <row r="25" spans="1:16" ht="21" customHeight="1" thickBot="1" x14ac:dyDescent="0.3">
      <c r="A25" s="108"/>
      <c r="B25" s="79"/>
      <c r="C25" s="79"/>
      <c r="D25" s="120"/>
      <c r="E25" s="120"/>
      <c r="F25" s="145">
        <f t="shared" si="13"/>
        <v>0</v>
      </c>
      <c r="L25" s="392">
        <f t="shared" ref="L25:L28" si="14">SUM(B25:E25)-F25</f>
        <v>0</v>
      </c>
      <c r="N25" s="400"/>
    </row>
    <row r="26" spans="1:16" ht="21" customHeight="1" thickBot="1" x14ac:dyDescent="0.3">
      <c r="A26" s="108"/>
      <c r="B26" s="79"/>
      <c r="C26" s="79"/>
      <c r="D26" s="120"/>
      <c r="E26" s="120"/>
      <c r="F26" s="145">
        <f t="shared" si="13"/>
        <v>0</v>
      </c>
      <c r="L26" s="392">
        <f t="shared" si="14"/>
        <v>0</v>
      </c>
      <c r="N26" s="400"/>
    </row>
    <row r="27" spans="1:16" ht="21" customHeight="1" thickBot="1" x14ac:dyDescent="0.3">
      <c r="A27" s="108"/>
      <c r="B27" s="79"/>
      <c r="C27" s="79"/>
      <c r="D27" s="120"/>
      <c r="E27" s="120"/>
      <c r="F27" s="145">
        <f t="shared" si="13"/>
        <v>0</v>
      </c>
      <c r="L27" s="392">
        <f t="shared" si="14"/>
        <v>0</v>
      </c>
      <c r="N27" s="400"/>
    </row>
    <row r="28" spans="1:16" ht="21" customHeight="1" thickBot="1" x14ac:dyDescent="0.3">
      <c r="A28" s="150"/>
      <c r="B28" s="85"/>
      <c r="C28" s="85"/>
      <c r="D28" s="146"/>
      <c r="E28" s="146"/>
      <c r="F28" s="147">
        <f t="shared" si="13"/>
        <v>0</v>
      </c>
      <c r="L28" s="392">
        <f t="shared" si="14"/>
        <v>0</v>
      </c>
      <c r="N28" s="400"/>
    </row>
    <row r="29" spans="1:16" ht="21" customHeight="1" thickTop="1" thickBot="1" x14ac:dyDescent="0.3">
      <c r="A29" s="150" t="s">
        <v>213</v>
      </c>
      <c r="B29" s="85">
        <f>SUM(B30:B34)</f>
        <v>0</v>
      </c>
      <c r="C29" s="85">
        <f>SUM(C30:C34)</f>
        <v>0</v>
      </c>
      <c r="D29" s="85">
        <f t="shared" ref="D29" si="15">SUM(D30:D34)</f>
        <v>0</v>
      </c>
      <c r="E29" s="85">
        <f t="shared" ref="E29" si="16">SUM(E30:E34)</f>
        <v>0</v>
      </c>
      <c r="F29" s="143">
        <f>SUM(B29:E29)</f>
        <v>0</v>
      </c>
      <c r="H29" s="389">
        <f>SUM(B30:B35)-B29</f>
        <v>0</v>
      </c>
      <c r="I29" s="388">
        <f t="shared" ref="I29" si="17">SUM(C30:C35)-C29</f>
        <v>0</v>
      </c>
      <c r="J29" s="388">
        <f t="shared" ref="J29" si="18">SUM(D30:D35)-D29</f>
        <v>0</v>
      </c>
      <c r="K29" s="388">
        <f t="shared" ref="K29" si="19">SUM(E30:E35)-E29</f>
        <v>0</v>
      </c>
      <c r="L29" s="392">
        <f>SUM(B29:E29)-F29</f>
        <v>0</v>
      </c>
      <c r="N29" s="400"/>
      <c r="P29" s="400">
        <f>F29-BS!E106-BS!E108</f>
        <v>-37964</v>
      </c>
    </row>
    <row r="30" spans="1:16" ht="21" customHeight="1" thickTop="1" thickBot="1" x14ac:dyDescent="0.3">
      <c r="A30" s="108"/>
      <c r="B30" s="79"/>
      <c r="C30" s="79"/>
      <c r="D30" s="144"/>
      <c r="E30" s="144"/>
      <c r="F30" s="145">
        <f t="shared" si="13"/>
        <v>0</v>
      </c>
      <c r="L30" s="392">
        <f>SUM(B30:E30)-F30</f>
        <v>0</v>
      </c>
      <c r="N30" s="400"/>
    </row>
    <row r="31" spans="1:16" ht="21" customHeight="1" thickBot="1" x14ac:dyDescent="0.3">
      <c r="A31" s="108"/>
      <c r="B31" s="79"/>
      <c r="C31" s="79"/>
      <c r="D31" s="120"/>
      <c r="E31" s="120"/>
      <c r="F31" s="145">
        <f t="shared" si="13"/>
        <v>0</v>
      </c>
      <c r="L31" s="392">
        <f t="shared" ref="L31:L35" si="20">SUM(B31:E31)-F31</f>
        <v>0</v>
      </c>
      <c r="N31" s="400"/>
    </row>
    <row r="32" spans="1:16" ht="21" customHeight="1" thickBot="1" x14ac:dyDescent="0.3">
      <c r="A32" s="108"/>
      <c r="B32" s="79"/>
      <c r="C32" s="79"/>
      <c r="D32" s="120"/>
      <c r="E32" s="120"/>
      <c r="F32" s="145">
        <f t="shared" si="13"/>
        <v>0</v>
      </c>
      <c r="L32" s="392">
        <f t="shared" si="20"/>
        <v>0</v>
      </c>
      <c r="N32" s="400"/>
    </row>
    <row r="33" spans="1:14" ht="21" customHeight="1" thickBot="1" x14ac:dyDescent="0.3">
      <c r="A33" s="108"/>
      <c r="B33" s="79"/>
      <c r="C33" s="79"/>
      <c r="D33" s="120"/>
      <c r="E33" s="120"/>
      <c r="F33" s="145">
        <f t="shared" si="13"/>
        <v>0</v>
      </c>
      <c r="L33" s="392">
        <f t="shared" si="20"/>
        <v>0</v>
      </c>
      <c r="N33" s="400"/>
    </row>
    <row r="34" spans="1:14" ht="21" customHeight="1" thickBot="1" x14ac:dyDescent="0.3">
      <c r="A34" s="108"/>
      <c r="B34" s="79"/>
      <c r="C34" s="79"/>
      <c r="D34" s="120"/>
      <c r="E34" s="120"/>
      <c r="F34" s="145">
        <f t="shared" si="13"/>
        <v>0</v>
      </c>
      <c r="L34" s="392">
        <f t="shared" si="20"/>
        <v>0</v>
      </c>
      <c r="N34" s="400"/>
    </row>
    <row r="35" spans="1:14" ht="21" customHeight="1" thickBot="1" x14ac:dyDescent="0.3">
      <c r="A35" s="150"/>
      <c r="B35" s="81"/>
      <c r="C35" s="81"/>
      <c r="D35" s="148"/>
      <c r="E35" s="148"/>
      <c r="F35" s="149">
        <f t="shared" si="13"/>
        <v>0</v>
      </c>
      <c r="L35" s="392">
        <f t="shared" si="20"/>
        <v>0</v>
      </c>
      <c r="N35" s="400"/>
    </row>
    <row r="36" spans="1:14" ht="15.75" thickTop="1" x14ac:dyDescent="0.25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59" priority="31" operator="lessThan">
      <formula>0</formula>
    </cfRule>
    <cfRule type="cellIs" dxfId="58" priority="32" operator="greaterThan">
      <formula>0</formula>
    </cfRule>
  </conditionalFormatting>
  <conditionalFormatting sqref="H5:L36">
    <cfRule type="cellIs" dxfId="57" priority="26" operator="lessThan">
      <formula>0</formula>
    </cfRule>
    <cfRule type="cellIs" dxfId="56" priority="27" operator="greaterThan">
      <formula>0</formula>
    </cfRule>
    <cfRule type="cellIs" priority="28" stopIfTrue="1" operator="greaterThan">
      <formula>0</formula>
    </cfRule>
    <cfRule type="cellIs" priority="29" stopIfTrue="1" operator="greaterThan">
      <formula>0</formula>
    </cfRule>
    <cfRule type="cellIs" priority="30" stopIfTrue="1" operator="greaterThan">
      <formula>0</formula>
    </cfRule>
  </conditionalFormatting>
  <conditionalFormatting sqref="P1">
    <cfRule type="cellIs" priority="25" stopIfTrue="1" operator="greaterThan">
      <formula>0</formula>
    </cfRule>
  </conditionalFormatting>
  <conditionalFormatting sqref="N5:N17">
    <cfRule type="cellIs" dxfId="55" priority="23" operator="lessThan">
      <formula>0</formula>
    </cfRule>
    <cfRule type="cellIs" dxfId="54" priority="24" operator="greaterThan">
      <formula>0</formula>
    </cfRule>
  </conditionalFormatting>
  <conditionalFormatting sqref="P5:P29">
    <cfRule type="cellIs" dxfId="53" priority="21" operator="lessThan">
      <formula>0</formula>
    </cfRule>
    <cfRule type="cellIs" dxfId="52" priority="22" operator="greaterThan">
      <formula>0</formula>
    </cfRule>
  </conditionalFormatting>
  <conditionalFormatting sqref="L5">
    <cfRule type="cellIs" dxfId="51" priority="16" operator="lessThan">
      <formula>0</formula>
    </cfRule>
    <cfRule type="cellIs" dxfId="50" priority="17" operator="greaterThan">
      <formula>0</formula>
    </cfRule>
    <cfRule type="cellIs" priority="18" stopIfTrue="1" operator="greaterThan">
      <formula>0</formula>
    </cfRule>
    <cfRule type="cellIs" priority="19" stopIfTrue="1" operator="greaterThan">
      <formula>0</formula>
    </cfRule>
    <cfRule type="cellIs" priority="20" stopIfTrue="1" operator="greaterThan">
      <formula>0</formula>
    </cfRule>
  </conditionalFormatting>
  <conditionalFormatting sqref="L11">
    <cfRule type="cellIs" dxfId="49" priority="11" operator="lessThan">
      <formula>0</formula>
    </cfRule>
    <cfRule type="cellIs" dxfId="48" priority="12" operator="greaterThan">
      <formula>0</formula>
    </cfRule>
    <cfRule type="cellIs" priority="13" stopIfTrue="1" operator="greaterThan">
      <formula>0</formula>
    </cfRule>
    <cfRule type="cellIs" priority="14" stopIfTrue="1" operator="greaterThan">
      <formula>0</formula>
    </cfRule>
    <cfRule type="cellIs" priority="15" stopIfTrue="1" operator="greaterThan">
      <formula>0</formula>
    </cfRule>
  </conditionalFormatting>
  <conditionalFormatting sqref="L23">
    <cfRule type="cellIs" dxfId="47" priority="6" operator="lessThan">
      <formula>0</formula>
    </cfRule>
    <cfRule type="cellIs" dxfId="46" priority="7" operator="greaterThan">
      <formula>0</formula>
    </cfRule>
    <cfRule type="cellIs" priority="8" stopIfTrue="1" operator="greaterThan">
      <formula>0</formula>
    </cfRule>
    <cfRule type="cellIs" priority="9" stopIfTrue="1" operator="greaterThan">
      <formula>0</formula>
    </cfRule>
    <cfRule type="cellIs" priority="10" stopIfTrue="1" operator="greaterThan">
      <formula>0</formula>
    </cfRule>
  </conditionalFormatting>
  <conditionalFormatting sqref="L29">
    <cfRule type="cellIs" dxfId="45" priority="1" operator="lessThan">
      <formula>0</formula>
    </cfRule>
    <cfRule type="cellIs" dxfId="44" priority="2" operator="greaterThan">
      <formula>0</formula>
    </cfRule>
    <cfRule type="cellIs" priority="3" stopIfTrue="1" operator="greaterThan">
      <formula>0</formula>
    </cfRule>
    <cfRule type="cellIs" priority="4" stopIfTrue="1" operator="greaterThan">
      <formula>0</formula>
    </cfRule>
    <cfRule type="cellIs" priority="5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386" customWidth="1"/>
    <col min="6" max="6" width="25.28515625" style="391" customWidth="1"/>
    <col min="7" max="7" width="5.85546875" customWidth="1"/>
    <col min="8" max="8" width="29.42578125" style="386" customWidth="1"/>
    <col min="9" max="9" width="30.85546875" style="391" customWidth="1"/>
  </cols>
  <sheetData>
    <row r="1" spans="1:9" ht="17.25" thickBot="1" x14ac:dyDescent="0.35">
      <c r="A1" s="1" t="s">
        <v>214</v>
      </c>
      <c r="E1" s="1376" t="s">
        <v>1138</v>
      </c>
      <c r="F1" s="1378"/>
      <c r="H1" s="1376" t="s">
        <v>1140</v>
      </c>
      <c r="I1" s="1378"/>
    </row>
    <row r="2" spans="1:9" ht="26.25" customHeight="1" thickTop="1" thickBot="1" x14ac:dyDescent="0.3">
      <c r="A2" s="84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0.25" customHeight="1" thickTop="1" thickBot="1" x14ac:dyDescent="0.3">
      <c r="A3" s="14" t="s">
        <v>215</v>
      </c>
      <c r="B3" s="151"/>
      <c r="C3" s="152"/>
    </row>
    <row r="4" spans="1:9" ht="20.25" customHeight="1" thickBot="1" x14ac:dyDescent="0.3">
      <c r="A4" s="14" t="s">
        <v>473</v>
      </c>
      <c r="B4" s="151"/>
      <c r="C4" s="152"/>
    </row>
    <row r="5" spans="1:9" ht="20.25" customHeight="1" thickBot="1" x14ac:dyDescent="0.3">
      <c r="A5" s="44" t="s">
        <v>216</v>
      </c>
      <c r="B5" s="79">
        <f>B3+B4</f>
        <v>0</v>
      </c>
      <c r="C5" s="80">
        <f>C3+C4</f>
        <v>0</v>
      </c>
      <c r="E5" s="389">
        <f>SUM(B3:B4)-B5</f>
        <v>0</v>
      </c>
      <c r="F5" s="392">
        <f>SUM(C3:C4)-C5</f>
        <v>0</v>
      </c>
      <c r="H5" s="389">
        <f>B5-BS!$D$121</f>
        <v>-639651</v>
      </c>
      <c r="I5" s="392">
        <f>C5-BS!$E$121</f>
        <v>-592099</v>
      </c>
    </row>
    <row r="6" spans="1:9" ht="20.25" customHeight="1" thickBot="1" x14ac:dyDescent="0.3">
      <c r="A6" s="14" t="s">
        <v>217</v>
      </c>
      <c r="B6" s="79"/>
      <c r="C6" s="80"/>
    </row>
    <row r="7" spans="1:9" ht="20.25" customHeight="1" thickBot="1" x14ac:dyDescent="0.3">
      <c r="A7" s="14" t="s">
        <v>218</v>
      </c>
      <c r="B7" s="153"/>
      <c r="C7" s="126"/>
    </row>
    <row r="8" spans="1:9" ht="20.25" customHeight="1" thickBot="1" x14ac:dyDescent="0.3">
      <c r="A8" s="25" t="s">
        <v>219</v>
      </c>
      <c r="B8" s="146">
        <f>B6+B7</f>
        <v>0</v>
      </c>
      <c r="C8" s="127">
        <f>C6+C7</f>
        <v>0</v>
      </c>
      <c r="E8" s="389">
        <f>SUM(B6:B7)-B8</f>
        <v>0</v>
      </c>
      <c r="F8" s="392">
        <f>SUM(C6:C7)-C8</f>
        <v>0</v>
      </c>
      <c r="H8" s="389">
        <f>B8-BS!$D$109</f>
        <v>0</v>
      </c>
      <c r="I8" s="392">
        <f>C8-BS!$E$109</f>
        <v>0</v>
      </c>
    </row>
    <row r="9" spans="1:9" ht="15.75" thickTop="1" x14ac:dyDescent="0.25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43" priority="1" operator="lessThan">
      <formula>0</formula>
    </cfRule>
    <cfRule type="cellIs" dxfId="4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Q545"/>
  <sheetViews>
    <sheetView showGridLines="0" tabSelected="1" view="pageBreakPreview" zoomScaleNormal="115" zoomScaleSheetLayoutView="100" workbookViewId="0">
      <pane ySplit="1" topLeftCell="A449" activePane="bottomLeft" state="frozen"/>
      <selection pane="bottomLeft" activeCell="R461" sqref="R461:Y461"/>
    </sheetView>
  </sheetViews>
  <sheetFormatPr defaultRowHeight="14.25" customHeight="1" x14ac:dyDescent="0.2"/>
  <cols>
    <col min="1" max="1" width="3.42578125" style="647" customWidth="1"/>
    <col min="2" max="2" width="1.5703125" style="18" customWidth="1"/>
    <col min="3" max="34" width="3.42578125" style="18" customWidth="1"/>
    <col min="35" max="16384" width="9.140625" style="18"/>
  </cols>
  <sheetData>
    <row r="1" spans="1:43" s="648" customFormat="1" ht="15.75" customHeight="1" thickBot="1" x14ac:dyDescent="0.25">
      <c r="A1" s="821" t="s">
        <v>1471</v>
      </c>
      <c r="B1" s="1299" t="s">
        <v>1468</v>
      </c>
      <c r="C1" s="1299"/>
      <c r="D1" s="1299"/>
      <c r="E1" s="1299"/>
      <c r="F1" s="1299"/>
      <c r="G1" s="1299"/>
      <c r="H1" s="1299"/>
      <c r="I1" s="1299"/>
      <c r="J1" s="1299"/>
      <c r="K1" s="1299"/>
      <c r="L1" s="1299"/>
      <c r="M1" s="1299"/>
      <c r="N1" s="1299"/>
      <c r="O1" s="1299"/>
      <c r="P1" s="1299"/>
      <c r="Q1" s="1299"/>
      <c r="R1" s="1299"/>
      <c r="S1" s="1299"/>
      <c r="T1" s="1299"/>
      <c r="U1" s="1299"/>
      <c r="V1" s="1299"/>
      <c r="W1" s="1299"/>
      <c r="X1" s="1299"/>
      <c r="Y1" s="1299"/>
      <c r="Z1" s="1299"/>
      <c r="AA1" s="1299"/>
      <c r="AB1" s="1299"/>
      <c r="AC1" s="1299"/>
      <c r="AD1" s="1299"/>
      <c r="AE1" s="1299"/>
      <c r="AF1" s="1299"/>
      <c r="AG1" s="1299"/>
      <c r="AH1" s="1300"/>
      <c r="AI1" s="1120" t="s">
        <v>1472</v>
      </c>
      <c r="AJ1" s="1121"/>
      <c r="AK1" s="1121"/>
      <c r="AL1" s="1121"/>
      <c r="AM1" s="1122"/>
      <c r="AN1" s="819"/>
      <c r="AO1" s="820" t="s">
        <v>1140</v>
      </c>
      <c r="AP1" s="675"/>
      <c r="AQ1" s="819"/>
    </row>
    <row r="2" spans="1:43" s="635" customFormat="1" ht="16.5" customHeight="1" x14ac:dyDescent="0.2">
      <c r="A2" s="647"/>
      <c r="AI2" s="18"/>
      <c r="AJ2" s="18"/>
      <c r="AK2" s="18"/>
      <c r="AL2" s="18"/>
      <c r="AM2" s="18"/>
      <c r="AN2" s="18"/>
      <c r="AO2" s="18"/>
      <c r="AP2" s="18"/>
      <c r="AQ2" s="18"/>
    </row>
    <row r="3" spans="1:43" s="635" customFormat="1" x14ac:dyDescent="0.2">
      <c r="A3" s="647"/>
      <c r="D3" s="634" t="s">
        <v>1428</v>
      </c>
      <c r="AI3" s="18"/>
      <c r="AJ3" s="18"/>
      <c r="AK3" s="18"/>
      <c r="AL3" s="18"/>
      <c r="AM3" s="18"/>
      <c r="AN3" s="18"/>
      <c r="AO3" s="18"/>
      <c r="AP3" s="18"/>
      <c r="AQ3" s="18"/>
    </row>
    <row r="4" spans="1:43" s="635" customFormat="1" x14ac:dyDescent="0.2">
      <c r="A4" s="647"/>
      <c r="D4" s="634"/>
      <c r="AI4" s="18"/>
      <c r="AJ4" s="18"/>
      <c r="AK4" s="18"/>
      <c r="AL4" s="18"/>
      <c r="AM4" s="18"/>
      <c r="AN4" s="18"/>
      <c r="AO4" s="18"/>
      <c r="AP4" s="18"/>
      <c r="AQ4" s="18"/>
    </row>
    <row r="5" spans="1:43" s="635" customFormat="1" ht="15" customHeight="1" x14ac:dyDescent="0.2">
      <c r="A5" s="647"/>
      <c r="D5" s="1020" t="s">
        <v>1947</v>
      </c>
      <c r="E5" s="1103"/>
      <c r="F5" s="1103"/>
      <c r="G5" s="1103"/>
      <c r="H5" s="1103"/>
      <c r="I5" s="1103"/>
      <c r="J5" s="1103"/>
      <c r="K5" s="1103"/>
      <c r="L5" s="1103"/>
      <c r="M5" s="1103"/>
      <c r="N5" s="1103"/>
      <c r="O5" s="1103"/>
      <c r="P5" s="1103"/>
      <c r="Q5" s="1103"/>
      <c r="R5" s="1103"/>
      <c r="S5" s="1103"/>
      <c r="T5" s="1103"/>
      <c r="U5" s="1103"/>
      <c r="V5" s="1103"/>
      <c r="W5" s="1103"/>
      <c r="X5" s="1103"/>
      <c r="Y5" s="1103"/>
      <c r="Z5" s="1103"/>
      <c r="AA5" s="1103"/>
      <c r="AB5" s="1103"/>
      <c r="AC5" s="1103"/>
      <c r="AD5" s="1103"/>
      <c r="AE5" s="1103"/>
      <c r="AF5" s="1103"/>
      <c r="AG5" s="1103"/>
      <c r="AI5" s="18"/>
      <c r="AJ5" s="18"/>
      <c r="AK5" s="18"/>
      <c r="AL5" s="18"/>
      <c r="AM5" s="18"/>
      <c r="AN5" s="18"/>
      <c r="AO5" s="18"/>
      <c r="AP5" s="18"/>
      <c r="AQ5" s="18"/>
    </row>
    <row r="6" spans="1:43" s="635" customFormat="1" x14ac:dyDescent="0.2">
      <c r="A6" s="647"/>
      <c r="D6" s="1103"/>
      <c r="E6" s="1103"/>
      <c r="F6" s="1103"/>
      <c r="G6" s="1103"/>
      <c r="H6" s="1103"/>
      <c r="I6" s="1103"/>
      <c r="J6" s="1103"/>
      <c r="K6" s="1103"/>
      <c r="L6" s="1103"/>
      <c r="M6" s="1103"/>
      <c r="N6" s="1103"/>
      <c r="O6" s="1103"/>
      <c r="P6" s="1103"/>
      <c r="Q6" s="1103"/>
      <c r="R6" s="1103"/>
      <c r="S6" s="1103"/>
      <c r="T6" s="1103"/>
      <c r="U6" s="1103"/>
      <c r="V6" s="1103"/>
      <c r="W6" s="1103"/>
      <c r="X6" s="1103"/>
      <c r="Y6" s="1103"/>
      <c r="Z6" s="1103"/>
      <c r="AA6" s="1103"/>
      <c r="AB6" s="1103"/>
      <c r="AC6" s="1103"/>
      <c r="AD6" s="1103"/>
      <c r="AE6" s="1103"/>
      <c r="AF6" s="1103"/>
      <c r="AG6" s="1103"/>
      <c r="AI6" s="18"/>
      <c r="AJ6" s="18"/>
      <c r="AK6" s="18"/>
      <c r="AL6" s="18"/>
      <c r="AM6" s="18"/>
      <c r="AN6" s="18"/>
      <c r="AO6" s="18"/>
      <c r="AP6" s="18"/>
      <c r="AQ6" s="18"/>
    </row>
    <row r="7" spans="1:43" s="635" customFormat="1" x14ac:dyDescent="0.2">
      <c r="A7" s="647"/>
      <c r="D7" s="1103"/>
      <c r="E7" s="1103"/>
      <c r="F7" s="1103"/>
      <c r="G7" s="1103"/>
      <c r="H7" s="1103"/>
      <c r="I7" s="1103"/>
      <c r="J7" s="1103"/>
      <c r="K7" s="1103"/>
      <c r="L7" s="1103"/>
      <c r="M7" s="1103"/>
      <c r="N7" s="1103"/>
      <c r="O7" s="1103"/>
      <c r="P7" s="1103"/>
      <c r="Q7" s="1103"/>
      <c r="R7" s="1103"/>
      <c r="S7" s="1103"/>
      <c r="T7" s="1103"/>
      <c r="U7" s="1103"/>
      <c r="V7" s="1103"/>
      <c r="W7" s="1103"/>
      <c r="X7" s="1103"/>
      <c r="Y7" s="1103"/>
      <c r="Z7" s="1103"/>
      <c r="AA7" s="1103"/>
      <c r="AB7" s="1103"/>
      <c r="AC7" s="1103"/>
      <c r="AD7" s="1103"/>
      <c r="AE7" s="1103"/>
      <c r="AF7" s="1103"/>
      <c r="AG7" s="1103"/>
      <c r="AI7" s="18"/>
      <c r="AJ7" s="18"/>
      <c r="AK7" s="18"/>
      <c r="AL7" s="18"/>
      <c r="AM7" s="18"/>
      <c r="AN7" s="18"/>
      <c r="AO7" s="18"/>
      <c r="AP7" s="18"/>
      <c r="AQ7" s="18"/>
    </row>
    <row r="8" spans="1:43" s="635" customFormat="1" x14ac:dyDescent="0.2">
      <c r="A8" s="647"/>
      <c r="D8" s="1103"/>
      <c r="E8" s="1103"/>
      <c r="F8" s="1103"/>
      <c r="G8" s="1103"/>
      <c r="H8" s="1103"/>
      <c r="I8" s="1103"/>
      <c r="J8" s="1103"/>
      <c r="K8" s="1103"/>
      <c r="L8" s="1103"/>
      <c r="M8" s="1103"/>
      <c r="N8" s="1103"/>
      <c r="O8" s="1103"/>
      <c r="P8" s="1103"/>
      <c r="Q8" s="1103"/>
      <c r="R8" s="1103"/>
      <c r="S8" s="1103"/>
      <c r="T8" s="1103"/>
      <c r="U8" s="1103"/>
      <c r="V8" s="1103"/>
      <c r="W8" s="1103"/>
      <c r="X8" s="1103"/>
      <c r="Y8" s="1103"/>
      <c r="Z8" s="1103"/>
      <c r="AA8" s="1103"/>
      <c r="AB8" s="1103"/>
      <c r="AC8" s="1103"/>
      <c r="AD8" s="1103"/>
      <c r="AE8" s="1103"/>
      <c r="AF8" s="1103"/>
      <c r="AG8" s="1103"/>
      <c r="AI8" s="18"/>
      <c r="AJ8" s="18"/>
      <c r="AK8" s="18"/>
      <c r="AL8" s="18"/>
      <c r="AM8" s="18"/>
      <c r="AN8" s="18"/>
      <c r="AO8" s="18"/>
      <c r="AP8" s="18"/>
      <c r="AQ8" s="18"/>
    </row>
    <row r="9" spans="1:43" s="635" customFormat="1" x14ac:dyDescent="0.2">
      <c r="A9" s="647"/>
      <c r="AI9" s="18"/>
      <c r="AJ9" s="18"/>
      <c r="AK9" s="18"/>
      <c r="AL9" s="18"/>
      <c r="AM9" s="18"/>
      <c r="AN9" s="18"/>
      <c r="AO9" s="18"/>
      <c r="AP9" s="18"/>
      <c r="AQ9" s="18"/>
    </row>
    <row r="10" spans="1:43" s="635" customFormat="1" ht="15" customHeight="1" x14ac:dyDescent="0.2">
      <c r="A10" s="647"/>
      <c r="D10" s="1020" t="s">
        <v>1919</v>
      </c>
      <c r="E10" s="1103"/>
      <c r="F10" s="1103"/>
      <c r="G10" s="1103"/>
      <c r="H10" s="1103"/>
      <c r="I10" s="1103"/>
      <c r="J10" s="1103"/>
      <c r="K10" s="1103"/>
      <c r="L10" s="1103"/>
      <c r="M10" s="1103"/>
      <c r="N10" s="1103"/>
      <c r="O10" s="1103"/>
      <c r="P10" s="1103"/>
      <c r="Q10" s="1103"/>
      <c r="R10" s="1103"/>
      <c r="S10" s="1103"/>
      <c r="T10" s="1103"/>
      <c r="U10" s="1103"/>
      <c r="V10" s="1103"/>
      <c r="W10" s="1103"/>
      <c r="X10" s="1103"/>
      <c r="Y10" s="1103"/>
      <c r="Z10" s="1103"/>
      <c r="AA10" s="1103"/>
      <c r="AB10" s="1103"/>
      <c r="AC10" s="1103"/>
      <c r="AD10" s="1103"/>
      <c r="AE10" s="1103"/>
      <c r="AF10" s="1103"/>
      <c r="AG10" s="1103"/>
      <c r="AI10" s="18"/>
      <c r="AJ10" s="18"/>
      <c r="AK10" s="18"/>
      <c r="AL10" s="18"/>
      <c r="AM10" s="18"/>
      <c r="AN10" s="18"/>
      <c r="AO10" s="18"/>
      <c r="AP10" s="18"/>
      <c r="AQ10" s="18"/>
    </row>
    <row r="11" spans="1:43" s="635" customFormat="1" x14ac:dyDescent="0.2">
      <c r="A11" s="647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  <c r="N11" s="1103"/>
      <c r="O11" s="1103"/>
      <c r="P11" s="1103"/>
      <c r="Q11" s="1103"/>
      <c r="R11" s="1103"/>
      <c r="S11" s="1103"/>
      <c r="T11" s="1103"/>
      <c r="U11" s="1103"/>
      <c r="V11" s="1103"/>
      <c r="W11" s="1103"/>
      <c r="X11" s="1103"/>
      <c r="Y11" s="1103"/>
      <c r="Z11" s="1103"/>
      <c r="AA11" s="1103"/>
      <c r="AB11" s="1103"/>
      <c r="AC11" s="1103"/>
      <c r="AD11" s="1103"/>
      <c r="AE11" s="1103"/>
      <c r="AF11" s="1103"/>
      <c r="AG11" s="1103"/>
      <c r="AI11" s="18"/>
      <c r="AJ11" s="18"/>
      <c r="AK11" s="18"/>
      <c r="AL11" s="18"/>
      <c r="AM11" s="18"/>
      <c r="AN11" s="18"/>
      <c r="AO11" s="18"/>
      <c r="AP11" s="18"/>
      <c r="AQ11" s="18"/>
    </row>
    <row r="12" spans="1:43" s="635" customFormat="1" x14ac:dyDescent="0.2">
      <c r="A12" s="647"/>
      <c r="AI12" s="18"/>
      <c r="AJ12" s="18"/>
      <c r="AK12" s="18"/>
      <c r="AL12" s="18"/>
      <c r="AM12" s="18"/>
      <c r="AN12" s="18"/>
      <c r="AO12" s="18"/>
      <c r="AP12" s="18"/>
      <c r="AQ12" s="18"/>
    </row>
    <row r="13" spans="1:43" s="635" customFormat="1" x14ac:dyDescent="0.2">
      <c r="A13" s="647"/>
      <c r="D13" s="646" t="s">
        <v>1422</v>
      </c>
      <c r="AI13" s="18"/>
      <c r="AJ13" s="18"/>
      <c r="AK13" s="18"/>
      <c r="AL13" s="18"/>
      <c r="AM13" s="18"/>
      <c r="AN13" s="18"/>
      <c r="AO13" s="18"/>
      <c r="AP13" s="18"/>
      <c r="AQ13" s="18"/>
    </row>
    <row r="14" spans="1:43" s="635" customFormat="1" x14ac:dyDescent="0.2">
      <c r="A14" s="647"/>
      <c r="D14" s="969" t="s">
        <v>1423</v>
      </c>
      <c r="E14" s="973" t="s">
        <v>1865</v>
      </c>
      <c r="AI14" s="18"/>
      <c r="AJ14" s="18"/>
      <c r="AK14" s="18"/>
      <c r="AL14" s="18"/>
      <c r="AM14" s="18"/>
      <c r="AN14" s="18"/>
      <c r="AO14" s="18"/>
      <c r="AP14" s="18"/>
      <c r="AQ14" s="18"/>
    </row>
    <row r="15" spans="1:43" s="635" customFormat="1" x14ac:dyDescent="0.2">
      <c r="A15" s="647"/>
      <c r="D15" s="969" t="s">
        <v>532</v>
      </c>
      <c r="E15" s="973" t="s">
        <v>1866</v>
      </c>
      <c r="AI15" s="18"/>
      <c r="AJ15" s="18"/>
      <c r="AK15" s="18"/>
      <c r="AL15" s="18"/>
      <c r="AM15" s="18"/>
      <c r="AN15" s="18"/>
      <c r="AO15" s="18"/>
      <c r="AP15" s="18"/>
      <c r="AQ15" s="18"/>
    </row>
    <row r="16" spans="1:43" s="635" customFormat="1" x14ac:dyDescent="0.2">
      <c r="A16" s="647"/>
      <c r="AI16" s="18"/>
      <c r="AJ16" s="18"/>
      <c r="AK16" s="18"/>
      <c r="AL16" s="18"/>
      <c r="AM16" s="18"/>
      <c r="AN16" s="18"/>
      <c r="AO16" s="18"/>
      <c r="AP16" s="18"/>
      <c r="AQ16" s="18"/>
    </row>
    <row r="17" spans="1:43" s="635" customFormat="1" x14ac:dyDescent="0.2">
      <c r="A17" s="647"/>
      <c r="D17" s="646" t="s">
        <v>1424</v>
      </c>
      <c r="AI17" s="18"/>
      <c r="AJ17" s="18"/>
      <c r="AK17" s="18"/>
      <c r="AL17" s="18"/>
      <c r="AM17" s="18"/>
      <c r="AN17" s="18"/>
      <c r="AO17" s="18"/>
      <c r="AP17" s="18"/>
      <c r="AQ17" s="18"/>
    </row>
    <row r="18" spans="1:43" s="635" customFormat="1" ht="15" thickBot="1" x14ac:dyDescent="0.25">
      <c r="A18" s="647"/>
      <c r="AI18" s="18"/>
      <c r="AJ18" s="18"/>
      <c r="AK18" s="18"/>
      <c r="AL18" s="18"/>
      <c r="AM18" s="18"/>
      <c r="AN18" s="18"/>
      <c r="AO18" s="18"/>
      <c r="AP18" s="18"/>
      <c r="AQ18" s="18"/>
    </row>
    <row r="19" spans="1:43" s="635" customFormat="1" ht="34.5" customHeight="1" thickBot="1" x14ac:dyDescent="0.25">
      <c r="A19" s="647">
        <v>1</v>
      </c>
      <c r="D19" s="1128" t="s">
        <v>1</v>
      </c>
      <c r="E19" s="1128"/>
      <c r="F19" s="1128"/>
      <c r="G19" s="1128"/>
      <c r="H19" s="1128"/>
      <c r="I19" s="1128"/>
      <c r="J19" s="1128"/>
      <c r="K19" s="1128"/>
      <c r="L19" s="1128"/>
      <c r="M19" s="1128"/>
      <c r="N19" s="1128"/>
      <c r="O19" s="1128"/>
      <c r="P19" s="1128" t="s">
        <v>2</v>
      </c>
      <c r="Q19" s="1128"/>
      <c r="R19" s="1128"/>
      <c r="S19" s="1128"/>
      <c r="T19" s="1128"/>
      <c r="U19" s="1128"/>
      <c r="V19" s="1128"/>
      <c r="W19" s="1128"/>
      <c r="X19" s="1128"/>
      <c r="Y19" s="1128" t="s">
        <v>3</v>
      </c>
      <c r="Z19" s="1128"/>
      <c r="AA19" s="1128"/>
      <c r="AB19" s="1128"/>
      <c r="AC19" s="1128"/>
      <c r="AD19" s="1128"/>
      <c r="AE19" s="1128"/>
      <c r="AF19" s="1128"/>
      <c r="AG19" s="1128"/>
      <c r="AI19" s="18"/>
      <c r="AJ19" s="18"/>
      <c r="AK19" s="18"/>
      <c r="AL19" s="18"/>
      <c r="AM19" s="18"/>
      <c r="AN19" s="18"/>
      <c r="AO19" s="18"/>
      <c r="AP19" s="18"/>
      <c r="AQ19" s="18"/>
    </row>
    <row r="20" spans="1:43" s="635" customFormat="1" ht="30" customHeight="1" x14ac:dyDescent="0.2">
      <c r="A20" s="647"/>
      <c r="D20" s="1131" t="s">
        <v>4</v>
      </c>
      <c r="E20" s="1131"/>
      <c r="F20" s="1131"/>
      <c r="G20" s="1131"/>
      <c r="H20" s="1131"/>
      <c r="I20" s="1131"/>
      <c r="J20" s="1131"/>
      <c r="K20" s="1131"/>
      <c r="L20" s="1131"/>
      <c r="M20" s="1131"/>
      <c r="N20" s="1131"/>
      <c r="O20" s="1131"/>
      <c r="P20" s="1127">
        <v>2</v>
      </c>
      <c r="Q20" s="1127"/>
      <c r="R20" s="1127"/>
      <c r="S20" s="1127"/>
      <c r="T20" s="1127"/>
      <c r="U20" s="1127"/>
      <c r="V20" s="1127"/>
      <c r="W20" s="1127"/>
      <c r="X20" s="1127"/>
      <c r="Y20" s="1127">
        <v>2</v>
      </c>
      <c r="Z20" s="1127"/>
      <c r="AA20" s="1127"/>
      <c r="AB20" s="1127"/>
      <c r="AC20" s="1127"/>
      <c r="AD20" s="1127"/>
      <c r="AE20" s="1127"/>
      <c r="AF20" s="1127"/>
      <c r="AG20" s="1127"/>
      <c r="AI20" s="18"/>
      <c r="AJ20" s="18"/>
      <c r="AK20" s="18"/>
      <c r="AL20" s="18"/>
      <c r="AM20" s="18"/>
      <c r="AN20" s="18"/>
      <c r="AO20" s="18"/>
      <c r="AP20" s="18"/>
      <c r="AQ20" s="18"/>
    </row>
    <row r="21" spans="1:43" s="635" customFormat="1" ht="30" customHeight="1" x14ac:dyDescent="0.2">
      <c r="A21" s="647"/>
      <c r="D21" s="1130" t="s">
        <v>5</v>
      </c>
      <c r="E21" s="1130"/>
      <c r="F21" s="1130"/>
      <c r="G21" s="1130"/>
      <c r="H21" s="1130"/>
      <c r="I21" s="1130"/>
      <c r="J21" s="1130"/>
      <c r="K21" s="1130"/>
      <c r="L21" s="1130"/>
      <c r="M21" s="1130"/>
      <c r="N21" s="1130"/>
      <c r="O21" s="1130"/>
      <c r="P21" s="1099">
        <v>2</v>
      </c>
      <c r="Q21" s="1099"/>
      <c r="R21" s="1099"/>
      <c r="S21" s="1099"/>
      <c r="T21" s="1099"/>
      <c r="U21" s="1099"/>
      <c r="V21" s="1099"/>
      <c r="W21" s="1099"/>
      <c r="X21" s="1099"/>
      <c r="Y21" s="1099">
        <v>2</v>
      </c>
      <c r="Z21" s="1099"/>
      <c r="AA21" s="1099"/>
      <c r="AB21" s="1099"/>
      <c r="AC21" s="1099"/>
      <c r="AD21" s="1099"/>
      <c r="AE21" s="1099"/>
      <c r="AF21" s="1099"/>
      <c r="AG21" s="1099"/>
      <c r="AI21" s="18"/>
      <c r="AJ21" s="18"/>
      <c r="AK21" s="18"/>
      <c r="AL21" s="18"/>
      <c r="AM21" s="18"/>
      <c r="AN21" s="18"/>
      <c r="AO21" s="18"/>
      <c r="AP21" s="18"/>
      <c r="AQ21" s="18"/>
    </row>
    <row r="22" spans="1:43" s="635" customFormat="1" ht="30" customHeight="1" thickBot="1" x14ac:dyDescent="0.25">
      <c r="A22" s="647"/>
      <c r="D22" s="1129" t="s">
        <v>6</v>
      </c>
      <c r="E22" s="1129"/>
      <c r="F22" s="1129"/>
      <c r="G22" s="1129"/>
      <c r="H22" s="1129"/>
      <c r="I22" s="1129"/>
      <c r="J22" s="1129"/>
      <c r="K22" s="1129"/>
      <c r="L22" s="1129"/>
      <c r="M22" s="1129"/>
      <c r="N22" s="1129"/>
      <c r="O22" s="1129"/>
      <c r="P22" s="1126">
        <v>0</v>
      </c>
      <c r="Q22" s="1126"/>
      <c r="R22" s="1126"/>
      <c r="S22" s="1126"/>
      <c r="T22" s="1126"/>
      <c r="U22" s="1126"/>
      <c r="V22" s="1126"/>
      <c r="W22" s="1126"/>
      <c r="X22" s="1126"/>
      <c r="Y22" s="1126">
        <v>0</v>
      </c>
      <c r="Z22" s="1126"/>
      <c r="AA22" s="1126"/>
      <c r="AB22" s="1126"/>
      <c r="AC22" s="1126"/>
      <c r="AD22" s="1126"/>
      <c r="AE22" s="1126"/>
      <c r="AF22" s="1126"/>
      <c r="AG22" s="1126"/>
      <c r="AI22" s="18"/>
      <c r="AJ22" s="18"/>
      <c r="AK22" s="18"/>
      <c r="AL22" s="18"/>
      <c r="AM22" s="18"/>
      <c r="AN22" s="18"/>
      <c r="AO22" s="18"/>
      <c r="AP22" s="18"/>
      <c r="AQ22" s="18"/>
    </row>
    <row r="23" spans="1:43" s="635" customFormat="1" x14ac:dyDescent="0.2">
      <c r="A23" s="647"/>
      <c r="AI23" s="18"/>
      <c r="AJ23" s="18"/>
      <c r="AK23" s="18"/>
      <c r="AL23" s="18"/>
      <c r="AM23" s="18"/>
      <c r="AN23" s="18"/>
      <c r="AO23" s="18"/>
      <c r="AP23" s="18"/>
      <c r="AQ23" s="18"/>
    </row>
    <row r="24" spans="1:43" s="635" customFormat="1" x14ac:dyDescent="0.2">
      <c r="A24" s="647"/>
      <c r="AI24" s="18"/>
      <c r="AJ24" s="18"/>
      <c r="AK24" s="18"/>
      <c r="AL24" s="18"/>
      <c r="AM24" s="18"/>
      <c r="AN24" s="18"/>
      <c r="AO24" s="18"/>
      <c r="AP24" s="18"/>
      <c r="AQ24" s="18"/>
    </row>
    <row r="25" spans="1:43" s="635" customFormat="1" ht="15" customHeight="1" x14ac:dyDescent="0.2">
      <c r="A25" s="647"/>
      <c r="D25" s="1123" t="s">
        <v>1894</v>
      </c>
      <c r="E25" s="1124"/>
      <c r="F25" s="1124"/>
      <c r="G25" s="1124"/>
      <c r="H25" s="1124"/>
      <c r="I25" s="1124"/>
      <c r="J25" s="1124"/>
      <c r="K25" s="1124"/>
      <c r="L25" s="1124"/>
      <c r="M25" s="1124"/>
      <c r="N25" s="1124"/>
      <c r="O25" s="1124"/>
      <c r="P25" s="1124"/>
      <c r="Q25" s="1124"/>
      <c r="R25" s="1124"/>
      <c r="S25" s="1124"/>
      <c r="T25" s="1124"/>
      <c r="U25" s="1124"/>
      <c r="V25" s="1124"/>
      <c r="W25" s="1124"/>
      <c r="X25" s="1124"/>
      <c r="Y25" s="1124"/>
      <c r="Z25" s="1124"/>
      <c r="AA25" s="1124"/>
      <c r="AB25" s="1124"/>
      <c r="AC25" s="1124"/>
      <c r="AD25" s="1124"/>
      <c r="AE25" s="1124"/>
      <c r="AF25" s="1124"/>
      <c r="AG25" s="1124"/>
      <c r="AI25" s="18"/>
      <c r="AJ25" s="18"/>
      <c r="AK25" s="18"/>
      <c r="AL25" s="18"/>
      <c r="AM25" s="18"/>
      <c r="AN25" s="18"/>
      <c r="AO25" s="18"/>
      <c r="AP25" s="18"/>
      <c r="AQ25" s="18"/>
    </row>
    <row r="26" spans="1:43" s="635" customFormat="1" x14ac:dyDescent="0.2">
      <c r="A26" s="647"/>
      <c r="D26" s="1124"/>
      <c r="E26" s="1124"/>
      <c r="F26" s="1124"/>
      <c r="G26" s="1124"/>
      <c r="H26" s="1124"/>
      <c r="I26" s="1124"/>
      <c r="J26" s="1124"/>
      <c r="K26" s="1124"/>
      <c r="L26" s="1124"/>
      <c r="M26" s="1124"/>
      <c r="N26" s="1124"/>
      <c r="O26" s="1124"/>
      <c r="P26" s="1124"/>
      <c r="Q26" s="1124"/>
      <c r="R26" s="1124"/>
      <c r="S26" s="1124"/>
      <c r="T26" s="1124"/>
      <c r="U26" s="1124"/>
      <c r="V26" s="1124"/>
      <c r="W26" s="1124"/>
      <c r="X26" s="1124"/>
      <c r="Y26" s="1124"/>
      <c r="Z26" s="1124"/>
      <c r="AA26" s="1124"/>
      <c r="AB26" s="1124"/>
      <c r="AC26" s="1124"/>
      <c r="AD26" s="1124"/>
      <c r="AE26" s="1124"/>
      <c r="AF26" s="1124"/>
      <c r="AG26" s="1124"/>
      <c r="AI26" s="18"/>
      <c r="AJ26" s="18"/>
      <c r="AK26" s="18"/>
      <c r="AL26" s="18"/>
      <c r="AM26" s="18"/>
      <c r="AN26" s="18"/>
      <c r="AO26" s="18"/>
      <c r="AP26" s="18"/>
      <c r="AQ26" s="18"/>
    </row>
    <row r="27" spans="1:43" s="635" customFormat="1" ht="15" thickBot="1" x14ac:dyDescent="0.25">
      <c r="A27" s="647"/>
      <c r="D27" s="968"/>
      <c r="E27" s="968"/>
      <c r="F27" s="968"/>
      <c r="G27" s="968"/>
      <c r="H27" s="968"/>
      <c r="I27" s="968"/>
      <c r="J27" s="968"/>
      <c r="K27" s="968"/>
      <c r="L27" s="968"/>
      <c r="M27" s="968"/>
      <c r="N27" s="968"/>
      <c r="O27" s="968"/>
      <c r="P27" s="968"/>
      <c r="Q27" s="968"/>
      <c r="R27" s="968"/>
      <c r="S27" s="968"/>
      <c r="T27" s="968"/>
      <c r="U27" s="968"/>
      <c r="V27" s="968"/>
      <c r="W27" s="968"/>
      <c r="X27" s="968"/>
      <c r="Y27" s="968"/>
      <c r="Z27" s="968"/>
      <c r="AA27" s="968"/>
      <c r="AB27" s="968"/>
      <c r="AC27" s="968"/>
      <c r="AD27" s="968"/>
      <c r="AE27" s="968"/>
      <c r="AF27" s="968"/>
      <c r="AG27" s="968"/>
      <c r="AI27" s="18"/>
      <c r="AJ27" s="18"/>
      <c r="AK27" s="18"/>
      <c r="AL27" s="18"/>
      <c r="AM27" s="18"/>
      <c r="AN27" s="18"/>
      <c r="AO27" s="18"/>
      <c r="AP27" s="18"/>
      <c r="AQ27" s="18"/>
    </row>
    <row r="28" spans="1:43" s="635" customFormat="1" ht="24.75" customHeight="1" thickBot="1" x14ac:dyDescent="0.25">
      <c r="A28" s="647" t="s">
        <v>1425</v>
      </c>
      <c r="D28" s="1035" t="s">
        <v>1916</v>
      </c>
      <c r="E28" s="1035"/>
      <c r="F28" s="1035"/>
      <c r="G28" s="1035"/>
      <c r="H28" s="1035"/>
      <c r="I28" s="1035"/>
      <c r="J28" s="1035"/>
      <c r="K28" s="1035"/>
      <c r="L28" s="1035"/>
      <c r="M28" s="1035"/>
      <c r="N28" s="1035" t="s">
        <v>10</v>
      </c>
      <c r="O28" s="1035"/>
      <c r="P28" s="1035"/>
      <c r="Q28" s="1035"/>
      <c r="R28" s="1035"/>
      <c r="S28" s="1035"/>
      <c r="T28" s="1035"/>
      <c r="U28" s="1035"/>
      <c r="V28" s="1035"/>
      <c r="W28" s="1035"/>
      <c r="X28" s="1035" t="s">
        <v>11</v>
      </c>
      <c r="Y28" s="1035"/>
      <c r="Z28" s="1035"/>
      <c r="AA28" s="1035"/>
      <c r="AB28" s="1035"/>
      <c r="AC28" s="1035" t="s">
        <v>454</v>
      </c>
      <c r="AD28" s="1035"/>
      <c r="AE28" s="1035"/>
      <c r="AF28" s="1035"/>
      <c r="AG28" s="1035"/>
      <c r="AI28" s="18"/>
      <c r="AJ28" s="18"/>
      <c r="AK28" s="18"/>
      <c r="AL28" s="18"/>
      <c r="AM28" s="18"/>
      <c r="AN28" s="18"/>
      <c r="AO28" s="18"/>
      <c r="AP28" s="18"/>
      <c r="AQ28" s="18"/>
    </row>
    <row r="29" spans="1:43" s="635" customFormat="1" ht="24.75" customHeight="1" thickBot="1" x14ac:dyDescent="0.25">
      <c r="A29" s="647"/>
      <c r="D29" s="1035"/>
      <c r="E29" s="1035"/>
      <c r="F29" s="1035"/>
      <c r="G29" s="1035"/>
      <c r="H29" s="1035"/>
      <c r="I29" s="1035"/>
      <c r="J29" s="1035"/>
      <c r="K29" s="1035"/>
      <c r="L29" s="1035"/>
      <c r="M29" s="1035"/>
      <c r="N29" s="1035" t="s">
        <v>13</v>
      </c>
      <c r="O29" s="1035"/>
      <c r="P29" s="1035"/>
      <c r="Q29" s="1035"/>
      <c r="R29" s="1035"/>
      <c r="S29" s="1035" t="s">
        <v>12</v>
      </c>
      <c r="T29" s="1035"/>
      <c r="U29" s="1035"/>
      <c r="V29" s="1035"/>
      <c r="W29" s="1035"/>
      <c r="X29" s="1035"/>
      <c r="Y29" s="1035"/>
      <c r="Z29" s="1035"/>
      <c r="AA29" s="1035"/>
      <c r="AB29" s="1035"/>
      <c r="AC29" s="1035"/>
      <c r="AD29" s="1035"/>
      <c r="AE29" s="1035"/>
      <c r="AF29" s="1035"/>
      <c r="AG29" s="1035"/>
      <c r="AI29" s="18"/>
      <c r="AJ29" s="18"/>
      <c r="AK29" s="18"/>
      <c r="AL29" s="18"/>
      <c r="AM29" s="18"/>
      <c r="AN29" s="18"/>
      <c r="AO29" s="18"/>
      <c r="AP29" s="18"/>
      <c r="AQ29" s="18"/>
    </row>
    <row r="30" spans="1:43" s="635" customFormat="1" ht="15.75" customHeight="1" x14ac:dyDescent="0.2">
      <c r="A30" s="647"/>
      <c r="D30" s="1125" t="s">
        <v>1867</v>
      </c>
      <c r="E30" s="1125"/>
      <c r="F30" s="1125"/>
      <c r="G30" s="1125"/>
      <c r="H30" s="1125"/>
      <c r="I30" s="1125"/>
      <c r="J30" s="1125"/>
      <c r="K30" s="1125"/>
      <c r="L30" s="1125"/>
      <c r="M30" s="1125"/>
      <c r="N30" s="1119">
        <v>6639</v>
      </c>
      <c r="O30" s="1119"/>
      <c r="P30" s="1119"/>
      <c r="Q30" s="1119"/>
      <c r="R30" s="1119"/>
      <c r="S30" s="1115">
        <v>1</v>
      </c>
      <c r="T30" s="1115"/>
      <c r="U30" s="1115"/>
      <c r="V30" s="1115"/>
      <c r="W30" s="1115"/>
      <c r="X30" s="1115">
        <v>1</v>
      </c>
      <c r="Y30" s="1115"/>
      <c r="Z30" s="1115"/>
      <c r="AA30" s="1115"/>
      <c r="AB30" s="1115"/>
      <c r="AC30" s="1115"/>
      <c r="AD30" s="1115"/>
      <c r="AE30" s="1115"/>
      <c r="AF30" s="1115"/>
      <c r="AG30" s="1115"/>
      <c r="AI30" s="18"/>
      <c r="AJ30" s="18"/>
      <c r="AK30" s="18"/>
      <c r="AL30" s="18"/>
      <c r="AM30" s="18"/>
      <c r="AN30" s="18"/>
      <c r="AO30" s="18"/>
      <c r="AP30" s="18"/>
      <c r="AQ30" s="18"/>
    </row>
    <row r="31" spans="1:43" s="635" customFormat="1" ht="15.75" customHeight="1" thickBot="1" x14ac:dyDescent="0.25">
      <c r="A31" s="647"/>
      <c r="D31" s="1109" t="s">
        <v>14</v>
      </c>
      <c r="E31" s="1110"/>
      <c r="F31" s="1110"/>
      <c r="G31" s="1110"/>
      <c r="H31" s="1110"/>
      <c r="I31" s="1110"/>
      <c r="J31" s="1110"/>
      <c r="K31" s="1110"/>
      <c r="L31" s="1110"/>
      <c r="M31" s="1111"/>
      <c r="N31" s="1114">
        <f>SUM(N30:R30)</f>
        <v>6639</v>
      </c>
      <c r="O31" s="1114"/>
      <c r="P31" s="1114"/>
      <c r="Q31" s="1114"/>
      <c r="R31" s="1114"/>
      <c r="S31" s="1116">
        <f>SUM(S30:W30)</f>
        <v>1</v>
      </c>
      <c r="T31" s="1117"/>
      <c r="U31" s="1117"/>
      <c r="V31" s="1117"/>
      <c r="W31" s="1118"/>
      <c r="X31" s="1116">
        <f>SUM(X30:AB30)</f>
        <v>1</v>
      </c>
      <c r="Y31" s="1117"/>
      <c r="Z31" s="1117"/>
      <c r="AA31" s="1117"/>
      <c r="AB31" s="1118"/>
      <c r="AC31" s="1116">
        <f>SUM(AC30:AG30)</f>
        <v>0</v>
      </c>
      <c r="AD31" s="1117"/>
      <c r="AE31" s="1117"/>
      <c r="AF31" s="1117"/>
      <c r="AG31" s="1118"/>
      <c r="AI31" s="18"/>
      <c r="AJ31" s="18"/>
      <c r="AK31" s="18"/>
      <c r="AL31" s="18"/>
      <c r="AM31" s="18"/>
      <c r="AN31" s="18"/>
      <c r="AO31" s="18"/>
      <c r="AP31" s="18"/>
      <c r="AQ31" s="18"/>
    </row>
    <row r="32" spans="1:43" s="635" customFormat="1" x14ac:dyDescent="0.2">
      <c r="A32" s="647"/>
      <c r="D32" s="968"/>
      <c r="E32" s="968"/>
      <c r="F32" s="968"/>
      <c r="G32" s="968"/>
      <c r="H32" s="968"/>
      <c r="I32" s="968"/>
      <c r="J32" s="968"/>
      <c r="K32" s="968"/>
      <c r="L32" s="968"/>
      <c r="M32" s="968"/>
      <c r="N32" s="968"/>
      <c r="O32" s="968"/>
      <c r="P32" s="968"/>
      <c r="Q32" s="968"/>
      <c r="R32" s="968"/>
      <c r="S32" s="968"/>
      <c r="T32" s="968"/>
      <c r="U32" s="968"/>
      <c r="V32" s="968"/>
      <c r="W32" s="968"/>
      <c r="X32" s="968"/>
      <c r="Y32" s="968"/>
      <c r="Z32" s="968"/>
      <c r="AA32" s="968"/>
      <c r="AB32" s="968"/>
      <c r="AC32" s="968"/>
      <c r="AD32" s="968"/>
      <c r="AE32" s="968"/>
      <c r="AF32" s="968"/>
      <c r="AG32" s="968"/>
      <c r="AI32" s="18"/>
      <c r="AJ32" s="18"/>
      <c r="AK32" s="18"/>
      <c r="AL32" s="18"/>
      <c r="AM32" s="18"/>
      <c r="AN32" s="18"/>
      <c r="AO32" s="18"/>
      <c r="AP32" s="18"/>
      <c r="AQ32" s="18"/>
    </row>
    <row r="33" spans="1:43" s="635" customFormat="1" ht="14.25" customHeight="1" x14ac:dyDescent="0.2">
      <c r="A33" s="647"/>
      <c r="D33" s="1020" t="s">
        <v>1974</v>
      </c>
      <c r="E33" s="1113"/>
      <c r="F33" s="1113"/>
      <c r="G33" s="1113"/>
      <c r="H33" s="1113"/>
      <c r="I33" s="1113"/>
      <c r="J33" s="1113"/>
      <c r="K33" s="1113"/>
      <c r="L33" s="1113"/>
      <c r="M33" s="1113"/>
      <c r="N33" s="1113"/>
      <c r="O33" s="1113"/>
      <c r="P33" s="1113"/>
      <c r="Q33" s="1113"/>
      <c r="R33" s="1113"/>
      <c r="S33" s="1113"/>
      <c r="T33" s="1113"/>
      <c r="U33" s="1113"/>
      <c r="V33" s="1113"/>
      <c r="W33" s="1113"/>
      <c r="X33" s="1113"/>
      <c r="Y33" s="1113"/>
      <c r="Z33" s="1113"/>
      <c r="AA33" s="1113"/>
      <c r="AB33" s="1113"/>
      <c r="AC33" s="1113"/>
      <c r="AD33" s="1113"/>
      <c r="AE33" s="1113"/>
      <c r="AF33" s="1113"/>
      <c r="AG33" s="1113"/>
      <c r="AI33" s="18"/>
      <c r="AJ33" s="18"/>
      <c r="AK33" s="18"/>
      <c r="AL33" s="18"/>
      <c r="AM33" s="18"/>
      <c r="AN33" s="18"/>
      <c r="AO33" s="18"/>
      <c r="AP33" s="18"/>
      <c r="AQ33" s="18"/>
    </row>
    <row r="34" spans="1:43" s="635" customFormat="1" x14ac:dyDescent="0.2">
      <c r="A34" s="647"/>
      <c r="D34" s="1113"/>
      <c r="E34" s="1113"/>
      <c r="F34" s="1113"/>
      <c r="G34" s="1113"/>
      <c r="H34" s="1113"/>
      <c r="I34" s="1113"/>
      <c r="J34" s="1113"/>
      <c r="K34" s="1113"/>
      <c r="L34" s="1113"/>
      <c r="M34" s="1113"/>
      <c r="N34" s="1113"/>
      <c r="O34" s="1113"/>
      <c r="P34" s="1113"/>
      <c r="Q34" s="1113"/>
      <c r="R34" s="1113"/>
      <c r="S34" s="1113"/>
      <c r="T34" s="1113"/>
      <c r="U34" s="1113"/>
      <c r="V34" s="1113"/>
      <c r="W34" s="1113"/>
      <c r="X34" s="1113"/>
      <c r="Y34" s="1113"/>
      <c r="Z34" s="1113"/>
      <c r="AA34" s="1113"/>
      <c r="AB34" s="1113"/>
      <c r="AC34" s="1113"/>
      <c r="AD34" s="1113"/>
      <c r="AE34" s="1113"/>
      <c r="AF34" s="1113"/>
      <c r="AG34" s="1113"/>
      <c r="AI34" s="18"/>
      <c r="AJ34" s="18"/>
      <c r="AK34" s="18"/>
      <c r="AL34" s="18"/>
      <c r="AM34" s="18"/>
      <c r="AN34" s="18"/>
      <c r="AO34" s="18"/>
      <c r="AP34" s="18"/>
      <c r="AQ34" s="18"/>
    </row>
    <row r="35" spans="1:43" s="635" customFormat="1" x14ac:dyDescent="0.2">
      <c r="A35" s="647"/>
      <c r="D35" s="1113"/>
      <c r="E35" s="1113"/>
      <c r="F35" s="1113"/>
      <c r="G35" s="1113"/>
      <c r="H35" s="1113"/>
      <c r="I35" s="1113"/>
      <c r="J35" s="1113"/>
      <c r="K35" s="1113"/>
      <c r="L35" s="1113"/>
      <c r="M35" s="1113"/>
      <c r="N35" s="1113"/>
      <c r="O35" s="1113"/>
      <c r="P35" s="1113"/>
      <c r="Q35" s="1113"/>
      <c r="R35" s="1113"/>
      <c r="S35" s="1113"/>
      <c r="T35" s="1113"/>
      <c r="U35" s="1113"/>
      <c r="V35" s="1113"/>
      <c r="W35" s="1113"/>
      <c r="X35" s="1113"/>
      <c r="Y35" s="1113"/>
      <c r="Z35" s="1113"/>
      <c r="AA35" s="1113"/>
      <c r="AB35" s="1113"/>
      <c r="AC35" s="1113"/>
      <c r="AD35" s="1113"/>
      <c r="AE35" s="1113"/>
      <c r="AF35" s="1113"/>
      <c r="AG35" s="1113"/>
      <c r="AI35" s="18"/>
      <c r="AJ35" s="18"/>
      <c r="AK35" s="18"/>
      <c r="AL35" s="18"/>
      <c r="AM35" s="18"/>
      <c r="AN35" s="18"/>
      <c r="AO35" s="18"/>
      <c r="AP35" s="18"/>
      <c r="AQ35" s="18"/>
    </row>
    <row r="36" spans="1:43" s="635" customFormat="1" x14ac:dyDescent="0.2">
      <c r="A36" s="647"/>
      <c r="D36" s="1113"/>
      <c r="E36" s="1113"/>
      <c r="F36" s="1113"/>
      <c r="G36" s="1113"/>
      <c r="H36" s="1113"/>
      <c r="I36" s="1113"/>
      <c r="J36" s="1113"/>
      <c r="K36" s="1113"/>
      <c r="L36" s="1113"/>
      <c r="M36" s="1113"/>
      <c r="N36" s="1113"/>
      <c r="O36" s="1113"/>
      <c r="P36" s="1113"/>
      <c r="Q36" s="1113"/>
      <c r="R36" s="1113"/>
      <c r="S36" s="1113"/>
      <c r="T36" s="1113"/>
      <c r="U36" s="1113"/>
      <c r="V36" s="1113"/>
      <c r="W36" s="1113"/>
      <c r="X36" s="1113"/>
      <c r="Y36" s="1113"/>
      <c r="Z36" s="1113"/>
      <c r="AA36" s="1113"/>
      <c r="AB36" s="1113"/>
      <c r="AC36" s="1113"/>
      <c r="AD36" s="1113"/>
      <c r="AE36" s="1113"/>
      <c r="AF36" s="1113"/>
      <c r="AG36" s="1113"/>
      <c r="AI36" s="18"/>
      <c r="AJ36" s="18"/>
      <c r="AK36" s="18"/>
      <c r="AL36" s="18"/>
      <c r="AM36" s="18"/>
      <c r="AN36" s="18"/>
      <c r="AO36" s="18"/>
      <c r="AP36" s="18"/>
      <c r="AQ36" s="18"/>
    </row>
    <row r="37" spans="1:43" s="635" customFormat="1" ht="19.5" customHeight="1" x14ac:dyDescent="0.2">
      <c r="A37" s="647"/>
      <c r="D37" s="1113"/>
      <c r="E37" s="1113"/>
      <c r="F37" s="1113"/>
      <c r="G37" s="1113"/>
      <c r="H37" s="1113"/>
      <c r="I37" s="1113"/>
      <c r="J37" s="1113"/>
      <c r="K37" s="1113"/>
      <c r="L37" s="1113"/>
      <c r="M37" s="1113"/>
      <c r="N37" s="1113"/>
      <c r="O37" s="1113"/>
      <c r="P37" s="1113"/>
      <c r="Q37" s="1113"/>
      <c r="R37" s="1113"/>
      <c r="S37" s="1113"/>
      <c r="T37" s="1113"/>
      <c r="U37" s="1113"/>
      <c r="V37" s="1113"/>
      <c r="W37" s="1113"/>
      <c r="X37" s="1113"/>
      <c r="Y37" s="1113"/>
      <c r="Z37" s="1113"/>
      <c r="AA37" s="1113"/>
      <c r="AB37" s="1113"/>
      <c r="AC37" s="1113"/>
      <c r="AD37" s="1113"/>
      <c r="AE37" s="1113"/>
      <c r="AF37" s="1113"/>
      <c r="AG37" s="1113"/>
      <c r="AI37" s="18"/>
      <c r="AJ37" s="18"/>
      <c r="AK37" s="18"/>
      <c r="AL37" s="18"/>
      <c r="AM37" s="18"/>
      <c r="AN37" s="18"/>
      <c r="AO37" s="18"/>
      <c r="AP37" s="18"/>
      <c r="AQ37" s="18"/>
    </row>
    <row r="38" spans="1:43" s="635" customFormat="1" ht="14.25" customHeight="1" x14ac:dyDescent="0.2">
      <c r="A38" s="647"/>
      <c r="D38" s="1020" t="s">
        <v>1868</v>
      </c>
      <c r="E38" s="1113"/>
      <c r="F38" s="1113"/>
      <c r="G38" s="1113"/>
      <c r="H38" s="1113"/>
      <c r="I38" s="1113"/>
      <c r="J38" s="1113"/>
      <c r="K38" s="1113"/>
      <c r="L38" s="1113"/>
      <c r="M38" s="1113"/>
      <c r="N38" s="1113"/>
      <c r="O38" s="1113"/>
      <c r="P38" s="1113"/>
      <c r="Q38" s="1113"/>
      <c r="R38" s="1113"/>
      <c r="S38" s="1113"/>
      <c r="T38" s="1113"/>
      <c r="U38" s="1113"/>
      <c r="V38" s="1113"/>
      <c r="W38" s="1113"/>
      <c r="X38" s="1113"/>
      <c r="Y38" s="1113"/>
      <c r="Z38" s="1113"/>
      <c r="AA38" s="1113"/>
      <c r="AB38" s="1113"/>
      <c r="AC38" s="1113"/>
      <c r="AD38" s="1113"/>
      <c r="AE38" s="1113"/>
      <c r="AF38" s="1113"/>
      <c r="AG38" s="1113"/>
      <c r="AI38" s="18"/>
      <c r="AJ38" s="18"/>
      <c r="AK38" s="18"/>
      <c r="AL38" s="18"/>
      <c r="AM38" s="18"/>
      <c r="AN38" s="18"/>
      <c r="AO38" s="18"/>
      <c r="AP38" s="18"/>
      <c r="AQ38" s="18"/>
    </row>
    <row r="39" spans="1:43" s="635" customFormat="1" x14ac:dyDescent="0.2">
      <c r="A39" s="647"/>
      <c r="D39" s="1113"/>
      <c r="E39" s="1113"/>
      <c r="F39" s="1113"/>
      <c r="G39" s="1113"/>
      <c r="H39" s="1113"/>
      <c r="I39" s="1113"/>
      <c r="J39" s="1113"/>
      <c r="K39" s="1113"/>
      <c r="L39" s="1113"/>
      <c r="M39" s="1113"/>
      <c r="N39" s="1113"/>
      <c r="O39" s="1113"/>
      <c r="P39" s="1113"/>
      <c r="Q39" s="1113"/>
      <c r="R39" s="1113"/>
      <c r="S39" s="1113"/>
      <c r="T39" s="1113"/>
      <c r="U39" s="1113"/>
      <c r="V39" s="1113"/>
      <c r="W39" s="1113"/>
      <c r="X39" s="1113"/>
      <c r="Y39" s="1113"/>
      <c r="Z39" s="1113"/>
      <c r="AA39" s="1113"/>
      <c r="AB39" s="1113"/>
      <c r="AC39" s="1113"/>
      <c r="AD39" s="1113"/>
      <c r="AE39" s="1113"/>
      <c r="AF39" s="1113"/>
      <c r="AG39" s="1113"/>
      <c r="AI39" s="18"/>
      <c r="AJ39" s="18"/>
      <c r="AK39" s="18"/>
      <c r="AL39" s="18"/>
      <c r="AM39" s="18"/>
      <c r="AN39" s="18"/>
      <c r="AO39" s="18"/>
      <c r="AP39" s="18"/>
      <c r="AQ39" s="18"/>
    </row>
    <row r="40" spans="1:43" s="635" customFormat="1" x14ac:dyDescent="0.2">
      <c r="A40" s="647"/>
      <c r="AI40" s="18"/>
      <c r="AJ40" s="18"/>
      <c r="AK40" s="18"/>
      <c r="AL40" s="18"/>
      <c r="AM40" s="18"/>
      <c r="AN40" s="18"/>
      <c r="AO40" s="18"/>
      <c r="AP40" s="18"/>
      <c r="AQ40" s="18"/>
    </row>
    <row r="41" spans="1:43" s="635" customFormat="1" x14ac:dyDescent="0.2">
      <c r="A41" s="647"/>
      <c r="D41" s="969" t="s">
        <v>1869</v>
      </c>
      <c r="E41" s="638"/>
      <c r="F41" s="638"/>
      <c r="G41" s="638"/>
      <c r="H41" s="638"/>
      <c r="I41" s="638"/>
      <c r="J41" s="638"/>
      <c r="K41" s="638"/>
      <c r="L41" s="638"/>
      <c r="M41" s="638"/>
      <c r="N41" s="638"/>
      <c r="O41" s="638"/>
      <c r="P41" s="638"/>
      <c r="Q41" s="638"/>
      <c r="R41" s="638"/>
      <c r="S41" s="638"/>
      <c r="T41" s="638"/>
      <c r="U41" s="638"/>
      <c r="V41" s="638"/>
      <c r="W41" s="638"/>
      <c r="X41" s="638"/>
      <c r="Y41" s="638"/>
      <c r="Z41" s="638"/>
      <c r="AA41" s="638"/>
      <c r="AB41" s="638"/>
      <c r="AC41" s="638"/>
      <c r="AD41" s="638"/>
      <c r="AE41" s="638"/>
      <c r="AF41" s="638"/>
      <c r="AG41" s="638"/>
      <c r="AI41" s="18"/>
      <c r="AJ41" s="18"/>
      <c r="AK41" s="18"/>
      <c r="AL41" s="18"/>
      <c r="AM41" s="18"/>
      <c r="AN41" s="18"/>
      <c r="AO41" s="18"/>
      <c r="AP41" s="18"/>
      <c r="AQ41" s="18"/>
    </row>
    <row r="42" spans="1:43" s="635" customFormat="1" x14ac:dyDescent="0.2">
      <c r="A42" s="647"/>
      <c r="AI42" s="18"/>
      <c r="AJ42" s="18"/>
      <c r="AK42" s="18"/>
      <c r="AL42" s="18"/>
      <c r="AM42" s="18"/>
      <c r="AN42" s="18"/>
      <c r="AO42" s="18"/>
      <c r="AP42" s="18"/>
      <c r="AQ42" s="18"/>
    </row>
    <row r="43" spans="1:43" s="635" customFormat="1" ht="15" thickBot="1" x14ac:dyDescent="0.25">
      <c r="A43" s="647"/>
      <c r="D43" s="1112" t="s">
        <v>1895</v>
      </c>
      <c r="E43" s="1112"/>
      <c r="F43" s="1112"/>
      <c r="G43" s="1112"/>
      <c r="H43" s="1112"/>
      <c r="I43" s="1112"/>
      <c r="J43" s="1112"/>
      <c r="K43" s="1112"/>
      <c r="L43" s="1112"/>
      <c r="M43" s="1112"/>
      <c r="N43" s="1112"/>
      <c r="O43" s="1112"/>
      <c r="P43" s="974" t="s">
        <v>1896</v>
      </c>
      <c r="Q43" s="975"/>
      <c r="R43" s="975"/>
      <c r="S43" s="974" t="s">
        <v>1897</v>
      </c>
      <c r="T43" s="975"/>
      <c r="U43" s="975"/>
      <c r="V43" s="975"/>
      <c r="W43" s="975"/>
      <c r="X43" s="975"/>
      <c r="AI43" s="18"/>
      <c r="AJ43" s="18"/>
      <c r="AK43" s="18"/>
      <c r="AL43" s="18"/>
      <c r="AM43" s="18"/>
      <c r="AN43" s="18"/>
      <c r="AO43" s="18"/>
      <c r="AP43" s="18"/>
      <c r="AQ43" s="18"/>
    </row>
    <row r="44" spans="1:43" s="635" customFormat="1" ht="15" thickTop="1" x14ac:dyDescent="0.2">
      <c r="A44" s="647"/>
      <c r="D44" s="640" t="s">
        <v>1898</v>
      </c>
      <c r="O44" s="18" t="s">
        <v>1870</v>
      </c>
      <c r="T44" s="18" t="s">
        <v>1900</v>
      </c>
      <c r="AI44" s="18"/>
      <c r="AJ44" s="18"/>
      <c r="AK44" s="18"/>
      <c r="AL44" s="18"/>
      <c r="AM44" s="18"/>
      <c r="AN44" s="18"/>
      <c r="AO44" s="18"/>
      <c r="AP44" s="18"/>
      <c r="AQ44" s="18"/>
    </row>
    <row r="45" spans="1:43" s="635" customFormat="1" x14ac:dyDescent="0.2">
      <c r="A45" s="647"/>
      <c r="D45" s="640" t="s">
        <v>1899</v>
      </c>
      <c r="O45" s="18" t="s">
        <v>1871</v>
      </c>
      <c r="T45" s="18" t="s">
        <v>1901</v>
      </c>
      <c r="AI45" s="18"/>
      <c r="AJ45" s="18"/>
      <c r="AK45" s="18"/>
      <c r="AL45" s="18"/>
      <c r="AM45" s="18"/>
      <c r="AN45" s="18"/>
      <c r="AO45" s="18"/>
      <c r="AP45" s="18"/>
      <c r="AQ45" s="18"/>
    </row>
    <row r="46" spans="1:43" s="635" customFormat="1" x14ac:dyDescent="0.2">
      <c r="A46" s="647"/>
      <c r="AI46" s="18"/>
      <c r="AJ46" s="18"/>
      <c r="AK46" s="18"/>
      <c r="AL46" s="18"/>
      <c r="AM46" s="18"/>
      <c r="AN46" s="18"/>
      <c r="AO46" s="18"/>
      <c r="AP46" s="18"/>
      <c r="AQ46" s="18"/>
    </row>
    <row r="47" spans="1:43" s="635" customFormat="1" ht="27" customHeight="1" x14ac:dyDescent="0.2">
      <c r="A47" s="647"/>
      <c r="D47" s="1020" t="s">
        <v>1949</v>
      </c>
      <c r="E47" s="1113"/>
      <c r="F47" s="1113"/>
      <c r="G47" s="1113"/>
      <c r="H47" s="1113"/>
      <c r="I47" s="1113"/>
      <c r="J47" s="1113"/>
      <c r="K47" s="1113"/>
      <c r="L47" s="1113"/>
      <c r="M47" s="1113"/>
      <c r="N47" s="1113"/>
      <c r="O47" s="1113"/>
      <c r="P47" s="1113"/>
      <c r="Q47" s="1113"/>
      <c r="R47" s="1113"/>
      <c r="S47" s="1113"/>
      <c r="T47" s="1113"/>
      <c r="U47" s="1113"/>
      <c r="V47" s="1113"/>
      <c r="W47" s="1113"/>
      <c r="X47" s="1113"/>
      <c r="Y47" s="1113"/>
      <c r="Z47" s="1113"/>
      <c r="AA47" s="1113"/>
      <c r="AB47" s="1113"/>
      <c r="AC47" s="1113"/>
      <c r="AD47" s="1113"/>
      <c r="AE47" s="1113"/>
      <c r="AF47" s="1113"/>
      <c r="AG47" s="1113"/>
      <c r="AI47" s="18"/>
      <c r="AJ47" s="18"/>
      <c r="AK47" s="18"/>
      <c r="AL47" s="18"/>
      <c r="AM47" s="18"/>
      <c r="AN47" s="18"/>
      <c r="AO47" s="18"/>
      <c r="AP47" s="18"/>
      <c r="AQ47" s="18"/>
    </row>
    <row r="48" spans="1:43" s="635" customFormat="1" x14ac:dyDescent="0.2">
      <c r="A48" s="647"/>
      <c r="AI48" s="18"/>
      <c r="AJ48" s="18"/>
      <c r="AK48" s="18"/>
      <c r="AL48" s="18"/>
      <c r="AM48" s="18"/>
      <c r="AN48" s="18"/>
      <c r="AO48" s="18"/>
      <c r="AP48" s="18"/>
      <c r="AQ48" s="18"/>
    </row>
    <row r="49" spans="1:43" s="635" customFormat="1" x14ac:dyDescent="0.2">
      <c r="A49" s="647"/>
      <c r="D49" s="634" t="s">
        <v>1427</v>
      </c>
      <c r="AI49" s="18"/>
      <c r="AJ49" s="18"/>
      <c r="AK49" s="18"/>
      <c r="AL49" s="18"/>
      <c r="AM49" s="18"/>
      <c r="AN49" s="18"/>
      <c r="AO49" s="18"/>
      <c r="AP49" s="18"/>
      <c r="AQ49" s="18"/>
    </row>
    <row r="50" spans="1:43" s="635" customFormat="1" x14ac:dyDescent="0.2">
      <c r="A50" s="647"/>
      <c r="AI50" s="18"/>
      <c r="AJ50" s="18"/>
      <c r="AK50" s="18"/>
      <c r="AL50" s="18"/>
      <c r="AM50" s="18"/>
      <c r="AN50" s="18"/>
      <c r="AO50" s="18"/>
      <c r="AP50" s="18"/>
      <c r="AQ50" s="18"/>
    </row>
    <row r="51" spans="1:43" s="635" customFormat="1" x14ac:dyDescent="0.2">
      <c r="A51" s="647"/>
      <c r="D51" s="1020" t="s">
        <v>1920</v>
      </c>
      <c r="E51" s="1103"/>
      <c r="F51" s="1103"/>
      <c r="G51" s="1103"/>
      <c r="H51" s="1103"/>
      <c r="I51" s="1103"/>
      <c r="J51" s="1103"/>
      <c r="K51" s="1103"/>
      <c r="L51" s="1103"/>
      <c r="M51" s="1103"/>
      <c r="N51" s="1103"/>
      <c r="O51" s="1103"/>
      <c r="P51" s="1103"/>
      <c r="Q51" s="1103"/>
      <c r="R51" s="1103"/>
      <c r="S51" s="1103"/>
      <c r="T51" s="1103"/>
      <c r="U51" s="1103"/>
      <c r="V51" s="1103"/>
      <c r="W51" s="1103"/>
      <c r="X51" s="1103"/>
      <c r="Y51" s="1103"/>
      <c r="Z51" s="1103"/>
      <c r="AA51" s="1103"/>
      <c r="AB51" s="1103"/>
      <c r="AC51" s="1103"/>
      <c r="AD51" s="1103"/>
      <c r="AE51" s="1103"/>
      <c r="AF51" s="1103"/>
      <c r="AG51" s="1103"/>
      <c r="AI51" s="18"/>
      <c r="AJ51" s="18"/>
      <c r="AK51" s="18"/>
      <c r="AL51" s="18"/>
      <c r="AM51" s="18"/>
      <c r="AN51" s="18"/>
      <c r="AO51" s="18"/>
      <c r="AP51" s="18"/>
      <c r="AQ51" s="18"/>
    </row>
    <row r="52" spans="1:43" s="635" customFormat="1" x14ac:dyDescent="0.2">
      <c r="A52" s="647"/>
      <c r="D52" s="1103"/>
      <c r="E52" s="1103"/>
      <c r="F52" s="1103"/>
      <c r="G52" s="1103"/>
      <c r="H52" s="1103"/>
      <c r="I52" s="1103"/>
      <c r="J52" s="1103"/>
      <c r="K52" s="1103"/>
      <c r="L52" s="1103"/>
      <c r="M52" s="1103"/>
      <c r="N52" s="1103"/>
      <c r="O52" s="1103"/>
      <c r="P52" s="1103"/>
      <c r="Q52" s="1103"/>
      <c r="R52" s="1103"/>
      <c r="S52" s="1103"/>
      <c r="T52" s="1103"/>
      <c r="U52" s="1103"/>
      <c r="V52" s="1103"/>
      <c r="W52" s="1103"/>
      <c r="X52" s="1103"/>
      <c r="Y52" s="1103"/>
      <c r="Z52" s="1103"/>
      <c r="AA52" s="1103"/>
      <c r="AB52" s="1103"/>
      <c r="AC52" s="1103"/>
      <c r="AD52" s="1103"/>
      <c r="AE52" s="1103"/>
      <c r="AF52" s="1103"/>
      <c r="AG52" s="1103"/>
      <c r="AI52" s="18"/>
      <c r="AJ52" s="18"/>
      <c r="AK52" s="18"/>
      <c r="AL52" s="18"/>
      <c r="AM52" s="18"/>
      <c r="AN52" s="18"/>
      <c r="AO52" s="18"/>
      <c r="AP52" s="18"/>
      <c r="AQ52" s="18"/>
    </row>
    <row r="53" spans="1:43" s="635" customFormat="1" ht="22.5" customHeight="1" x14ac:dyDescent="0.2">
      <c r="A53" s="647"/>
      <c r="AI53" s="18"/>
      <c r="AJ53" s="18"/>
      <c r="AK53" s="18"/>
      <c r="AL53" s="18"/>
      <c r="AM53" s="18"/>
      <c r="AN53" s="18"/>
      <c r="AO53" s="18"/>
      <c r="AP53" s="18"/>
      <c r="AQ53" s="18"/>
    </row>
    <row r="54" spans="1:43" s="635" customFormat="1" x14ac:dyDescent="0.2">
      <c r="A54" s="647"/>
      <c r="D54" s="1020" t="s">
        <v>1948</v>
      </c>
      <c r="E54" s="1103"/>
      <c r="F54" s="1103"/>
      <c r="G54" s="1103"/>
      <c r="H54" s="1103"/>
      <c r="I54" s="1103"/>
      <c r="J54" s="1103"/>
      <c r="K54" s="1103"/>
      <c r="L54" s="1103"/>
      <c r="M54" s="1103"/>
      <c r="N54" s="1103"/>
      <c r="O54" s="1103"/>
      <c r="P54" s="1103"/>
      <c r="Q54" s="1103"/>
      <c r="R54" s="1103"/>
      <c r="S54" s="1103"/>
      <c r="T54" s="1103"/>
      <c r="U54" s="1103"/>
      <c r="V54" s="1103"/>
      <c r="W54" s="1103"/>
      <c r="X54" s="1103"/>
      <c r="Y54" s="1103"/>
      <c r="Z54" s="1103"/>
      <c r="AA54" s="1103"/>
      <c r="AB54" s="1103"/>
      <c r="AC54" s="1103"/>
      <c r="AD54" s="1103"/>
      <c r="AE54" s="1103"/>
      <c r="AF54" s="1103"/>
      <c r="AG54" s="1103"/>
      <c r="AI54" s="18"/>
      <c r="AJ54" s="18"/>
      <c r="AK54" s="18"/>
      <c r="AL54" s="18"/>
      <c r="AM54" s="18"/>
      <c r="AN54" s="18"/>
      <c r="AO54" s="18"/>
      <c r="AP54" s="18"/>
      <c r="AQ54" s="18"/>
    </row>
    <row r="55" spans="1:43" s="635" customFormat="1" x14ac:dyDescent="0.2">
      <c r="A55" s="647"/>
      <c r="D55" s="1103"/>
      <c r="E55" s="1103"/>
      <c r="F55" s="1103"/>
      <c r="G55" s="1103"/>
      <c r="H55" s="1103"/>
      <c r="I55" s="1103"/>
      <c r="J55" s="1103"/>
      <c r="K55" s="1103"/>
      <c r="L55" s="1103"/>
      <c r="M55" s="1103"/>
      <c r="N55" s="1103"/>
      <c r="O55" s="1103"/>
      <c r="P55" s="1103"/>
      <c r="Q55" s="1103"/>
      <c r="R55" s="1103"/>
      <c r="S55" s="1103"/>
      <c r="T55" s="1103"/>
      <c r="U55" s="1103"/>
      <c r="V55" s="1103"/>
      <c r="W55" s="1103"/>
      <c r="X55" s="1103"/>
      <c r="Y55" s="1103"/>
      <c r="Z55" s="1103"/>
      <c r="AA55" s="1103"/>
      <c r="AB55" s="1103"/>
      <c r="AC55" s="1103"/>
      <c r="AD55" s="1103"/>
      <c r="AE55" s="1103"/>
      <c r="AF55" s="1103"/>
      <c r="AG55" s="1103"/>
      <c r="AI55" s="18"/>
      <c r="AJ55" s="18"/>
      <c r="AK55" s="18"/>
      <c r="AL55" s="18"/>
      <c r="AM55" s="18"/>
      <c r="AN55" s="18"/>
      <c r="AO55" s="18"/>
      <c r="AP55" s="18"/>
      <c r="AQ55" s="18"/>
    </row>
    <row r="56" spans="1:43" s="635" customFormat="1" x14ac:dyDescent="0.2">
      <c r="A56" s="647"/>
      <c r="AI56" s="18"/>
      <c r="AJ56" s="18"/>
      <c r="AK56" s="18"/>
      <c r="AL56" s="18"/>
      <c r="AM56" s="18"/>
      <c r="AN56" s="18"/>
      <c r="AO56" s="18"/>
      <c r="AP56" s="18"/>
      <c r="AQ56" s="18"/>
    </row>
    <row r="57" spans="1:43" s="635" customFormat="1" ht="14.25" customHeight="1" x14ac:dyDescent="0.2">
      <c r="A57" s="647"/>
      <c r="D57" s="1020"/>
      <c r="E57" s="1103"/>
      <c r="F57" s="1103"/>
      <c r="G57" s="1103"/>
      <c r="H57" s="1103"/>
      <c r="I57" s="1103"/>
      <c r="J57" s="1103"/>
      <c r="K57" s="1103"/>
      <c r="L57" s="1103"/>
      <c r="M57" s="1103"/>
      <c r="N57" s="1103"/>
      <c r="O57" s="1103"/>
      <c r="P57" s="1103"/>
      <c r="Q57" s="1103"/>
      <c r="R57" s="1103"/>
      <c r="S57" s="1103"/>
      <c r="T57" s="1103"/>
      <c r="U57" s="1103"/>
      <c r="V57" s="1103"/>
      <c r="W57" s="1103"/>
      <c r="X57" s="1103"/>
      <c r="Y57" s="1103"/>
      <c r="Z57" s="1103"/>
      <c r="AA57" s="1103"/>
      <c r="AB57" s="1103"/>
      <c r="AC57" s="1103"/>
      <c r="AD57" s="1103"/>
      <c r="AE57" s="1103"/>
      <c r="AF57" s="1103"/>
      <c r="AG57" s="1103"/>
      <c r="AI57" s="18"/>
      <c r="AJ57" s="18"/>
      <c r="AK57" s="18"/>
      <c r="AL57" s="18"/>
      <c r="AM57" s="18"/>
      <c r="AN57" s="18"/>
      <c r="AO57" s="18"/>
      <c r="AP57" s="18"/>
      <c r="AQ57" s="18"/>
    </row>
    <row r="58" spans="1:43" s="635" customFormat="1" x14ac:dyDescent="0.2">
      <c r="A58" s="647"/>
      <c r="D58" s="1103"/>
      <c r="E58" s="1103"/>
      <c r="F58" s="1103"/>
      <c r="G58" s="1103"/>
      <c r="H58" s="1103"/>
      <c r="I58" s="1103"/>
      <c r="J58" s="1103"/>
      <c r="K58" s="1103"/>
      <c r="L58" s="1103"/>
      <c r="M58" s="1103"/>
      <c r="N58" s="1103"/>
      <c r="O58" s="1103"/>
      <c r="P58" s="1103"/>
      <c r="Q58" s="1103"/>
      <c r="R58" s="1103"/>
      <c r="S58" s="1103"/>
      <c r="T58" s="1103"/>
      <c r="U58" s="1103"/>
      <c r="V58" s="1103"/>
      <c r="W58" s="1103"/>
      <c r="X58" s="1103"/>
      <c r="Y58" s="1103"/>
      <c r="Z58" s="1103"/>
      <c r="AA58" s="1103"/>
      <c r="AB58" s="1103"/>
      <c r="AC58" s="1103"/>
      <c r="AD58" s="1103"/>
      <c r="AE58" s="1103"/>
      <c r="AF58" s="1103"/>
      <c r="AG58" s="1103"/>
      <c r="AI58" s="18"/>
      <c r="AJ58" s="18"/>
      <c r="AK58" s="18"/>
      <c r="AL58" s="18"/>
      <c r="AM58" s="18"/>
      <c r="AN58" s="18"/>
      <c r="AO58" s="18"/>
      <c r="AP58" s="18"/>
      <c r="AQ58" s="18"/>
    </row>
    <row r="59" spans="1:43" s="635" customFormat="1" x14ac:dyDescent="0.2">
      <c r="A59" s="647"/>
      <c r="D59" s="634" t="s">
        <v>1426</v>
      </c>
      <c r="AI59" s="18"/>
      <c r="AJ59" s="18"/>
      <c r="AK59" s="18"/>
      <c r="AL59" s="18"/>
      <c r="AM59" s="18"/>
      <c r="AN59" s="18"/>
      <c r="AO59" s="18"/>
      <c r="AP59" s="18"/>
      <c r="AQ59" s="18"/>
    </row>
    <row r="60" spans="1:43" s="635" customFormat="1" x14ac:dyDescent="0.2">
      <c r="A60" s="647"/>
      <c r="AI60" s="18"/>
      <c r="AJ60" s="18"/>
      <c r="AK60" s="18"/>
      <c r="AL60" s="18"/>
      <c r="AM60" s="18"/>
      <c r="AN60" s="18"/>
      <c r="AO60" s="18"/>
      <c r="AP60" s="18"/>
      <c r="AQ60" s="18"/>
    </row>
    <row r="61" spans="1:43" s="635" customFormat="1" x14ac:dyDescent="0.2">
      <c r="A61" s="647"/>
      <c r="D61" s="1020" t="s">
        <v>1917</v>
      </c>
      <c r="E61" s="1103"/>
      <c r="F61" s="1103"/>
      <c r="G61" s="1103"/>
      <c r="H61" s="1103"/>
      <c r="I61" s="1103"/>
      <c r="J61" s="1103"/>
      <c r="K61" s="1103"/>
      <c r="L61" s="1103"/>
      <c r="M61" s="1103"/>
      <c r="N61" s="1103"/>
      <c r="O61" s="1103"/>
      <c r="P61" s="1103"/>
      <c r="Q61" s="1103"/>
      <c r="R61" s="1103"/>
      <c r="S61" s="1103"/>
      <c r="T61" s="1103"/>
      <c r="U61" s="1103"/>
      <c r="V61" s="1103"/>
      <c r="W61" s="1103"/>
      <c r="X61" s="1103"/>
      <c r="Y61" s="1103"/>
      <c r="Z61" s="1103"/>
      <c r="AA61" s="1103"/>
      <c r="AB61" s="1103"/>
      <c r="AC61" s="1103"/>
      <c r="AD61" s="1103"/>
      <c r="AE61" s="1103"/>
      <c r="AF61" s="1103"/>
      <c r="AG61" s="1103"/>
      <c r="AI61" s="18"/>
      <c r="AJ61" s="18"/>
      <c r="AK61" s="18"/>
      <c r="AL61" s="18"/>
      <c r="AM61" s="18"/>
      <c r="AN61" s="18"/>
      <c r="AO61" s="18"/>
      <c r="AP61" s="18"/>
      <c r="AQ61" s="18"/>
    </row>
    <row r="62" spans="1:43" s="635" customFormat="1" x14ac:dyDescent="0.2">
      <c r="A62" s="647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103"/>
      <c r="P62" s="1103"/>
      <c r="Q62" s="1103"/>
      <c r="R62" s="1103"/>
      <c r="S62" s="1103"/>
      <c r="T62" s="1103"/>
      <c r="U62" s="1103"/>
      <c r="V62" s="1103"/>
      <c r="W62" s="1103"/>
      <c r="X62" s="1103"/>
      <c r="Y62" s="1103"/>
      <c r="Z62" s="1103"/>
      <c r="AA62" s="1103"/>
      <c r="AB62" s="1103"/>
      <c r="AC62" s="1103"/>
      <c r="AD62" s="1103"/>
      <c r="AE62" s="1103"/>
      <c r="AF62" s="1103"/>
      <c r="AG62" s="1103"/>
      <c r="AI62" s="18"/>
      <c r="AJ62" s="18"/>
      <c r="AK62" s="18"/>
      <c r="AL62" s="18"/>
      <c r="AM62" s="18"/>
      <c r="AN62" s="18"/>
      <c r="AO62" s="18"/>
      <c r="AP62" s="18"/>
      <c r="AQ62" s="18"/>
    </row>
    <row r="63" spans="1:43" s="635" customFormat="1" x14ac:dyDescent="0.2">
      <c r="A63" s="647"/>
      <c r="D63" s="634" t="s">
        <v>1925</v>
      </c>
      <c r="AI63" s="18"/>
      <c r="AJ63" s="18"/>
      <c r="AK63" s="18"/>
      <c r="AL63" s="18"/>
      <c r="AM63" s="18"/>
      <c r="AN63" s="18"/>
      <c r="AO63" s="18"/>
      <c r="AP63" s="18"/>
      <c r="AQ63" s="18"/>
    </row>
    <row r="64" spans="1:43" s="635" customFormat="1" x14ac:dyDescent="0.2">
      <c r="A64" s="647"/>
      <c r="AI64" s="18"/>
      <c r="AJ64" s="18"/>
      <c r="AK64" s="18"/>
      <c r="AL64" s="18"/>
      <c r="AM64" s="18"/>
      <c r="AN64" s="18"/>
      <c r="AO64" s="18"/>
      <c r="AP64" s="18"/>
      <c r="AQ64" s="18"/>
    </row>
    <row r="65" spans="1:43" s="635" customFormat="1" x14ac:dyDescent="0.2">
      <c r="A65" s="647"/>
      <c r="D65" s="1020" t="s">
        <v>1921</v>
      </c>
      <c r="E65" s="1103"/>
      <c r="F65" s="1103"/>
      <c r="G65" s="1103"/>
      <c r="H65" s="1103"/>
      <c r="I65" s="1103"/>
      <c r="J65" s="1103"/>
      <c r="K65" s="1103"/>
      <c r="L65" s="1103"/>
      <c r="M65" s="1103"/>
      <c r="N65" s="1103"/>
      <c r="O65" s="1103"/>
      <c r="P65" s="1103"/>
      <c r="Q65" s="1103"/>
      <c r="R65" s="1103"/>
      <c r="S65" s="1103"/>
      <c r="T65" s="1103"/>
      <c r="U65" s="1103"/>
      <c r="V65" s="1103"/>
      <c r="W65" s="1103"/>
      <c r="X65" s="1103"/>
      <c r="Y65" s="1103"/>
      <c r="Z65" s="1103"/>
      <c r="AA65" s="1103"/>
      <c r="AB65" s="1103"/>
      <c r="AC65" s="1103"/>
      <c r="AD65" s="1103"/>
      <c r="AE65" s="1103"/>
      <c r="AF65" s="1103"/>
      <c r="AG65" s="1103"/>
      <c r="AI65" s="18"/>
      <c r="AJ65" s="18"/>
      <c r="AK65" s="18"/>
      <c r="AL65" s="18"/>
      <c r="AM65" s="18"/>
      <c r="AN65" s="18"/>
      <c r="AO65" s="18"/>
      <c r="AP65" s="18"/>
      <c r="AQ65" s="18"/>
    </row>
    <row r="66" spans="1:43" s="635" customFormat="1" x14ac:dyDescent="0.2">
      <c r="A66" s="647"/>
      <c r="D66" s="1103"/>
      <c r="E66" s="1103"/>
      <c r="F66" s="1103"/>
      <c r="G66" s="1103"/>
      <c r="H66" s="1103"/>
      <c r="I66" s="1103"/>
      <c r="J66" s="1103"/>
      <c r="K66" s="1103"/>
      <c r="L66" s="1103"/>
      <c r="M66" s="1103"/>
      <c r="N66" s="1103"/>
      <c r="O66" s="1103"/>
      <c r="P66" s="1103"/>
      <c r="Q66" s="1103"/>
      <c r="R66" s="1103"/>
      <c r="S66" s="1103"/>
      <c r="T66" s="1103"/>
      <c r="U66" s="1103"/>
      <c r="V66" s="1103"/>
      <c r="W66" s="1103"/>
      <c r="X66" s="1103"/>
      <c r="Y66" s="1103"/>
      <c r="Z66" s="1103"/>
      <c r="AA66" s="1103"/>
      <c r="AB66" s="1103"/>
      <c r="AC66" s="1103"/>
      <c r="AD66" s="1103"/>
      <c r="AE66" s="1103"/>
      <c r="AF66" s="1103"/>
      <c r="AG66" s="1103"/>
      <c r="AI66" s="18"/>
      <c r="AJ66" s="18"/>
      <c r="AK66" s="18"/>
      <c r="AL66" s="18"/>
      <c r="AM66" s="18"/>
      <c r="AN66" s="18"/>
      <c r="AO66" s="18"/>
      <c r="AP66" s="18"/>
      <c r="AQ66" s="18"/>
    </row>
    <row r="67" spans="1:43" s="635" customFormat="1" x14ac:dyDescent="0.2">
      <c r="A67" s="647"/>
      <c r="D67" s="634" t="s">
        <v>1926</v>
      </c>
      <c r="AI67" s="18"/>
      <c r="AJ67" s="18"/>
      <c r="AK67" s="18"/>
      <c r="AL67" s="18"/>
      <c r="AM67" s="18"/>
      <c r="AN67" s="18"/>
      <c r="AO67" s="18"/>
      <c r="AP67" s="18"/>
      <c r="AQ67" s="18"/>
    </row>
    <row r="68" spans="1:43" s="635" customFormat="1" x14ac:dyDescent="0.2">
      <c r="A68" s="647"/>
      <c r="AI68" s="18"/>
      <c r="AJ68" s="18"/>
      <c r="AK68" s="18"/>
      <c r="AL68" s="18"/>
      <c r="AM68" s="18"/>
      <c r="AN68" s="18"/>
      <c r="AO68" s="18"/>
      <c r="AP68" s="18"/>
      <c r="AQ68" s="18"/>
    </row>
    <row r="69" spans="1:43" s="635" customFormat="1" ht="14.25" customHeight="1" x14ac:dyDescent="0.2">
      <c r="A69" s="647"/>
      <c r="D69" s="1020" t="s">
        <v>1922</v>
      </c>
      <c r="E69" s="1020"/>
      <c r="F69" s="1020"/>
      <c r="G69" s="1020"/>
      <c r="H69" s="1020"/>
      <c r="I69" s="1020"/>
      <c r="J69" s="1020"/>
      <c r="K69" s="1020"/>
      <c r="L69" s="1020"/>
      <c r="M69" s="1020"/>
      <c r="N69" s="1020"/>
      <c r="O69" s="1020"/>
      <c r="P69" s="1020"/>
      <c r="Q69" s="1020"/>
      <c r="R69" s="1020"/>
      <c r="S69" s="1020"/>
      <c r="T69" s="1020"/>
      <c r="U69" s="1020"/>
      <c r="V69" s="1020"/>
      <c r="W69" s="1020"/>
      <c r="X69" s="1020"/>
      <c r="Y69" s="1020"/>
      <c r="Z69" s="1020"/>
      <c r="AA69" s="1020"/>
      <c r="AB69" s="1020"/>
      <c r="AC69" s="1020"/>
      <c r="AD69" s="1020"/>
      <c r="AE69" s="1020"/>
      <c r="AF69" s="1020"/>
      <c r="AG69" s="1020"/>
      <c r="AI69" s="18"/>
      <c r="AJ69" s="18"/>
      <c r="AK69" s="18"/>
      <c r="AL69" s="18"/>
      <c r="AM69" s="18"/>
      <c r="AN69" s="18"/>
      <c r="AO69" s="18"/>
      <c r="AP69" s="18"/>
      <c r="AQ69" s="18"/>
    </row>
    <row r="70" spans="1:43" s="635" customFormat="1" x14ac:dyDescent="0.2">
      <c r="A70" s="647"/>
      <c r="D70" s="1020"/>
      <c r="E70" s="1020"/>
      <c r="F70" s="1020"/>
      <c r="G70" s="1020"/>
      <c r="H70" s="1020"/>
      <c r="I70" s="1020"/>
      <c r="J70" s="1020"/>
      <c r="K70" s="1020"/>
      <c r="L70" s="1020"/>
      <c r="M70" s="1020"/>
      <c r="N70" s="1020"/>
      <c r="O70" s="1020"/>
      <c r="P70" s="1020"/>
      <c r="Q70" s="1020"/>
      <c r="R70" s="1020"/>
      <c r="S70" s="1020"/>
      <c r="T70" s="1020"/>
      <c r="U70" s="1020"/>
      <c r="V70" s="1020"/>
      <c r="W70" s="1020"/>
      <c r="X70" s="1020"/>
      <c r="Y70" s="1020"/>
      <c r="Z70" s="1020"/>
      <c r="AA70" s="1020"/>
      <c r="AB70" s="1020"/>
      <c r="AC70" s="1020"/>
      <c r="AD70" s="1020"/>
      <c r="AE70" s="1020"/>
      <c r="AF70" s="1020"/>
      <c r="AG70" s="1020"/>
      <c r="AI70" s="18"/>
      <c r="AJ70" s="18"/>
      <c r="AK70" s="18"/>
      <c r="AL70" s="18"/>
      <c r="AM70" s="18"/>
      <c r="AN70" s="18"/>
      <c r="AO70" s="18"/>
      <c r="AP70" s="18"/>
      <c r="AQ70" s="18"/>
    </row>
    <row r="71" spans="1:43" s="635" customFormat="1" x14ac:dyDescent="0.2">
      <c r="A71" s="647"/>
      <c r="D71" s="1020"/>
      <c r="E71" s="1020"/>
      <c r="F71" s="1020"/>
      <c r="G71" s="1020"/>
      <c r="H71" s="1020"/>
      <c r="I71" s="1020"/>
      <c r="J71" s="1020"/>
      <c r="K71" s="1020"/>
      <c r="L71" s="1020"/>
      <c r="M71" s="1020"/>
      <c r="N71" s="1020"/>
      <c r="O71" s="1020"/>
      <c r="P71" s="1020"/>
      <c r="Q71" s="1020"/>
      <c r="R71" s="1020"/>
      <c r="S71" s="1020"/>
      <c r="T71" s="1020"/>
      <c r="U71" s="1020"/>
      <c r="V71" s="1020"/>
      <c r="W71" s="1020"/>
      <c r="X71" s="1020"/>
      <c r="Y71" s="1020"/>
      <c r="Z71" s="1020"/>
      <c r="AA71" s="1020"/>
      <c r="AB71" s="1020"/>
      <c r="AC71" s="1020"/>
      <c r="AD71" s="1020"/>
      <c r="AE71" s="1020"/>
      <c r="AF71" s="1020"/>
      <c r="AG71" s="1020"/>
      <c r="AI71" s="18"/>
      <c r="AJ71" s="18"/>
      <c r="AK71" s="18"/>
      <c r="AL71" s="18"/>
      <c r="AM71" s="18"/>
      <c r="AN71" s="18"/>
      <c r="AO71" s="18"/>
      <c r="AP71" s="18"/>
      <c r="AQ71" s="18"/>
    </row>
    <row r="72" spans="1:43" s="635" customFormat="1" x14ac:dyDescent="0.2">
      <c r="A72" s="647"/>
      <c r="AI72" s="18"/>
      <c r="AJ72" s="18"/>
      <c r="AK72" s="18"/>
      <c r="AL72" s="18"/>
      <c r="AM72" s="18"/>
      <c r="AN72" s="18"/>
      <c r="AO72" s="18"/>
      <c r="AP72" s="18"/>
      <c r="AQ72" s="18"/>
    </row>
    <row r="73" spans="1:43" s="635" customFormat="1" x14ac:dyDescent="0.2">
      <c r="A73" s="647"/>
      <c r="D73" s="634" t="s">
        <v>1927</v>
      </c>
      <c r="AI73" s="18"/>
      <c r="AJ73" s="18"/>
      <c r="AK73" s="18"/>
      <c r="AL73" s="18"/>
      <c r="AM73" s="18"/>
      <c r="AN73" s="18"/>
      <c r="AO73" s="18"/>
      <c r="AP73" s="18"/>
      <c r="AQ73" s="18"/>
    </row>
    <row r="74" spans="1:43" s="635" customFormat="1" x14ac:dyDescent="0.2">
      <c r="A74" s="647"/>
      <c r="AI74" s="18"/>
      <c r="AJ74" s="18"/>
      <c r="AK74" s="18"/>
      <c r="AL74" s="18"/>
      <c r="AM74" s="18"/>
      <c r="AN74" s="18"/>
      <c r="AO74" s="18"/>
      <c r="AP74" s="18"/>
      <c r="AQ74" s="18"/>
    </row>
    <row r="75" spans="1:43" s="635" customFormat="1" x14ac:dyDescent="0.2">
      <c r="A75" s="647"/>
      <c r="D75" s="1103" t="s">
        <v>1430</v>
      </c>
      <c r="E75" s="1103"/>
      <c r="F75" s="1103"/>
      <c r="G75" s="1103"/>
      <c r="H75" s="1103"/>
      <c r="I75" s="1103"/>
      <c r="J75" s="1103"/>
      <c r="K75" s="1103"/>
      <c r="L75" s="1103"/>
      <c r="M75" s="1103"/>
      <c r="N75" s="1103"/>
      <c r="O75" s="1103"/>
      <c r="P75" s="1103"/>
      <c r="Q75" s="1103"/>
      <c r="R75" s="1103"/>
      <c r="S75" s="1103"/>
      <c r="T75" s="1103"/>
      <c r="U75" s="1103"/>
      <c r="V75" s="1103"/>
      <c r="W75" s="1103"/>
      <c r="X75" s="1103"/>
      <c r="Y75" s="1103"/>
      <c r="Z75" s="1103"/>
      <c r="AA75" s="1103"/>
      <c r="AB75" s="1103"/>
      <c r="AC75" s="1103"/>
      <c r="AD75" s="1103"/>
      <c r="AE75" s="1103"/>
      <c r="AF75" s="1103"/>
      <c r="AG75" s="1103"/>
      <c r="AI75" s="18"/>
      <c r="AJ75" s="18"/>
      <c r="AK75" s="18"/>
      <c r="AL75" s="18"/>
      <c r="AM75" s="18"/>
      <c r="AN75" s="18"/>
      <c r="AO75" s="18"/>
      <c r="AP75" s="18"/>
      <c r="AQ75" s="18"/>
    </row>
    <row r="76" spans="1:43" s="635" customFormat="1" x14ac:dyDescent="0.2">
      <c r="A76" s="647"/>
      <c r="D76" s="1103"/>
      <c r="E76" s="1103"/>
      <c r="F76" s="1103"/>
      <c r="G76" s="1103"/>
      <c r="H76" s="1103"/>
      <c r="I76" s="1103"/>
      <c r="J76" s="1103"/>
      <c r="K76" s="1103"/>
      <c r="L76" s="1103"/>
      <c r="M76" s="1103"/>
      <c r="N76" s="1103"/>
      <c r="O76" s="1103"/>
      <c r="P76" s="1103"/>
      <c r="Q76" s="1103"/>
      <c r="R76" s="1103"/>
      <c r="S76" s="1103"/>
      <c r="T76" s="1103"/>
      <c r="U76" s="1103"/>
      <c r="V76" s="1103"/>
      <c r="W76" s="1103"/>
      <c r="X76" s="1103"/>
      <c r="Y76" s="1103"/>
      <c r="Z76" s="1103"/>
      <c r="AA76" s="1103"/>
      <c r="AB76" s="1103"/>
      <c r="AC76" s="1103"/>
      <c r="AD76" s="1103"/>
      <c r="AE76" s="1103"/>
      <c r="AF76" s="1103"/>
      <c r="AG76" s="1103"/>
      <c r="AI76" s="18"/>
      <c r="AJ76" s="18"/>
      <c r="AK76" s="18"/>
      <c r="AL76" s="18"/>
      <c r="AM76" s="18"/>
      <c r="AN76" s="18"/>
      <c r="AO76" s="18"/>
      <c r="AP76" s="18"/>
      <c r="AQ76" s="18"/>
    </row>
    <row r="77" spans="1:43" s="635" customFormat="1" x14ac:dyDescent="0.2">
      <c r="A77" s="647"/>
      <c r="AI77" s="18"/>
      <c r="AJ77" s="18"/>
      <c r="AK77" s="18"/>
      <c r="AL77" s="18"/>
      <c r="AM77" s="18"/>
      <c r="AN77" s="18"/>
      <c r="AO77" s="18"/>
      <c r="AP77" s="18"/>
      <c r="AQ77" s="18"/>
    </row>
    <row r="78" spans="1:43" s="635" customFormat="1" x14ac:dyDescent="0.2">
      <c r="A78" s="647"/>
      <c r="D78" s="634" t="s">
        <v>1928</v>
      </c>
      <c r="AI78" s="18"/>
      <c r="AJ78" s="18"/>
      <c r="AK78" s="18"/>
      <c r="AL78" s="18"/>
      <c r="AM78" s="18"/>
      <c r="AN78" s="18"/>
      <c r="AO78" s="18"/>
      <c r="AP78" s="18"/>
      <c r="AQ78" s="18"/>
    </row>
    <row r="79" spans="1:43" s="635" customFormat="1" x14ac:dyDescent="0.2">
      <c r="A79" s="647"/>
      <c r="AI79" s="18"/>
      <c r="AJ79" s="18"/>
      <c r="AK79" s="18"/>
      <c r="AL79" s="18"/>
      <c r="AM79" s="18"/>
      <c r="AN79" s="18"/>
      <c r="AO79" s="18"/>
      <c r="AP79" s="18"/>
      <c r="AQ79" s="18"/>
    </row>
    <row r="80" spans="1:43" s="635" customFormat="1" x14ac:dyDescent="0.2">
      <c r="A80" s="647"/>
      <c r="D80" s="1020" t="s">
        <v>1950</v>
      </c>
      <c r="E80" s="1103"/>
      <c r="F80" s="1103"/>
      <c r="G80" s="1103"/>
      <c r="H80" s="1103"/>
      <c r="I80" s="1103"/>
      <c r="J80" s="1103"/>
      <c r="K80" s="1103"/>
      <c r="L80" s="1103"/>
      <c r="M80" s="1103"/>
      <c r="N80" s="1103"/>
      <c r="O80" s="1103"/>
      <c r="P80" s="1103"/>
      <c r="Q80" s="1103"/>
      <c r="R80" s="1103"/>
      <c r="S80" s="1103"/>
      <c r="T80" s="1103"/>
      <c r="U80" s="1103"/>
      <c r="V80" s="1103"/>
      <c r="W80" s="1103"/>
      <c r="X80" s="1103"/>
      <c r="Y80" s="1103"/>
      <c r="Z80" s="1103"/>
      <c r="AA80" s="1103"/>
      <c r="AB80" s="1103"/>
      <c r="AC80" s="1103"/>
      <c r="AD80" s="1103"/>
      <c r="AE80" s="1103"/>
      <c r="AF80" s="1103"/>
      <c r="AG80" s="1103"/>
      <c r="AI80" s="18"/>
      <c r="AJ80" s="18"/>
      <c r="AK80" s="18"/>
      <c r="AL80" s="18"/>
      <c r="AM80" s="18"/>
      <c r="AN80" s="18"/>
      <c r="AO80" s="18"/>
      <c r="AP80" s="18"/>
      <c r="AQ80" s="18"/>
    </row>
    <row r="81" spans="1:43" s="635" customFormat="1" x14ac:dyDescent="0.2">
      <c r="A81" s="647"/>
      <c r="D81" s="1103"/>
      <c r="E81" s="1103"/>
      <c r="F81" s="1103"/>
      <c r="G81" s="1103"/>
      <c r="H81" s="1103"/>
      <c r="I81" s="1103"/>
      <c r="J81" s="1103"/>
      <c r="K81" s="1103"/>
      <c r="L81" s="1103"/>
      <c r="M81" s="1103"/>
      <c r="N81" s="1103"/>
      <c r="O81" s="1103"/>
      <c r="P81" s="1103"/>
      <c r="Q81" s="1103"/>
      <c r="R81" s="1103"/>
      <c r="S81" s="1103"/>
      <c r="T81" s="1103"/>
      <c r="U81" s="1103"/>
      <c r="V81" s="1103"/>
      <c r="W81" s="1103"/>
      <c r="X81" s="1103"/>
      <c r="Y81" s="1103"/>
      <c r="Z81" s="1103"/>
      <c r="AA81" s="1103"/>
      <c r="AB81" s="1103"/>
      <c r="AC81" s="1103"/>
      <c r="AD81" s="1103"/>
      <c r="AE81" s="1103"/>
      <c r="AF81" s="1103"/>
      <c r="AG81" s="1103"/>
      <c r="AI81" s="18"/>
      <c r="AJ81" s="18"/>
      <c r="AK81" s="18"/>
      <c r="AL81" s="18"/>
      <c r="AM81" s="18"/>
      <c r="AN81" s="18"/>
      <c r="AO81" s="18"/>
      <c r="AP81" s="18"/>
      <c r="AQ81" s="18"/>
    </row>
    <row r="82" spans="1:43" s="635" customFormat="1" x14ac:dyDescent="0.2">
      <c r="A82" s="647"/>
      <c r="D82" s="634" t="s">
        <v>1929</v>
      </c>
      <c r="AI82" s="18"/>
      <c r="AJ82" s="18"/>
      <c r="AK82" s="18"/>
      <c r="AL82" s="18"/>
      <c r="AM82" s="18"/>
      <c r="AN82" s="18"/>
      <c r="AO82" s="18"/>
      <c r="AP82" s="18"/>
      <c r="AQ82" s="18"/>
    </row>
    <row r="83" spans="1:43" s="635" customFormat="1" x14ac:dyDescent="0.2">
      <c r="A83" s="647"/>
      <c r="AI83" s="18"/>
      <c r="AJ83" s="18"/>
      <c r="AK83" s="18"/>
      <c r="AL83" s="18"/>
      <c r="AM83" s="18"/>
      <c r="AN83" s="18"/>
      <c r="AO83" s="18"/>
      <c r="AP83" s="18"/>
      <c r="AQ83" s="18"/>
    </row>
    <row r="84" spans="1:43" s="635" customFormat="1" x14ac:dyDescent="0.2">
      <c r="A84" s="647"/>
      <c r="D84" s="1103" t="s">
        <v>1431</v>
      </c>
      <c r="E84" s="1103"/>
      <c r="F84" s="1103"/>
      <c r="G84" s="1103"/>
      <c r="H84" s="1103"/>
      <c r="I84" s="1103"/>
      <c r="J84" s="1103"/>
      <c r="K84" s="1103"/>
      <c r="L84" s="1103"/>
      <c r="M84" s="1103"/>
      <c r="N84" s="1103"/>
      <c r="O84" s="1103"/>
      <c r="P84" s="1103"/>
      <c r="Q84" s="1103"/>
      <c r="R84" s="1103"/>
      <c r="S84" s="1103"/>
      <c r="T84" s="1103"/>
      <c r="U84" s="1103"/>
      <c r="V84" s="1103"/>
      <c r="W84" s="1103"/>
      <c r="X84" s="1103"/>
      <c r="Y84" s="1103"/>
      <c r="Z84" s="1103"/>
      <c r="AA84" s="1103"/>
      <c r="AB84" s="1103"/>
      <c r="AC84" s="1103"/>
      <c r="AD84" s="1103"/>
      <c r="AE84" s="1103"/>
      <c r="AF84" s="1103"/>
      <c r="AG84" s="1103"/>
      <c r="AI84" s="18"/>
      <c r="AJ84" s="18"/>
      <c r="AK84" s="18"/>
      <c r="AL84" s="18"/>
      <c r="AM84" s="18"/>
      <c r="AN84" s="18"/>
      <c r="AO84" s="18"/>
      <c r="AP84" s="18"/>
      <c r="AQ84" s="18"/>
    </row>
    <row r="85" spans="1:43" s="635" customFormat="1" x14ac:dyDescent="0.2">
      <c r="A85" s="647"/>
      <c r="D85" s="1103"/>
      <c r="E85" s="1103"/>
      <c r="F85" s="1103"/>
      <c r="G85" s="1103"/>
      <c r="H85" s="1103"/>
      <c r="I85" s="1103"/>
      <c r="J85" s="1103"/>
      <c r="K85" s="1103"/>
      <c r="L85" s="1103"/>
      <c r="M85" s="1103"/>
      <c r="N85" s="1103"/>
      <c r="O85" s="1103"/>
      <c r="P85" s="1103"/>
      <c r="Q85" s="1103"/>
      <c r="R85" s="1103"/>
      <c r="S85" s="1103"/>
      <c r="T85" s="1103"/>
      <c r="U85" s="1103"/>
      <c r="V85" s="1103"/>
      <c r="W85" s="1103"/>
      <c r="X85" s="1103"/>
      <c r="Y85" s="1103"/>
      <c r="Z85" s="1103"/>
      <c r="AA85" s="1103"/>
      <c r="AB85" s="1103"/>
      <c r="AC85" s="1103"/>
      <c r="AD85" s="1103"/>
      <c r="AE85" s="1103"/>
      <c r="AF85" s="1103"/>
      <c r="AG85" s="1103"/>
      <c r="AI85" s="18"/>
      <c r="AJ85" s="18"/>
      <c r="AK85" s="18"/>
      <c r="AL85" s="18"/>
      <c r="AM85" s="18"/>
      <c r="AN85" s="18"/>
      <c r="AO85" s="18"/>
      <c r="AP85" s="18"/>
      <c r="AQ85" s="18"/>
    </row>
    <row r="86" spans="1:43" s="635" customFormat="1" x14ac:dyDescent="0.2">
      <c r="A86" s="647"/>
      <c r="AI86" s="18"/>
      <c r="AJ86" s="18"/>
      <c r="AK86" s="18"/>
      <c r="AL86" s="18"/>
      <c r="AM86" s="18"/>
      <c r="AN86" s="18"/>
      <c r="AO86" s="18"/>
      <c r="AP86" s="18"/>
      <c r="AQ86" s="18"/>
    </row>
    <row r="87" spans="1:43" s="635" customFormat="1" x14ac:dyDescent="0.2">
      <c r="A87" s="647"/>
      <c r="D87" s="634" t="s">
        <v>1930</v>
      </c>
      <c r="AI87" s="18"/>
      <c r="AJ87" s="18"/>
      <c r="AK87" s="18"/>
      <c r="AL87" s="18"/>
      <c r="AM87" s="18"/>
      <c r="AN87" s="18"/>
      <c r="AO87" s="18"/>
      <c r="AP87" s="18"/>
      <c r="AQ87" s="18"/>
    </row>
    <row r="88" spans="1:43" s="635" customFormat="1" x14ac:dyDescent="0.2">
      <c r="A88" s="647"/>
      <c r="AI88" s="18"/>
      <c r="AJ88" s="18"/>
      <c r="AK88" s="18"/>
      <c r="AL88" s="18"/>
      <c r="AM88" s="18"/>
      <c r="AN88" s="18"/>
      <c r="AO88" s="18"/>
      <c r="AP88" s="18"/>
      <c r="AQ88" s="18"/>
    </row>
    <row r="89" spans="1:43" s="635" customFormat="1" x14ac:dyDescent="0.2">
      <c r="A89" s="647"/>
      <c r="D89" s="1103" t="s">
        <v>1432</v>
      </c>
      <c r="E89" s="1103"/>
      <c r="F89" s="1103"/>
      <c r="G89" s="1103"/>
      <c r="H89" s="1103"/>
      <c r="I89" s="1103"/>
      <c r="J89" s="1103"/>
      <c r="K89" s="1103"/>
      <c r="L89" s="1103"/>
      <c r="M89" s="1103"/>
      <c r="N89" s="1103"/>
      <c r="O89" s="1103"/>
      <c r="P89" s="1103"/>
      <c r="Q89" s="1103"/>
      <c r="R89" s="1103"/>
      <c r="S89" s="1103"/>
      <c r="T89" s="1103"/>
      <c r="U89" s="1103"/>
      <c r="V89" s="1103"/>
      <c r="W89" s="1103"/>
      <c r="X89" s="1103"/>
      <c r="Y89" s="1103"/>
      <c r="Z89" s="1103"/>
      <c r="AA89" s="1103"/>
      <c r="AB89" s="1103"/>
      <c r="AC89" s="1103"/>
      <c r="AD89" s="1103"/>
      <c r="AE89" s="1103"/>
      <c r="AF89" s="1103"/>
      <c r="AG89" s="1103"/>
      <c r="AI89" s="18"/>
      <c r="AJ89" s="18"/>
      <c r="AK89" s="18"/>
      <c r="AL89" s="18"/>
      <c r="AM89" s="18"/>
      <c r="AN89" s="18"/>
      <c r="AO89" s="18"/>
      <c r="AP89" s="18"/>
      <c r="AQ89" s="18"/>
    </row>
    <row r="90" spans="1:43" s="635" customFormat="1" x14ac:dyDescent="0.2">
      <c r="A90" s="647"/>
      <c r="D90" s="1103"/>
      <c r="E90" s="1103"/>
      <c r="F90" s="1103"/>
      <c r="G90" s="1103"/>
      <c r="H90" s="1103"/>
      <c r="I90" s="1103"/>
      <c r="J90" s="1103"/>
      <c r="K90" s="1103"/>
      <c r="L90" s="1103"/>
      <c r="M90" s="1103"/>
      <c r="N90" s="1103"/>
      <c r="O90" s="1103"/>
      <c r="P90" s="1103"/>
      <c r="Q90" s="1103"/>
      <c r="R90" s="1103"/>
      <c r="S90" s="1103"/>
      <c r="T90" s="1103"/>
      <c r="U90" s="1103"/>
      <c r="V90" s="1103"/>
      <c r="W90" s="1103"/>
      <c r="X90" s="1103"/>
      <c r="Y90" s="1103"/>
      <c r="Z90" s="1103"/>
      <c r="AA90" s="1103"/>
      <c r="AB90" s="1103"/>
      <c r="AC90" s="1103"/>
      <c r="AD90" s="1103"/>
      <c r="AE90" s="1103"/>
      <c r="AF90" s="1103"/>
      <c r="AG90" s="1103"/>
      <c r="AI90" s="18"/>
      <c r="AJ90" s="18"/>
      <c r="AK90" s="18"/>
      <c r="AL90" s="18"/>
      <c r="AM90" s="18"/>
      <c r="AN90" s="18"/>
      <c r="AO90" s="18"/>
      <c r="AP90" s="18"/>
      <c r="AQ90" s="18"/>
    </row>
    <row r="91" spans="1:43" s="635" customFormat="1" x14ac:dyDescent="0.2">
      <c r="A91" s="647"/>
      <c r="AI91" s="18"/>
      <c r="AJ91" s="18"/>
      <c r="AK91" s="18"/>
      <c r="AL91" s="18"/>
      <c r="AM91" s="18"/>
      <c r="AN91" s="18"/>
      <c r="AO91" s="18"/>
      <c r="AP91" s="18"/>
      <c r="AQ91" s="18"/>
    </row>
    <row r="92" spans="1:43" s="635" customFormat="1" x14ac:dyDescent="0.2">
      <c r="A92" s="647"/>
      <c r="D92" s="634" t="s">
        <v>1931</v>
      </c>
      <c r="AI92" s="18"/>
      <c r="AJ92" s="18"/>
      <c r="AK92" s="18"/>
      <c r="AL92" s="18"/>
      <c r="AM92" s="18"/>
      <c r="AN92" s="18"/>
      <c r="AO92" s="18"/>
      <c r="AP92" s="18"/>
      <c r="AQ92" s="18"/>
    </row>
    <row r="93" spans="1:43" s="635" customFormat="1" x14ac:dyDescent="0.2">
      <c r="A93" s="647"/>
      <c r="AI93" s="18"/>
      <c r="AJ93" s="18"/>
      <c r="AK93" s="18"/>
      <c r="AL93" s="18"/>
      <c r="AM93" s="18"/>
      <c r="AN93" s="18"/>
      <c r="AO93" s="18"/>
      <c r="AP93" s="18"/>
      <c r="AQ93" s="18"/>
    </row>
    <row r="94" spans="1:43" s="635" customFormat="1" x14ac:dyDescent="0.2">
      <c r="A94" s="647"/>
      <c r="D94" s="1020" t="s">
        <v>1951</v>
      </c>
      <c r="E94" s="1103"/>
      <c r="F94" s="1103"/>
      <c r="G94" s="1103"/>
      <c r="H94" s="1103"/>
      <c r="I94" s="1103"/>
      <c r="J94" s="1103"/>
      <c r="K94" s="1103"/>
      <c r="L94" s="1103"/>
      <c r="M94" s="1103"/>
      <c r="N94" s="1103"/>
      <c r="O94" s="1103"/>
      <c r="P94" s="1103"/>
      <c r="Q94" s="1103"/>
      <c r="R94" s="1103"/>
      <c r="S94" s="1103"/>
      <c r="T94" s="1103"/>
      <c r="U94" s="1103"/>
      <c r="V94" s="1103"/>
      <c r="W94" s="1103"/>
      <c r="X94" s="1103"/>
      <c r="Y94" s="1103"/>
      <c r="Z94" s="1103"/>
      <c r="AA94" s="1103"/>
      <c r="AB94" s="1103"/>
      <c r="AC94" s="1103"/>
      <c r="AD94" s="1103"/>
      <c r="AE94" s="1103"/>
      <c r="AF94" s="1103"/>
      <c r="AG94" s="1103"/>
      <c r="AI94" s="18"/>
      <c r="AJ94" s="18"/>
      <c r="AK94" s="18"/>
      <c r="AL94" s="18"/>
      <c r="AM94" s="18"/>
      <c r="AN94" s="18"/>
      <c r="AO94" s="18"/>
      <c r="AP94" s="18"/>
      <c r="AQ94" s="18"/>
    </row>
    <row r="95" spans="1:43" s="635" customFormat="1" x14ac:dyDescent="0.2">
      <c r="A95" s="647"/>
      <c r="D95" s="1103"/>
      <c r="E95" s="1103"/>
      <c r="F95" s="1103"/>
      <c r="G95" s="1103"/>
      <c r="H95" s="1103"/>
      <c r="I95" s="1103"/>
      <c r="J95" s="1103"/>
      <c r="K95" s="1103"/>
      <c r="L95" s="1103"/>
      <c r="M95" s="1103"/>
      <c r="N95" s="1103"/>
      <c r="O95" s="1103"/>
      <c r="P95" s="1103"/>
      <c r="Q95" s="1103"/>
      <c r="R95" s="1103"/>
      <c r="S95" s="1103"/>
      <c r="T95" s="1103"/>
      <c r="U95" s="1103"/>
      <c r="V95" s="1103"/>
      <c r="W95" s="1103"/>
      <c r="X95" s="1103"/>
      <c r="Y95" s="1103"/>
      <c r="Z95" s="1103"/>
      <c r="AA95" s="1103"/>
      <c r="AB95" s="1103"/>
      <c r="AC95" s="1103"/>
      <c r="AD95" s="1103"/>
      <c r="AE95" s="1103"/>
      <c r="AF95" s="1103"/>
      <c r="AG95" s="1103"/>
      <c r="AI95" s="18"/>
      <c r="AJ95" s="18"/>
      <c r="AK95" s="18"/>
      <c r="AL95" s="18"/>
      <c r="AM95" s="18"/>
      <c r="AN95" s="18"/>
      <c r="AO95" s="18"/>
      <c r="AP95" s="18"/>
      <c r="AQ95" s="18"/>
    </row>
    <row r="96" spans="1:43" s="635" customFormat="1" x14ac:dyDescent="0.2">
      <c r="A96" s="647"/>
      <c r="AI96" s="18"/>
      <c r="AJ96" s="18"/>
      <c r="AK96" s="18"/>
      <c r="AL96" s="18"/>
      <c r="AM96" s="18"/>
      <c r="AN96" s="18"/>
      <c r="AO96" s="18"/>
      <c r="AP96" s="18"/>
      <c r="AQ96" s="18"/>
    </row>
    <row r="97" spans="1:43" s="635" customFormat="1" x14ac:dyDescent="0.2">
      <c r="A97" s="647"/>
      <c r="D97" s="1020" t="s">
        <v>1953</v>
      </c>
      <c r="E97" s="1103"/>
      <c r="F97" s="1103"/>
      <c r="G97" s="1103"/>
      <c r="H97" s="1103"/>
      <c r="I97" s="1103"/>
      <c r="J97" s="1103"/>
      <c r="K97" s="1103"/>
      <c r="L97" s="1103"/>
      <c r="M97" s="1103"/>
      <c r="N97" s="1103"/>
      <c r="O97" s="1103"/>
      <c r="P97" s="1103"/>
      <c r="Q97" s="1103"/>
      <c r="R97" s="1103"/>
      <c r="S97" s="1103"/>
      <c r="T97" s="1103"/>
      <c r="U97" s="1103"/>
      <c r="V97" s="1103"/>
      <c r="W97" s="1103"/>
      <c r="X97" s="1103"/>
      <c r="Y97" s="1103"/>
      <c r="Z97" s="1103"/>
      <c r="AA97" s="1103"/>
      <c r="AB97" s="1103"/>
      <c r="AC97" s="1103"/>
      <c r="AD97" s="1103"/>
      <c r="AE97" s="1103"/>
      <c r="AF97" s="1103"/>
      <c r="AG97" s="1103"/>
      <c r="AI97" s="18"/>
      <c r="AJ97" s="18"/>
      <c r="AK97" s="18"/>
      <c r="AL97" s="18"/>
      <c r="AM97" s="18"/>
      <c r="AN97" s="18"/>
      <c r="AO97" s="18"/>
      <c r="AP97" s="18"/>
      <c r="AQ97" s="18"/>
    </row>
    <row r="98" spans="1:43" s="635" customFormat="1" x14ac:dyDescent="0.2">
      <c r="A98" s="647"/>
      <c r="D98" s="1103"/>
      <c r="E98" s="1103"/>
      <c r="F98" s="1103"/>
      <c r="G98" s="1103"/>
      <c r="H98" s="1103"/>
      <c r="I98" s="1103"/>
      <c r="J98" s="1103"/>
      <c r="K98" s="1103"/>
      <c r="L98" s="1103"/>
      <c r="M98" s="1103"/>
      <c r="N98" s="1103"/>
      <c r="O98" s="1103"/>
      <c r="P98" s="1103"/>
      <c r="Q98" s="1103"/>
      <c r="R98" s="1103"/>
      <c r="S98" s="1103"/>
      <c r="T98" s="1103"/>
      <c r="U98" s="1103"/>
      <c r="V98" s="1103"/>
      <c r="W98" s="1103"/>
      <c r="X98" s="1103"/>
      <c r="Y98" s="1103"/>
      <c r="Z98" s="1103"/>
      <c r="AA98" s="1103"/>
      <c r="AB98" s="1103"/>
      <c r="AC98" s="1103"/>
      <c r="AD98" s="1103"/>
      <c r="AE98" s="1103"/>
      <c r="AF98" s="1103"/>
      <c r="AG98" s="1103"/>
      <c r="AI98" s="18"/>
      <c r="AJ98" s="18"/>
      <c r="AK98" s="18"/>
      <c r="AL98" s="18"/>
      <c r="AM98" s="18"/>
      <c r="AN98" s="18"/>
      <c r="AO98" s="18"/>
      <c r="AP98" s="18"/>
      <c r="AQ98" s="18"/>
    </row>
    <row r="99" spans="1:43" s="635" customFormat="1" ht="24.75" customHeight="1" x14ac:dyDescent="0.2">
      <c r="A99" s="647"/>
      <c r="D99" s="1103"/>
      <c r="E99" s="1103"/>
      <c r="F99" s="1103"/>
      <c r="G99" s="1103"/>
      <c r="H99" s="1103"/>
      <c r="I99" s="1103"/>
      <c r="J99" s="1103"/>
      <c r="K99" s="1103"/>
      <c r="L99" s="1103"/>
      <c r="M99" s="1103"/>
      <c r="N99" s="1103"/>
      <c r="O99" s="1103"/>
      <c r="P99" s="1103"/>
      <c r="Q99" s="1103"/>
      <c r="R99" s="1103"/>
      <c r="S99" s="1103"/>
      <c r="T99" s="1103"/>
      <c r="U99" s="1103"/>
      <c r="V99" s="1103"/>
      <c r="W99" s="1103"/>
      <c r="X99" s="1103"/>
      <c r="Y99" s="1103"/>
      <c r="Z99" s="1103"/>
      <c r="AA99" s="1103"/>
      <c r="AB99" s="1103"/>
      <c r="AC99" s="1103"/>
      <c r="AD99" s="1103"/>
      <c r="AE99" s="1103"/>
      <c r="AF99" s="1103"/>
      <c r="AG99" s="1103"/>
      <c r="AI99" s="18"/>
      <c r="AJ99" s="18"/>
      <c r="AK99" s="18"/>
      <c r="AL99" s="18"/>
      <c r="AM99" s="18"/>
      <c r="AN99" s="18"/>
      <c r="AO99" s="18"/>
      <c r="AP99" s="18"/>
      <c r="AQ99" s="18"/>
    </row>
    <row r="100" spans="1:43" s="635" customFormat="1" ht="14.25" customHeight="1" x14ac:dyDescent="0.2">
      <c r="A100" s="647"/>
      <c r="D100" s="1108" t="s">
        <v>1952</v>
      </c>
      <c r="E100" s="1108"/>
      <c r="F100" s="1108"/>
      <c r="G100" s="1108"/>
      <c r="H100" s="1108"/>
      <c r="I100" s="1108"/>
      <c r="J100" s="1108"/>
      <c r="K100" s="1108"/>
      <c r="L100" s="1108"/>
      <c r="M100" s="1108"/>
      <c r="N100" s="1108"/>
      <c r="O100" s="1108"/>
      <c r="P100" s="1108"/>
      <c r="Q100" s="1108"/>
      <c r="R100" s="1108"/>
      <c r="S100" s="1108"/>
      <c r="T100" s="1108"/>
      <c r="U100" s="1108"/>
      <c r="V100" s="1108"/>
      <c r="W100" s="1108"/>
      <c r="X100" s="1108"/>
      <c r="Y100" s="1108"/>
      <c r="Z100" s="1108"/>
      <c r="AA100" s="1108"/>
      <c r="AB100" s="1108"/>
      <c r="AC100" s="1108"/>
      <c r="AD100" s="1108"/>
      <c r="AE100" s="1108"/>
      <c r="AF100" s="1108"/>
      <c r="AG100" s="1108"/>
      <c r="AI100" s="18"/>
      <c r="AJ100" s="18"/>
      <c r="AK100" s="18"/>
      <c r="AL100" s="18"/>
      <c r="AM100" s="18"/>
      <c r="AN100" s="18"/>
      <c r="AO100" s="18"/>
      <c r="AP100" s="18"/>
      <c r="AQ100" s="18"/>
    </row>
    <row r="101" spans="1:43" s="635" customFormat="1" x14ac:dyDescent="0.2">
      <c r="A101" s="647"/>
      <c r="K101" s="818"/>
      <c r="AI101" s="18"/>
      <c r="AJ101" s="18"/>
      <c r="AK101" s="18"/>
      <c r="AL101" s="18"/>
      <c r="AM101" s="18"/>
      <c r="AN101" s="18"/>
      <c r="AO101" s="18"/>
      <c r="AP101" s="18"/>
      <c r="AQ101" s="18"/>
    </row>
    <row r="102" spans="1:43" s="635" customFormat="1" x14ac:dyDescent="0.2">
      <c r="A102" s="647"/>
      <c r="D102" s="634" t="s">
        <v>1932</v>
      </c>
      <c r="AI102" s="18"/>
      <c r="AJ102" s="18"/>
      <c r="AK102" s="18"/>
      <c r="AL102" s="18"/>
      <c r="AM102" s="18"/>
      <c r="AN102" s="18"/>
      <c r="AO102" s="18"/>
      <c r="AP102" s="18"/>
      <c r="AQ102" s="18"/>
    </row>
    <row r="103" spans="1:43" s="635" customFormat="1" x14ac:dyDescent="0.2">
      <c r="A103" s="647"/>
      <c r="AI103" s="18"/>
      <c r="AJ103" s="18"/>
      <c r="AK103" s="18"/>
      <c r="AL103" s="18"/>
      <c r="AM103" s="18"/>
      <c r="AN103" s="18"/>
      <c r="AO103" s="18"/>
      <c r="AP103" s="18"/>
      <c r="AQ103" s="18"/>
    </row>
    <row r="104" spans="1:43" s="635" customFormat="1" x14ac:dyDescent="0.2">
      <c r="A104" s="647"/>
      <c r="D104" s="1103" t="s">
        <v>1433</v>
      </c>
      <c r="E104" s="1103"/>
      <c r="F104" s="1103"/>
      <c r="G104" s="1103"/>
      <c r="H104" s="1103"/>
      <c r="I104" s="1103"/>
      <c r="J104" s="1103"/>
      <c r="K104" s="1103"/>
      <c r="L104" s="1103"/>
      <c r="M104" s="1103"/>
      <c r="N104" s="1103"/>
      <c r="O104" s="1103"/>
      <c r="P104" s="1103"/>
      <c r="Q104" s="1103"/>
      <c r="R104" s="1103"/>
      <c r="S104" s="1103"/>
      <c r="T104" s="1103"/>
      <c r="U104" s="1103"/>
      <c r="V104" s="1103"/>
      <c r="W104" s="1103"/>
      <c r="X104" s="1103"/>
      <c r="Y104" s="1103"/>
      <c r="Z104" s="1103"/>
      <c r="AA104" s="1103"/>
      <c r="AB104" s="1103"/>
      <c r="AC104" s="1103"/>
      <c r="AD104" s="1103"/>
      <c r="AE104" s="1103"/>
      <c r="AF104" s="1103"/>
      <c r="AG104" s="1103"/>
      <c r="AI104" s="18"/>
      <c r="AJ104" s="18"/>
      <c r="AK104" s="18"/>
      <c r="AL104" s="18"/>
      <c r="AM104" s="18"/>
      <c r="AN104" s="18"/>
      <c r="AO104" s="18"/>
      <c r="AP104" s="18"/>
      <c r="AQ104" s="18"/>
    </row>
    <row r="105" spans="1:43" s="635" customFormat="1" x14ac:dyDescent="0.2">
      <c r="A105" s="647"/>
      <c r="D105" s="1103"/>
      <c r="E105" s="1103"/>
      <c r="F105" s="1103"/>
      <c r="G105" s="1103"/>
      <c r="H105" s="1103"/>
      <c r="I105" s="1103"/>
      <c r="J105" s="1103"/>
      <c r="K105" s="1103"/>
      <c r="L105" s="1103"/>
      <c r="M105" s="1103"/>
      <c r="N105" s="1103"/>
      <c r="O105" s="1103"/>
      <c r="P105" s="1103"/>
      <c r="Q105" s="1103"/>
      <c r="R105" s="1103"/>
      <c r="S105" s="1103"/>
      <c r="T105" s="1103"/>
      <c r="U105" s="1103"/>
      <c r="V105" s="1103"/>
      <c r="W105" s="1103"/>
      <c r="X105" s="1103"/>
      <c r="Y105" s="1103"/>
      <c r="Z105" s="1103"/>
      <c r="AA105" s="1103"/>
      <c r="AB105" s="1103"/>
      <c r="AC105" s="1103"/>
      <c r="AD105" s="1103"/>
      <c r="AE105" s="1103"/>
      <c r="AF105" s="1103"/>
      <c r="AG105" s="1103"/>
      <c r="AI105" s="18"/>
      <c r="AJ105" s="18"/>
      <c r="AK105" s="18"/>
      <c r="AL105" s="18"/>
      <c r="AM105" s="18"/>
      <c r="AN105" s="18"/>
      <c r="AO105" s="18"/>
      <c r="AP105" s="18"/>
      <c r="AQ105" s="18"/>
    </row>
    <row r="106" spans="1:43" s="635" customFormat="1" x14ac:dyDescent="0.2">
      <c r="A106" s="647"/>
      <c r="AI106" s="18"/>
      <c r="AJ106" s="18"/>
      <c r="AK106" s="18"/>
      <c r="AL106" s="18"/>
      <c r="AM106" s="18"/>
      <c r="AN106" s="18"/>
      <c r="AO106" s="18"/>
      <c r="AP106" s="18"/>
      <c r="AQ106" s="18"/>
    </row>
    <row r="107" spans="1:43" s="635" customFormat="1" x14ac:dyDescent="0.2">
      <c r="A107" s="647"/>
      <c r="D107" s="1103" t="s">
        <v>1434</v>
      </c>
      <c r="E107" s="1103"/>
      <c r="F107" s="1103"/>
      <c r="G107" s="1103"/>
      <c r="H107" s="1103"/>
      <c r="I107" s="1103"/>
      <c r="J107" s="1103"/>
      <c r="K107" s="1103"/>
      <c r="L107" s="1103"/>
      <c r="M107" s="1103"/>
      <c r="N107" s="1103"/>
      <c r="O107" s="1103"/>
      <c r="P107" s="1103"/>
      <c r="Q107" s="1103"/>
      <c r="R107" s="1103"/>
      <c r="S107" s="1103"/>
      <c r="T107" s="1103"/>
      <c r="U107" s="1103"/>
      <c r="V107" s="1103"/>
      <c r="W107" s="1103"/>
      <c r="X107" s="1103"/>
      <c r="Y107" s="1103"/>
      <c r="Z107" s="1103"/>
      <c r="AA107" s="1103"/>
      <c r="AB107" s="1103"/>
      <c r="AC107" s="1103"/>
      <c r="AD107" s="1103"/>
      <c r="AE107" s="1103"/>
      <c r="AF107" s="1103"/>
      <c r="AG107" s="1103"/>
      <c r="AI107" s="18"/>
      <c r="AJ107" s="18"/>
      <c r="AK107" s="18"/>
      <c r="AL107" s="18"/>
      <c r="AM107" s="18"/>
      <c r="AN107" s="18"/>
      <c r="AO107" s="18"/>
      <c r="AP107" s="18"/>
      <c r="AQ107" s="18"/>
    </row>
    <row r="108" spans="1:43" s="635" customFormat="1" x14ac:dyDescent="0.2">
      <c r="A108" s="647"/>
      <c r="D108" s="1103"/>
      <c r="E108" s="1103"/>
      <c r="F108" s="1103"/>
      <c r="G108" s="1103"/>
      <c r="H108" s="1103"/>
      <c r="I108" s="1103"/>
      <c r="J108" s="1103"/>
      <c r="K108" s="1103"/>
      <c r="L108" s="1103"/>
      <c r="M108" s="1103"/>
      <c r="N108" s="1103"/>
      <c r="O108" s="1103"/>
      <c r="P108" s="1103"/>
      <c r="Q108" s="1103"/>
      <c r="R108" s="1103"/>
      <c r="S108" s="1103"/>
      <c r="T108" s="1103"/>
      <c r="U108" s="1103"/>
      <c r="V108" s="1103"/>
      <c r="W108" s="1103"/>
      <c r="X108" s="1103"/>
      <c r="Y108" s="1103"/>
      <c r="Z108" s="1103"/>
      <c r="AA108" s="1103"/>
      <c r="AB108" s="1103"/>
      <c r="AC108" s="1103"/>
      <c r="AD108" s="1103"/>
      <c r="AE108" s="1103"/>
      <c r="AF108" s="1103"/>
      <c r="AG108" s="1103"/>
      <c r="AI108" s="18"/>
      <c r="AJ108" s="18"/>
      <c r="AK108" s="18"/>
      <c r="AL108" s="18"/>
      <c r="AM108" s="18"/>
      <c r="AN108" s="18"/>
      <c r="AO108" s="18"/>
      <c r="AP108" s="18"/>
      <c r="AQ108" s="18"/>
    </row>
    <row r="109" spans="1:43" s="635" customFormat="1" x14ac:dyDescent="0.2">
      <c r="A109" s="647"/>
      <c r="AI109" s="18"/>
      <c r="AJ109" s="18"/>
      <c r="AK109" s="18"/>
      <c r="AL109" s="18"/>
      <c r="AM109" s="18"/>
      <c r="AN109" s="18"/>
      <c r="AO109" s="18"/>
      <c r="AP109" s="18"/>
      <c r="AQ109" s="18"/>
    </row>
    <row r="110" spans="1:43" s="635" customFormat="1" x14ac:dyDescent="0.2">
      <c r="A110" s="647"/>
      <c r="D110" s="1103" t="s">
        <v>1435</v>
      </c>
      <c r="E110" s="1103"/>
      <c r="F110" s="1103"/>
      <c r="G110" s="1103"/>
      <c r="H110" s="1103"/>
      <c r="I110" s="1103"/>
      <c r="J110" s="1103"/>
      <c r="K110" s="1103"/>
      <c r="L110" s="1103"/>
      <c r="M110" s="1103"/>
      <c r="N110" s="1103"/>
      <c r="O110" s="1103"/>
      <c r="P110" s="1103"/>
      <c r="Q110" s="1103"/>
      <c r="R110" s="1103"/>
      <c r="S110" s="1103"/>
      <c r="T110" s="1103"/>
      <c r="U110" s="1103"/>
      <c r="V110" s="1103"/>
      <c r="W110" s="1103"/>
      <c r="X110" s="1103"/>
      <c r="Y110" s="1103"/>
      <c r="Z110" s="1103"/>
      <c r="AA110" s="1103"/>
      <c r="AB110" s="1103"/>
      <c r="AC110" s="1103"/>
      <c r="AD110" s="1103"/>
      <c r="AE110" s="1103"/>
      <c r="AF110" s="1103"/>
      <c r="AG110" s="1103"/>
      <c r="AI110" s="18"/>
      <c r="AJ110" s="18"/>
      <c r="AK110" s="18"/>
      <c r="AL110" s="18"/>
      <c r="AM110" s="18"/>
      <c r="AN110" s="18"/>
      <c r="AO110" s="18"/>
      <c r="AP110" s="18"/>
      <c r="AQ110" s="18"/>
    </row>
    <row r="111" spans="1:43" s="635" customFormat="1" x14ac:dyDescent="0.2">
      <c r="A111" s="647"/>
      <c r="AI111" s="18"/>
      <c r="AJ111" s="18"/>
      <c r="AK111" s="18"/>
      <c r="AL111" s="18"/>
      <c r="AM111" s="18"/>
      <c r="AN111" s="18"/>
      <c r="AO111" s="18"/>
      <c r="AP111" s="18"/>
      <c r="AQ111" s="18"/>
    </row>
    <row r="112" spans="1:43" s="635" customFormat="1" x14ac:dyDescent="0.2">
      <c r="A112" s="647"/>
      <c r="D112" s="634" t="s">
        <v>1933</v>
      </c>
      <c r="AI112" s="18"/>
      <c r="AJ112" s="18"/>
      <c r="AK112" s="18"/>
      <c r="AL112" s="18"/>
      <c r="AM112" s="18"/>
      <c r="AN112" s="18"/>
      <c r="AO112" s="18"/>
      <c r="AP112" s="18"/>
      <c r="AQ112" s="18"/>
    </row>
    <row r="113" spans="1:43" s="635" customFormat="1" x14ac:dyDescent="0.2">
      <c r="A113" s="647"/>
      <c r="AI113" s="18"/>
      <c r="AJ113" s="18"/>
      <c r="AK113" s="18"/>
      <c r="AL113" s="18"/>
      <c r="AM113" s="18"/>
      <c r="AN113" s="18"/>
      <c r="AO113" s="18"/>
      <c r="AP113" s="18"/>
      <c r="AQ113" s="18"/>
    </row>
    <row r="114" spans="1:43" s="635" customFormat="1" x14ac:dyDescent="0.2">
      <c r="A114" s="647"/>
      <c r="D114" s="1103" t="s">
        <v>1436</v>
      </c>
      <c r="E114" s="1103"/>
      <c r="F114" s="1103"/>
      <c r="G114" s="1103"/>
      <c r="H114" s="1103"/>
      <c r="I114" s="1103"/>
      <c r="J114" s="1103"/>
      <c r="K114" s="1103"/>
      <c r="L114" s="1103"/>
      <c r="M114" s="1103"/>
      <c r="N114" s="1103"/>
      <c r="O114" s="1103"/>
      <c r="P114" s="1103"/>
      <c r="Q114" s="1103"/>
      <c r="R114" s="1103"/>
      <c r="S114" s="1103"/>
      <c r="T114" s="1103"/>
      <c r="U114" s="1103"/>
      <c r="V114" s="1103"/>
      <c r="W114" s="1103"/>
      <c r="X114" s="1103"/>
      <c r="Y114" s="1103"/>
      <c r="Z114" s="1103"/>
      <c r="AA114" s="1103"/>
      <c r="AB114" s="1103"/>
      <c r="AC114" s="1103"/>
      <c r="AD114" s="1103"/>
      <c r="AE114" s="1103"/>
      <c r="AF114" s="1103"/>
      <c r="AG114" s="1103"/>
      <c r="AI114" s="18"/>
      <c r="AJ114" s="18"/>
      <c r="AK114" s="18"/>
      <c r="AL114" s="18"/>
      <c r="AM114" s="18"/>
      <c r="AN114" s="18"/>
      <c r="AO114" s="18"/>
      <c r="AP114" s="18"/>
      <c r="AQ114" s="18"/>
    </row>
    <row r="115" spans="1:43" s="635" customFormat="1" x14ac:dyDescent="0.2">
      <c r="A115" s="647"/>
      <c r="D115" s="1103"/>
      <c r="E115" s="1103"/>
      <c r="F115" s="1103"/>
      <c r="G115" s="1103"/>
      <c r="H115" s="1103"/>
      <c r="I115" s="1103"/>
      <c r="J115" s="1103"/>
      <c r="K115" s="1103"/>
      <c r="L115" s="1103"/>
      <c r="M115" s="1103"/>
      <c r="N115" s="1103"/>
      <c r="O115" s="1103"/>
      <c r="P115" s="1103"/>
      <c r="Q115" s="1103"/>
      <c r="R115" s="1103"/>
      <c r="S115" s="1103"/>
      <c r="T115" s="1103"/>
      <c r="U115" s="1103"/>
      <c r="V115" s="1103"/>
      <c r="W115" s="1103"/>
      <c r="X115" s="1103"/>
      <c r="Y115" s="1103"/>
      <c r="Z115" s="1103"/>
      <c r="AA115" s="1103"/>
      <c r="AB115" s="1103"/>
      <c r="AC115" s="1103"/>
      <c r="AD115" s="1103"/>
      <c r="AE115" s="1103"/>
      <c r="AF115" s="1103"/>
      <c r="AG115" s="1103"/>
      <c r="AI115" s="18"/>
      <c r="AJ115" s="18"/>
      <c r="AK115" s="18"/>
      <c r="AL115" s="18"/>
      <c r="AM115" s="18"/>
      <c r="AN115" s="18"/>
      <c r="AO115" s="18"/>
      <c r="AP115" s="18"/>
      <c r="AQ115" s="18"/>
    </row>
    <row r="116" spans="1:43" s="635" customFormat="1" x14ac:dyDescent="0.2">
      <c r="A116" s="647"/>
      <c r="AI116" s="18"/>
      <c r="AJ116" s="18"/>
      <c r="AK116" s="18"/>
      <c r="AL116" s="18"/>
      <c r="AM116" s="18"/>
      <c r="AN116" s="18"/>
      <c r="AO116" s="18"/>
      <c r="AP116" s="18"/>
      <c r="AQ116" s="18"/>
    </row>
    <row r="117" spans="1:43" s="635" customFormat="1" x14ac:dyDescent="0.2">
      <c r="A117" s="647"/>
      <c r="D117" s="634" t="s">
        <v>1934</v>
      </c>
      <c r="AI117" s="18"/>
      <c r="AJ117" s="18"/>
      <c r="AK117" s="18"/>
      <c r="AL117" s="18"/>
      <c r="AM117" s="18"/>
      <c r="AN117" s="18"/>
      <c r="AO117" s="18"/>
      <c r="AP117" s="18"/>
      <c r="AQ117" s="18"/>
    </row>
    <row r="118" spans="1:43" s="635" customFormat="1" x14ac:dyDescent="0.2">
      <c r="A118" s="647"/>
      <c r="AI118" s="18"/>
      <c r="AJ118" s="18"/>
      <c r="AK118" s="18"/>
      <c r="AL118" s="18"/>
      <c r="AM118" s="18"/>
      <c r="AN118" s="18"/>
      <c r="AO118" s="18"/>
      <c r="AP118" s="18"/>
      <c r="AQ118" s="18"/>
    </row>
    <row r="119" spans="1:43" s="635" customFormat="1" x14ac:dyDescent="0.2">
      <c r="A119" s="647"/>
      <c r="D119" s="1103" t="s">
        <v>1437</v>
      </c>
      <c r="E119" s="1103"/>
      <c r="F119" s="1103"/>
      <c r="G119" s="1103"/>
      <c r="H119" s="1103"/>
      <c r="I119" s="1103"/>
      <c r="J119" s="1103"/>
      <c r="K119" s="1103"/>
      <c r="L119" s="1103"/>
      <c r="M119" s="1103"/>
      <c r="N119" s="1103"/>
      <c r="O119" s="1103"/>
      <c r="P119" s="1103"/>
      <c r="Q119" s="1103"/>
      <c r="R119" s="1103"/>
      <c r="S119" s="1103"/>
      <c r="T119" s="1103"/>
      <c r="U119" s="1103"/>
      <c r="V119" s="1103"/>
      <c r="W119" s="1103"/>
      <c r="X119" s="1103"/>
      <c r="Y119" s="1103"/>
      <c r="Z119" s="1103"/>
      <c r="AA119" s="1103"/>
      <c r="AB119" s="1103"/>
      <c r="AC119" s="1103"/>
      <c r="AD119" s="1103"/>
      <c r="AE119" s="1103"/>
      <c r="AF119" s="1103"/>
      <c r="AG119" s="1103"/>
      <c r="AI119" s="18"/>
      <c r="AJ119" s="18"/>
      <c r="AK119" s="18"/>
      <c r="AL119" s="18"/>
      <c r="AM119" s="18"/>
      <c r="AN119" s="18"/>
      <c r="AO119" s="18"/>
      <c r="AP119" s="18"/>
      <c r="AQ119" s="18"/>
    </row>
    <row r="120" spans="1:43" s="635" customFormat="1" x14ac:dyDescent="0.2">
      <c r="A120" s="647"/>
      <c r="D120" s="1103"/>
      <c r="E120" s="1103"/>
      <c r="F120" s="1103"/>
      <c r="G120" s="1103"/>
      <c r="H120" s="1103"/>
      <c r="I120" s="1103"/>
      <c r="J120" s="1103"/>
      <c r="K120" s="1103"/>
      <c r="L120" s="1103"/>
      <c r="M120" s="1103"/>
      <c r="N120" s="1103"/>
      <c r="O120" s="1103"/>
      <c r="P120" s="1103"/>
      <c r="Q120" s="1103"/>
      <c r="R120" s="1103"/>
      <c r="S120" s="1103"/>
      <c r="T120" s="1103"/>
      <c r="U120" s="1103"/>
      <c r="V120" s="1103"/>
      <c r="W120" s="1103"/>
      <c r="X120" s="1103"/>
      <c r="Y120" s="1103"/>
      <c r="Z120" s="1103"/>
      <c r="AA120" s="1103"/>
      <c r="AB120" s="1103"/>
      <c r="AC120" s="1103"/>
      <c r="AD120" s="1103"/>
      <c r="AE120" s="1103"/>
      <c r="AF120" s="1103"/>
      <c r="AG120" s="1103"/>
      <c r="AI120" s="18"/>
      <c r="AJ120" s="18"/>
      <c r="AK120" s="18"/>
      <c r="AL120" s="18"/>
      <c r="AM120" s="18"/>
      <c r="AN120" s="18"/>
      <c r="AO120" s="18"/>
      <c r="AP120" s="18"/>
      <c r="AQ120" s="18"/>
    </row>
    <row r="121" spans="1:43" s="635" customFormat="1" x14ac:dyDescent="0.2">
      <c r="A121" s="647"/>
      <c r="D121" s="1103"/>
      <c r="E121" s="1103"/>
      <c r="F121" s="1103"/>
      <c r="G121" s="1103"/>
      <c r="H121" s="1103"/>
      <c r="I121" s="1103"/>
      <c r="J121" s="1103"/>
      <c r="K121" s="1103"/>
      <c r="L121" s="1103"/>
      <c r="M121" s="1103"/>
      <c r="N121" s="1103"/>
      <c r="O121" s="1103"/>
      <c r="P121" s="1103"/>
      <c r="Q121" s="1103"/>
      <c r="R121" s="1103"/>
      <c r="S121" s="1103"/>
      <c r="T121" s="1103"/>
      <c r="U121" s="1103"/>
      <c r="V121" s="1103"/>
      <c r="W121" s="1103"/>
      <c r="X121" s="1103"/>
      <c r="Y121" s="1103"/>
      <c r="Z121" s="1103"/>
      <c r="AA121" s="1103"/>
      <c r="AB121" s="1103"/>
      <c r="AC121" s="1103"/>
      <c r="AD121" s="1103"/>
      <c r="AE121" s="1103"/>
      <c r="AF121" s="1103"/>
      <c r="AG121" s="1103"/>
      <c r="AI121" s="18"/>
      <c r="AJ121" s="18"/>
      <c r="AK121" s="18"/>
      <c r="AL121" s="18"/>
      <c r="AM121" s="18"/>
      <c r="AN121" s="18"/>
      <c r="AO121" s="18"/>
      <c r="AP121" s="18"/>
      <c r="AQ121" s="18"/>
    </row>
    <row r="122" spans="1:43" s="635" customFormat="1" x14ac:dyDescent="0.2">
      <c r="A122" s="647"/>
      <c r="AI122" s="18"/>
      <c r="AJ122" s="18"/>
      <c r="AK122" s="18"/>
      <c r="AL122" s="18"/>
      <c r="AM122" s="18"/>
      <c r="AN122" s="18"/>
      <c r="AO122" s="18"/>
      <c r="AP122" s="18"/>
      <c r="AQ122" s="18"/>
    </row>
    <row r="123" spans="1:43" s="635" customFormat="1" x14ac:dyDescent="0.2">
      <c r="A123" s="647"/>
      <c r="D123" s="635" t="s">
        <v>1429</v>
      </c>
      <c r="E123" s="1103" t="s">
        <v>1439</v>
      </c>
      <c r="F123" s="1103"/>
      <c r="G123" s="1103"/>
      <c r="H123" s="1103"/>
      <c r="I123" s="1103"/>
      <c r="J123" s="1103"/>
      <c r="K123" s="1103"/>
      <c r="L123" s="1103"/>
      <c r="M123" s="1103"/>
      <c r="N123" s="1103"/>
      <c r="O123" s="1103"/>
      <c r="P123" s="1103"/>
      <c r="Q123" s="1103"/>
      <c r="R123" s="1103"/>
      <c r="S123" s="1103"/>
      <c r="T123" s="1103"/>
      <c r="U123" s="1103"/>
      <c r="V123" s="1103"/>
      <c r="W123" s="1103"/>
      <c r="X123" s="1103"/>
      <c r="Y123" s="1103"/>
      <c r="Z123" s="1103"/>
      <c r="AA123" s="1103"/>
      <c r="AB123" s="1103"/>
      <c r="AC123" s="1103"/>
      <c r="AD123" s="1103"/>
      <c r="AE123" s="1103"/>
      <c r="AF123" s="1103"/>
      <c r="AG123" s="1103"/>
      <c r="AI123" s="18"/>
      <c r="AJ123" s="18"/>
      <c r="AK123" s="18"/>
      <c r="AL123" s="18"/>
      <c r="AM123" s="18"/>
      <c r="AN123" s="18"/>
      <c r="AO123" s="18"/>
      <c r="AP123" s="18"/>
      <c r="AQ123" s="18"/>
    </row>
    <row r="124" spans="1:43" s="635" customFormat="1" x14ac:dyDescent="0.2">
      <c r="A124" s="647"/>
      <c r="E124" s="1103"/>
      <c r="F124" s="1103"/>
      <c r="G124" s="1103"/>
      <c r="H124" s="1103"/>
      <c r="I124" s="1103"/>
      <c r="J124" s="1103"/>
      <c r="K124" s="1103"/>
      <c r="L124" s="1103"/>
      <c r="M124" s="1103"/>
      <c r="N124" s="1103"/>
      <c r="O124" s="1103"/>
      <c r="P124" s="1103"/>
      <c r="Q124" s="1103"/>
      <c r="R124" s="1103"/>
      <c r="S124" s="1103"/>
      <c r="T124" s="1103"/>
      <c r="U124" s="1103"/>
      <c r="V124" s="1103"/>
      <c r="W124" s="1103"/>
      <c r="X124" s="1103"/>
      <c r="Y124" s="1103"/>
      <c r="Z124" s="1103"/>
      <c r="AA124" s="1103"/>
      <c r="AB124" s="1103"/>
      <c r="AC124" s="1103"/>
      <c r="AD124" s="1103"/>
      <c r="AE124" s="1103"/>
      <c r="AF124" s="1103"/>
      <c r="AG124" s="1103"/>
      <c r="AI124" s="18"/>
      <c r="AJ124" s="18"/>
      <c r="AK124" s="18"/>
      <c r="AL124" s="18"/>
      <c r="AM124" s="18"/>
      <c r="AN124" s="18"/>
      <c r="AO124" s="18"/>
      <c r="AP124" s="18"/>
      <c r="AQ124" s="18"/>
    </row>
    <row r="125" spans="1:43" s="635" customFormat="1" x14ac:dyDescent="0.2">
      <c r="A125" s="647"/>
      <c r="E125" s="649"/>
      <c r="F125" s="649"/>
      <c r="G125" s="649"/>
      <c r="H125" s="649"/>
      <c r="I125" s="649"/>
      <c r="J125" s="649"/>
      <c r="K125" s="649"/>
      <c r="L125" s="649"/>
      <c r="M125" s="649"/>
      <c r="N125" s="649"/>
      <c r="O125" s="649"/>
      <c r="P125" s="649"/>
      <c r="Q125" s="649"/>
      <c r="R125" s="649"/>
      <c r="S125" s="649"/>
      <c r="T125" s="649"/>
      <c r="U125" s="649"/>
      <c r="V125" s="649"/>
      <c r="W125" s="649"/>
      <c r="X125" s="649"/>
      <c r="Y125" s="649"/>
      <c r="Z125" s="649"/>
      <c r="AA125" s="649"/>
      <c r="AB125" s="649"/>
      <c r="AC125" s="649"/>
      <c r="AD125" s="649"/>
      <c r="AE125" s="649"/>
      <c r="AF125" s="649"/>
      <c r="AG125" s="649"/>
      <c r="AI125" s="18"/>
      <c r="AJ125" s="18"/>
      <c r="AK125" s="18"/>
      <c r="AL125" s="18"/>
      <c r="AM125" s="18"/>
      <c r="AN125" s="18"/>
      <c r="AO125" s="18"/>
      <c r="AP125" s="18"/>
      <c r="AQ125" s="18"/>
    </row>
    <row r="126" spans="1:43" s="635" customFormat="1" x14ac:dyDescent="0.2">
      <c r="A126" s="647"/>
      <c r="D126" s="635" t="s">
        <v>1429</v>
      </c>
      <c r="E126" s="1103" t="s">
        <v>1438</v>
      </c>
      <c r="F126" s="1103"/>
      <c r="G126" s="1103"/>
      <c r="H126" s="1103"/>
      <c r="I126" s="1103"/>
      <c r="J126" s="1103"/>
      <c r="K126" s="1103"/>
      <c r="L126" s="1103"/>
      <c r="M126" s="1103"/>
      <c r="N126" s="1103"/>
      <c r="O126" s="1103"/>
      <c r="P126" s="1103"/>
      <c r="Q126" s="1103"/>
      <c r="R126" s="1103"/>
      <c r="S126" s="1103"/>
      <c r="T126" s="1103"/>
      <c r="U126" s="1103"/>
      <c r="V126" s="1103"/>
      <c r="W126" s="1103"/>
      <c r="X126" s="1103"/>
      <c r="Y126" s="1103"/>
      <c r="Z126" s="1103"/>
      <c r="AA126" s="1103"/>
      <c r="AB126" s="1103"/>
      <c r="AC126" s="1103"/>
      <c r="AD126" s="1103"/>
      <c r="AE126" s="1103"/>
      <c r="AF126" s="1103"/>
      <c r="AG126" s="1103"/>
      <c r="AI126" s="18"/>
      <c r="AJ126" s="18"/>
      <c r="AK126" s="18"/>
      <c r="AL126" s="18"/>
      <c r="AM126" s="18"/>
      <c r="AN126" s="18"/>
      <c r="AO126" s="18"/>
      <c r="AP126" s="18"/>
      <c r="AQ126" s="18"/>
    </row>
    <row r="127" spans="1:43" s="635" customFormat="1" x14ac:dyDescent="0.2">
      <c r="A127" s="647"/>
      <c r="E127" s="1103"/>
      <c r="F127" s="1103"/>
      <c r="G127" s="1103"/>
      <c r="H127" s="1103"/>
      <c r="I127" s="1103"/>
      <c r="J127" s="1103"/>
      <c r="K127" s="1103"/>
      <c r="L127" s="1103"/>
      <c r="M127" s="1103"/>
      <c r="N127" s="1103"/>
      <c r="O127" s="1103"/>
      <c r="P127" s="1103"/>
      <c r="Q127" s="1103"/>
      <c r="R127" s="1103"/>
      <c r="S127" s="1103"/>
      <c r="T127" s="1103"/>
      <c r="U127" s="1103"/>
      <c r="V127" s="1103"/>
      <c r="W127" s="1103"/>
      <c r="X127" s="1103"/>
      <c r="Y127" s="1103"/>
      <c r="Z127" s="1103"/>
      <c r="AA127" s="1103"/>
      <c r="AB127" s="1103"/>
      <c r="AC127" s="1103"/>
      <c r="AD127" s="1103"/>
      <c r="AE127" s="1103"/>
      <c r="AF127" s="1103"/>
      <c r="AG127" s="1103"/>
      <c r="AI127" s="18"/>
      <c r="AJ127" s="18"/>
      <c r="AK127" s="18"/>
      <c r="AL127" s="18"/>
      <c r="AM127" s="18"/>
      <c r="AN127" s="18"/>
      <c r="AO127" s="18"/>
      <c r="AP127" s="18"/>
      <c r="AQ127" s="18"/>
    </row>
    <row r="128" spans="1:43" s="635" customFormat="1" x14ac:dyDescent="0.2">
      <c r="A128" s="647"/>
      <c r="AI128" s="18"/>
      <c r="AJ128" s="18"/>
      <c r="AK128" s="18"/>
      <c r="AL128" s="18"/>
      <c r="AM128" s="18"/>
      <c r="AN128" s="18"/>
      <c r="AO128" s="18"/>
      <c r="AP128" s="18"/>
      <c r="AQ128" s="18"/>
    </row>
    <row r="129" spans="1:43" s="635" customFormat="1" x14ac:dyDescent="0.2">
      <c r="A129" s="647"/>
      <c r="D129" s="635" t="s">
        <v>1429</v>
      </c>
      <c r="E129" s="1103" t="s">
        <v>1440</v>
      </c>
      <c r="F129" s="1103"/>
      <c r="G129" s="1103"/>
      <c r="H129" s="1103"/>
      <c r="I129" s="1103"/>
      <c r="J129" s="1103"/>
      <c r="K129" s="1103"/>
      <c r="L129" s="1103"/>
      <c r="M129" s="1103"/>
      <c r="N129" s="1103"/>
      <c r="O129" s="1103"/>
      <c r="P129" s="1103"/>
      <c r="Q129" s="1103"/>
      <c r="R129" s="1103"/>
      <c r="S129" s="1103"/>
      <c r="T129" s="1103"/>
      <c r="U129" s="1103"/>
      <c r="V129" s="1103"/>
      <c r="W129" s="1103"/>
      <c r="X129" s="1103"/>
      <c r="Y129" s="1103"/>
      <c r="Z129" s="1103"/>
      <c r="AA129" s="1103"/>
      <c r="AB129" s="1103"/>
      <c r="AC129" s="1103"/>
      <c r="AD129" s="1103"/>
      <c r="AE129" s="1103"/>
      <c r="AF129" s="1103"/>
      <c r="AG129" s="1103"/>
      <c r="AI129" s="18"/>
      <c r="AJ129" s="18"/>
      <c r="AK129" s="18"/>
      <c r="AL129" s="18"/>
      <c r="AM129" s="18"/>
      <c r="AN129" s="18"/>
      <c r="AO129" s="18"/>
      <c r="AP129" s="18"/>
      <c r="AQ129" s="18"/>
    </row>
    <row r="130" spans="1:43" s="635" customFormat="1" x14ac:dyDescent="0.2">
      <c r="A130" s="647"/>
      <c r="AI130" s="18"/>
      <c r="AJ130" s="18"/>
      <c r="AK130" s="18"/>
      <c r="AL130" s="18"/>
      <c r="AM130" s="18"/>
      <c r="AN130" s="18"/>
      <c r="AO130" s="18"/>
      <c r="AP130" s="18"/>
      <c r="AQ130" s="18"/>
    </row>
    <row r="131" spans="1:43" s="635" customFormat="1" x14ac:dyDescent="0.2">
      <c r="A131" s="647"/>
      <c r="D131" s="1103" t="s">
        <v>1441</v>
      </c>
      <c r="E131" s="1103"/>
      <c r="F131" s="1103"/>
      <c r="G131" s="1103"/>
      <c r="H131" s="1103"/>
      <c r="I131" s="1103"/>
      <c r="J131" s="1103"/>
      <c r="K131" s="1103"/>
      <c r="L131" s="1103"/>
      <c r="M131" s="1103"/>
      <c r="N131" s="1103"/>
      <c r="O131" s="1103"/>
      <c r="P131" s="1103"/>
      <c r="Q131" s="1103"/>
      <c r="R131" s="1103"/>
      <c r="S131" s="1103"/>
      <c r="T131" s="1103"/>
      <c r="U131" s="1103"/>
      <c r="V131" s="1103"/>
      <c r="W131" s="1103"/>
      <c r="X131" s="1103"/>
      <c r="Y131" s="1103"/>
      <c r="Z131" s="1103"/>
      <c r="AA131" s="1103"/>
      <c r="AB131" s="1103"/>
      <c r="AC131" s="1103"/>
      <c r="AD131" s="1103"/>
      <c r="AE131" s="1103"/>
      <c r="AF131" s="1103"/>
      <c r="AG131" s="1103"/>
      <c r="AI131" s="18"/>
      <c r="AJ131" s="18"/>
      <c r="AK131" s="18"/>
      <c r="AL131" s="18"/>
      <c r="AM131" s="18"/>
      <c r="AN131" s="18"/>
      <c r="AO131" s="18"/>
      <c r="AP131" s="18"/>
      <c r="AQ131" s="18"/>
    </row>
    <row r="132" spans="1:43" s="635" customFormat="1" x14ac:dyDescent="0.2">
      <c r="A132" s="647"/>
      <c r="AI132" s="18"/>
      <c r="AJ132" s="18"/>
      <c r="AK132" s="18"/>
      <c r="AL132" s="18"/>
      <c r="AM132" s="18"/>
      <c r="AN132" s="18"/>
      <c r="AO132" s="18"/>
      <c r="AP132" s="18"/>
      <c r="AQ132" s="18"/>
    </row>
    <row r="133" spans="1:43" s="635" customFormat="1" x14ac:dyDescent="0.2">
      <c r="A133" s="647"/>
      <c r="D133" s="970" t="s">
        <v>1935</v>
      </c>
      <c r="E133" s="968"/>
      <c r="F133" s="968"/>
      <c r="G133" s="968"/>
      <c r="H133" s="968"/>
      <c r="I133" s="968"/>
      <c r="J133" s="968"/>
      <c r="K133" s="968"/>
      <c r="L133" s="968"/>
      <c r="M133" s="968"/>
      <c r="N133" s="968"/>
      <c r="O133" s="968"/>
      <c r="P133" s="968"/>
      <c r="Q133" s="968"/>
      <c r="R133" s="968"/>
      <c r="S133" s="968"/>
      <c r="T133" s="968"/>
      <c r="U133" s="968"/>
      <c r="V133" s="968"/>
      <c r="W133" s="968"/>
      <c r="X133" s="968"/>
      <c r="Y133" s="968"/>
      <c r="Z133" s="968"/>
      <c r="AA133" s="968"/>
      <c r="AB133" s="968"/>
      <c r="AC133" s="968"/>
      <c r="AD133" s="968"/>
      <c r="AE133" s="968"/>
      <c r="AF133" s="968"/>
      <c r="AG133" s="968"/>
      <c r="AH133" s="968"/>
      <c r="AI133" s="18"/>
      <c r="AJ133" s="18"/>
      <c r="AK133" s="18"/>
      <c r="AL133" s="18"/>
      <c r="AM133" s="18"/>
      <c r="AN133" s="18"/>
      <c r="AO133" s="18"/>
      <c r="AP133" s="18"/>
      <c r="AQ133" s="18"/>
    </row>
    <row r="134" spans="1:43" s="635" customFormat="1" x14ac:dyDescent="0.2">
      <c r="A134" s="647"/>
      <c r="D134" s="971"/>
      <c r="E134" s="968"/>
      <c r="F134" s="968"/>
      <c r="G134" s="968"/>
      <c r="H134" s="968"/>
      <c r="I134" s="968"/>
      <c r="J134" s="968"/>
      <c r="K134" s="968"/>
      <c r="L134" s="968"/>
      <c r="M134" s="968"/>
      <c r="N134" s="968"/>
      <c r="O134" s="968"/>
      <c r="P134" s="968"/>
      <c r="Q134" s="968"/>
      <c r="R134" s="968"/>
      <c r="S134" s="968"/>
      <c r="T134" s="968"/>
      <c r="U134" s="968"/>
      <c r="V134" s="968"/>
      <c r="W134" s="968"/>
      <c r="X134" s="968"/>
      <c r="Y134" s="968"/>
      <c r="Z134" s="968"/>
      <c r="AA134" s="968"/>
      <c r="AB134" s="968"/>
      <c r="AC134" s="968"/>
      <c r="AD134" s="968"/>
      <c r="AE134" s="968"/>
      <c r="AF134" s="968"/>
      <c r="AG134" s="968"/>
      <c r="AH134" s="968"/>
      <c r="AI134" s="18"/>
      <c r="AJ134" s="18"/>
      <c r="AK134" s="18"/>
      <c r="AL134" s="18"/>
      <c r="AM134" s="18"/>
      <c r="AN134" s="18"/>
      <c r="AO134" s="18"/>
      <c r="AP134" s="18"/>
      <c r="AQ134" s="18"/>
    </row>
    <row r="135" spans="1:43" s="635" customFormat="1" x14ac:dyDescent="0.2">
      <c r="A135" s="647"/>
      <c r="D135" s="978" t="s">
        <v>1954</v>
      </c>
      <c r="E135" s="968"/>
      <c r="F135" s="968"/>
      <c r="G135" s="968"/>
      <c r="H135" s="968"/>
      <c r="I135" s="968"/>
      <c r="J135" s="968"/>
      <c r="K135" s="968"/>
      <c r="L135" s="968"/>
      <c r="M135" s="968"/>
      <c r="N135" s="968"/>
      <c r="O135" s="968"/>
      <c r="P135" s="968"/>
      <c r="Q135" s="968"/>
      <c r="R135" s="968"/>
      <c r="S135" s="968"/>
      <c r="T135" s="968"/>
      <c r="U135" s="968"/>
      <c r="V135" s="968"/>
      <c r="W135" s="968"/>
      <c r="X135" s="968"/>
      <c r="Y135" s="968"/>
      <c r="Z135" s="968"/>
      <c r="AA135" s="968"/>
      <c r="AB135" s="968"/>
      <c r="AC135" s="968"/>
      <c r="AD135" s="968"/>
      <c r="AE135" s="968"/>
      <c r="AF135" s="968"/>
      <c r="AG135" s="968"/>
      <c r="AH135" s="968"/>
      <c r="AI135" s="18"/>
      <c r="AJ135" s="18"/>
      <c r="AK135" s="18"/>
      <c r="AL135" s="18"/>
      <c r="AM135" s="18"/>
      <c r="AN135" s="18"/>
      <c r="AO135" s="18"/>
      <c r="AP135" s="18"/>
      <c r="AQ135" s="18"/>
    </row>
    <row r="136" spans="1:43" s="635" customFormat="1" x14ac:dyDescent="0.2">
      <c r="A136" s="647"/>
      <c r="D136" s="968"/>
      <c r="E136" s="968"/>
      <c r="F136" s="968"/>
      <c r="G136" s="968"/>
      <c r="H136" s="968"/>
      <c r="I136" s="968"/>
      <c r="J136" s="968"/>
      <c r="K136" s="968"/>
      <c r="L136" s="968"/>
      <c r="M136" s="968"/>
      <c r="N136" s="968"/>
      <c r="O136" s="968"/>
      <c r="P136" s="968"/>
      <c r="Q136" s="968"/>
      <c r="R136" s="968"/>
      <c r="S136" s="968"/>
      <c r="T136" s="968"/>
      <c r="U136" s="968"/>
      <c r="V136" s="968"/>
      <c r="W136" s="968"/>
      <c r="X136" s="968"/>
      <c r="Y136" s="968"/>
      <c r="Z136" s="968"/>
      <c r="AA136" s="968"/>
      <c r="AB136" s="968"/>
      <c r="AC136" s="968"/>
      <c r="AD136" s="968"/>
      <c r="AE136" s="968"/>
      <c r="AF136" s="968"/>
      <c r="AG136" s="968"/>
      <c r="AH136" s="968"/>
      <c r="AI136" s="18"/>
      <c r="AJ136" s="18"/>
      <c r="AK136" s="18"/>
      <c r="AL136" s="18"/>
      <c r="AM136" s="18"/>
      <c r="AN136" s="18"/>
      <c r="AO136" s="18"/>
      <c r="AP136" s="18"/>
      <c r="AQ136" s="18"/>
    </row>
    <row r="137" spans="1:43" s="635" customFormat="1" x14ac:dyDescent="0.2">
      <c r="A137" s="647"/>
      <c r="D137" s="634" t="s">
        <v>1442</v>
      </c>
      <c r="AI137" s="18"/>
      <c r="AJ137" s="18"/>
      <c r="AK137" s="18"/>
      <c r="AL137" s="18"/>
      <c r="AM137" s="18"/>
      <c r="AN137" s="18"/>
      <c r="AO137" s="18"/>
      <c r="AP137" s="18"/>
      <c r="AQ137" s="18"/>
    </row>
    <row r="138" spans="1:43" s="635" customFormat="1" x14ac:dyDescent="0.2">
      <c r="A138" s="647"/>
      <c r="AI138" s="18"/>
      <c r="AJ138" s="18"/>
      <c r="AK138" s="18"/>
      <c r="AL138" s="18"/>
      <c r="AM138" s="18"/>
      <c r="AN138" s="18"/>
      <c r="AO138" s="18"/>
      <c r="AP138" s="18"/>
      <c r="AQ138" s="18"/>
    </row>
    <row r="139" spans="1:43" s="635" customFormat="1" x14ac:dyDescent="0.2">
      <c r="A139" s="647"/>
      <c r="D139" s="973" t="s">
        <v>1955</v>
      </c>
      <c r="AI139" s="18"/>
      <c r="AJ139" s="18"/>
      <c r="AK139" s="18"/>
      <c r="AL139" s="18"/>
      <c r="AM139" s="18"/>
      <c r="AN139" s="18"/>
      <c r="AO139" s="18"/>
      <c r="AP139" s="18"/>
      <c r="AQ139" s="18"/>
    </row>
    <row r="140" spans="1:43" s="635" customFormat="1" x14ac:dyDescent="0.2">
      <c r="A140" s="647"/>
      <c r="D140" s="973" t="s">
        <v>1956</v>
      </c>
      <c r="AI140" s="18"/>
      <c r="AJ140" s="18"/>
      <c r="AK140" s="18"/>
      <c r="AL140" s="18"/>
      <c r="AM140" s="18"/>
      <c r="AN140" s="18"/>
      <c r="AO140" s="18"/>
      <c r="AP140" s="18"/>
      <c r="AQ140" s="18"/>
    </row>
    <row r="141" spans="1:43" s="635" customFormat="1" x14ac:dyDescent="0.2">
      <c r="A141" s="647"/>
      <c r="D141" s="973"/>
      <c r="AI141" s="18"/>
      <c r="AJ141" s="18"/>
      <c r="AK141" s="18"/>
      <c r="AL141" s="18"/>
      <c r="AM141" s="18"/>
      <c r="AN141" s="18"/>
      <c r="AO141" s="18"/>
      <c r="AP141" s="18"/>
      <c r="AQ141" s="18"/>
    </row>
    <row r="142" spans="1:43" s="635" customFormat="1" x14ac:dyDescent="0.2">
      <c r="A142" s="647"/>
      <c r="D142" s="634" t="s">
        <v>1902</v>
      </c>
      <c r="AI142" s="18"/>
      <c r="AJ142" s="18"/>
      <c r="AK142" s="18"/>
      <c r="AL142" s="18"/>
      <c r="AM142" s="18"/>
      <c r="AN142" s="18"/>
      <c r="AO142" s="18"/>
      <c r="AP142" s="18"/>
      <c r="AQ142" s="18"/>
    </row>
    <row r="143" spans="1:43" s="635" customFormat="1" x14ac:dyDescent="0.2">
      <c r="A143" s="647"/>
      <c r="AI143" s="18"/>
      <c r="AJ143" s="18"/>
      <c r="AK143" s="18"/>
      <c r="AL143" s="18"/>
      <c r="AM143" s="18"/>
      <c r="AN143" s="18"/>
      <c r="AO143" s="18"/>
      <c r="AP143" s="18"/>
      <c r="AQ143" s="18"/>
    </row>
    <row r="144" spans="1:43" s="635" customFormat="1" x14ac:dyDescent="0.2">
      <c r="A144" s="647"/>
      <c r="D144" s="1107" t="s">
        <v>1444</v>
      </c>
      <c r="E144" s="1107"/>
      <c r="F144" s="1107"/>
      <c r="G144" s="1107"/>
      <c r="H144" s="1107"/>
      <c r="I144" s="1107"/>
      <c r="J144" s="1107"/>
      <c r="K144" s="1107"/>
      <c r="L144" s="1107"/>
      <c r="M144" s="1107"/>
      <c r="N144" s="1107"/>
      <c r="O144" s="1107"/>
      <c r="P144" s="1107"/>
      <c r="Q144" s="1107"/>
      <c r="R144" s="1107"/>
      <c r="S144" s="1107"/>
      <c r="T144" s="1107"/>
      <c r="U144" s="1107"/>
      <c r="V144" s="1107"/>
      <c r="W144" s="1107"/>
      <c r="X144" s="1107"/>
      <c r="Y144" s="1107"/>
      <c r="Z144" s="1107"/>
      <c r="AA144" s="1107"/>
      <c r="AB144" s="1107"/>
      <c r="AC144" s="1107"/>
      <c r="AD144" s="1107"/>
      <c r="AE144" s="1107"/>
      <c r="AF144" s="1107"/>
      <c r="AG144" s="1107"/>
      <c r="AI144" s="18"/>
      <c r="AJ144" s="18"/>
      <c r="AK144" s="18"/>
      <c r="AL144" s="18"/>
      <c r="AM144" s="18"/>
      <c r="AN144" s="18"/>
      <c r="AO144" s="18"/>
      <c r="AP144" s="18"/>
      <c r="AQ144" s="18"/>
    </row>
    <row r="145" spans="1:43" s="635" customFormat="1" ht="15" thickBot="1" x14ac:dyDescent="0.25">
      <c r="A145" s="647"/>
      <c r="AI145" s="18"/>
      <c r="AJ145" s="18"/>
      <c r="AK145" s="18"/>
      <c r="AL145" s="18"/>
      <c r="AM145" s="18"/>
      <c r="AN145" s="18"/>
      <c r="AO145" s="18"/>
      <c r="AP145" s="18"/>
      <c r="AQ145" s="18"/>
    </row>
    <row r="146" spans="1:43" s="635" customFormat="1" ht="15" thickBot="1" x14ac:dyDescent="0.25">
      <c r="A146" s="647"/>
      <c r="D146" s="1030" t="s">
        <v>122</v>
      </c>
      <c r="E146" s="1030"/>
      <c r="F146" s="1030"/>
      <c r="G146" s="1030"/>
      <c r="H146" s="1030"/>
      <c r="I146" s="1030" t="s">
        <v>2</v>
      </c>
      <c r="J146" s="1030"/>
      <c r="K146" s="1030"/>
      <c r="L146" s="1030"/>
      <c r="M146" s="1030"/>
      <c r="N146" s="1030"/>
      <c r="O146" s="1030"/>
      <c r="P146" s="1030"/>
      <c r="Q146" s="1030"/>
      <c r="R146" s="1030"/>
      <c r="S146" s="1030"/>
      <c r="T146" s="1030"/>
      <c r="U146" s="1030"/>
      <c r="V146" s="1030"/>
      <c r="W146" s="1030"/>
      <c r="X146" s="1030"/>
      <c r="Y146" s="1030"/>
      <c r="Z146" s="1030"/>
      <c r="AA146" s="1030"/>
      <c r="AB146" s="1030"/>
      <c r="AC146" s="1030"/>
      <c r="AD146" s="1030"/>
      <c r="AE146" s="1030"/>
      <c r="AF146" s="1030"/>
      <c r="AG146" s="1030"/>
      <c r="AI146" s="18"/>
      <c r="AJ146" s="18"/>
      <c r="AK146" s="18"/>
      <c r="AL146" s="18"/>
      <c r="AM146" s="18"/>
      <c r="AN146" s="18"/>
      <c r="AO146" s="18"/>
      <c r="AP146" s="18"/>
      <c r="AQ146" s="18"/>
    </row>
    <row r="147" spans="1:43" s="635" customFormat="1" ht="48" customHeight="1" thickTop="1" thickBot="1" x14ac:dyDescent="0.25">
      <c r="A147" s="647">
        <v>15</v>
      </c>
      <c r="D147" s="1030"/>
      <c r="E147" s="1030"/>
      <c r="F147" s="1030"/>
      <c r="G147" s="1030"/>
      <c r="H147" s="1030"/>
      <c r="I147" s="1031" t="s">
        <v>87</v>
      </c>
      <c r="J147" s="1031"/>
      <c r="K147" s="1031"/>
      <c r="L147" s="1031"/>
      <c r="M147" s="1031"/>
      <c r="N147" s="1031" t="s">
        <v>455</v>
      </c>
      <c r="O147" s="1031"/>
      <c r="P147" s="1031"/>
      <c r="Q147" s="1031"/>
      <c r="R147" s="1031"/>
      <c r="S147" s="1031" t="s">
        <v>459</v>
      </c>
      <c r="T147" s="1031"/>
      <c r="U147" s="1031"/>
      <c r="V147" s="1031"/>
      <c r="W147" s="1031"/>
      <c r="X147" s="1031" t="s">
        <v>457</v>
      </c>
      <c r="Y147" s="1031"/>
      <c r="Z147" s="1031"/>
      <c r="AA147" s="1031"/>
      <c r="AB147" s="1031"/>
      <c r="AC147" s="1031" t="s">
        <v>89</v>
      </c>
      <c r="AD147" s="1031"/>
      <c r="AE147" s="1031"/>
      <c r="AF147" s="1031"/>
      <c r="AG147" s="1031"/>
      <c r="AI147" s="641" t="s">
        <v>123</v>
      </c>
      <c r="AJ147" s="644" t="s">
        <v>455</v>
      </c>
      <c r="AK147" s="641" t="s">
        <v>459</v>
      </c>
      <c r="AL147" s="644" t="s">
        <v>457</v>
      </c>
      <c r="AM147" s="641" t="s">
        <v>89</v>
      </c>
      <c r="AN147" s="18"/>
      <c r="AO147" s="641" t="s">
        <v>89</v>
      </c>
      <c r="AP147" s="18"/>
      <c r="AQ147" s="18"/>
    </row>
    <row r="148" spans="1:43" s="635" customFormat="1" ht="37.5" customHeight="1" x14ac:dyDescent="0.2">
      <c r="A148" s="647"/>
      <c r="D148" s="1081" t="s">
        <v>125</v>
      </c>
      <c r="E148" s="1082"/>
      <c r="F148" s="1082"/>
      <c r="G148" s="1082"/>
      <c r="H148" s="1083"/>
      <c r="I148" s="1132"/>
      <c r="J148" s="1133"/>
      <c r="K148" s="1133"/>
      <c r="L148" s="1133"/>
      <c r="M148" s="1133"/>
      <c r="N148" s="1133"/>
      <c r="O148" s="1133"/>
      <c r="P148" s="1133"/>
      <c r="Q148" s="1133"/>
      <c r="R148" s="1133"/>
      <c r="S148" s="1133"/>
      <c r="T148" s="1133"/>
      <c r="U148" s="1133"/>
      <c r="V148" s="1133"/>
      <c r="W148" s="1133"/>
      <c r="X148" s="1133"/>
      <c r="Y148" s="1133"/>
      <c r="Z148" s="1133"/>
      <c r="AA148" s="1133"/>
      <c r="AB148" s="1133"/>
      <c r="AC148" s="1134">
        <f>SUM(I148:AB148)</f>
        <v>0</v>
      </c>
      <c r="AD148" s="1134"/>
      <c r="AE148" s="1134"/>
      <c r="AF148" s="1134"/>
      <c r="AG148" s="1135"/>
      <c r="AI148" s="658"/>
      <c r="AJ148" s="659"/>
      <c r="AK148" s="659"/>
      <c r="AL148" s="659"/>
      <c r="AM148" s="660">
        <f t="shared" ref="AM148:AM153" si="0">SUM(I148:AB148)-AC148</f>
        <v>0</v>
      </c>
      <c r="AN148" s="18"/>
      <c r="AO148" s="666">
        <f>AC148-BS!$E$56-BS!$E$48</f>
        <v>0</v>
      </c>
      <c r="AP148" s="18"/>
      <c r="AQ148" s="18"/>
    </row>
    <row r="149" spans="1:43" s="635" customFormat="1" ht="45.75" customHeight="1" x14ac:dyDescent="0.2">
      <c r="A149" s="647"/>
      <c r="D149" s="1075" t="s">
        <v>1854</v>
      </c>
      <c r="E149" s="1076"/>
      <c r="F149" s="1076"/>
      <c r="G149" s="1076"/>
      <c r="H149" s="1077"/>
      <c r="I149" s="1050"/>
      <c r="J149" s="1104"/>
      <c r="K149" s="1104"/>
      <c r="L149" s="1104"/>
      <c r="M149" s="1104"/>
      <c r="N149" s="1104"/>
      <c r="O149" s="1104"/>
      <c r="P149" s="1104"/>
      <c r="Q149" s="1104"/>
      <c r="R149" s="1104"/>
      <c r="S149" s="1104"/>
      <c r="T149" s="1104"/>
      <c r="U149" s="1104"/>
      <c r="V149" s="1104"/>
      <c r="W149" s="1104"/>
      <c r="X149" s="1104"/>
      <c r="Y149" s="1104"/>
      <c r="Z149" s="1104"/>
      <c r="AA149" s="1104"/>
      <c r="AB149" s="1104"/>
      <c r="AC149" s="1105">
        <f t="shared" ref="AC149:AC152" si="1">SUM(I149:AB149)</f>
        <v>0</v>
      </c>
      <c r="AD149" s="1105"/>
      <c r="AE149" s="1105"/>
      <c r="AF149" s="1105"/>
      <c r="AG149" s="1106"/>
      <c r="AI149" s="652"/>
      <c r="AJ149" s="653"/>
      <c r="AK149" s="653"/>
      <c r="AL149" s="653"/>
      <c r="AM149" s="654">
        <f t="shared" si="0"/>
        <v>0</v>
      </c>
      <c r="AN149" s="18"/>
      <c r="AO149" s="661">
        <f>AC149-BS!$E$58-BS!$E$50</f>
        <v>0</v>
      </c>
      <c r="AP149" s="18"/>
      <c r="AQ149" s="18"/>
    </row>
    <row r="150" spans="1:43" s="635" customFormat="1" ht="37.5" customHeight="1" x14ac:dyDescent="0.2">
      <c r="A150" s="647"/>
      <c r="D150" s="1075" t="s">
        <v>1855</v>
      </c>
      <c r="E150" s="1076"/>
      <c r="F150" s="1076"/>
      <c r="G150" s="1076"/>
      <c r="H150" s="1077"/>
      <c r="I150" s="1050"/>
      <c r="J150" s="1104"/>
      <c r="K150" s="1104"/>
      <c r="L150" s="1104"/>
      <c r="M150" s="1104"/>
      <c r="N150" s="1104"/>
      <c r="O150" s="1104"/>
      <c r="P150" s="1104"/>
      <c r="Q150" s="1104"/>
      <c r="R150" s="1104"/>
      <c r="S150" s="1104"/>
      <c r="T150" s="1104"/>
      <c r="U150" s="1104"/>
      <c r="V150" s="1104"/>
      <c r="W150" s="1104"/>
      <c r="X150" s="1104"/>
      <c r="Y150" s="1104"/>
      <c r="Z150" s="1104"/>
      <c r="AA150" s="1104"/>
      <c r="AB150" s="1104"/>
      <c r="AC150" s="1105">
        <f t="shared" si="1"/>
        <v>0</v>
      </c>
      <c r="AD150" s="1105"/>
      <c r="AE150" s="1105"/>
      <c r="AF150" s="1105"/>
      <c r="AG150" s="1106"/>
      <c r="AI150" s="652"/>
      <c r="AJ150" s="653"/>
      <c r="AK150" s="653"/>
      <c r="AL150" s="653"/>
      <c r="AM150" s="654">
        <f t="shared" si="0"/>
        <v>0</v>
      </c>
      <c r="AN150" s="18"/>
      <c r="AO150" s="661">
        <f>AC150-BS!$E$59-BS!$E$51</f>
        <v>0</v>
      </c>
      <c r="AP150" s="18"/>
      <c r="AQ150" s="18"/>
    </row>
    <row r="151" spans="1:43" s="635" customFormat="1" ht="37.5" customHeight="1" x14ac:dyDescent="0.2">
      <c r="A151" s="647"/>
      <c r="D151" s="1066" t="s">
        <v>127</v>
      </c>
      <c r="E151" s="1067"/>
      <c r="F151" s="1067"/>
      <c r="G151" s="1067"/>
      <c r="H151" s="1068"/>
      <c r="I151" s="1050"/>
      <c r="J151" s="1104"/>
      <c r="K151" s="1104"/>
      <c r="L151" s="1104"/>
      <c r="M151" s="1104"/>
      <c r="N151" s="1104"/>
      <c r="O151" s="1104"/>
      <c r="P151" s="1104"/>
      <c r="Q151" s="1104"/>
      <c r="R151" s="1104"/>
      <c r="S151" s="1104"/>
      <c r="T151" s="1104"/>
      <c r="U151" s="1104"/>
      <c r="V151" s="1104"/>
      <c r="W151" s="1104"/>
      <c r="X151" s="1104"/>
      <c r="Y151" s="1104"/>
      <c r="Z151" s="1104"/>
      <c r="AA151" s="1104"/>
      <c r="AB151" s="1104"/>
      <c r="AC151" s="1105">
        <f t="shared" si="1"/>
        <v>0</v>
      </c>
      <c r="AD151" s="1105"/>
      <c r="AE151" s="1105"/>
      <c r="AF151" s="1105"/>
      <c r="AG151" s="1106"/>
      <c r="AI151" s="652"/>
      <c r="AJ151" s="653"/>
      <c r="AK151" s="653"/>
      <c r="AL151" s="653"/>
      <c r="AM151" s="654">
        <f t="shared" si="0"/>
        <v>0</v>
      </c>
      <c r="AN151" s="18"/>
      <c r="AO151" s="661">
        <f>AC151-BS!$E$60-BS!$E$52</f>
        <v>0</v>
      </c>
      <c r="AP151" s="18"/>
      <c r="AQ151" s="18"/>
    </row>
    <row r="152" spans="1:43" s="635" customFormat="1" ht="37.5" customHeight="1" x14ac:dyDescent="0.2">
      <c r="A152" s="647"/>
      <c r="D152" s="1066" t="s">
        <v>128</v>
      </c>
      <c r="E152" s="1067"/>
      <c r="F152" s="1067"/>
      <c r="G152" s="1067"/>
      <c r="H152" s="1068"/>
      <c r="I152" s="1050"/>
      <c r="J152" s="1104"/>
      <c r="K152" s="1104"/>
      <c r="L152" s="1104"/>
      <c r="M152" s="1104"/>
      <c r="N152" s="1104"/>
      <c r="O152" s="1104"/>
      <c r="P152" s="1104"/>
      <c r="Q152" s="1104"/>
      <c r="R152" s="1104"/>
      <c r="S152" s="1104"/>
      <c r="T152" s="1104"/>
      <c r="U152" s="1104"/>
      <c r="V152" s="1104"/>
      <c r="W152" s="1104"/>
      <c r="X152" s="1104"/>
      <c r="Y152" s="1104"/>
      <c r="Z152" s="1104"/>
      <c r="AA152" s="1104"/>
      <c r="AB152" s="1104"/>
      <c r="AC152" s="1105">
        <f t="shared" si="1"/>
        <v>0</v>
      </c>
      <c r="AD152" s="1105"/>
      <c r="AE152" s="1105"/>
      <c r="AF152" s="1105"/>
      <c r="AG152" s="1106"/>
      <c r="AI152" s="652"/>
      <c r="AJ152" s="653"/>
      <c r="AK152" s="653"/>
      <c r="AL152" s="653"/>
      <c r="AM152" s="654">
        <f t="shared" si="0"/>
        <v>0</v>
      </c>
      <c r="AN152" s="18"/>
      <c r="AO152" s="661">
        <f>AC152-SUM(BS!$E$61:$E$63,BS!$E$53,BS!$E$54)</f>
        <v>0</v>
      </c>
      <c r="AP152" s="18"/>
      <c r="AQ152" s="18"/>
    </row>
    <row r="153" spans="1:43" s="635" customFormat="1" ht="27.75" customHeight="1" thickBot="1" x14ac:dyDescent="0.25">
      <c r="A153" s="647"/>
      <c r="D153" s="1136" t="s">
        <v>129</v>
      </c>
      <c r="E153" s="1136"/>
      <c r="F153" s="1136"/>
      <c r="G153" s="1136"/>
      <c r="H153" s="1136"/>
      <c r="I153" s="1137">
        <f>SUM(I148:M152)</f>
        <v>0</v>
      </c>
      <c r="J153" s="1138"/>
      <c r="K153" s="1138"/>
      <c r="L153" s="1138"/>
      <c r="M153" s="1138"/>
      <c r="N153" s="1138">
        <f>SUM(N148:R152)</f>
        <v>0</v>
      </c>
      <c r="O153" s="1138"/>
      <c r="P153" s="1138"/>
      <c r="Q153" s="1138"/>
      <c r="R153" s="1138"/>
      <c r="S153" s="1138">
        <f>SUM(S148:W152)</f>
        <v>0</v>
      </c>
      <c r="T153" s="1138"/>
      <c r="U153" s="1138"/>
      <c r="V153" s="1138"/>
      <c r="W153" s="1138"/>
      <c r="X153" s="1138">
        <f>SUM(X148:AB152)</f>
        <v>0</v>
      </c>
      <c r="Y153" s="1138"/>
      <c r="Z153" s="1138"/>
      <c r="AA153" s="1138"/>
      <c r="AB153" s="1138"/>
      <c r="AC153" s="1138">
        <f>SUM(AC148:AG152)</f>
        <v>0</v>
      </c>
      <c r="AD153" s="1138"/>
      <c r="AE153" s="1138"/>
      <c r="AF153" s="1138"/>
      <c r="AG153" s="1139"/>
      <c r="AI153" s="655">
        <f>SUM(I146:M152)-I153</f>
        <v>0</v>
      </c>
      <c r="AJ153" s="656">
        <f>SUM(N148:R152)-N153</f>
        <v>0</v>
      </c>
      <c r="AK153" s="656">
        <f>SUM(S148:W152)-S153</f>
        <v>0</v>
      </c>
      <c r="AL153" s="656">
        <f>SUM(X148:AB152)-X153</f>
        <v>0</v>
      </c>
      <c r="AM153" s="657">
        <f t="shared" si="0"/>
        <v>0</v>
      </c>
      <c r="AN153" s="18"/>
      <c r="AO153" s="663">
        <f>AC153-BS!$E$47-BS!$E$55</f>
        <v>0</v>
      </c>
      <c r="AP153" s="18"/>
      <c r="AQ153" s="18"/>
    </row>
    <row r="154" spans="1:43" s="635" customFormat="1" x14ac:dyDescent="0.2">
      <c r="A154" s="647"/>
      <c r="AI154" s="18"/>
      <c r="AJ154" s="18"/>
      <c r="AK154" s="18"/>
      <c r="AL154" s="18"/>
      <c r="AM154" s="18"/>
      <c r="AN154" s="18"/>
      <c r="AO154" s="18"/>
      <c r="AP154" s="18"/>
      <c r="AQ154" s="18"/>
    </row>
    <row r="155" spans="1:43" s="635" customFormat="1" x14ac:dyDescent="0.2">
      <c r="A155" s="647"/>
      <c r="D155" s="1108" t="s">
        <v>1923</v>
      </c>
      <c r="E155" s="1140"/>
      <c r="F155" s="1140"/>
      <c r="G155" s="1140"/>
      <c r="H155" s="1140"/>
      <c r="I155" s="1140"/>
      <c r="J155" s="1140"/>
      <c r="K155" s="1140"/>
      <c r="L155" s="1140"/>
      <c r="M155" s="1140"/>
      <c r="N155" s="1140"/>
      <c r="O155" s="1140"/>
      <c r="P155" s="1140"/>
      <c r="Q155" s="1140"/>
      <c r="R155" s="1140"/>
      <c r="S155" s="1140"/>
      <c r="T155" s="1140"/>
      <c r="U155" s="1140"/>
      <c r="V155" s="1140"/>
      <c r="W155" s="1140"/>
      <c r="X155" s="1140"/>
      <c r="Y155" s="1140"/>
      <c r="Z155" s="1140"/>
      <c r="AA155" s="1140"/>
      <c r="AB155" s="1140"/>
      <c r="AC155" s="1140"/>
      <c r="AD155" s="1140"/>
      <c r="AE155" s="1140"/>
      <c r="AF155" s="1140"/>
      <c r="AG155" s="1140"/>
      <c r="AI155" s="18"/>
      <c r="AJ155" s="18"/>
      <c r="AK155" s="18"/>
      <c r="AL155" s="18"/>
      <c r="AM155" s="18"/>
      <c r="AN155" s="18"/>
      <c r="AO155" s="18"/>
      <c r="AP155" s="18"/>
      <c r="AQ155" s="18"/>
    </row>
    <row r="156" spans="1:43" s="635" customFormat="1" x14ac:dyDescent="0.2">
      <c r="A156" s="647"/>
      <c r="D156" s="1108" t="s">
        <v>1968</v>
      </c>
      <c r="E156" s="1140"/>
      <c r="F156" s="1140"/>
      <c r="G156" s="1140"/>
      <c r="H156" s="1140"/>
      <c r="I156" s="1140"/>
      <c r="J156" s="1140"/>
      <c r="K156" s="1140"/>
      <c r="L156" s="1140"/>
      <c r="M156" s="1140"/>
      <c r="N156" s="1140"/>
      <c r="O156" s="1140"/>
      <c r="P156" s="1140"/>
      <c r="Q156" s="1140"/>
      <c r="R156" s="1140"/>
      <c r="S156" s="1140"/>
      <c r="T156" s="1140"/>
      <c r="U156" s="1140"/>
      <c r="V156" s="1140"/>
      <c r="W156" s="1140"/>
      <c r="X156" s="1140"/>
      <c r="Y156" s="1140"/>
      <c r="Z156" s="1140"/>
      <c r="AA156" s="1140"/>
      <c r="AB156" s="1140"/>
      <c r="AC156" s="1140"/>
      <c r="AD156" s="1140"/>
      <c r="AE156" s="1140"/>
      <c r="AF156" s="1140"/>
      <c r="AG156" s="1140"/>
      <c r="AI156" s="18"/>
      <c r="AJ156" s="18"/>
      <c r="AK156" s="18"/>
      <c r="AL156" s="18"/>
      <c r="AM156" s="18"/>
      <c r="AN156" s="18"/>
      <c r="AO156" s="18"/>
      <c r="AP156" s="18"/>
      <c r="AQ156" s="18"/>
    </row>
    <row r="157" spans="1:43" s="635" customFormat="1" x14ac:dyDescent="0.2">
      <c r="A157" s="647"/>
      <c r="AI157" s="18"/>
      <c r="AJ157" s="18"/>
      <c r="AK157" s="18"/>
      <c r="AL157" s="18"/>
      <c r="AM157" s="18"/>
      <c r="AN157" s="18"/>
      <c r="AO157" s="18"/>
      <c r="AP157" s="18"/>
      <c r="AQ157" s="18"/>
    </row>
    <row r="158" spans="1:43" s="635" customFormat="1" x14ac:dyDescent="0.2">
      <c r="A158" s="647"/>
      <c r="D158" s="1140" t="s">
        <v>1445</v>
      </c>
      <c r="E158" s="1140"/>
      <c r="F158" s="1140"/>
      <c r="G158" s="1140"/>
      <c r="H158" s="1140"/>
      <c r="I158" s="1140"/>
      <c r="J158" s="1140"/>
      <c r="K158" s="1140"/>
      <c r="L158" s="1140"/>
      <c r="M158" s="1140"/>
      <c r="N158" s="1140"/>
      <c r="O158" s="1140"/>
      <c r="P158" s="1140"/>
      <c r="Q158" s="1140"/>
      <c r="R158" s="1140"/>
      <c r="S158" s="1140"/>
      <c r="T158" s="1140"/>
      <c r="U158" s="1140"/>
      <c r="V158" s="1140"/>
      <c r="W158" s="1140"/>
      <c r="X158" s="1140"/>
      <c r="Y158" s="1140"/>
      <c r="Z158" s="1140"/>
      <c r="AA158" s="1140"/>
      <c r="AB158" s="1140"/>
      <c r="AC158" s="1140"/>
      <c r="AD158" s="1140"/>
      <c r="AE158" s="1140"/>
      <c r="AF158" s="1140"/>
      <c r="AG158" s="1140"/>
      <c r="AI158" s="18"/>
      <c r="AJ158" s="18"/>
      <c r="AK158" s="18"/>
      <c r="AL158" s="18"/>
      <c r="AM158" s="18"/>
      <c r="AN158" s="18"/>
      <c r="AO158" s="18"/>
      <c r="AP158" s="18"/>
      <c r="AQ158" s="18"/>
    </row>
    <row r="159" spans="1:43" s="635" customFormat="1" ht="15" thickBot="1" x14ac:dyDescent="0.25">
      <c r="A159" s="647"/>
      <c r="AI159" s="18"/>
      <c r="AJ159" s="18"/>
      <c r="AK159" s="18"/>
      <c r="AL159" s="18"/>
      <c r="AM159" s="18"/>
      <c r="AN159" s="18"/>
      <c r="AO159" s="18"/>
      <c r="AP159" s="18"/>
      <c r="AQ159" s="18"/>
    </row>
    <row r="160" spans="1:43" s="635" customFormat="1" ht="27.75" customHeight="1" thickTop="1" thickBot="1" x14ac:dyDescent="0.25">
      <c r="A160" s="647">
        <v>16</v>
      </c>
      <c r="D160" s="1030" t="s">
        <v>131</v>
      </c>
      <c r="E160" s="1030"/>
      <c r="F160" s="1030"/>
      <c r="G160" s="1030"/>
      <c r="H160" s="1030"/>
      <c r="I160" s="1030"/>
      <c r="J160" s="1030"/>
      <c r="K160" s="1030"/>
      <c r="L160" s="1030"/>
      <c r="M160" s="1030" t="s">
        <v>132</v>
      </c>
      <c r="N160" s="1030"/>
      <c r="O160" s="1030"/>
      <c r="P160" s="1030"/>
      <c r="Q160" s="1030"/>
      <c r="R160" s="1030"/>
      <c r="S160" s="1030"/>
      <c r="T160" s="1030" t="s">
        <v>133</v>
      </c>
      <c r="U160" s="1030"/>
      <c r="V160" s="1030"/>
      <c r="W160" s="1030"/>
      <c r="X160" s="1030"/>
      <c r="Y160" s="1030"/>
      <c r="Z160" s="1030"/>
      <c r="AA160" s="1030" t="s">
        <v>129</v>
      </c>
      <c r="AB160" s="1030"/>
      <c r="AC160" s="1030"/>
      <c r="AD160" s="1030"/>
      <c r="AE160" s="1030"/>
      <c r="AF160" s="1030"/>
      <c r="AG160" s="1030"/>
      <c r="AI160" s="18"/>
      <c r="AJ160" s="18"/>
      <c r="AK160" s="641" t="s">
        <v>132</v>
      </c>
      <c r="AL160" s="644" t="s">
        <v>133</v>
      </c>
      <c r="AM160" s="644" t="s">
        <v>129</v>
      </c>
      <c r="AN160" s="18"/>
      <c r="AO160" s="641" t="s">
        <v>129</v>
      </c>
      <c r="AP160" s="18"/>
      <c r="AQ160" s="18"/>
    </row>
    <row r="161" spans="1:43" s="635" customFormat="1" ht="27.75" customHeight="1" thickBot="1" x14ac:dyDescent="0.25">
      <c r="A161" s="647"/>
      <c r="D161" s="1141" t="s">
        <v>134</v>
      </c>
      <c r="E161" s="1141"/>
      <c r="F161" s="1141"/>
      <c r="G161" s="1141"/>
      <c r="H161" s="1141"/>
      <c r="I161" s="1141"/>
      <c r="J161" s="1141"/>
      <c r="K161" s="1141"/>
      <c r="L161" s="1141"/>
      <c r="M161" s="1141"/>
      <c r="N161" s="1141"/>
      <c r="O161" s="1141"/>
      <c r="P161" s="1141"/>
      <c r="Q161" s="1141"/>
      <c r="R161" s="1141"/>
      <c r="S161" s="1141"/>
      <c r="T161" s="1141"/>
      <c r="U161" s="1141"/>
      <c r="V161" s="1141"/>
      <c r="W161" s="1141"/>
      <c r="X161" s="1141"/>
      <c r="Y161" s="1141"/>
      <c r="Z161" s="1141"/>
      <c r="AA161" s="1141"/>
      <c r="AB161" s="1141"/>
      <c r="AC161" s="1141"/>
      <c r="AD161" s="1141"/>
      <c r="AE161" s="1141"/>
      <c r="AF161" s="1141"/>
      <c r="AG161" s="1141"/>
      <c r="AI161" s="18"/>
      <c r="AJ161" s="18"/>
      <c r="AK161" s="658"/>
      <c r="AL161" s="659"/>
      <c r="AM161" s="664"/>
      <c r="AN161" s="18"/>
      <c r="AO161" s="666"/>
      <c r="AP161" s="18"/>
      <c r="AQ161" s="18"/>
    </row>
    <row r="162" spans="1:43" s="635" customFormat="1" ht="27.75" customHeight="1" x14ac:dyDescent="0.2">
      <c r="A162" s="647"/>
      <c r="D162" s="1093" t="s">
        <v>135</v>
      </c>
      <c r="E162" s="1093"/>
      <c r="F162" s="1093"/>
      <c r="G162" s="1093"/>
      <c r="H162" s="1093"/>
      <c r="I162" s="1093"/>
      <c r="J162" s="1093"/>
      <c r="K162" s="1093"/>
      <c r="L162" s="1093"/>
      <c r="M162" s="1084"/>
      <c r="N162" s="1084"/>
      <c r="O162" s="1084"/>
      <c r="P162" s="1084"/>
      <c r="Q162" s="1084"/>
      <c r="R162" s="1084"/>
      <c r="S162" s="1084"/>
      <c r="T162" s="1084"/>
      <c r="U162" s="1084"/>
      <c r="V162" s="1084"/>
      <c r="W162" s="1084"/>
      <c r="X162" s="1084"/>
      <c r="Y162" s="1084"/>
      <c r="Z162" s="1084"/>
      <c r="AA162" s="1145">
        <f>M162+T162</f>
        <v>0</v>
      </c>
      <c r="AB162" s="1145"/>
      <c r="AC162" s="1145"/>
      <c r="AD162" s="1145"/>
      <c r="AE162" s="1145"/>
      <c r="AF162" s="1145"/>
      <c r="AG162" s="1145"/>
      <c r="AI162" s="18"/>
      <c r="AJ162" s="18"/>
      <c r="AK162" s="652"/>
      <c r="AL162" s="653"/>
      <c r="AM162" s="654">
        <f>SUM(M162:Z162)-AA162</f>
        <v>0</v>
      </c>
      <c r="AN162" s="18"/>
      <c r="AO162" s="661">
        <f>AA162-BS!$D$48</f>
        <v>0</v>
      </c>
      <c r="AP162" s="18"/>
      <c r="AQ162" s="18"/>
    </row>
    <row r="163" spans="1:43" s="635" customFormat="1" ht="27.75" customHeight="1" x14ac:dyDescent="0.2">
      <c r="A163" s="647"/>
      <c r="D163" s="1094" t="s">
        <v>1854</v>
      </c>
      <c r="E163" s="1094"/>
      <c r="F163" s="1094"/>
      <c r="G163" s="1094"/>
      <c r="H163" s="1094"/>
      <c r="I163" s="1094"/>
      <c r="J163" s="1094"/>
      <c r="K163" s="1094"/>
      <c r="L163" s="1094"/>
      <c r="M163" s="1032"/>
      <c r="N163" s="1032"/>
      <c r="O163" s="1032"/>
      <c r="P163" s="1032"/>
      <c r="Q163" s="1032"/>
      <c r="R163" s="1032"/>
      <c r="S163" s="1032"/>
      <c r="T163" s="1032"/>
      <c r="U163" s="1032"/>
      <c r="V163" s="1032"/>
      <c r="W163" s="1032"/>
      <c r="X163" s="1032"/>
      <c r="Y163" s="1032"/>
      <c r="Z163" s="1032"/>
      <c r="AA163" s="1144">
        <f t="shared" ref="AA163:AA166" si="2">M163+T163</f>
        <v>0</v>
      </c>
      <c r="AB163" s="1144"/>
      <c r="AC163" s="1144"/>
      <c r="AD163" s="1144"/>
      <c r="AE163" s="1144"/>
      <c r="AF163" s="1144"/>
      <c r="AG163" s="1144"/>
      <c r="AI163" s="18"/>
      <c r="AJ163" s="18"/>
      <c r="AK163" s="652"/>
      <c r="AL163" s="653"/>
      <c r="AM163" s="654">
        <f t="shared" ref="AM163:AM166" si="3">SUM(M163:Z163)-AA163</f>
        <v>0</v>
      </c>
      <c r="AN163" s="18"/>
      <c r="AO163" s="661">
        <f>AA163-BS!$D$50</f>
        <v>0</v>
      </c>
      <c r="AP163" s="18"/>
      <c r="AQ163" s="18"/>
    </row>
    <row r="164" spans="1:43" s="635" customFormat="1" ht="27.75" customHeight="1" x14ac:dyDescent="0.2">
      <c r="A164" s="647"/>
      <c r="D164" s="1092" t="s">
        <v>136</v>
      </c>
      <c r="E164" s="1092"/>
      <c r="F164" s="1092"/>
      <c r="G164" s="1092"/>
      <c r="H164" s="1092"/>
      <c r="I164" s="1092"/>
      <c r="J164" s="1092"/>
      <c r="K164" s="1092"/>
      <c r="L164" s="1092"/>
      <c r="M164" s="1032"/>
      <c r="N164" s="1032"/>
      <c r="O164" s="1032"/>
      <c r="P164" s="1032"/>
      <c r="Q164" s="1032"/>
      <c r="R164" s="1032"/>
      <c r="S164" s="1032"/>
      <c r="T164" s="1032"/>
      <c r="U164" s="1032"/>
      <c r="V164" s="1032"/>
      <c r="W164" s="1032"/>
      <c r="X164" s="1032"/>
      <c r="Y164" s="1032"/>
      <c r="Z164" s="1032"/>
      <c r="AA164" s="1144">
        <f t="shared" si="2"/>
        <v>0</v>
      </c>
      <c r="AB164" s="1144"/>
      <c r="AC164" s="1144"/>
      <c r="AD164" s="1144"/>
      <c r="AE164" s="1144"/>
      <c r="AF164" s="1144"/>
      <c r="AG164" s="1144"/>
      <c r="AI164" s="18"/>
      <c r="AJ164" s="18"/>
      <c r="AK164" s="652"/>
      <c r="AL164" s="653"/>
      <c r="AM164" s="654">
        <f t="shared" si="3"/>
        <v>0</v>
      </c>
      <c r="AN164" s="18"/>
      <c r="AO164" s="661">
        <f>AA164-BS!$D$51</f>
        <v>0</v>
      </c>
      <c r="AP164" s="18"/>
      <c r="AQ164" s="18"/>
    </row>
    <row r="165" spans="1:43" s="635" customFormat="1" ht="27.75" customHeight="1" x14ac:dyDescent="0.2">
      <c r="A165" s="647"/>
      <c r="D165" s="1092" t="s">
        <v>127</v>
      </c>
      <c r="E165" s="1092"/>
      <c r="F165" s="1092"/>
      <c r="G165" s="1092"/>
      <c r="H165" s="1092"/>
      <c r="I165" s="1092"/>
      <c r="J165" s="1092"/>
      <c r="K165" s="1092"/>
      <c r="L165" s="1092"/>
      <c r="M165" s="1032"/>
      <c r="N165" s="1032"/>
      <c r="O165" s="1032"/>
      <c r="P165" s="1032"/>
      <c r="Q165" s="1032"/>
      <c r="R165" s="1032"/>
      <c r="S165" s="1032"/>
      <c r="T165" s="1032"/>
      <c r="U165" s="1032"/>
      <c r="V165" s="1032"/>
      <c r="W165" s="1032"/>
      <c r="X165" s="1032"/>
      <c r="Y165" s="1032"/>
      <c r="Z165" s="1032"/>
      <c r="AA165" s="1144">
        <f t="shared" si="2"/>
        <v>0</v>
      </c>
      <c r="AB165" s="1144"/>
      <c r="AC165" s="1144"/>
      <c r="AD165" s="1144"/>
      <c r="AE165" s="1144"/>
      <c r="AF165" s="1144"/>
      <c r="AG165" s="1144"/>
      <c r="AI165" s="18"/>
      <c r="AJ165" s="18"/>
      <c r="AK165" s="652"/>
      <c r="AL165" s="653"/>
      <c r="AM165" s="654">
        <f t="shared" si="3"/>
        <v>0</v>
      </c>
      <c r="AN165" s="18"/>
      <c r="AO165" s="661">
        <f>AA165-BS!$D$52</f>
        <v>0</v>
      </c>
      <c r="AP165" s="18"/>
      <c r="AQ165" s="18"/>
    </row>
    <row r="166" spans="1:43" s="635" customFormat="1" ht="27.75" customHeight="1" thickBot="1" x14ac:dyDescent="0.25">
      <c r="A166" s="647"/>
      <c r="D166" s="1091" t="s">
        <v>227</v>
      </c>
      <c r="E166" s="1091"/>
      <c r="F166" s="1091"/>
      <c r="G166" s="1091"/>
      <c r="H166" s="1091"/>
      <c r="I166" s="1091"/>
      <c r="J166" s="1091"/>
      <c r="K166" s="1091"/>
      <c r="L166" s="1091"/>
      <c r="M166" s="1032">
        <v>50197</v>
      </c>
      <c r="N166" s="1032"/>
      <c r="O166" s="1032"/>
      <c r="P166" s="1032"/>
      <c r="Q166" s="1032"/>
      <c r="R166" s="1032"/>
      <c r="S166" s="1032"/>
      <c r="T166" s="1032"/>
      <c r="U166" s="1032"/>
      <c r="V166" s="1032"/>
      <c r="W166" s="1032"/>
      <c r="X166" s="1032"/>
      <c r="Y166" s="1032"/>
      <c r="Z166" s="1032"/>
      <c r="AA166" s="1144">
        <f t="shared" si="2"/>
        <v>50197</v>
      </c>
      <c r="AB166" s="1144"/>
      <c r="AC166" s="1144"/>
      <c r="AD166" s="1144"/>
      <c r="AE166" s="1144"/>
      <c r="AF166" s="1144"/>
      <c r="AG166" s="1144"/>
      <c r="AI166" s="18"/>
      <c r="AJ166" s="18"/>
      <c r="AK166" s="652"/>
      <c r="AL166" s="653"/>
      <c r="AM166" s="654">
        <f t="shared" si="3"/>
        <v>0</v>
      </c>
      <c r="AN166" s="18"/>
      <c r="AO166" s="661">
        <f>AA166-BS!$D$53-BS!$D$54</f>
        <v>0</v>
      </c>
      <c r="AP166" s="18"/>
      <c r="AQ166" s="18"/>
    </row>
    <row r="167" spans="1:43" s="635" customFormat="1" ht="27.75" customHeight="1" thickBot="1" x14ac:dyDescent="0.25">
      <c r="A167" s="647"/>
      <c r="D167" s="1141" t="s">
        <v>137</v>
      </c>
      <c r="E167" s="1141"/>
      <c r="F167" s="1141"/>
      <c r="G167" s="1141"/>
      <c r="H167" s="1141"/>
      <c r="I167" s="1141"/>
      <c r="J167" s="1141"/>
      <c r="K167" s="1141"/>
      <c r="L167" s="1141"/>
      <c r="M167" s="1142">
        <f t="shared" ref="M167" si="4">SUM(M162:S166)</f>
        <v>50197</v>
      </c>
      <c r="N167" s="1142"/>
      <c r="O167" s="1142"/>
      <c r="P167" s="1142"/>
      <c r="Q167" s="1142"/>
      <c r="R167" s="1142"/>
      <c r="S167" s="1142"/>
      <c r="T167" s="1142">
        <f>SUM(T162:Z166)</f>
        <v>0</v>
      </c>
      <c r="U167" s="1142"/>
      <c r="V167" s="1142"/>
      <c r="W167" s="1142"/>
      <c r="X167" s="1142"/>
      <c r="Y167" s="1142"/>
      <c r="Z167" s="1142"/>
      <c r="AA167" s="1142">
        <f>SUM(AA162:AG166)</f>
        <v>50197</v>
      </c>
      <c r="AB167" s="1142"/>
      <c r="AC167" s="1142"/>
      <c r="AD167" s="1142"/>
      <c r="AE167" s="1142"/>
      <c r="AF167" s="1142"/>
      <c r="AG167" s="1142"/>
      <c r="AI167" s="18"/>
      <c r="AJ167" s="653"/>
      <c r="AK167" s="655">
        <f>SUM(M162:S166)-M167</f>
        <v>0</v>
      </c>
      <c r="AL167" s="656">
        <f>SUM(T162:Z166)-T167</f>
        <v>0</v>
      </c>
      <c r="AM167" s="657">
        <f>SUM(AA162:AG166)-AA167</f>
        <v>0</v>
      </c>
      <c r="AN167" s="18"/>
      <c r="AO167" s="663">
        <f>AA167-BS!$D$47</f>
        <v>0</v>
      </c>
      <c r="AP167" s="18"/>
      <c r="AQ167" s="18"/>
    </row>
    <row r="168" spans="1:43" s="635" customFormat="1" ht="27.75" customHeight="1" thickBot="1" x14ac:dyDescent="0.25">
      <c r="A168" s="647"/>
      <c r="D168" s="1141" t="s">
        <v>138</v>
      </c>
      <c r="E168" s="1141"/>
      <c r="F168" s="1141"/>
      <c r="G168" s="1141"/>
      <c r="H168" s="1141"/>
      <c r="I168" s="1141"/>
      <c r="J168" s="1141"/>
      <c r="K168" s="1141"/>
      <c r="L168" s="1141"/>
      <c r="M168" s="1141"/>
      <c r="N168" s="1141"/>
      <c r="O168" s="1141"/>
      <c r="P168" s="1141"/>
      <c r="Q168" s="1141"/>
      <c r="R168" s="1141"/>
      <c r="S168" s="1141"/>
      <c r="T168" s="1141"/>
      <c r="U168" s="1141"/>
      <c r="V168" s="1141"/>
      <c r="W168" s="1141"/>
      <c r="X168" s="1141"/>
      <c r="Y168" s="1141"/>
      <c r="Z168" s="1141"/>
      <c r="AA168" s="1141"/>
      <c r="AB168" s="1141"/>
      <c r="AC168" s="1141"/>
      <c r="AD168" s="1141"/>
      <c r="AE168" s="1141"/>
      <c r="AF168" s="1141"/>
      <c r="AG168" s="1141"/>
      <c r="AI168" s="18"/>
      <c r="AJ168" s="18"/>
      <c r="AK168" s="18"/>
      <c r="AL168" s="18"/>
      <c r="AM168" s="18"/>
      <c r="AN168" s="18"/>
      <c r="AO168" s="18"/>
      <c r="AP168" s="18"/>
      <c r="AQ168" s="18"/>
    </row>
    <row r="169" spans="1:43" s="635" customFormat="1" ht="27.75" customHeight="1" x14ac:dyDescent="0.2">
      <c r="A169" s="647"/>
      <c r="D169" s="1093" t="s">
        <v>139</v>
      </c>
      <c r="E169" s="1093"/>
      <c r="F169" s="1093"/>
      <c r="G169" s="1093"/>
      <c r="H169" s="1093"/>
      <c r="I169" s="1093"/>
      <c r="J169" s="1093"/>
      <c r="K169" s="1093"/>
      <c r="L169" s="1093"/>
      <c r="M169" s="1084">
        <v>596247</v>
      </c>
      <c r="N169" s="1084"/>
      <c r="O169" s="1084"/>
      <c r="P169" s="1084"/>
      <c r="Q169" s="1084"/>
      <c r="R169" s="1084"/>
      <c r="S169" s="1084"/>
      <c r="T169" s="1084">
        <v>264459</v>
      </c>
      <c r="U169" s="1084"/>
      <c r="V169" s="1084"/>
      <c r="W169" s="1084"/>
      <c r="X169" s="1084"/>
      <c r="Y169" s="1084"/>
      <c r="Z169" s="1084"/>
      <c r="AA169" s="1145">
        <f>M169+T169</f>
        <v>860706</v>
      </c>
      <c r="AB169" s="1145"/>
      <c r="AC169" s="1145"/>
      <c r="AD169" s="1145"/>
      <c r="AE169" s="1145"/>
      <c r="AF169" s="1145"/>
      <c r="AG169" s="1145"/>
      <c r="AI169" s="18"/>
      <c r="AJ169" s="18"/>
      <c r="AK169" s="658"/>
      <c r="AL169" s="659"/>
      <c r="AM169" s="660">
        <f t="shared" ref="AM169:AM170" si="5">SUM(M169:Z169)-AA169</f>
        <v>0</v>
      </c>
      <c r="AN169" s="18"/>
      <c r="AO169" s="666">
        <f>AA169-BS!$D$56</f>
        <v>0</v>
      </c>
      <c r="AP169" s="18"/>
      <c r="AQ169" s="18"/>
    </row>
    <row r="170" spans="1:43" s="635" customFormat="1" ht="27.75" customHeight="1" x14ac:dyDescent="0.2">
      <c r="A170" s="647"/>
      <c r="D170" s="1094" t="s">
        <v>1854</v>
      </c>
      <c r="E170" s="1094"/>
      <c r="F170" s="1094"/>
      <c r="G170" s="1094"/>
      <c r="H170" s="1094"/>
      <c r="I170" s="1094"/>
      <c r="J170" s="1094"/>
      <c r="K170" s="1094"/>
      <c r="L170" s="1094"/>
      <c r="M170" s="1032"/>
      <c r="N170" s="1032"/>
      <c r="O170" s="1032"/>
      <c r="P170" s="1032"/>
      <c r="Q170" s="1032"/>
      <c r="R170" s="1032"/>
      <c r="S170" s="1032"/>
      <c r="T170" s="1032"/>
      <c r="U170" s="1032"/>
      <c r="V170" s="1032"/>
      <c r="W170" s="1032"/>
      <c r="X170" s="1032"/>
      <c r="Y170" s="1032"/>
      <c r="Z170" s="1032"/>
      <c r="AA170" s="1144">
        <f t="shared" ref="AA170:AA172" si="6">M170+T170</f>
        <v>0</v>
      </c>
      <c r="AB170" s="1144"/>
      <c r="AC170" s="1144"/>
      <c r="AD170" s="1144"/>
      <c r="AE170" s="1144"/>
      <c r="AF170" s="1144"/>
      <c r="AG170" s="1144"/>
      <c r="AI170" s="18"/>
      <c r="AJ170" s="18"/>
      <c r="AK170" s="652"/>
      <c r="AL170" s="653"/>
      <c r="AM170" s="654">
        <f t="shared" si="5"/>
        <v>0</v>
      </c>
      <c r="AN170" s="18"/>
      <c r="AO170" s="661">
        <f>AA170-BS!$D$58</f>
        <v>0</v>
      </c>
      <c r="AP170" s="18"/>
      <c r="AQ170" s="18"/>
    </row>
    <row r="171" spans="1:43" s="635" customFormat="1" ht="27.75" customHeight="1" x14ac:dyDescent="0.2">
      <c r="A171" s="647"/>
      <c r="D171" s="1092" t="s">
        <v>136</v>
      </c>
      <c r="E171" s="1092"/>
      <c r="F171" s="1092"/>
      <c r="G171" s="1092"/>
      <c r="H171" s="1092"/>
      <c r="I171" s="1092"/>
      <c r="J171" s="1092"/>
      <c r="K171" s="1092"/>
      <c r="L171" s="1092"/>
      <c r="M171" s="1032"/>
      <c r="N171" s="1032"/>
      <c r="O171" s="1032"/>
      <c r="P171" s="1032"/>
      <c r="Q171" s="1032"/>
      <c r="R171" s="1032"/>
      <c r="S171" s="1032"/>
      <c r="T171" s="1032"/>
      <c r="U171" s="1032"/>
      <c r="V171" s="1032"/>
      <c r="W171" s="1032"/>
      <c r="X171" s="1032"/>
      <c r="Y171" s="1032"/>
      <c r="Z171" s="1032"/>
      <c r="AA171" s="1144">
        <f t="shared" si="6"/>
        <v>0</v>
      </c>
      <c r="AB171" s="1144"/>
      <c r="AC171" s="1144"/>
      <c r="AD171" s="1144"/>
      <c r="AE171" s="1144"/>
      <c r="AF171" s="1144"/>
      <c r="AG171" s="1144"/>
      <c r="AI171" s="18"/>
      <c r="AJ171" s="18"/>
      <c r="AK171" s="652"/>
      <c r="AL171" s="653"/>
      <c r="AM171" s="654">
        <f>SUM(M171:Z171)-AA171</f>
        <v>0</v>
      </c>
      <c r="AN171" s="18"/>
      <c r="AO171" s="661">
        <f>AA171-BS!$D$59</f>
        <v>0</v>
      </c>
      <c r="AP171" s="18"/>
      <c r="AQ171" s="18"/>
    </row>
    <row r="172" spans="1:43" s="635" customFormat="1" ht="27.75" customHeight="1" x14ac:dyDescent="0.2">
      <c r="A172" s="647"/>
      <c r="D172" s="1092" t="s">
        <v>127</v>
      </c>
      <c r="E172" s="1092"/>
      <c r="F172" s="1092"/>
      <c r="G172" s="1092"/>
      <c r="H172" s="1092"/>
      <c r="I172" s="1092"/>
      <c r="J172" s="1092"/>
      <c r="K172" s="1092"/>
      <c r="L172" s="1092"/>
      <c r="M172" s="1032"/>
      <c r="N172" s="1032"/>
      <c r="O172" s="1032"/>
      <c r="P172" s="1032"/>
      <c r="Q172" s="1032"/>
      <c r="R172" s="1032"/>
      <c r="S172" s="1032"/>
      <c r="T172" s="1032"/>
      <c r="U172" s="1032"/>
      <c r="V172" s="1032"/>
      <c r="W172" s="1032"/>
      <c r="X172" s="1032"/>
      <c r="Y172" s="1032"/>
      <c r="Z172" s="1032"/>
      <c r="AA172" s="1144">
        <f t="shared" si="6"/>
        <v>0</v>
      </c>
      <c r="AB172" s="1144"/>
      <c r="AC172" s="1144"/>
      <c r="AD172" s="1144"/>
      <c r="AE172" s="1144"/>
      <c r="AF172" s="1144"/>
      <c r="AG172" s="1144"/>
      <c r="AI172" s="18"/>
      <c r="AJ172" s="18"/>
      <c r="AK172" s="652"/>
      <c r="AL172" s="653"/>
      <c r="AM172" s="654">
        <f t="shared" ref="AM172:AM174" si="7">SUM(M172:Z172)-AA172</f>
        <v>0</v>
      </c>
      <c r="AN172" s="18"/>
      <c r="AO172" s="661">
        <f>AA172-BS!$D$60</f>
        <v>0</v>
      </c>
      <c r="AP172" s="18"/>
      <c r="AQ172" s="18"/>
    </row>
    <row r="173" spans="1:43" s="635" customFormat="1" ht="27.75" customHeight="1" x14ac:dyDescent="0.2">
      <c r="A173" s="647"/>
      <c r="D173" s="1092" t="s">
        <v>140</v>
      </c>
      <c r="E173" s="1092"/>
      <c r="F173" s="1092"/>
      <c r="G173" s="1092"/>
      <c r="H173" s="1092"/>
      <c r="I173" s="1092"/>
      <c r="J173" s="1092"/>
      <c r="K173" s="1092"/>
      <c r="L173" s="1092"/>
      <c r="M173" s="1146"/>
      <c r="N173" s="1146"/>
      <c r="O173" s="1146"/>
      <c r="P173" s="1146"/>
      <c r="Q173" s="1146"/>
      <c r="R173" s="1146"/>
      <c r="S173" s="1146"/>
      <c r="T173" s="1032"/>
      <c r="U173" s="1032"/>
      <c r="V173" s="1032"/>
      <c r="W173" s="1032"/>
      <c r="X173" s="1032"/>
      <c r="Y173" s="1032"/>
      <c r="Z173" s="1032"/>
      <c r="AA173" s="1144">
        <f>M173+T173</f>
        <v>0</v>
      </c>
      <c r="AB173" s="1144"/>
      <c r="AC173" s="1144"/>
      <c r="AD173" s="1144"/>
      <c r="AE173" s="1144"/>
      <c r="AF173" s="1144"/>
      <c r="AG173" s="1144"/>
      <c r="AI173" s="18"/>
      <c r="AJ173" s="18"/>
      <c r="AK173" s="652"/>
      <c r="AL173" s="653"/>
      <c r="AM173" s="654">
        <f t="shared" si="7"/>
        <v>0</v>
      </c>
      <c r="AN173" s="18"/>
      <c r="AO173" s="662">
        <f>AA172-BS!$D$61</f>
        <v>0</v>
      </c>
      <c r="AP173" s="18"/>
      <c r="AQ173" s="18"/>
    </row>
    <row r="174" spans="1:43" s="635" customFormat="1" ht="27.75" customHeight="1" x14ac:dyDescent="0.2">
      <c r="A174" s="647"/>
      <c r="D174" s="1092" t="s">
        <v>141</v>
      </c>
      <c r="E174" s="1092"/>
      <c r="F174" s="1092"/>
      <c r="G174" s="1092"/>
      <c r="H174" s="1092"/>
      <c r="I174" s="1092"/>
      <c r="J174" s="1092"/>
      <c r="K174" s="1092"/>
      <c r="L174" s="1092"/>
      <c r="M174" s="1032"/>
      <c r="N174" s="1032"/>
      <c r="O174" s="1032"/>
      <c r="P174" s="1032"/>
      <c r="Q174" s="1032"/>
      <c r="R174" s="1032"/>
      <c r="S174" s="1032"/>
      <c r="T174" s="1032"/>
      <c r="U174" s="1032"/>
      <c r="V174" s="1032"/>
      <c r="W174" s="1032"/>
      <c r="X174" s="1032"/>
      <c r="Y174" s="1032"/>
      <c r="Z174" s="1032"/>
      <c r="AA174" s="1144">
        <f t="shared" ref="AA174:AA175" si="8">M174+T174</f>
        <v>0</v>
      </c>
      <c r="AB174" s="1144"/>
      <c r="AC174" s="1144"/>
      <c r="AD174" s="1144"/>
      <c r="AE174" s="1144"/>
      <c r="AF174" s="1144"/>
      <c r="AG174" s="1144"/>
      <c r="AI174" s="18"/>
      <c r="AJ174" s="18"/>
      <c r="AK174" s="652"/>
      <c r="AL174" s="653"/>
      <c r="AM174" s="654">
        <f t="shared" si="7"/>
        <v>0</v>
      </c>
      <c r="AN174" s="18"/>
      <c r="AO174" s="661">
        <f>AA174-BS!$D$62</f>
        <v>0</v>
      </c>
      <c r="AP174" s="18"/>
      <c r="AQ174" s="18"/>
    </row>
    <row r="175" spans="1:43" s="635" customFormat="1" ht="27.75" customHeight="1" thickBot="1" x14ac:dyDescent="0.25">
      <c r="A175" s="647"/>
      <c r="D175" s="1091" t="s">
        <v>128</v>
      </c>
      <c r="E175" s="1091"/>
      <c r="F175" s="1091"/>
      <c r="G175" s="1091"/>
      <c r="H175" s="1091"/>
      <c r="I175" s="1091"/>
      <c r="J175" s="1091"/>
      <c r="K175" s="1091"/>
      <c r="L175" s="1091"/>
      <c r="M175" s="1032"/>
      <c r="N175" s="1032"/>
      <c r="O175" s="1032"/>
      <c r="P175" s="1032"/>
      <c r="Q175" s="1032"/>
      <c r="R175" s="1032"/>
      <c r="S175" s="1032"/>
      <c r="T175" s="1032"/>
      <c r="U175" s="1032"/>
      <c r="V175" s="1032"/>
      <c r="W175" s="1032"/>
      <c r="X175" s="1032"/>
      <c r="Y175" s="1032"/>
      <c r="Z175" s="1032"/>
      <c r="AA175" s="1144">
        <f t="shared" si="8"/>
        <v>0</v>
      </c>
      <c r="AB175" s="1144"/>
      <c r="AC175" s="1144"/>
      <c r="AD175" s="1144"/>
      <c r="AE175" s="1144"/>
      <c r="AF175" s="1144"/>
      <c r="AG175" s="1144"/>
      <c r="AI175" s="18"/>
      <c r="AJ175" s="18"/>
      <c r="AK175" s="652"/>
      <c r="AL175" s="653"/>
      <c r="AM175" s="654">
        <f>SUM(M175:Z175)-AA175</f>
        <v>0</v>
      </c>
      <c r="AN175" s="18"/>
      <c r="AO175" s="661">
        <f>AA175-BS!$D$63</f>
        <v>0</v>
      </c>
      <c r="AP175" s="18"/>
      <c r="AQ175" s="18"/>
    </row>
    <row r="176" spans="1:43" s="635" customFormat="1" ht="27.75" customHeight="1" thickBot="1" x14ac:dyDescent="0.25">
      <c r="A176" s="647"/>
      <c r="D176" s="1143" t="s">
        <v>142</v>
      </c>
      <c r="E176" s="1143"/>
      <c r="F176" s="1143"/>
      <c r="G176" s="1143"/>
      <c r="H176" s="1143"/>
      <c r="I176" s="1143"/>
      <c r="J176" s="1143"/>
      <c r="K176" s="1143"/>
      <c r="L176" s="1143"/>
      <c r="M176" s="1142">
        <f>SUM(M169:S175)</f>
        <v>596247</v>
      </c>
      <c r="N176" s="1142"/>
      <c r="O176" s="1142"/>
      <c r="P176" s="1142"/>
      <c r="Q176" s="1142"/>
      <c r="R176" s="1142"/>
      <c r="S176" s="1142"/>
      <c r="T176" s="1142">
        <f t="shared" ref="T176" si="9">SUM(T169:Z175)</f>
        <v>264459</v>
      </c>
      <c r="U176" s="1142"/>
      <c r="V176" s="1142"/>
      <c r="W176" s="1142"/>
      <c r="X176" s="1142"/>
      <c r="Y176" s="1142"/>
      <c r="Z176" s="1142"/>
      <c r="AA176" s="1142">
        <f>SUM(AA169:AG175)</f>
        <v>860706</v>
      </c>
      <c r="AB176" s="1142"/>
      <c r="AC176" s="1142"/>
      <c r="AD176" s="1142"/>
      <c r="AE176" s="1142"/>
      <c r="AF176" s="1142"/>
      <c r="AG176" s="1142"/>
      <c r="AI176" s="18"/>
      <c r="AJ176" s="18"/>
      <c r="AK176" s="655">
        <f>SUM(M169:S175)-M176</f>
        <v>0</v>
      </c>
      <c r="AL176" s="656">
        <f>SUM(T169:Z175)-T176</f>
        <v>0</v>
      </c>
      <c r="AM176" s="657">
        <f>SUM(AA169:AG175)-AA176</f>
        <v>0</v>
      </c>
      <c r="AN176" s="18"/>
      <c r="AO176" s="663">
        <f>AA176-BS!$D$55</f>
        <v>0</v>
      </c>
      <c r="AP176" s="18"/>
      <c r="AQ176" s="18"/>
    </row>
    <row r="177" spans="1:43" s="635" customFormat="1" x14ac:dyDescent="0.2">
      <c r="A177" s="647"/>
      <c r="D177" s="96"/>
      <c r="E177" s="96"/>
      <c r="F177" s="96"/>
      <c r="G177" s="96"/>
      <c r="H177" s="96"/>
      <c r="I177" s="96"/>
      <c r="J177" s="96"/>
      <c r="K177" s="96"/>
      <c r="L177" s="96"/>
      <c r="AI177" s="18"/>
      <c r="AJ177" s="18"/>
      <c r="AK177" s="18"/>
      <c r="AL177" s="18"/>
      <c r="AM177" s="18"/>
      <c r="AN177" s="18"/>
      <c r="AO177" s="18"/>
      <c r="AP177" s="18"/>
      <c r="AQ177" s="18"/>
    </row>
    <row r="178" spans="1:43" s="635" customFormat="1" ht="30" hidden="1" customHeight="1" thickTop="1" thickBot="1" x14ac:dyDescent="0.25">
      <c r="A178" s="647" t="s">
        <v>1446</v>
      </c>
      <c r="D178" s="1149" t="s">
        <v>460</v>
      </c>
      <c r="E178" s="1149"/>
      <c r="F178" s="1149"/>
      <c r="G178" s="1149"/>
      <c r="H178" s="1149"/>
      <c r="I178" s="1149"/>
      <c r="J178" s="1149"/>
      <c r="K178" s="1149"/>
      <c r="L178" s="1149"/>
      <c r="M178" s="1149"/>
      <c r="N178" s="1149"/>
      <c r="O178" s="1149"/>
      <c r="P178" s="1149" t="s">
        <v>2</v>
      </c>
      <c r="Q178" s="1149"/>
      <c r="R178" s="1149"/>
      <c r="S178" s="1149"/>
      <c r="T178" s="1149"/>
      <c r="U178" s="1149"/>
      <c r="V178" s="1149"/>
      <c r="W178" s="1149"/>
      <c r="X178" s="1149"/>
      <c r="Y178" s="1149" t="s">
        <v>3</v>
      </c>
      <c r="Z178" s="1149"/>
      <c r="AA178" s="1149"/>
      <c r="AB178" s="1149"/>
      <c r="AC178" s="1149"/>
      <c r="AD178" s="1149"/>
      <c r="AE178" s="1149"/>
      <c r="AF178" s="1149"/>
      <c r="AG178" s="1149"/>
      <c r="AI178" s="18"/>
      <c r="AJ178" s="18"/>
      <c r="AK178" s="18"/>
      <c r="AL178" s="667" t="s">
        <v>2</v>
      </c>
      <c r="AM178" s="667" t="s">
        <v>3</v>
      </c>
      <c r="AN178" s="18"/>
      <c r="AO178" s="667" t="s">
        <v>2</v>
      </c>
      <c r="AP178" s="667" t="s">
        <v>3</v>
      </c>
      <c r="AQ178" s="18"/>
    </row>
    <row r="179" spans="1:43" s="635" customFormat="1" ht="30" hidden="1" customHeight="1" x14ac:dyDescent="0.2">
      <c r="A179" s="647"/>
      <c r="D179" s="1153" t="s">
        <v>143</v>
      </c>
      <c r="E179" s="1153"/>
      <c r="F179" s="1153"/>
      <c r="G179" s="1153"/>
      <c r="H179" s="1153"/>
      <c r="I179" s="1153"/>
      <c r="J179" s="1153"/>
      <c r="K179" s="1153"/>
      <c r="L179" s="1153"/>
      <c r="M179" s="1153"/>
      <c r="N179" s="1153"/>
      <c r="O179" s="1153"/>
      <c r="P179" s="1159"/>
      <c r="Q179" s="1159"/>
      <c r="R179" s="1159"/>
      <c r="S179" s="1159"/>
      <c r="T179" s="1159"/>
      <c r="U179" s="1159"/>
      <c r="V179" s="1159"/>
      <c r="W179" s="1159"/>
      <c r="X179" s="1160"/>
      <c r="Y179" s="1168"/>
      <c r="Z179" s="1159"/>
      <c r="AA179" s="1159"/>
      <c r="AB179" s="1159"/>
      <c r="AC179" s="1159"/>
      <c r="AD179" s="1159"/>
      <c r="AE179" s="1159"/>
      <c r="AF179" s="1159"/>
      <c r="AG179" s="1159"/>
      <c r="AI179" s="18"/>
      <c r="AJ179" s="18"/>
      <c r="AK179" s="18"/>
      <c r="AL179" s="658"/>
      <c r="AM179" s="664"/>
      <c r="AN179" s="18"/>
      <c r="AO179" s="658"/>
      <c r="AP179" s="664"/>
      <c r="AQ179" s="18"/>
    </row>
    <row r="180" spans="1:43" s="635" customFormat="1" ht="30" hidden="1" customHeight="1" x14ac:dyDescent="0.2">
      <c r="A180" s="647"/>
      <c r="D180" s="1151" t="s">
        <v>461</v>
      </c>
      <c r="E180" s="1151"/>
      <c r="F180" s="1151"/>
      <c r="G180" s="1151"/>
      <c r="H180" s="1151"/>
      <c r="I180" s="1151"/>
      <c r="J180" s="1151"/>
      <c r="K180" s="1151"/>
      <c r="L180" s="1151"/>
      <c r="M180" s="1151"/>
      <c r="N180" s="1151"/>
      <c r="O180" s="1151"/>
      <c r="P180" s="1155"/>
      <c r="Q180" s="1155"/>
      <c r="R180" s="1155"/>
      <c r="S180" s="1155"/>
      <c r="T180" s="1155"/>
      <c r="U180" s="1155"/>
      <c r="V180" s="1155"/>
      <c r="W180" s="1155"/>
      <c r="X180" s="1156"/>
      <c r="Y180" s="1169"/>
      <c r="Z180" s="1155"/>
      <c r="AA180" s="1155"/>
      <c r="AB180" s="1155"/>
      <c r="AC180" s="1155"/>
      <c r="AD180" s="1155"/>
      <c r="AE180" s="1155"/>
      <c r="AF180" s="1155"/>
      <c r="AG180" s="1155"/>
      <c r="AI180" s="18"/>
      <c r="AJ180" s="18"/>
      <c r="AK180" s="18"/>
      <c r="AL180" s="652"/>
      <c r="AM180" s="665"/>
      <c r="AN180" s="18"/>
      <c r="AO180" s="652"/>
      <c r="AP180" s="665"/>
      <c r="AQ180" s="18"/>
    </row>
    <row r="181" spans="1:43" s="635" customFormat="1" ht="30" hidden="1" customHeight="1" x14ac:dyDescent="0.2">
      <c r="A181" s="647"/>
      <c r="D181" s="1152" t="s">
        <v>142</v>
      </c>
      <c r="E181" s="1152"/>
      <c r="F181" s="1152"/>
      <c r="G181" s="1152"/>
      <c r="H181" s="1152"/>
      <c r="I181" s="1152"/>
      <c r="J181" s="1152"/>
      <c r="K181" s="1152"/>
      <c r="L181" s="1152"/>
      <c r="M181" s="1152"/>
      <c r="N181" s="1152"/>
      <c r="O181" s="1152"/>
      <c r="P181" s="1157">
        <f>SUM(P179:X180)</f>
        <v>0</v>
      </c>
      <c r="Q181" s="1157"/>
      <c r="R181" s="1157"/>
      <c r="S181" s="1157"/>
      <c r="T181" s="1157"/>
      <c r="U181" s="1157"/>
      <c r="V181" s="1157"/>
      <c r="W181" s="1157"/>
      <c r="X181" s="1158"/>
      <c r="Y181" s="1170">
        <f>SUM(Y179:AG180)</f>
        <v>0</v>
      </c>
      <c r="Z181" s="1157"/>
      <c r="AA181" s="1157"/>
      <c r="AB181" s="1157"/>
      <c r="AC181" s="1157"/>
      <c r="AD181" s="1157"/>
      <c r="AE181" s="1157"/>
      <c r="AF181" s="1157"/>
      <c r="AG181" s="1157"/>
      <c r="AI181" s="18"/>
      <c r="AJ181" s="18"/>
      <c r="AK181" s="18"/>
      <c r="AL181" s="668">
        <f>SUM(AI179:AI180)-AI181</f>
        <v>0</v>
      </c>
      <c r="AM181" s="654">
        <f>SUM(AJ179:AJ180)-AJ181</f>
        <v>0</v>
      </c>
      <c r="AN181" s="18"/>
      <c r="AO181" s="668">
        <f>P181-BS!$D$55</f>
        <v>-860706</v>
      </c>
      <c r="AP181" s="654">
        <f>Y181-BS!$G$55</f>
        <v>-735953</v>
      </c>
      <c r="AQ181" s="18"/>
    </row>
    <row r="182" spans="1:43" s="635" customFormat="1" ht="30" hidden="1" customHeight="1" x14ac:dyDescent="0.2">
      <c r="A182" s="647"/>
      <c r="D182" s="1151" t="s">
        <v>144</v>
      </c>
      <c r="E182" s="1151"/>
      <c r="F182" s="1151"/>
      <c r="G182" s="1151"/>
      <c r="H182" s="1151"/>
      <c r="I182" s="1151"/>
      <c r="J182" s="1151"/>
      <c r="K182" s="1151"/>
      <c r="L182" s="1151"/>
      <c r="M182" s="1151"/>
      <c r="N182" s="1151"/>
      <c r="O182" s="1151"/>
      <c r="P182" s="1155"/>
      <c r="Q182" s="1155"/>
      <c r="R182" s="1155"/>
      <c r="S182" s="1155"/>
      <c r="T182" s="1155"/>
      <c r="U182" s="1155"/>
      <c r="V182" s="1155"/>
      <c r="W182" s="1155"/>
      <c r="X182" s="1156"/>
      <c r="Y182" s="1169"/>
      <c r="Z182" s="1155"/>
      <c r="AA182" s="1155"/>
      <c r="AB182" s="1155"/>
      <c r="AC182" s="1155"/>
      <c r="AD182" s="1155"/>
      <c r="AE182" s="1155"/>
      <c r="AF182" s="1155"/>
      <c r="AG182" s="1155"/>
      <c r="AI182" s="18"/>
      <c r="AJ182" s="18"/>
      <c r="AK182" s="18"/>
      <c r="AL182" s="652"/>
      <c r="AM182" s="665"/>
      <c r="AN182" s="18"/>
      <c r="AO182" s="652"/>
      <c r="AP182" s="665"/>
      <c r="AQ182" s="18"/>
    </row>
    <row r="183" spans="1:43" s="635" customFormat="1" ht="30" hidden="1" customHeight="1" x14ac:dyDescent="0.2">
      <c r="A183" s="647"/>
      <c r="D183" s="1151" t="s">
        <v>145</v>
      </c>
      <c r="E183" s="1151"/>
      <c r="F183" s="1151"/>
      <c r="G183" s="1151"/>
      <c r="H183" s="1151"/>
      <c r="I183" s="1151"/>
      <c r="J183" s="1151"/>
      <c r="K183" s="1151"/>
      <c r="L183" s="1151"/>
      <c r="M183" s="1151"/>
      <c r="N183" s="1151"/>
      <c r="O183" s="1151"/>
      <c r="P183" s="1155"/>
      <c r="Q183" s="1155"/>
      <c r="R183" s="1155"/>
      <c r="S183" s="1155"/>
      <c r="T183" s="1155"/>
      <c r="U183" s="1155"/>
      <c r="V183" s="1155"/>
      <c r="W183" s="1155"/>
      <c r="X183" s="1156"/>
      <c r="Y183" s="1169"/>
      <c r="Z183" s="1155"/>
      <c r="AA183" s="1155"/>
      <c r="AB183" s="1155"/>
      <c r="AC183" s="1155"/>
      <c r="AD183" s="1155"/>
      <c r="AE183" s="1155"/>
      <c r="AF183" s="1155"/>
      <c r="AG183" s="1155"/>
      <c r="AI183" s="18"/>
      <c r="AJ183" s="18"/>
      <c r="AK183" s="18"/>
      <c r="AL183" s="652"/>
      <c r="AM183" s="665"/>
      <c r="AN183" s="18"/>
      <c r="AO183" s="652"/>
      <c r="AP183" s="665"/>
      <c r="AQ183" s="18"/>
    </row>
    <row r="184" spans="1:43" s="635" customFormat="1" ht="30" hidden="1" customHeight="1" thickBot="1" x14ac:dyDescent="0.25">
      <c r="A184" s="647"/>
      <c r="D184" s="1150" t="s">
        <v>137</v>
      </c>
      <c r="E184" s="1150"/>
      <c r="F184" s="1150"/>
      <c r="G184" s="1150"/>
      <c r="H184" s="1150"/>
      <c r="I184" s="1150"/>
      <c r="J184" s="1150"/>
      <c r="K184" s="1150"/>
      <c r="L184" s="1150"/>
      <c r="M184" s="1150"/>
      <c r="N184" s="1150"/>
      <c r="O184" s="1150"/>
      <c r="P184" s="1148">
        <f>SUM(P182:X183)</f>
        <v>0</v>
      </c>
      <c r="Q184" s="1148"/>
      <c r="R184" s="1148"/>
      <c r="S184" s="1148"/>
      <c r="T184" s="1148"/>
      <c r="U184" s="1148"/>
      <c r="V184" s="1148"/>
      <c r="W184" s="1148"/>
      <c r="X184" s="1154"/>
      <c r="Y184" s="1147">
        <f>SUM(Y182:AG183)</f>
        <v>0</v>
      </c>
      <c r="Z184" s="1148"/>
      <c r="AA184" s="1148"/>
      <c r="AB184" s="1148"/>
      <c r="AC184" s="1148"/>
      <c r="AD184" s="1148"/>
      <c r="AE184" s="1148"/>
      <c r="AF184" s="1148"/>
      <c r="AG184" s="1148"/>
      <c r="AI184" s="18"/>
      <c r="AJ184" s="18"/>
      <c r="AK184" s="18"/>
      <c r="AL184" s="655">
        <f>SUM(AI182:AI183)-AI184</f>
        <v>0</v>
      </c>
      <c r="AM184" s="657">
        <f>SUM(AJ182:AJ183)-AJ184</f>
        <v>0</v>
      </c>
      <c r="AN184" s="18"/>
      <c r="AO184" s="655">
        <f>P184-BS!$D$47</f>
        <v>-50197</v>
      </c>
      <c r="AP184" s="657">
        <f>Y184-BS!$G$47</f>
        <v>-7916</v>
      </c>
      <c r="AQ184" s="18"/>
    </row>
    <row r="185" spans="1:43" s="635" customFormat="1" x14ac:dyDescent="0.2">
      <c r="A185" s="647"/>
      <c r="D185" s="634" t="s">
        <v>1903</v>
      </c>
      <c r="AI185" s="18"/>
      <c r="AJ185" s="18"/>
      <c r="AK185" s="18"/>
      <c r="AL185" s="18"/>
      <c r="AM185" s="18"/>
      <c r="AN185" s="18"/>
      <c r="AO185" s="18"/>
      <c r="AP185" s="18"/>
      <c r="AQ185" s="18"/>
    </row>
    <row r="186" spans="1:43" s="635" customFormat="1" x14ac:dyDescent="0.2">
      <c r="A186" s="647"/>
      <c r="AI186" s="18"/>
      <c r="AJ186" s="18"/>
      <c r="AK186" s="18"/>
      <c r="AL186" s="18"/>
      <c r="AM186" s="18"/>
      <c r="AN186" s="18"/>
      <c r="AO186" s="18"/>
      <c r="AP186" s="18"/>
      <c r="AQ186" s="18"/>
    </row>
    <row r="187" spans="1:43" s="635" customFormat="1" x14ac:dyDescent="0.2">
      <c r="A187" s="18"/>
      <c r="D187" s="1165" t="s">
        <v>1447</v>
      </c>
      <c r="E187" s="1165"/>
      <c r="F187" s="1165"/>
      <c r="G187" s="1165"/>
      <c r="H187" s="1165"/>
      <c r="I187" s="1165"/>
      <c r="J187" s="1165"/>
      <c r="K187" s="1165"/>
      <c r="L187" s="1165"/>
      <c r="M187" s="1165"/>
      <c r="N187" s="1165"/>
      <c r="O187" s="1165"/>
      <c r="P187" s="1165"/>
      <c r="Q187" s="1165"/>
      <c r="R187" s="1165"/>
      <c r="S187" s="1165"/>
      <c r="T187" s="1165"/>
      <c r="U187" s="1165"/>
      <c r="V187" s="1165"/>
      <c r="W187" s="1165"/>
      <c r="X187" s="1165"/>
      <c r="Y187" s="1165"/>
      <c r="Z187" s="1165"/>
      <c r="AA187" s="1165"/>
      <c r="AB187" s="1165"/>
      <c r="AC187" s="1165"/>
      <c r="AD187" s="1165"/>
      <c r="AE187" s="1165"/>
      <c r="AF187" s="1165"/>
      <c r="AG187" s="1165"/>
      <c r="AI187" s="18"/>
      <c r="AJ187" s="18"/>
      <c r="AK187" s="18"/>
      <c r="AL187" s="18"/>
      <c r="AM187" s="18"/>
      <c r="AN187" s="18"/>
      <c r="AO187" s="18"/>
      <c r="AP187" s="18"/>
      <c r="AQ187" s="18"/>
    </row>
    <row r="188" spans="1:43" s="635" customFormat="1" ht="15" thickBot="1" x14ac:dyDescent="0.25">
      <c r="A188" s="647"/>
      <c r="AI188" s="18"/>
      <c r="AJ188" s="18"/>
      <c r="AK188" s="18"/>
      <c r="AL188" s="18"/>
      <c r="AM188" s="18"/>
      <c r="AN188" s="18"/>
      <c r="AO188" s="18"/>
      <c r="AP188" s="18"/>
      <c r="AQ188" s="18"/>
    </row>
    <row r="189" spans="1:43" s="635" customFormat="1" ht="31.5" customHeight="1" thickTop="1" thickBot="1" x14ac:dyDescent="0.25">
      <c r="A189" s="647">
        <v>18</v>
      </c>
      <c r="D189" s="1171" t="s">
        <v>131</v>
      </c>
      <c r="E189" s="1172"/>
      <c r="F189" s="1172"/>
      <c r="G189" s="1172"/>
      <c r="H189" s="1172"/>
      <c r="I189" s="1172"/>
      <c r="J189" s="1172"/>
      <c r="K189" s="1172"/>
      <c r="L189" s="1172"/>
      <c r="M189" s="1173"/>
      <c r="N189" s="1171" t="s">
        <v>2</v>
      </c>
      <c r="O189" s="1172"/>
      <c r="P189" s="1172"/>
      <c r="Q189" s="1172"/>
      <c r="R189" s="1172"/>
      <c r="S189" s="1172"/>
      <c r="T189" s="1172"/>
      <c r="U189" s="1172"/>
      <c r="V189" s="1172"/>
      <c r="W189" s="1173"/>
      <c r="X189" s="1171" t="s">
        <v>3</v>
      </c>
      <c r="Y189" s="1172"/>
      <c r="Z189" s="1172"/>
      <c r="AA189" s="1172"/>
      <c r="AB189" s="1172"/>
      <c r="AC189" s="1172"/>
      <c r="AD189" s="1172"/>
      <c r="AE189" s="1172"/>
      <c r="AF189" s="1172"/>
      <c r="AG189" s="1173"/>
      <c r="AI189" s="18"/>
      <c r="AJ189" s="18"/>
      <c r="AK189" s="18"/>
      <c r="AL189" s="641" t="s">
        <v>2</v>
      </c>
      <c r="AM189" s="641" t="s">
        <v>3</v>
      </c>
      <c r="AN189" s="18"/>
      <c r="AO189" s="641" t="s">
        <v>2</v>
      </c>
      <c r="AP189" s="641" t="s">
        <v>3</v>
      </c>
      <c r="AQ189" s="18"/>
    </row>
    <row r="190" spans="1:43" s="635" customFormat="1" ht="23.25" customHeight="1" x14ac:dyDescent="0.2">
      <c r="A190" s="647"/>
      <c r="D190" s="1178" t="s">
        <v>155</v>
      </c>
      <c r="E190" s="1179"/>
      <c r="F190" s="1179"/>
      <c r="G190" s="1179"/>
      <c r="H190" s="1179"/>
      <c r="I190" s="1179"/>
      <c r="J190" s="1179"/>
      <c r="K190" s="1179"/>
      <c r="L190" s="1179"/>
      <c r="M190" s="1180"/>
      <c r="N190" s="1181">
        <v>210</v>
      </c>
      <c r="O190" s="1182"/>
      <c r="P190" s="1182"/>
      <c r="Q190" s="1182"/>
      <c r="R190" s="1182"/>
      <c r="S190" s="1182"/>
      <c r="T190" s="1182"/>
      <c r="U190" s="1182"/>
      <c r="V190" s="1182"/>
      <c r="W190" s="1182"/>
      <c r="X190" s="1182">
        <v>684</v>
      </c>
      <c r="Y190" s="1182"/>
      <c r="Z190" s="1182"/>
      <c r="AA190" s="1182"/>
      <c r="AB190" s="1182"/>
      <c r="AC190" s="1182"/>
      <c r="AD190" s="1182"/>
      <c r="AE190" s="1182"/>
      <c r="AF190" s="1182"/>
      <c r="AG190" s="1182"/>
      <c r="AI190" s="18"/>
      <c r="AJ190" s="18"/>
      <c r="AK190" s="18"/>
      <c r="AL190" s="658"/>
      <c r="AM190" s="664"/>
      <c r="AN190" s="18"/>
      <c r="AO190" s="676">
        <f>N190+N193-BS!$D$65</f>
        <v>0</v>
      </c>
      <c r="AP190" s="660">
        <f>X190+X193-BS!$G$65</f>
        <v>0</v>
      </c>
      <c r="AQ190" s="18"/>
    </row>
    <row r="191" spans="1:43" s="635" customFormat="1" ht="23.25" customHeight="1" x14ac:dyDescent="0.2">
      <c r="A191" s="647"/>
      <c r="D191" s="1075" t="s">
        <v>1856</v>
      </c>
      <c r="E191" s="1076"/>
      <c r="F191" s="1076"/>
      <c r="G191" s="1076"/>
      <c r="H191" s="1076"/>
      <c r="I191" s="1076"/>
      <c r="J191" s="1076"/>
      <c r="K191" s="1076"/>
      <c r="L191" s="1076"/>
      <c r="M191" s="1077"/>
      <c r="N191" s="1167"/>
      <c r="O191" s="1032"/>
      <c r="P191" s="1032"/>
      <c r="Q191" s="1032"/>
      <c r="R191" s="1032"/>
      <c r="S191" s="1032"/>
      <c r="T191" s="1032"/>
      <c r="U191" s="1032"/>
      <c r="V191" s="1032"/>
      <c r="W191" s="1032"/>
      <c r="X191" s="1032"/>
      <c r="Y191" s="1032"/>
      <c r="Z191" s="1032"/>
      <c r="AA191" s="1032"/>
      <c r="AB191" s="1032"/>
      <c r="AC191" s="1032"/>
      <c r="AD191" s="1032"/>
      <c r="AE191" s="1032"/>
      <c r="AF191" s="1032"/>
      <c r="AG191" s="1032"/>
      <c r="AI191" s="18"/>
      <c r="AJ191" s="18"/>
      <c r="AK191" s="18"/>
      <c r="AL191" s="652"/>
      <c r="AM191" s="665"/>
      <c r="AN191" s="18"/>
      <c r="AO191" s="668">
        <f>N191-BS!$D$66</f>
        <v>0</v>
      </c>
      <c r="AP191" s="654">
        <f>X191-BS!$G$66</f>
        <v>0</v>
      </c>
      <c r="AQ191" s="18"/>
    </row>
    <row r="192" spans="1:43" s="635" customFormat="1" ht="23.25" customHeight="1" x14ac:dyDescent="0.2">
      <c r="A192" s="647"/>
      <c r="D192" s="1075" t="s">
        <v>1857</v>
      </c>
      <c r="E192" s="1076"/>
      <c r="F192" s="1076"/>
      <c r="G192" s="1076"/>
      <c r="H192" s="1076"/>
      <c r="I192" s="1076"/>
      <c r="J192" s="1076"/>
      <c r="K192" s="1076"/>
      <c r="L192" s="1076"/>
      <c r="M192" s="1077"/>
      <c r="N192" s="1167"/>
      <c r="O192" s="1032"/>
      <c r="P192" s="1032"/>
      <c r="Q192" s="1032"/>
      <c r="R192" s="1032"/>
      <c r="S192" s="1032"/>
      <c r="T192" s="1032"/>
      <c r="U192" s="1032"/>
      <c r="V192" s="1032"/>
      <c r="W192" s="1032"/>
      <c r="X192" s="1032"/>
      <c r="Y192" s="1032"/>
      <c r="Z192" s="1032"/>
      <c r="AA192" s="1032"/>
      <c r="AB192" s="1032"/>
      <c r="AC192" s="1032"/>
      <c r="AD192" s="1032"/>
      <c r="AE192" s="1032"/>
      <c r="AF192" s="1032"/>
      <c r="AG192" s="1032"/>
      <c r="AI192" s="18"/>
      <c r="AJ192" s="18"/>
      <c r="AK192" s="18"/>
      <c r="AL192" s="668"/>
      <c r="AM192" s="654"/>
      <c r="AN192" s="18"/>
      <c r="AO192" s="668">
        <f>N192-BS!$D$67</f>
        <v>0</v>
      </c>
      <c r="AP192" s="654">
        <f>X192-BS!$G$67</f>
        <v>0</v>
      </c>
      <c r="AQ192" s="18"/>
    </row>
    <row r="193" spans="1:43" s="635" customFormat="1" ht="23.25" customHeight="1" x14ac:dyDescent="0.2">
      <c r="A193" s="647"/>
      <c r="D193" s="1066" t="s">
        <v>158</v>
      </c>
      <c r="E193" s="1067"/>
      <c r="F193" s="1067"/>
      <c r="G193" s="1067"/>
      <c r="H193" s="1067"/>
      <c r="I193" s="1067"/>
      <c r="J193" s="1067"/>
      <c r="K193" s="1067"/>
      <c r="L193" s="1067"/>
      <c r="M193" s="1068"/>
      <c r="N193" s="1167"/>
      <c r="O193" s="1032"/>
      <c r="P193" s="1032"/>
      <c r="Q193" s="1032"/>
      <c r="R193" s="1032"/>
      <c r="S193" s="1032"/>
      <c r="T193" s="1032"/>
      <c r="U193" s="1032"/>
      <c r="V193" s="1032"/>
      <c r="W193" s="1032"/>
      <c r="X193" s="1032"/>
      <c r="Y193" s="1032"/>
      <c r="Z193" s="1032"/>
      <c r="AA193" s="1032"/>
      <c r="AB193" s="1032"/>
      <c r="AC193" s="1032"/>
      <c r="AD193" s="1032"/>
      <c r="AE193" s="1032"/>
      <c r="AF193" s="1032"/>
      <c r="AG193" s="1032"/>
      <c r="AI193" s="18"/>
      <c r="AJ193" s="18"/>
      <c r="AK193" s="18"/>
      <c r="AL193" s="652"/>
      <c r="AM193" s="665"/>
      <c r="AN193" s="18"/>
      <c r="AO193" s="668">
        <f>AO190</f>
        <v>0</v>
      </c>
      <c r="AP193" s="654">
        <f>AP190</f>
        <v>0</v>
      </c>
      <c r="AQ193" s="18"/>
    </row>
    <row r="194" spans="1:43" s="635" customFormat="1" ht="23.25" customHeight="1" thickBot="1" x14ac:dyDescent="0.25">
      <c r="A194" s="647"/>
      <c r="D194" s="1174" t="s">
        <v>14</v>
      </c>
      <c r="E194" s="1175"/>
      <c r="F194" s="1175"/>
      <c r="G194" s="1175"/>
      <c r="H194" s="1175"/>
      <c r="I194" s="1175"/>
      <c r="J194" s="1175"/>
      <c r="K194" s="1175"/>
      <c r="L194" s="1175"/>
      <c r="M194" s="1176"/>
      <c r="N194" s="1177">
        <f>SUM(N190:W193)</f>
        <v>210</v>
      </c>
      <c r="O194" s="1142"/>
      <c r="P194" s="1142"/>
      <c r="Q194" s="1142"/>
      <c r="R194" s="1142"/>
      <c r="S194" s="1142"/>
      <c r="T194" s="1142"/>
      <c r="U194" s="1142"/>
      <c r="V194" s="1142"/>
      <c r="W194" s="1142"/>
      <c r="X194" s="1177">
        <f>SUM(X190:AG193)</f>
        <v>684</v>
      </c>
      <c r="Y194" s="1142"/>
      <c r="Z194" s="1142"/>
      <c r="AA194" s="1142"/>
      <c r="AB194" s="1142"/>
      <c r="AC194" s="1142"/>
      <c r="AD194" s="1142"/>
      <c r="AE194" s="1142"/>
      <c r="AF194" s="1142"/>
      <c r="AG194" s="1142"/>
      <c r="AI194" s="18"/>
      <c r="AJ194" s="18"/>
      <c r="AK194" s="18"/>
      <c r="AL194" s="655">
        <f>SUM(N190:W193)-N194</f>
        <v>0</v>
      </c>
      <c r="AM194" s="657">
        <f>SUM(X190:AG193)-X194</f>
        <v>0</v>
      </c>
      <c r="AN194" s="18"/>
      <c r="AO194" s="655">
        <f>N194-SUM(BS!$D$65:$D$67)</f>
        <v>0</v>
      </c>
      <c r="AP194" s="657">
        <f>X194-SUM(BS!$G$65:$G$67)</f>
        <v>0</v>
      </c>
      <c r="AQ194" s="18"/>
    </row>
    <row r="195" spans="1:43" s="635" customFormat="1" x14ac:dyDescent="0.2">
      <c r="A195" s="647"/>
      <c r="AI195" s="18"/>
      <c r="AJ195" s="18"/>
      <c r="AK195" s="18"/>
      <c r="AL195" s="18"/>
      <c r="AM195" s="18"/>
      <c r="AN195" s="18"/>
      <c r="AO195" s="18"/>
      <c r="AP195" s="18"/>
      <c r="AQ195" s="18"/>
    </row>
    <row r="196" spans="1:43" s="635" customFormat="1" x14ac:dyDescent="0.2">
      <c r="A196" s="647"/>
      <c r="AI196" s="18"/>
      <c r="AJ196" s="18"/>
      <c r="AK196" s="18"/>
      <c r="AL196" s="18"/>
      <c r="AM196" s="18"/>
      <c r="AN196" s="18"/>
      <c r="AO196" s="18"/>
      <c r="AP196" s="18"/>
      <c r="AQ196" s="18"/>
    </row>
    <row r="197" spans="1:43" s="635" customFormat="1" x14ac:dyDescent="0.2">
      <c r="A197" s="647"/>
      <c r="D197" s="1020" t="s">
        <v>1904</v>
      </c>
      <c r="E197" s="1021"/>
      <c r="F197" s="1021"/>
      <c r="G197" s="1021"/>
      <c r="H197" s="1021"/>
      <c r="I197" s="1021"/>
      <c r="J197" s="1021"/>
      <c r="K197" s="1021"/>
      <c r="L197" s="1021"/>
      <c r="M197" s="1021"/>
      <c r="N197" s="1021"/>
      <c r="O197" s="1021"/>
      <c r="P197" s="1021"/>
      <c r="Q197" s="1021"/>
      <c r="R197" s="1021"/>
      <c r="S197" s="1021"/>
      <c r="T197" s="1021"/>
      <c r="U197" s="1021"/>
      <c r="V197" s="1021"/>
      <c r="W197" s="1021"/>
      <c r="X197" s="1021"/>
      <c r="Y197" s="1021"/>
      <c r="Z197" s="1021"/>
      <c r="AA197" s="1021"/>
      <c r="AB197" s="1021"/>
      <c r="AC197" s="1021"/>
      <c r="AD197" s="1021"/>
      <c r="AE197" s="1021"/>
      <c r="AF197" s="1021"/>
      <c r="AG197" s="1021"/>
      <c r="AI197" s="18"/>
      <c r="AJ197" s="18"/>
      <c r="AK197" s="18"/>
      <c r="AL197" s="18"/>
      <c r="AM197" s="18"/>
      <c r="AN197" s="18"/>
      <c r="AO197" s="18"/>
      <c r="AP197" s="18"/>
      <c r="AQ197" s="18"/>
    </row>
    <row r="198" spans="1:43" s="635" customFormat="1" x14ac:dyDescent="0.2">
      <c r="A198" s="647"/>
      <c r="D198" s="1021"/>
      <c r="E198" s="1021"/>
      <c r="F198" s="1021"/>
      <c r="G198" s="1021"/>
      <c r="H198" s="1021"/>
      <c r="I198" s="1021"/>
      <c r="J198" s="1021"/>
      <c r="K198" s="1021"/>
      <c r="L198" s="1021"/>
      <c r="M198" s="1021"/>
      <c r="N198" s="1021"/>
      <c r="O198" s="1021"/>
      <c r="P198" s="1021"/>
      <c r="Q198" s="1021"/>
      <c r="R198" s="1021"/>
      <c r="S198" s="1021"/>
      <c r="T198" s="1021"/>
      <c r="U198" s="1021"/>
      <c r="V198" s="1021"/>
      <c r="W198" s="1021"/>
      <c r="X198" s="1021"/>
      <c r="Y198" s="1021"/>
      <c r="Z198" s="1021"/>
      <c r="AA198" s="1021"/>
      <c r="AB198" s="1021"/>
      <c r="AC198" s="1021"/>
      <c r="AD198" s="1021"/>
      <c r="AE198" s="1021"/>
      <c r="AF198" s="1021"/>
      <c r="AG198" s="1021"/>
      <c r="AI198" s="18"/>
      <c r="AJ198" s="18"/>
      <c r="AK198" s="18"/>
      <c r="AL198" s="18"/>
      <c r="AM198" s="18"/>
      <c r="AN198" s="18"/>
      <c r="AO198" s="18"/>
      <c r="AP198" s="18"/>
      <c r="AQ198" s="18"/>
    </row>
    <row r="199" spans="1:43" s="635" customFormat="1" x14ac:dyDescent="0.2">
      <c r="A199" s="647"/>
      <c r="D199" s="1021"/>
      <c r="E199" s="1021"/>
      <c r="F199" s="1021"/>
      <c r="G199" s="1021"/>
      <c r="H199" s="1021"/>
      <c r="I199" s="1021"/>
      <c r="J199" s="1021"/>
      <c r="K199" s="1021"/>
      <c r="L199" s="1021"/>
      <c r="M199" s="1021"/>
      <c r="N199" s="1021"/>
      <c r="O199" s="1021"/>
      <c r="P199" s="1021"/>
      <c r="Q199" s="1021"/>
      <c r="R199" s="1021"/>
      <c r="S199" s="1021"/>
      <c r="T199" s="1021"/>
      <c r="U199" s="1021"/>
      <c r="V199" s="1021"/>
      <c r="W199" s="1021"/>
      <c r="X199" s="1021"/>
      <c r="Y199" s="1021"/>
      <c r="Z199" s="1021"/>
      <c r="AA199" s="1021"/>
      <c r="AB199" s="1021"/>
      <c r="AC199" s="1021"/>
      <c r="AD199" s="1021"/>
      <c r="AE199" s="1021"/>
      <c r="AF199" s="1021"/>
      <c r="AG199" s="1021"/>
      <c r="AI199" s="18"/>
      <c r="AJ199" s="18"/>
      <c r="AK199" s="18"/>
      <c r="AL199" s="18"/>
      <c r="AM199" s="18"/>
      <c r="AN199" s="18"/>
      <c r="AO199" s="18"/>
      <c r="AP199" s="18"/>
      <c r="AQ199" s="18"/>
    </row>
    <row r="200" spans="1:43" ht="14.25" customHeight="1" x14ac:dyDescent="0.2">
      <c r="D200" s="634" t="s">
        <v>1905</v>
      </c>
    </row>
    <row r="202" spans="1:43" ht="14.25" customHeight="1" x14ac:dyDescent="0.2">
      <c r="D202" s="1165" t="s">
        <v>1448</v>
      </c>
      <c r="E202" s="1165"/>
      <c r="F202" s="1165"/>
      <c r="G202" s="1165"/>
      <c r="H202" s="1165"/>
      <c r="I202" s="1165"/>
      <c r="J202" s="1165"/>
      <c r="K202" s="1165"/>
      <c r="L202" s="1165"/>
      <c r="M202" s="1165"/>
      <c r="N202" s="1165"/>
      <c r="O202" s="1165"/>
      <c r="P202" s="1165"/>
      <c r="Q202" s="1165"/>
      <c r="R202" s="1165"/>
      <c r="S202" s="1165"/>
      <c r="T202" s="1165"/>
      <c r="U202" s="1165"/>
      <c r="V202" s="1165"/>
      <c r="W202" s="1165"/>
      <c r="X202" s="1165"/>
      <c r="Y202" s="1165"/>
      <c r="Z202" s="1165"/>
      <c r="AA202" s="1165"/>
      <c r="AB202" s="1165"/>
      <c r="AC202" s="1165"/>
      <c r="AD202" s="1165"/>
      <c r="AE202" s="1165"/>
      <c r="AF202" s="1165"/>
      <c r="AG202" s="1165"/>
    </row>
    <row r="203" spans="1:43" ht="14.25" customHeight="1" thickBot="1" x14ac:dyDescent="0.25"/>
    <row r="204" spans="1:43" ht="28.5" customHeight="1" thickTop="1" thickBot="1" x14ac:dyDescent="0.25">
      <c r="A204" s="647">
        <v>22</v>
      </c>
      <c r="D204" s="1166" t="s">
        <v>178</v>
      </c>
      <c r="E204" s="1166"/>
      <c r="F204" s="1166"/>
      <c r="G204" s="1166"/>
      <c r="H204" s="1166"/>
      <c r="I204" s="1166"/>
      <c r="J204" s="1166"/>
      <c r="K204" s="1166"/>
      <c r="L204" s="1166"/>
      <c r="M204" s="1166"/>
      <c r="N204" s="1166"/>
      <c r="O204" s="1166"/>
      <c r="P204" s="1166" t="s">
        <v>2</v>
      </c>
      <c r="Q204" s="1166"/>
      <c r="R204" s="1166"/>
      <c r="S204" s="1166"/>
      <c r="T204" s="1166"/>
      <c r="U204" s="1166"/>
      <c r="V204" s="1166"/>
      <c r="W204" s="1166"/>
      <c r="X204" s="1166"/>
      <c r="Y204" s="1166" t="s">
        <v>3</v>
      </c>
      <c r="Z204" s="1166"/>
      <c r="AA204" s="1166"/>
      <c r="AB204" s="1166"/>
      <c r="AC204" s="1166"/>
      <c r="AD204" s="1166"/>
      <c r="AE204" s="1166"/>
      <c r="AF204" s="1166"/>
      <c r="AG204" s="1166"/>
      <c r="AL204" s="641" t="s">
        <v>2</v>
      </c>
      <c r="AM204" s="641" t="s">
        <v>3</v>
      </c>
      <c r="AO204" s="641" t="s">
        <v>2</v>
      </c>
      <c r="AP204" s="641" t="s">
        <v>3</v>
      </c>
    </row>
    <row r="205" spans="1:43" ht="16.5" customHeight="1" thickBot="1" x14ac:dyDescent="0.25">
      <c r="D205" s="1161" t="s">
        <v>179</v>
      </c>
      <c r="E205" s="1161"/>
      <c r="F205" s="1161"/>
      <c r="G205" s="1161"/>
      <c r="H205" s="1161"/>
      <c r="I205" s="1161"/>
      <c r="J205" s="1161"/>
      <c r="K205" s="1161"/>
      <c r="L205" s="1161"/>
      <c r="M205" s="1161"/>
      <c r="N205" s="1161"/>
      <c r="O205" s="1161"/>
      <c r="P205" s="1162"/>
      <c r="Q205" s="1162"/>
      <c r="R205" s="1162"/>
      <c r="S205" s="1162"/>
      <c r="T205" s="1162"/>
      <c r="U205" s="1162"/>
      <c r="V205" s="1162"/>
      <c r="W205" s="1162"/>
      <c r="X205" s="1163"/>
      <c r="Y205" s="1164"/>
      <c r="Z205" s="1162"/>
      <c r="AA205" s="1162"/>
      <c r="AB205" s="1162"/>
      <c r="AC205" s="1162"/>
      <c r="AD205" s="1162"/>
      <c r="AE205" s="1162"/>
      <c r="AF205" s="1162"/>
      <c r="AG205" s="1162"/>
      <c r="AL205" s="676">
        <f>SUM(P206:X207)-P205</f>
        <v>0</v>
      </c>
      <c r="AM205" s="660">
        <f>SUM(Y206:AG207)-Y205</f>
        <v>0</v>
      </c>
      <c r="AO205" s="676">
        <f>P205-BS!$D$71</f>
        <v>0</v>
      </c>
      <c r="AP205" s="660">
        <f>Y205-BS!$G$71</f>
        <v>0</v>
      </c>
    </row>
    <row r="206" spans="1:43" ht="16.5" customHeight="1" x14ac:dyDescent="0.2">
      <c r="D206" s="1183"/>
      <c r="E206" s="1183"/>
      <c r="F206" s="1183"/>
      <c r="G206" s="1183"/>
      <c r="H206" s="1183"/>
      <c r="I206" s="1183"/>
      <c r="J206" s="1183"/>
      <c r="K206" s="1183"/>
      <c r="L206" s="1183"/>
      <c r="M206" s="1183"/>
      <c r="N206" s="1183"/>
      <c r="O206" s="1183"/>
      <c r="P206" s="1193"/>
      <c r="Q206" s="1193"/>
      <c r="R206" s="1193"/>
      <c r="S206" s="1193"/>
      <c r="T206" s="1193"/>
      <c r="U206" s="1193"/>
      <c r="V206" s="1193"/>
      <c r="W206" s="1193"/>
      <c r="X206" s="1194"/>
      <c r="Y206" s="1195"/>
      <c r="Z206" s="1193"/>
      <c r="AA206" s="1193"/>
      <c r="AB206" s="1193"/>
      <c r="AC206" s="1193"/>
      <c r="AD206" s="1193"/>
      <c r="AE206" s="1193"/>
      <c r="AF206" s="1193"/>
      <c r="AG206" s="1193"/>
      <c r="AL206" s="652"/>
      <c r="AM206" s="665"/>
      <c r="AO206" s="652"/>
      <c r="AP206" s="665"/>
    </row>
    <row r="207" spans="1:43" ht="16.5" customHeight="1" thickBot="1" x14ac:dyDescent="0.25">
      <c r="D207" s="1189"/>
      <c r="E207" s="1189"/>
      <c r="F207" s="1189"/>
      <c r="G207" s="1189"/>
      <c r="H207" s="1189"/>
      <c r="I207" s="1189"/>
      <c r="J207" s="1189"/>
      <c r="K207" s="1189"/>
      <c r="L207" s="1189"/>
      <c r="M207" s="1189"/>
      <c r="N207" s="1189"/>
      <c r="O207" s="1189"/>
      <c r="P207" s="1190"/>
      <c r="Q207" s="1190"/>
      <c r="R207" s="1190"/>
      <c r="S207" s="1190"/>
      <c r="T207" s="1190"/>
      <c r="U207" s="1190"/>
      <c r="V207" s="1190"/>
      <c r="W207" s="1190"/>
      <c r="X207" s="1191"/>
      <c r="Y207" s="1192"/>
      <c r="Z207" s="1190"/>
      <c r="AA207" s="1190"/>
      <c r="AB207" s="1190"/>
      <c r="AC207" s="1190"/>
      <c r="AD207" s="1190"/>
      <c r="AE207" s="1190"/>
      <c r="AF207" s="1190"/>
      <c r="AG207" s="1190"/>
      <c r="AL207" s="652"/>
      <c r="AM207" s="665"/>
      <c r="AO207" s="652"/>
      <c r="AP207" s="665"/>
    </row>
    <row r="208" spans="1:43" ht="16.5" customHeight="1" thickBot="1" x14ac:dyDescent="0.25">
      <c r="D208" s="1161" t="s">
        <v>180</v>
      </c>
      <c r="E208" s="1161"/>
      <c r="F208" s="1161"/>
      <c r="G208" s="1161"/>
      <c r="H208" s="1161"/>
      <c r="I208" s="1161"/>
      <c r="J208" s="1161"/>
      <c r="K208" s="1161"/>
      <c r="L208" s="1161"/>
      <c r="M208" s="1161"/>
      <c r="N208" s="1161"/>
      <c r="O208" s="1161"/>
      <c r="P208" s="1162">
        <v>5</v>
      </c>
      <c r="Q208" s="1162"/>
      <c r="R208" s="1162"/>
      <c r="S208" s="1162"/>
      <c r="T208" s="1162"/>
      <c r="U208" s="1162"/>
      <c r="V208" s="1162"/>
      <c r="W208" s="1162"/>
      <c r="X208" s="1163"/>
      <c r="Y208" s="1164">
        <v>5</v>
      </c>
      <c r="Z208" s="1162"/>
      <c r="AA208" s="1162"/>
      <c r="AB208" s="1162"/>
      <c r="AC208" s="1162"/>
      <c r="AD208" s="1162"/>
      <c r="AE208" s="1162"/>
      <c r="AF208" s="1162"/>
      <c r="AG208" s="1162"/>
      <c r="AL208" s="668">
        <f>SUM(P209:X210)-P208</f>
        <v>0</v>
      </c>
      <c r="AM208" s="654">
        <f>SUM(Y209:AG210)-Y208</f>
        <v>0</v>
      </c>
      <c r="AO208" s="668">
        <f>P208-BS!$D$72</f>
        <v>0</v>
      </c>
      <c r="AP208" s="654">
        <f>Y208-BS!$G$72</f>
        <v>0</v>
      </c>
    </row>
    <row r="209" spans="4:42" ht="16.5" customHeight="1" x14ac:dyDescent="0.2">
      <c r="D209" s="1183" t="s">
        <v>1872</v>
      </c>
      <c r="E209" s="1183"/>
      <c r="F209" s="1183"/>
      <c r="G209" s="1183"/>
      <c r="H209" s="1183"/>
      <c r="I209" s="1183"/>
      <c r="J209" s="1183"/>
      <c r="K209" s="1183"/>
      <c r="L209" s="1183"/>
      <c r="M209" s="1183"/>
      <c r="N209" s="1183"/>
      <c r="O209" s="1183"/>
      <c r="P209" s="1184">
        <v>5</v>
      </c>
      <c r="Q209" s="1185"/>
      <c r="R209" s="1185"/>
      <c r="S209" s="1185"/>
      <c r="T209" s="1185"/>
      <c r="U209" s="1185"/>
      <c r="V209" s="1185"/>
      <c r="W209" s="1185"/>
      <c r="X209" s="1186"/>
      <c r="Y209" s="1187">
        <v>5</v>
      </c>
      <c r="Z209" s="1185"/>
      <c r="AA209" s="1185"/>
      <c r="AB209" s="1185"/>
      <c r="AC209" s="1185"/>
      <c r="AD209" s="1185"/>
      <c r="AE209" s="1185"/>
      <c r="AF209" s="1185"/>
      <c r="AG209" s="1188"/>
      <c r="AL209" s="652"/>
      <c r="AM209" s="665"/>
      <c r="AO209" s="652"/>
      <c r="AP209" s="665"/>
    </row>
    <row r="210" spans="4:42" ht="16.5" customHeight="1" thickBot="1" x14ac:dyDescent="0.25">
      <c r="D210" s="1189"/>
      <c r="E210" s="1189"/>
      <c r="F210" s="1189"/>
      <c r="G210" s="1189"/>
      <c r="H210" s="1189"/>
      <c r="I210" s="1189"/>
      <c r="J210" s="1189"/>
      <c r="K210" s="1189"/>
      <c r="L210" s="1189"/>
      <c r="M210" s="1189"/>
      <c r="N210" s="1189"/>
      <c r="O210" s="1189"/>
      <c r="P210" s="1190"/>
      <c r="Q210" s="1190"/>
      <c r="R210" s="1190"/>
      <c r="S210" s="1190"/>
      <c r="T210" s="1190"/>
      <c r="U210" s="1190"/>
      <c r="V210" s="1190"/>
      <c r="W210" s="1190"/>
      <c r="X210" s="1191"/>
      <c r="Y210" s="1192"/>
      <c r="Z210" s="1190"/>
      <c r="AA210" s="1190"/>
      <c r="AB210" s="1190"/>
      <c r="AC210" s="1190"/>
      <c r="AD210" s="1190"/>
      <c r="AE210" s="1190"/>
      <c r="AF210" s="1190"/>
      <c r="AG210" s="1190"/>
      <c r="AL210" s="652"/>
      <c r="AM210" s="665"/>
      <c r="AO210" s="652"/>
      <c r="AP210" s="665"/>
    </row>
    <row r="211" spans="4:42" ht="16.5" customHeight="1" thickBot="1" x14ac:dyDescent="0.25">
      <c r="D211" s="1161" t="s">
        <v>181</v>
      </c>
      <c r="E211" s="1161"/>
      <c r="F211" s="1161"/>
      <c r="G211" s="1161"/>
      <c r="H211" s="1161"/>
      <c r="I211" s="1161"/>
      <c r="J211" s="1161"/>
      <c r="K211" s="1161"/>
      <c r="L211" s="1161"/>
      <c r="M211" s="1161"/>
      <c r="N211" s="1161"/>
      <c r="O211" s="1161"/>
      <c r="P211" s="1162"/>
      <c r="Q211" s="1162"/>
      <c r="R211" s="1162"/>
      <c r="S211" s="1162"/>
      <c r="T211" s="1162"/>
      <c r="U211" s="1162"/>
      <c r="V211" s="1162"/>
      <c r="W211" s="1162"/>
      <c r="X211" s="1163"/>
      <c r="Y211" s="1164"/>
      <c r="Z211" s="1162"/>
      <c r="AA211" s="1162"/>
      <c r="AB211" s="1162"/>
      <c r="AC211" s="1162"/>
      <c r="AD211" s="1162"/>
      <c r="AE211" s="1162"/>
      <c r="AF211" s="1162"/>
      <c r="AG211" s="1162"/>
      <c r="AL211" s="668">
        <f>SUM(P212:X213)-P211</f>
        <v>0</v>
      </c>
      <c r="AM211" s="654">
        <f>SUM(Y212:AG213)-Y211</f>
        <v>0</v>
      </c>
      <c r="AO211" s="668">
        <f>P211-BS!$D$73</f>
        <v>0</v>
      </c>
      <c r="AP211" s="654">
        <f>Y211-BS!$G$73</f>
        <v>0</v>
      </c>
    </row>
    <row r="212" spans="4:42" ht="16.5" customHeight="1" x14ac:dyDescent="0.2">
      <c r="D212" s="1183"/>
      <c r="E212" s="1183"/>
      <c r="F212" s="1183"/>
      <c r="G212" s="1183"/>
      <c r="H212" s="1183"/>
      <c r="I212" s="1183"/>
      <c r="J212" s="1183"/>
      <c r="K212" s="1183"/>
      <c r="L212" s="1183"/>
      <c r="M212" s="1183"/>
      <c r="N212" s="1183"/>
      <c r="O212" s="1183"/>
      <c r="P212" s="1193"/>
      <c r="Q212" s="1193"/>
      <c r="R212" s="1193"/>
      <c r="S212" s="1193"/>
      <c r="T212" s="1193"/>
      <c r="U212" s="1193"/>
      <c r="V212" s="1193"/>
      <c r="W212" s="1193"/>
      <c r="X212" s="1194"/>
      <c r="Y212" s="1195"/>
      <c r="Z212" s="1193"/>
      <c r="AA212" s="1193"/>
      <c r="AB212" s="1193"/>
      <c r="AC212" s="1193"/>
      <c r="AD212" s="1193"/>
      <c r="AE212" s="1193"/>
      <c r="AF212" s="1193"/>
      <c r="AG212" s="1193"/>
      <c r="AL212" s="652"/>
      <c r="AM212" s="665"/>
      <c r="AO212" s="652"/>
      <c r="AP212" s="665"/>
    </row>
    <row r="213" spans="4:42" ht="16.5" customHeight="1" thickBot="1" x14ac:dyDescent="0.25">
      <c r="D213" s="1189"/>
      <c r="E213" s="1189"/>
      <c r="F213" s="1189"/>
      <c r="G213" s="1189"/>
      <c r="H213" s="1189"/>
      <c r="I213" s="1189"/>
      <c r="J213" s="1189"/>
      <c r="K213" s="1189"/>
      <c r="L213" s="1189"/>
      <c r="M213" s="1189"/>
      <c r="N213" s="1189"/>
      <c r="O213" s="1189"/>
      <c r="P213" s="1190"/>
      <c r="Q213" s="1190"/>
      <c r="R213" s="1190"/>
      <c r="S213" s="1190"/>
      <c r="T213" s="1190"/>
      <c r="U213" s="1190"/>
      <c r="V213" s="1190"/>
      <c r="W213" s="1190"/>
      <c r="X213" s="1191"/>
      <c r="Y213" s="1192"/>
      <c r="Z213" s="1190"/>
      <c r="AA213" s="1190"/>
      <c r="AB213" s="1190"/>
      <c r="AC213" s="1190"/>
      <c r="AD213" s="1190"/>
      <c r="AE213" s="1190"/>
      <c r="AF213" s="1190"/>
      <c r="AG213" s="1190"/>
      <c r="AL213" s="652"/>
      <c r="AM213" s="665"/>
      <c r="AO213" s="652"/>
      <c r="AP213" s="665"/>
    </row>
    <row r="214" spans="4:42" ht="16.5" customHeight="1" thickBot="1" x14ac:dyDescent="0.25">
      <c r="D214" s="1161" t="s">
        <v>182</v>
      </c>
      <c r="E214" s="1161"/>
      <c r="F214" s="1161"/>
      <c r="G214" s="1161"/>
      <c r="H214" s="1161"/>
      <c r="I214" s="1161"/>
      <c r="J214" s="1161"/>
      <c r="K214" s="1161"/>
      <c r="L214" s="1161"/>
      <c r="M214" s="1161"/>
      <c r="N214" s="1161"/>
      <c r="O214" s="1161"/>
      <c r="P214" s="1162">
        <v>1</v>
      </c>
      <c r="Q214" s="1162"/>
      <c r="R214" s="1162"/>
      <c r="S214" s="1162"/>
      <c r="T214" s="1162"/>
      <c r="U214" s="1162"/>
      <c r="V214" s="1162"/>
      <c r="W214" s="1162"/>
      <c r="X214" s="1163"/>
      <c r="Y214" s="1164">
        <v>0</v>
      </c>
      <c r="Z214" s="1162"/>
      <c r="AA214" s="1162"/>
      <c r="AB214" s="1162"/>
      <c r="AC214" s="1162"/>
      <c r="AD214" s="1162"/>
      <c r="AE214" s="1162"/>
      <c r="AF214" s="1162"/>
      <c r="AG214" s="1162"/>
      <c r="AL214" s="668">
        <f>SUM(P215:X216)-P214</f>
        <v>0</v>
      </c>
      <c r="AM214" s="654">
        <f>SUM(Y215:AG216)-Y214</f>
        <v>0</v>
      </c>
      <c r="AO214" s="668">
        <f>P214-BS!$D$74</f>
        <v>0</v>
      </c>
      <c r="AP214" s="654">
        <f>Y214-BS!$G$74</f>
        <v>0</v>
      </c>
    </row>
    <row r="215" spans="4:42" ht="16.5" customHeight="1" x14ac:dyDescent="0.2">
      <c r="D215" s="1183" t="s">
        <v>1873</v>
      </c>
      <c r="E215" s="1183"/>
      <c r="F215" s="1183"/>
      <c r="G215" s="1183"/>
      <c r="H215" s="1183"/>
      <c r="I215" s="1183"/>
      <c r="J215" s="1183"/>
      <c r="K215" s="1183"/>
      <c r="L215" s="1183"/>
      <c r="M215" s="1183"/>
      <c r="N215" s="1183"/>
      <c r="O215" s="1183"/>
      <c r="P215" s="1184">
        <v>1</v>
      </c>
      <c r="Q215" s="1185"/>
      <c r="R215" s="1185"/>
      <c r="S215" s="1185"/>
      <c r="T215" s="1185"/>
      <c r="U215" s="1185"/>
      <c r="V215" s="1185"/>
      <c r="W215" s="1185"/>
      <c r="X215" s="1186"/>
      <c r="Y215" s="1187">
        <v>0</v>
      </c>
      <c r="Z215" s="1185"/>
      <c r="AA215" s="1185"/>
      <c r="AB215" s="1185"/>
      <c r="AC215" s="1185"/>
      <c r="AD215" s="1185"/>
      <c r="AE215" s="1185"/>
      <c r="AF215" s="1185"/>
      <c r="AG215" s="1188"/>
      <c r="AL215" s="652"/>
      <c r="AM215" s="665"/>
      <c r="AO215" s="652"/>
      <c r="AP215" s="665"/>
    </row>
    <row r="216" spans="4:42" ht="16.5" customHeight="1" thickBot="1" x14ac:dyDescent="0.25">
      <c r="D216" s="1196"/>
      <c r="E216" s="1196"/>
      <c r="F216" s="1196"/>
      <c r="G216" s="1196"/>
      <c r="H216" s="1196"/>
      <c r="I216" s="1196"/>
      <c r="J216" s="1196"/>
      <c r="K216" s="1196"/>
      <c r="L216" s="1196"/>
      <c r="M216" s="1196"/>
      <c r="N216" s="1196"/>
      <c r="O216" s="1196"/>
      <c r="P216" s="1197"/>
      <c r="Q216" s="1197"/>
      <c r="R216" s="1197"/>
      <c r="S216" s="1197"/>
      <c r="T216" s="1197"/>
      <c r="U216" s="1197"/>
      <c r="V216" s="1197"/>
      <c r="W216" s="1197"/>
      <c r="X216" s="1198"/>
      <c r="Y216" s="1199"/>
      <c r="Z216" s="1197"/>
      <c r="AA216" s="1197"/>
      <c r="AB216" s="1197"/>
      <c r="AC216" s="1197"/>
      <c r="AD216" s="1197"/>
      <c r="AE216" s="1197"/>
      <c r="AF216" s="1197"/>
      <c r="AG216" s="1197"/>
      <c r="AL216" s="679"/>
      <c r="AM216" s="680"/>
      <c r="AO216" s="679"/>
      <c r="AP216" s="680"/>
    </row>
    <row r="218" spans="4:42" ht="14.25" customHeight="1" x14ac:dyDescent="0.2">
      <c r="D218" s="634" t="s">
        <v>1906</v>
      </c>
    </row>
    <row r="220" spans="4:42" ht="14.25" customHeight="1" x14ac:dyDescent="0.2">
      <c r="D220" s="1020" t="s">
        <v>1957</v>
      </c>
      <c r="E220" s="1020"/>
      <c r="F220" s="1020"/>
      <c r="G220" s="1020"/>
      <c r="H220" s="1020"/>
      <c r="I220" s="1020"/>
      <c r="J220" s="1020"/>
      <c r="K220" s="1020"/>
      <c r="L220" s="1020"/>
      <c r="M220" s="1020"/>
      <c r="N220" s="1020"/>
      <c r="O220" s="1020"/>
      <c r="P220" s="1020"/>
      <c r="Q220" s="1020"/>
      <c r="R220" s="1020"/>
      <c r="S220" s="1020"/>
      <c r="T220" s="1020"/>
      <c r="U220" s="1020"/>
      <c r="V220" s="1020"/>
      <c r="W220" s="1020"/>
      <c r="X220" s="1020"/>
      <c r="Y220" s="1020"/>
      <c r="Z220" s="1020"/>
      <c r="AA220" s="1020"/>
      <c r="AB220" s="1020"/>
      <c r="AC220" s="1020"/>
      <c r="AD220" s="1020"/>
      <c r="AE220" s="1020"/>
      <c r="AF220" s="1020"/>
      <c r="AG220" s="1020"/>
    </row>
    <row r="221" spans="4:42" ht="29.25" customHeight="1" x14ac:dyDescent="0.2">
      <c r="D221" s="1200" t="s">
        <v>1958</v>
      </c>
      <c r="E221" s="1200"/>
      <c r="F221" s="1200"/>
      <c r="G221" s="1200"/>
      <c r="H221" s="1200"/>
      <c r="I221" s="1200"/>
      <c r="J221" s="1200"/>
      <c r="K221" s="1200"/>
      <c r="L221" s="1200"/>
      <c r="M221" s="1200"/>
      <c r="N221" s="1200"/>
      <c r="O221" s="1200"/>
      <c r="P221" s="1200"/>
      <c r="Q221" s="1200"/>
      <c r="R221" s="1200"/>
      <c r="S221" s="1200"/>
      <c r="T221" s="1200"/>
      <c r="U221" s="1200"/>
      <c r="V221" s="1200"/>
      <c r="W221" s="1200"/>
      <c r="X221" s="1200"/>
      <c r="Y221" s="1200"/>
      <c r="Z221" s="1200"/>
      <c r="AA221" s="1200"/>
      <c r="AB221" s="1200"/>
      <c r="AC221" s="1200"/>
      <c r="AD221" s="1200"/>
      <c r="AE221" s="1200"/>
      <c r="AF221" s="1200"/>
      <c r="AG221" s="1200"/>
    </row>
    <row r="223" spans="4:42" ht="14.25" customHeight="1" x14ac:dyDescent="0.2">
      <c r="D223" s="1020"/>
      <c r="E223" s="1021"/>
      <c r="F223" s="1021"/>
      <c r="G223" s="1021"/>
      <c r="H223" s="1021"/>
      <c r="I223" s="1021"/>
      <c r="J223" s="1021"/>
      <c r="K223" s="1021"/>
      <c r="L223" s="1021"/>
      <c r="M223" s="1021"/>
      <c r="N223" s="1021"/>
      <c r="O223" s="1021"/>
      <c r="P223" s="1021"/>
      <c r="Q223" s="1021"/>
      <c r="R223" s="1021"/>
      <c r="S223" s="1021"/>
      <c r="T223" s="1021"/>
      <c r="U223" s="1021"/>
      <c r="V223" s="1021"/>
      <c r="W223" s="1021"/>
      <c r="X223" s="1021"/>
      <c r="Y223" s="1021"/>
      <c r="Z223" s="1021"/>
      <c r="AA223" s="1021"/>
      <c r="AB223" s="1021"/>
      <c r="AC223" s="1021"/>
      <c r="AD223" s="1021"/>
      <c r="AE223" s="1021"/>
      <c r="AF223" s="1021"/>
      <c r="AG223" s="1021"/>
    </row>
    <row r="224" spans="4:42" ht="14.25" customHeight="1" x14ac:dyDescent="0.2">
      <c r="D224" s="1021"/>
      <c r="E224" s="1021"/>
      <c r="F224" s="1021"/>
      <c r="G224" s="1021"/>
      <c r="H224" s="1021"/>
      <c r="I224" s="1021"/>
      <c r="J224" s="1021"/>
      <c r="K224" s="1021"/>
      <c r="L224" s="1021"/>
      <c r="M224" s="1021"/>
      <c r="N224" s="1021"/>
      <c r="O224" s="1021"/>
      <c r="P224" s="1021"/>
      <c r="Q224" s="1021"/>
      <c r="R224" s="1021"/>
      <c r="S224" s="1021"/>
      <c r="T224" s="1021"/>
      <c r="U224" s="1021"/>
      <c r="V224" s="1021"/>
      <c r="W224" s="1021"/>
      <c r="X224" s="1021"/>
      <c r="Y224" s="1021"/>
      <c r="Z224" s="1021"/>
      <c r="AA224" s="1021"/>
      <c r="AB224" s="1021"/>
      <c r="AC224" s="1021"/>
      <c r="AD224" s="1021"/>
      <c r="AE224" s="1021"/>
      <c r="AF224" s="1021"/>
      <c r="AG224" s="1021"/>
    </row>
    <row r="226" spans="1:39" ht="14.25" customHeight="1" x14ac:dyDescent="0.2">
      <c r="D226" s="1108" t="s">
        <v>1959</v>
      </c>
      <c r="E226" s="1140"/>
      <c r="F226" s="1140"/>
      <c r="G226" s="1140"/>
      <c r="H226" s="1140"/>
      <c r="I226" s="1140"/>
      <c r="J226" s="1140"/>
      <c r="K226" s="1140"/>
      <c r="L226" s="1140"/>
      <c r="M226" s="1140"/>
      <c r="N226" s="1140"/>
      <c r="O226" s="1140"/>
      <c r="P226" s="1140"/>
      <c r="Q226" s="1140"/>
      <c r="R226" s="1140"/>
      <c r="S226" s="1140"/>
      <c r="T226" s="1140"/>
      <c r="U226" s="1140"/>
      <c r="V226" s="1140"/>
      <c r="W226" s="1140"/>
      <c r="X226" s="1140"/>
      <c r="Y226" s="1140"/>
      <c r="Z226" s="1140"/>
      <c r="AA226" s="1140"/>
      <c r="AB226" s="1140"/>
      <c r="AC226" s="1140"/>
      <c r="AD226" s="1140"/>
      <c r="AE226" s="1140"/>
      <c r="AF226" s="1140"/>
      <c r="AG226" s="1140"/>
    </row>
    <row r="227" spans="1:39" ht="14.25" customHeight="1" thickBot="1" x14ac:dyDescent="0.25"/>
    <row r="228" spans="1:39" ht="15.75" customHeight="1" thickTop="1" thickBot="1" x14ac:dyDescent="0.25">
      <c r="A228" s="647" t="s">
        <v>1449</v>
      </c>
      <c r="D228" s="1030" t="s">
        <v>131</v>
      </c>
      <c r="E228" s="1030"/>
      <c r="F228" s="1030"/>
      <c r="G228" s="1030"/>
      <c r="H228" s="1030"/>
      <c r="I228" s="1030"/>
      <c r="J228" s="1030"/>
      <c r="K228" s="1030"/>
      <c r="L228" s="1030"/>
      <c r="M228" s="1030"/>
      <c r="N228" s="1030"/>
      <c r="O228" s="1030"/>
      <c r="P228" s="1030"/>
      <c r="Q228" s="1030"/>
      <c r="R228" s="1030" t="s">
        <v>3</v>
      </c>
      <c r="S228" s="1030"/>
      <c r="T228" s="1030"/>
      <c r="U228" s="1030"/>
      <c r="V228" s="1030"/>
      <c r="W228" s="1030"/>
      <c r="X228" s="1030"/>
      <c r="Y228" s="1030"/>
      <c r="Z228" s="1030"/>
      <c r="AA228" s="1030"/>
      <c r="AB228" s="1030"/>
      <c r="AC228" s="1030"/>
      <c r="AD228" s="1030"/>
      <c r="AE228" s="1030"/>
      <c r="AF228" s="1030"/>
      <c r="AG228" s="1030"/>
      <c r="AM228" s="645" t="s">
        <v>3</v>
      </c>
    </row>
    <row r="229" spans="1:39" ht="15.75" customHeight="1" thickBot="1" x14ac:dyDescent="0.3">
      <c r="D229" s="1141" t="s">
        <v>191</v>
      </c>
      <c r="E229" s="1141"/>
      <c r="F229" s="1141"/>
      <c r="G229" s="1141"/>
      <c r="H229" s="1141"/>
      <c r="I229" s="1141"/>
      <c r="J229" s="1141"/>
      <c r="K229" s="1141"/>
      <c r="L229" s="1141"/>
      <c r="M229" s="1141"/>
      <c r="N229" s="1141"/>
      <c r="O229" s="1141"/>
      <c r="P229" s="1141"/>
      <c r="Q229" s="1141"/>
      <c r="R229" s="1205">
        <v>120260</v>
      </c>
      <c r="S229" s="1206"/>
      <c r="T229" s="1206"/>
      <c r="U229" s="1206"/>
      <c r="V229" s="1206"/>
      <c r="W229" s="1206"/>
      <c r="X229" s="1206"/>
      <c r="Y229" s="1206"/>
      <c r="Z229" s="1206"/>
      <c r="AA229" s="1206"/>
      <c r="AB229" s="1206"/>
      <c r="AC229" s="1206"/>
      <c r="AD229" s="1206"/>
      <c r="AE229" s="1206"/>
      <c r="AF229" s="1206"/>
      <c r="AG229" s="1207"/>
      <c r="AM229" s="678"/>
    </row>
    <row r="230" spans="1:39" ht="15.75" customHeight="1" thickBot="1" x14ac:dyDescent="0.3">
      <c r="D230" s="1141" t="s">
        <v>192</v>
      </c>
      <c r="E230" s="1141"/>
      <c r="F230" s="1141"/>
      <c r="G230" s="1141"/>
      <c r="H230" s="1141"/>
      <c r="I230" s="1141"/>
      <c r="J230" s="1141"/>
      <c r="K230" s="1141"/>
      <c r="L230" s="1141"/>
      <c r="M230" s="1141"/>
      <c r="N230" s="1141"/>
      <c r="O230" s="1141"/>
      <c r="P230" s="1141"/>
      <c r="Q230" s="1141"/>
      <c r="R230" s="1030" t="s">
        <v>2</v>
      </c>
      <c r="S230" s="1030"/>
      <c r="T230" s="1030"/>
      <c r="U230" s="1030"/>
      <c r="V230" s="1030"/>
      <c r="W230" s="1030"/>
      <c r="X230" s="1030"/>
      <c r="Y230" s="1030"/>
      <c r="Z230" s="1030"/>
      <c r="AA230" s="1030"/>
      <c r="AB230" s="1030"/>
      <c r="AC230" s="1030"/>
      <c r="AD230" s="1030"/>
      <c r="AE230" s="1030"/>
      <c r="AF230" s="1030"/>
      <c r="AG230" s="1030"/>
      <c r="AM230" s="393"/>
    </row>
    <row r="231" spans="1:39" ht="15.75" customHeight="1" x14ac:dyDescent="0.25">
      <c r="D231" s="1203" t="s">
        <v>193</v>
      </c>
      <c r="E231" s="1203"/>
      <c r="F231" s="1203"/>
      <c r="G231" s="1203"/>
      <c r="H231" s="1203"/>
      <c r="I231" s="1203"/>
      <c r="J231" s="1203"/>
      <c r="K231" s="1203"/>
      <c r="L231" s="1203"/>
      <c r="M231" s="1203"/>
      <c r="N231" s="1203"/>
      <c r="O231" s="1203"/>
      <c r="P231" s="1203"/>
      <c r="Q231" s="1203"/>
      <c r="R231" s="1204"/>
      <c r="S231" s="1204"/>
      <c r="T231" s="1204"/>
      <c r="U231" s="1204"/>
      <c r="V231" s="1204"/>
      <c r="W231" s="1204"/>
      <c r="X231" s="1204"/>
      <c r="Y231" s="1204"/>
      <c r="Z231" s="1204"/>
      <c r="AA231" s="1204"/>
      <c r="AB231" s="1204"/>
      <c r="AC231" s="1204"/>
      <c r="AD231" s="1204"/>
      <c r="AE231" s="1204"/>
      <c r="AF231" s="1204"/>
      <c r="AG231" s="1204"/>
      <c r="AM231" s="393"/>
    </row>
    <row r="232" spans="1:39" ht="15.75" customHeight="1" x14ac:dyDescent="0.25">
      <c r="D232" s="1202" t="s">
        <v>194</v>
      </c>
      <c r="E232" s="1202"/>
      <c r="F232" s="1202"/>
      <c r="G232" s="1202"/>
      <c r="H232" s="1202"/>
      <c r="I232" s="1202"/>
      <c r="J232" s="1202"/>
      <c r="K232" s="1202"/>
      <c r="L232" s="1202"/>
      <c r="M232" s="1202"/>
      <c r="N232" s="1202"/>
      <c r="O232" s="1202"/>
      <c r="P232" s="1202"/>
      <c r="Q232" s="1202"/>
      <c r="R232" s="1032"/>
      <c r="S232" s="1032"/>
      <c r="T232" s="1032"/>
      <c r="U232" s="1032"/>
      <c r="V232" s="1032"/>
      <c r="W232" s="1032"/>
      <c r="X232" s="1032"/>
      <c r="Y232" s="1032"/>
      <c r="Z232" s="1032"/>
      <c r="AA232" s="1032"/>
      <c r="AB232" s="1032"/>
      <c r="AC232" s="1032"/>
      <c r="AD232" s="1032"/>
      <c r="AE232" s="1032"/>
      <c r="AF232" s="1032"/>
      <c r="AG232" s="1032"/>
      <c r="AM232" s="393"/>
    </row>
    <row r="233" spans="1:39" ht="15.75" customHeight="1" x14ac:dyDescent="0.25">
      <c r="D233" s="1202" t="s">
        <v>195</v>
      </c>
      <c r="E233" s="1202"/>
      <c r="F233" s="1202"/>
      <c r="G233" s="1202"/>
      <c r="H233" s="1202"/>
      <c r="I233" s="1202"/>
      <c r="J233" s="1202"/>
      <c r="K233" s="1202"/>
      <c r="L233" s="1202"/>
      <c r="M233" s="1202"/>
      <c r="N233" s="1202"/>
      <c r="O233" s="1202"/>
      <c r="P233" s="1202"/>
      <c r="Q233" s="1202"/>
      <c r="R233" s="1032"/>
      <c r="S233" s="1032"/>
      <c r="T233" s="1032"/>
      <c r="U233" s="1032"/>
      <c r="V233" s="1032"/>
      <c r="W233" s="1032"/>
      <c r="X233" s="1032"/>
      <c r="Y233" s="1032"/>
      <c r="Z233" s="1032"/>
      <c r="AA233" s="1032"/>
      <c r="AB233" s="1032"/>
      <c r="AC233" s="1032"/>
      <c r="AD233" s="1032"/>
      <c r="AE233" s="1032"/>
      <c r="AF233" s="1032"/>
      <c r="AG233" s="1032"/>
      <c r="AM233" s="393"/>
    </row>
    <row r="234" spans="1:39" ht="15.75" customHeight="1" x14ac:dyDescent="0.25">
      <c r="D234" s="1202" t="s">
        <v>196</v>
      </c>
      <c r="E234" s="1202"/>
      <c r="F234" s="1202"/>
      <c r="G234" s="1202"/>
      <c r="H234" s="1202"/>
      <c r="I234" s="1202"/>
      <c r="J234" s="1202"/>
      <c r="K234" s="1202"/>
      <c r="L234" s="1202"/>
      <c r="M234" s="1202"/>
      <c r="N234" s="1202"/>
      <c r="O234" s="1202"/>
      <c r="P234" s="1202"/>
      <c r="Q234" s="1202"/>
      <c r="R234" s="1032"/>
      <c r="S234" s="1032"/>
      <c r="T234" s="1032"/>
      <c r="U234" s="1032"/>
      <c r="V234" s="1032"/>
      <c r="W234" s="1032"/>
      <c r="X234" s="1032"/>
      <c r="Y234" s="1032"/>
      <c r="Z234" s="1032"/>
      <c r="AA234" s="1032"/>
      <c r="AB234" s="1032"/>
      <c r="AC234" s="1032"/>
      <c r="AD234" s="1032"/>
      <c r="AE234" s="1032"/>
      <c r="AF234" s="1032"/>
      <c r="AG234" s="1032"/>
      <c r="AM234" s="393"/>
    </row>
    <row r="235" spans="1:39" ht="15.75" customHeight="1" x14ac:dyDescent="0.25">
      <c r="D235" s="1202" t="s">
        <v>197</v>
      </c>
      <c r="E235" s="1202"/>
      <c r="F235" s="1202"/>
      <c r="G235" s="1202"/>
      <c r="H235" s="1202"/>
      <c r="I235" s="1202"/>
      <c r="J235" s="1202"/>
      <c r="K235" s="1202"/>
      <c r="L235" s="1202"/>
      <c r="M235" s="1202"/>
      <c r="N235" s="1202"/>
      <c r="O235" s="1202"/>
      <c r="P235" s="1202"/>
      <c r="Q235" s="1202"/>
      <c r="R235" s="1032"/>
      <c r="S235" s="1032"/>
      <c r="T235" s="1032"/>
      <c r="U235" s="1032"/>
      <c r="V235" s="1032"/>
      <c r="W235" s="1032"/>
      <c r="X235" s="1032"/>
      <c r="Y235" s="1032"/>
      <c r="Z235" s="1032"/>
      <c r="AA235" s="1032"/>
      <c r="AB235" s="1032"/>
      <c r="AC235" s="1032"/>
      <c r="AD235" s="1032"/>
      <c r="AE235" s="1032"/>
      <c r="AF235" s="1032"/>
      <c r="AG235" s="1032"/>
      <c r="AM235" s="393"/>
    </row>
    <row r="236" spans="1:39" ht="15.75" customHeight="1" x14ac:dyDescent="0.25">
      <c r="D236" s="1202" t="s">
        <v>198</v>
      </c>
      <c r="E236" s="1202"/>
      <c r="F236" s="1202"/>
      <c r="G236" s="1202"/>
      <c r="H236" s="1202"/>
      <c r="I236" s="1202"/>
      <c r="J236" s="1202"/>
      <c r="K236" s="1202"/>
      <c r="L236" s="1202"/>
      <c r="M236" s="1202"/>
      <c r="N236" s="1202"/>
      <c r="O236" s="1202"/>
      <c r="P236" s="1202"/>
      <c r="Q236" s="1202"/>
      <c r="R236" s="1032"/>
      <c r="S236" s="1032"/>
      <c r="T236" s="1032"/>
      <c r="U236" s="1032"/>
      <c r="V236" s="1032"/>
      <c r="W236" s="1032"/>
      <c r="X236" s="1032"/>
      <c r="Y236" s="1032"/>
      <c r="Z236" s="1032"/>
      <c r="AA236" s="1032"/>
      <c r="AB236" s="1032"/>
      <c r="AC236" s="1032"/>
      <c r="AD236" s="1032"/>
      <c r="AE236" s="1032"/>
      <c r="AF236" s="1032"/>
      <c r="AG236" s="1032"/>
      <c r="AM236" s="393"/>
    </row>
    <row r="237" spans="1:39" ht="15.75" customHeight="1" x14ac:dyDescent="0.25">
      <c r="D237" s="1202" t="s">
        <v>199</v>
      </c>
      <c r="E237" s="1202"/>
      <c r="F237" s="1202"/>
      <c r="G237" s="1202"/>
      <c r="H237" s="1202"/>
      <c r="I237" s="1202"/>
      <c r="J237" s="1202"/>
      <c r="K237" s="1202"/>
      <c r="L237" s="1202"/>
      <c r="M237" s="1202"/>
      <c r="N237" s="1202"/>
      <c r="O237" s="1202"/>
      <c r="P237" s="1202"/>
      <c r="Q237" s="1202"/>
      <c r="R237" s="1032">
        <v>120260</v>
      </c>
      <c r="S237" s="1032"/>
      <c r="T237" s="1032"/>
      <c r="U237" s="1032"/>
      <c r="V237" s="1032"/>
      <c r="W237" s="1032"/>
      <c r="X237" s="1032"/>
      <c r="Y237" s="1032"/>
      <c r="Z237" s="1032"/>
      <c r="AA237" s="1032"/>
      <c r="AB237" s="1032"/>
      <c r="AC237" s="1032"/>
      <c r="AD237" s="1032"/>
      <c r="AE237" s="1032"/>
      <c r="AF237" s="1032"/>
      <c r="AG237" s="1032"/>
      <c r="AM237" s="393"/>
    </row>
    <row r="238" spans="1:39" ht="15.75" customHeight="1" x14ac:dyDescent="0.2">
      <c r="D238" s="1202" t="s">
        <v>200</v>
      </c>
      <c r="E238" s="1202"/>
      <c r="F238" s="1202"/>
      <c r="G238" s="1202"/>
      <c r="H238" s="1202"/>
      <c r="I238" s="1202"/>
      <c r="J238" s="1202"/>
      <c r="K238" s="1202"/>
      <c r="L238" s="1202"/>
      <c r="M238" s="1202"/>
      <c r="N238" s="1202"/>
      <c r="O238" s="1202"/>
      <c r="P238" s="1202"/>
      <c r="Q238" s="1202"/>
      <c r="R238" s="1032"/>
      <c r="S238" s="1032"/>
      <c r="T238" s="1032"/>
      <c r="U238" s="1032"/>
      <c r="V238" s="1032"/>
      <c r="W238" s="1032"/>
      <c r="X238" s="1032"/>
      <c r="Y238" s="1032"/>
      <c r="Z238" s="1032"/>
      <c r="AA238" s="1032"/>
      <c r="AB238" s="1032"/>
      <c r="AC238" s="1032"/>
      <c r="AD238" s="1032"/>
      <c r="AE238" s="1032"/>
      <c r="AF238" s="1032"/>
      <c r="AG238" s="1032"/>
      <c r="AM238" s="681"/>
    </row>
    <row r="239" spans="1:39" ht="15.75" customHeight="1" thickBot="1" x14ac:dyDescent="0.25">
      <c r="D239" s="1201" t="s">
        <v>14</v>
      </c>
      <c r="E239" s="1201"/>
      <c r="F239" s="1201"/>
      <c r="G239" s="1201"/>
      <c r="H239" s="1201"/>
      <c r="I239" s="1201"/>
      <c r="J239" s="1201"/>
      <c r="K239" s="1201"/>
      <c r="L239" s="1201"/>
      <c r="M239" s="1201"/>
      <c r="N239" s="1201"/>
      <c r="O239" s="1201"/>
      <c r="P239" s="1201"/>
      <c r="Q239" s="1201"/>
      <c r="R239" s="1208">
        <f>SUM(R231:AG238)</f>
        <v>120260</v>
      </c>
      <c r="S239" s="1209"/>
      <c r="T239" s="1209"/>
      <c r="U239" s="1209"/>
      <c r="V239" s="1209"/>
      <c r="W239" s="1209"/>
      <c r="X239" s="1209"/>
      <c r="Y239" s="1209"/>
      <c r="Z239" s="1209"/>
      <c r="AA239" s="1209"/>
      <c r="AB239" s="1209"/>
      <c r="AC239" s="1209"/>
      <c r="AD239" s="1209"/>
      <c r="AE239" s="1209"/>
      <c r="AF239" s="1209"/>
      <c r="AG239" s="1210"/>
      <c r="AM239" s="661">
        <f>SUM(R231:AG238)-R239</f>
        <v>0</v>
      </c>
    </row>
    <row r="240" spans="1:39" ht="14.25" customHeight="1" x14ac:dyDescent="0.2">
      <c r="AM240" s="681"/>
    </row>
    <row r="241" spans="1:39" ht="15.75" hidden="1" customHeight="1" thickBot="1" x14ac:dyDescent="0.25">
      <c r="A241" s="647" t="s">
        <v>1450</v>
      </c>
      <c r="D241" s="1221" t="s">
        <v>131</v>
      </c>
      <c r="E241" s="1222"/>
      <c r="F241" s="1222"/>
      <c r="G241" s="1222"/>
      <c r="H241" s="1222"/>
      <c r="I241" s="1222"/>
      <c r="J241" s="1222"/>
      <c r="K241" s="1222"/>
      <c r="L241" s="1222"/>
      <c r="M241" s="1222"/>
      <c r="N241" s="1222"/>
      <c r="O241" s="1222"/>
      <c r="P241" s="1222"/>
      <c r="Q241" s="1223"/>
      <c r="R241" s="1030" t="s">
        <v>3</v>
      </c>
      <c r="S241" s="1030"/>
      <c r="T241" s="1030"/>
      <c r="U241" s="1030"/>
      <c r="V241" s="1030"/>
      <c r="W241" s="1030"/>
      <c r="X241" s="1030"/>
      <c r="Y241" s="1030"/>
      <c r="Z241" s="1030"/>
      <c r="AA241" s="1030"/>
      <c r="AB241" s="1030"/>
      <c r="AC241" s="1030"/>
      <c r="AD241" s="1030"/>
      <c r="AE241" s="1030"/>
      <c r="AF241" s="1030"/>
      <c r="AG241" s="1030"/>
      <c r="AM241" s="681"/>
    </row>
    <row r="242" spans="1:39" ht="15.75" hidden="1" customHeight="1" thickBot="1" x14ac:dyDescent="0.25">
      <c r="D242" s="1218" t="s">
        <v>201</v>
      </c>
      <c r="E242" s="1219"/>
      <c r="F242" s="1219"/>
      <c r="G242" s="1219"/>
      <c r="H242" s="1219"/>
      <c r="I242" s="1219"/>
      <c r="J242" s="1219"/>
      <c r="K242" s="1219"/>
      <c r="L242" s="1219"/>
      <c r="M242" s="1219"/>
      <c r="N242" s="1219"/>
      <c r="O242" s="1219"/>
      <c r="P242" s="1219"/>
      <c r="Q242" s="1220"/>
      <c r="R242" s="1224"/>
      <c r="S242" s="1224"/>
      <c r="T242" s="1224"/>
      <c r="U242" s="1224"/>
      <c r="V242" s="1224"/>
      <c r="W242" s="1224"/>
      <c r="X242" s="1224"/>
      <c r="Y242" s="1224"/>
      <c r="Z242" s="1224"/>
      <c r="AA242" s="1224"/>
      <c r="AB242" s="1224"/>
      <c r="AC242" s="1224"/>
      <c r="AD242" s="1224"/>
      <c r="AE242" s="1224"/>
      <c r="AF242" s="1224"/>
      <c r="AG242" s="1224"/>
      <c r="AM242" s="681"/>
    </row>
    <row r="243" spans="1:39" ht="15.75" hidden="1" customHeight="1" thickBot="1" x14ac:dyDescent="0.25">
      <c r="D243" s="1218" t="s">
        <v>202</v>
      </c>
      <c r="E243" s="1219"/>
      <c r="F243" s="1219"/>
      <c r="G243" s="1219"/>
      <c r="H243" s="1219"/>
      <c r="I243" s="1219"/>
      <c r="J243" s="1219"/>
      <c r="K243" s="1219"/>
      <c r="L243" s="1219"/>
      <c r="M243" s="1219"/>
      <c r="N243" s="1219"/>
      <c r="O243" s="1219"/>
      <c r="P243" s="1219"/>
      <c r="Q243" s="1220"/>
      <c r="R243" s="1030" t="s">
        <v>2</v>
      </c>
      <c r="S243" s="1030"/>
      <c r="T243" s="1030"/>
      <c r="U243" s="1030"/>
      <c r="V243" s="1030"/>
      <c r="W243" s="1030"/>
      <c r="X243" s="1030"/>
      <c r="Y243" s="1030"/>
      <c r="Z243" s="1030"/>
      <c r="AA243" s="1030"/>
      <c r="AB243" s="1030"/>
      <c r="AC243" s="1030"/>
      <c r="AD243" s="1030"/>
      <c r="AE243" s="1030"/>
      <c r="AF243" s="1030"/>
      <c r="AG243" s="1030"/>
      <c r="AM243" s="681"/>
    </row>
    <row r="244" spans="1:39" ht="15.75" hidden="1" customHeight="1" x14ac:dyDescent="0.2">
      <c r="D244" s="1215" t="s">
        <v>203</v>
      </c>
      <c r="E244" s="1216"/>
      <c r="F244" s="1216"/>
      <c r="G244" s="1216"/>
      <c r="H244" s="1216"/>
      <c r="I244" s="1216"/>
      <c r="J244" s="1216"/>
      <c r="K244" s="1216"/>
      <c r="L244" s="1216"/>
      <c r="M244" s="1216"/>
      <c r="N244" s="1216"/>
      <c r="O244" s="1216"/>
      <c r="P244" s="1216"/>
      <c r="Q244" s="1217"/>
      <c r="R244" s="1204"/>
      <c r="S244" s="1204"/>
      <c r="T244" s="1204"/>
      <c r="U244" s="1204"/>
      <c r="V244" s="1204"/>
      <c r="W244" s="1204"/>
      <c r="X244" s="1204"/>
      <c r="Y244" s="1204"/>
      <c r="Z244" s="1204"/>
      <c r="AA244" s="1204"/>
      <c r="AB244" s="1204"/>
      <c r="AC244" s="1204"/>
      <c r="AD244" s="1204"/>
      <c r="AE244" s="1204"/>
      <c r="AF244" s="1204"/>
      <c r="AG244" s="1204"/>
      <c r="AM244" s="681"/>
    </row>
    <row r="245" spans="1:39" ht="15.75" hidden="1" customHeight="1" x14ac:dyDescent="0.2">
      <c r="D245" s="1212" t="s">
        <v>204</v>
      </c>
      <c r="E245" s="1213"/>
      <c r="F245" s="1213"/>
      <c r="G245" s="1213"/>
      <c r="H245" s="1213"/>
      <c r="I245" s="1213"/>
      <c r="J245" s="1213"/>
      <c r="K245" s="1213"/>
      <c r="L245" s="1213"/>
      <c r="M245" s="1213"/>
      <c r="N245" s="1213"/>
      <c r="O245" s="1213"/>
      <c r="P245" s="1213"/>
      <c r="Q245" s="1214"/>
      <c r="R245" s="1032"/>
      <c r="S245" s="1032"/>
      <c r="T245" s="1032"/>
      <c r="U245" s="1032"/>
      <c r="V245" s="1032"/>
      <c r="W245" s="1032"/>
      <c r="X245" s="1032"/>
      <c r="Y245" s="1032"/>
      <c r="Z245" s="1032"/>
      <c r="AA245" s="1032"/>
      <c r="AB245" s="1032"/>
      <c r="AC245" s="1032"/>
      <c r="AD245" s="1032"/>
      <c r="AE245" s="1032"/>
      <c r="AF245" s="1032"/>
      <c r="AG245" s="1032"/>
      <c r="AM245" s="681"/>
    </row>
    <row r="246" spans="1:39" ht="15.75" hidden="1" customHeight="1" x14ac:dyDescent="0.2">
      <c r="D246" s="1212" t="s">
        <v>205</v>
      </c>
      <c r="E246" s="1213"/>
      <c r="F246" s="1213"/>
      <c r="G246" s="1213"/>
      <c r="H246" s="1213"/>
      <c r="I246" s="1213"/>
      <c r="J246" s="1213"/>
      <c r="K246" s="1213"/>
      <c r="L246" s="1213"/>
      <c r="M246" s="1213"/>
      <c r="N246" s="1213"/>
      <c r="O246" s="1213"/>
      <c r="P246" s="1213"/>
      <c r="Q246" s="1214"/>
      <c r="R246" s="1032"/>
      <c r="S246" s="1032"/>
      <c r="T246" s="1032"/>
      <c r="U246" s="1032"/>
      <c r="V246" s="1032"/>
      <c r="W246" s="1032"/>
      <c r="X246" s="1032"/>
      <c r="Y246" s="1032"/>
      <c r="Z246" s="1032"/>
      <c r="AA246" s="1032"/>
      <c r="AB246" s="1032"/>
      <c r="AC246" s="1032"/>
      <c r="AD246" s="1032"/>
      <c r="AE246" s="1032"/>
      <c r="AF246" s="1032"/>
      <c r="AG246" s="1032"/>
      <c r="AM246" s="681"/>
    </row>
    <row r="247" spans="1:39" ht="15.75" hidden="1" customHeight="1" x14ac:dyDescent="0.2">
      <c r="D247" s="1212" t="s">
        <v>206</v>
      </c>
      <c r="E247" s="1213"/>
      <c r="F247" s="1213"/>
      <c r="G247" s="1213"/>
      <c r="H247" s="1213"/>
      <c r="I247" s="1213"/>
      <c r="J247" s="1213"/>
      <c r="K247" s="1213"/>
      <c r="L247" s="1213"/>
      <c r="M247" s="1213"/>
      <c r="N247" s="1213"/>
      <c r="O247" s="1213"/>
      <c r="P247" s="1213"/>
      <c r="Q247" s="1214"/>
      <c r="R247" s="1032"/>
      <c r="S247" s="1032"/>
      <c r="T247" s="1032"/>
      <c r="U247" s="1032"/>
      <c r="V247" s="1032"/>
      <c r="W247" s="1032"/>
      <c r="X247" s="1032"/>
      <c r="Y247" s="1032"/>
      <c r="Z247" s="1032"/>
      <c r="AA247" s="1032"/>
      <c r="AB247" s="1032"/>
      <c r="AC247" s="1032"/>
      <c r="AD247" s="1032"/>
      <c r="AE247" s="1032"/>
      <c r="AF247" s="1032"/>
      <c r="AG247" s="1032"/>
      <c r="AM247" s="681"/>
    </row>
    <row r="248" spans="1:39" ht="15.75" hidden="1" customHeight="1" x14ac:dyDescent="0.2">
      <c r="D248" s="1212" t="s">
        <v>207</v>
      </c>
      <c r="E248" s="1213"/>
      <c r="F248" s="1213"/>
      <c r="G248" s="1213"/>
      <c r="H248" s="1213"/>
      <c r="I248" s="1213"/>
      <c r="J248" s="1213"/>
      <c r="K248" s="1213"/>
      <c r="L248" s="1213"/>
      <c r="M248" s="1213"/>
      <c r="N248" s="1213"/>
      <c r="O248" s="1213"/>
      <c r="P248" s="1213"/>
      <c r="Q248" s="1214"/>
      <c r="R248" s="1032"/>
      <c r="S248" s="1032"/>
      <c r="T248" s="1032"/>
      <c r="U248" s="1032"/>
      <c r="V248" s="1032"/>
      <c r="W248" s="1032"/>
      <c r="X248" s="1032"/>
      <c r="Y248" s="1032"/>
      <c r="Z248" s="1032"/>
      <c r="AA248" s="1032"/>
      <c r="AB248" s="1032"/>
      <c r="AC248" s="1032"/>
      <c r="AD248" s="1032"/>
      <c r="AE248" s="1032"/>
      <c r="AF248" s="1032"/>
      <c r="AG248" s="1032"/>
      <c r="AM248" s="681"/>
    </row>
    <row r="249" spans="1:39" ht="15.75" hidden="1" customHeight="1" x14ac:dyDescent="0.2">
      <c r="D249" s="1212" t="s">
        <v>200</v>
      </c>
      <c r="E249" s="1213"/>
      <c r="F249" s="1213"/>
      <c r="G249" s="1213"/>
      <c r="H249" s="1213"/>
      <c r="I249" s="1213"/>
      <c r="J249" s="1213"/>
      <c r="K249" s="1213"/>
      <c r="L249" s="1213"/>
      <c r="M249" s="1213"/>
      <c r="N249" s="1213"/>
      <c r="O249" s="1213"/>
      <c r="P249" s="1213"/>
      <c r="Q249" s="1214"/>
      <c r="R249" s="1032"/>
      <c r="S249" s="1032"/>
      <c r="T249" s="1032"/>
      <c r="U249" s="1032"/>
      <c r="V249" s="1032"/>
      <c r="W249" s="1032"/>
      <c r="X249" s="1032"/>
      <c r="Y249" s="1032"/>
      <c r="Z249" s="1032"/>
      <c r="AA249" s="1032"/>
      <c r="AB249" s="1032"/>
      <c r="AC249" s="1032"/>
      <c r="AD249" s="1032"/>
      <c r="AE249" s="1032"/>
      <c r="AF249" s="1032"/>
      <c r="AG249" s="1032"/>
      <c r="AM249" s="681"/>
    </row>
    <row r="250" spans="1:39" ht="15.75" hidden="1" customHeight="1" thickBot="1" x14ac:dyDescent="0.25">
      <c r="D250" s="1231" t="s">
        <v>208</v>
      </c>
      <c r="E250" s="1232"/>
      <c r="F250" s="1232"/>
      <c r="G250" s="1232"/>
      <c r="H250" s="1232"/>
      <c r="I250" s="1232"/>
      <c r="J250" s="1232"/>
      <c r="K250" s="1232"/>
      <c r="L250" s="1232"/>
      <c r="M250" s="1232"/>
      <c r="N250" s="1232"/>
      <c r="O250" s="1232"/>
      <c r="P250" s="1232"/>
      <c r="Q250" s="1233"/>
      <c r="R250" s="1208">
        <f>SUM(R242:AG249)</f>
        <v>0</v>
      </c>
      <c r="S250" s="1209"/>
      <c r="T250" s="1209"/>
      <c r="U250" s="1209"/>
      <c r="V250" s="1209"/>
      <c r="W250" s="1209"/>
      <c r="X250" s="1209"/>
      <c r="Y250" s="1209"/>
      <c r="Z250" s="1209"/>
      <c r="AA250" s="1209"/>
      <c r="AB250" s="1209"/>
      <c r="AC250" s="1209"/>
      <c r="AD250" s="1209"/>
      <c r="AE250" s="1209"/>
      <c r="AF250" s="1209"/>
      <c r="AG250" s="1210"/>
      <c r="AM250" s="663">
        <f>SUM(R244:AG249)-R250</f>
        <v>0</v>
      </c>
    </row>
    <row r="252" spans="1:39" ht="14.25" customHeight="1" x14ac:dyDescent="0.2">
      <c r="D252" s="634" t="s">
        <v>1936</v>
      </c>
    </row>
    <row r="254" spans="1:39" ht="14.25" customHeight="1" x14ac:dyDescent="0.2">
      <c r="D254" s="1165" t="s">
        <v>1451</v>
      </c>
      <c r="E254" s="1165"/>
      <c r="F254" s="1165"/>
      <c r="G254" s="1165"/>
      <c r="H254" s="1165"/>
      <c r="I254" s="1165"/>
      <c r="J254" s="1165"/>
      <c r="K254" s="1165"/>
      <c r="L254" s="1165"/>
      <c r="M254" s="1165"/>
      <c r="N254" s="1165"/>
      <c r="O254" s="1165"/>
      <c r="P254" s="1165"/>
      <c r="Q254" s="1165"/>
      <c r="R254" s="1165"/>
      <c r="S254" s="1165"/>
      <c r="T254" s="1165"/>
      <c r="U254" s="1165"/>
      <c r="V254" s="1165"/>
      <c r="W254" s="1165"/>
      <c r="X254" s="1165"/>
      <c r="Y254" s="1165"/>
      <c r="Z254" s="1165"/>
      <c r="AA254" s="1165"/>
      <c r="AB254" s="1165"/>
      <c r="AC254" s="1165"/>
      <c r="AD254" s="1165"/>
      <c r="AE254" s="1165"/>
      <c r="AF254" s="1165"/>
      <c r="AG254" s="1165"/>
    </row>
    <row r="255" spans="1:39" ht="14.25" customHeight="1" thickBot="1" x14ac:dyDescent="0.25"/>
    <row r="256" spans="1:39" ht="14.25" customHeight="1" thickBot="1" x14ac:dyDescent="0.25">
      <c r="A256" s="647" t="s">
        <v>1452</v>
      </c>
      <c r="D256" s="1030" t="s">
        <v>1</v>
      </c>
      <c r="E256" s="1030"/>
      <c r="F256" s="1030"/>
      <c r="G256" s="1030"/>
      <c r="H256" s="1030"/>
      <c r="I256" s="1030" t="s">
        <v>2</v>
      </c>
      <c r="J256" s="1030"/>
      <c r="K256" s="1030"/>
      <c r="L256" s="1030"/>
      <c r="M256" s="1030"/>
      <c r="N256" s="1030"/>
      <c r="O256" s="1030"/>
      <c r="P256" s="1030"/>
      <c r="Q256" s="1030"/>
      <c r="R256" s="1030"/>
      <c r="S256" s="1030"/>
      <c r="T256" s="1030"/>
      <c r="U256" s="1030"/>
      <c r="V256" s="1030"/>
      <c r="W256" s="1030"/>
      <c r="X256" s="1030"/>
      <c r="Y256" s="1030"/>
      <c r="Z256" s="1030"/>
      <c r="AA256" s="1030"/>
      <c r="AB256" s="1030"/>
      <c r="AC256" s="1030"/>
      <c r="AD256" s="1030"/>
      <c r="AE256" s="1030"/>
      <c r="AF256" s="1030"/>
      <c r="AG256" s="1030"/>
    </row>
    <row r="257" spans="1:41" ht="30.75" customHeight="1" thickTop="1" thickBot="1" x14ac:dyDescent="0.25">
      <c r="D257" s="1030"/>
      <c r="E257" s="1030"/>
      <c r="F257" s="1030"/>
      <c r="G257" s="1030"/>
      <c r="H257" s="1030"/>
      <c r="I257" s="1031" t="s">
        <v>32</v>
      </c>
      <c r="J257" s="1031"/>
      <c r="K257" s="1031"/>
      <c r="L257" s="1031"/>
      <c r="M257" s="1031"/>
      <c r="N257" s="1031" t="s">
        <v>124</v>
      </c>
      <c r="O257" s="1031"/>
      <c r="P257" s="1031"/>
      <c r="Q257" s="1031"/>
      <c r="R257" s="1031"/>
      <c r="S257" s="1031" t="s">
        <v>210</v>
      </c>
      <c r="T257" s="1031"/>
      <c r="U257" s="1031"/>
      <c r="V257" s="1031"/>
      <c r="W257" s="1031"/>
      <c r="X257" s="1031" t="s">
        <v>211</v>
      </c>
      <c r="Y257" s="1031"/>
      <c r="Z257" s="1031"/>
      <c r="AA257" s="1031"/>
      <c r="AB257" s="1031"/>
      <c r="AC257" s="1031" t="s">
        <v>30</v>
      </c>
      <c r="AD257" s="1031"/>
      <c r="AE257" s="1031"/>
      <c r="AF257" s="1031"/>
      <c r="AG257" s="1031"/>
      <c r="AL257" s="641" t="s">
        <v>472</v>
      </c>
      <c r="AM257" s="641" t="s">
        <v>30</v>
      </c>
      <c r="AO257" s="641" t="s">
        <v>30</v>
      </c>
    </row>
    <row r="258" spans="1:41" ht="28.5" customHeight="1" thickBot="1" x14ac:dyDescent="0.25">
      <c r="D258" s="1240" t="s">
        <v>212</v>
      </c>
      <c r="E258" s="1241"/>
      <c r="F258" s="1241"/>
      <c r="G258" s="1241"/>
      <c r="H258" s="1242"/>
      <c r="I258" s="1243">
        <v>0</v>
      </c>
      <c r="J258" s="1244"/>
      <c r="K258" s="1244"/>
      <c r="L258" s="1244"/>
      <c r="M258" s="1244"/>
      <c r="N258" s="1244">
        <v>0</v>
      </c>
      <c r="O258" s="1244"/>
      <c r="P258" s="1244"/>
      <c r="Q258" s="1244"/>
      <c r="R258" s="1244"/>
      <c r="S258" s="1244">
        <v>0</v>
      </c>
      <c r="T258" s="1244"/>
      <c r="U258" s="1244"/>
      <c r="V258" s="1244"/>
      <c r="W258" s="1244"/>
      <c r="X258" s="1244">
        <v>0</v>
      </c>
      <c r="Y258" s="1244"/>
      <c r="Z258" s="1244"/>
      <c r="AA258" s="1244"/>
      <c r="AB258" s="1244"/>
      <c r="AC258" s="1245">
        <f>SUM(I258:AB258)</f>
        <v>0</v>
      </c>
      <c r="AD258" s="1245"/>
      <c r="AE258" s="1245"/>
      <c r="AF258" s="1245"/>
      <c r="AG258" s="1246"/>
      <c r="AL258" s="688">
        <f>I258-AC272</f>
        <v>0</v>
      </c>
      <c r="AM258" s="682">
        <f>SUM(I258:AB258)-AC258</f>
        <v>0</v>
      </c>
      <c r="AO258" s="684">
        <f>AC258-BS!$D$105-BS!$D$107</f>
        <v>0</v>
      </c>
    </row>
    <row r="259" spans="1:41" ht="28.5" customHeight="1" thickBot="1" x14ac:dyDescent="0.25">
      <c r="D259" s="1240" t="s">
        <v>213</v>
      </c>
      <c r="E259" s="1241"/>
      <c r="F259" s="1241"/>
      <c r="G259" s="1241"/>
      <c r="H259" s="1242"/>
      <c r="I259" s="1245">
        <v>37964</v>
      </c>
      <c r="J259" s="1245"/>
      <c r="K259" s="1245"/>
      <c r="L259" s="1245"/>
      <c r="M259" s="1246"/>
      <c r="N259" s="1244">
        <f>SUM(N260:R268)</f>
        <v>212482</v>
      </c>
      <c r="O259" s="1244"/>
      <c r="P259" s="1244"/>
      <c r="Q259" s="1244"/>
      <c r="R259" s="1244"/>
      <c r="S259" s="1244">
        <f>SUM(S260:W268)</f>
        <v>36214</v>
      </c>
      <c r="T259" s="1244"/>
      <c r="U259" s="1244"/>
      <c r="V259" s="1244"/>
      <c r="W259" s="1244"/>
      <c r="X259" s="1244">
        <f>SUM(X260:AB268)</f>
        <v>750</v>
      </c>
      <c r="Y259" s="1244"/>
      <c r="Z259" s="1244"/>
      <c r="AA259" s="1244"/>
      <c r="AB259" s="1244"/>
      <c r="AC259" s="1245">
        <f>SUM(AC260:AG267)</f>
        <v>213482</v>
      </c>
      <c r="AD259" s="1245"/>
      <c r="AE259" s="1245"/>
      <c r="AF259" s="1245"/>
      <c r="AG259" s="1246"/>
      <c r="AL259" s="408">
        <f>I259-AC273</f>
        <v>0</v>
      </c>
      <c r="AM259" s="409">
        <f t="shared" ref="AM259:AM267" si="10">SUM(I259:AB259)-AC259</f>
        <v>73928</v>
      </c>
      <c r="AO259" s="410">
        <f>AC259-BS!$D$106-BS!$D$108</f>
        <v>0</v>
      </c>
    </row>
    <row r="260" spans="1:41" ht="21.75" customHeight="1" x14ac:dyDescent="0.2">
      <c r="D260" s="1081" t="s">
        <v>1874</v>
      </c>
      <c r="E260" s="1082"/>
      <c r="F260" s="1082"/>
      <c r="G260" s="1082"/>
      <c r="H260" s="1083"/>
      <c r="I260" s="1134">
        <v>2750</v>
      </c>
      <c r="J260" s="1134"/>
      <c r="K260" s="1134"/>
      <c r="L260" s="1134"/>
      <c r="M260" s="1135"/>
      <c r="N260" s="1133">
        <v>2050</v>
      </c>
      <c r="O260" s="1133"/>
      <c r="P260" s="1133"/>
      <c r="Q260" s="1133"/>
      <c r="R260" s="1133"/>
      <c r="S260" s="1133">
        <v>2000</v>
      </c>
      <c r="T260" s="1133"/>
      <c r="U260" s="1133"/>
      <c r="V260" s="1133"/>
      <c r="W260" s="1133"/>
      <c r="X260" s="1133">
        <v>750</v>
      </c>
      <c r="Y260" s="1133"/>
      <c r="Z260" s="1133"/>
      <c r="AA260" s="1133"/>
      <c r="AB260" s="1133"/>
      <c r="AC260" s="1134">
        <f>I260+N260-S260-X260</f>
        <v>2050</v>
      </c>
      <c r="AD260" s="1134"/>
      <c r="AE260" s="1134"/>
      <c r="AF260" s="1134"/>
      <c r="AG260" s="1135"/>
      <c r="AL260" s="408">
        <f>I260-AC274</f>
        <v>0</v>
      </c>
      <c r="AM260" s="409">
        <f>SUM(I260:AB260)-AC260</f>
        <v>5500</v>
      </c>
      <c r="AO260" s="409"/>
    </row>
    <row r="261" spans="1:41" ht="21.75" customHeight="1" x14ac:dyDescent="0.2">
      <c r="D261" s="1066" t="s">
        <v>1875</v>
      </c>
      <c r="E261" s="1067"/>
      <c r="F261" s="1067"/>
      <c r="G261" s="1067"/>
      <c r="H261" s="1068"/>
      <c r="I261" s="1105">
        <v>700</v>
      </c>
      <c r="J261" s="1105"/>
      <c r="K261" s="1105"/>
      <c r="L261" s="1105"/>
      <c r="M261" s="1106"/>
      <c r="N261" s="1104">
        <v>700</v>
      </c>
      <c r="O261" s="1104"/>
      <c r="P261" s="1104"/>
      <c r="Q261" s="1104"/>
      <c r="R261" s="1104"/>
      <c r="S261" s="1104">
        <v>700</v>
      </c>
      <c r="T261" s="1104"/>
      <c r="U261" s="1104"/>
      <c r="V261" s="1104"/>
      <c r="W261" s="1104"/>
      <c r="X261" s="1250" t="s">
        <v>1429</v>
      </c>
      <c r="Y261" s="1104"/>
      <c r="Z261" s="1104"/>
      <c r="AA261" s="1104"/>
      <c r="AB261" s="1104"/>
      <c r="AC261" s="1105">
        <v>700</v>
      </c>
      <c r="AD261" s="1105"/>
      <c r="AE261" s="1105"/>
      <c r="AF261" s="1105"/>
      <c r="AG261" s="1106"/>
      <c r="AL261" s="408">
        <f>I261-AC275</f>
        <v>0</v>
      </c>
      <c r="AM261" s="409">
        <f t="shared" si="10"/>
        <v>1400</v>
      </c>
      <c r="AO261" s="681"/>
    </row>
    <row r="262" spans="1:41" ht="21.75" customHeight="1" x14ac:dyDescent="0.2">
      <c r="D262" s="1066" t="s">
        <v>1876</v>
      </c>
      <c r="E262" s="1067"/>
      <c r="F262" s="1067"/>
      <c r="G262" s="1067"/>
      <c r="H262" s="1068"/>
      <c r="I262" s="1105">
        <v>0</v>
      </c>
      <c r="J262" s="1105"/>
      <c r="K262" s="1105"/>
      <c r="L262" s="1105"/>
      <c r="M262" s="1106"/>
      <c r="N262" s="1104">
        <v>891</v>
      </c>
      <c r="O262" s="1104"/>
      <c r="P262" s="1104"/>
      <c r="Q262" s="1104"/>
      <c r="R262" s="1104"/>
      <c r="S262" s="1250" t="s">
        <v>1429</v>
      </c>
      <c r="T262" s="1104"/>
      <c r="U262" s="1104"/>
      <c r="V262" s="1104"/>
      <c r="W262" s="1104"/>
      <c r="X262" s="1250" t="s">
        <v>1429</v>
      </c>
      <c r="Y262" s="1104"/>
      <c r="Z262" s="1104"/>
      <c r="AA262" s="1104"/>
      <c r="AB262" s="1104"/>
      <c r="AC262" s="1105">
        <f t="shared" ref="AC262" si="11">SUM(I262:AB262)</f>
        <v>891</v>
      </c>
      <c r="AD262" s="1105"/>
      <c r="AE262" s="1105"/>
      <c r="AF262" s="1105"/>
      <c r="AG262" s="1106"/>
      <c r="AL262" s="408">
        <f>I262-AC276</f>
        <v>0</v>
      </c>
      <c r="AM262" s="409">
        <f t="shared" si="10"/>
        <v>0</v>
      </c>
      <c r="AO262" s="681"/>
    </row>
    <row r="263" spans="1:41" ht="21.75" customHeight="1" x14ac:dyDescent="0.2">
      <c r="D263" s="1259" t="s">
        <v>1960</v>
      </c>
      <c r="E263" s="1067"/>
      <c r="F263" s="1067"/>
      <c r="G263" s="1067"/>
      <c r="H263" s="1068"/>
      <c r="I263" s="1251">
        <v>3000</v>
      </c>
      <c r="J263" s="1252"/>
      <c r="K263" s="1252"/>
      <c r="L263" s="1252"/>
      <c r="M263" s="1253"/>
      <c r="N263" s="1104">
        <v>2000</v>
      </c>
      <c r="O263" s="1104"/>
      <c r="P263" s="1104"/>
      <c r="Q263" s="1104"/>
      <c r="R263" s="1104"/>
      <c r="S263" s="1104">
        <v>2000</v>
      </c>
      <c r="T263" s="1104"/>
      <c r="U263" s="1104"/>
      <c r="V263" s="1104"/>
      <c r="W263" s="1104"/>
      <c r="X263" s="1250" t="s">
        <v>1429</v>
      </c>
      <c r="Y263" s="1104"/>
      <c r="Z263" s="1104"/>
      <c r="AA263" s="1104"/>
      <c r="AB263" s="1104"/>
      <c r="AC263" s="1105">
        <f>I263+N263-S263</f>
        <v>3000</v>
      </c>
      <c r="AD263" s="1105"/>
      <c r="AE263" s="1105"/>
      <c r="AF263" s="1105"/>
      <c r="AG263" s="1106"/>
      <c r="AL263" s="408">
        <f>I263-AC279</f>
        <v>-28275</v>
      </c>
      <c r="AM263" s="409">
        <f t="shared" si="10"/>
        <v>4000</v>
      </c>
      <c r="AO263" s="681"/>
    </row>
    <row r="264" spans="1:41" ht="21.75" customHeight="1" x14ac:dyDescent="0.2">
      <c r="D264" s="1066" t="s">
        <v>1877</v>
      </c>
      <c r="E264" s="1067"/>
      <c r="F264" s="1067"/>
      <c r="G264" s="1067"/>
      <c r="H264" s="1068"/>
      <c r="I264" s="1251">
        <v>140</v>
      </c>
      <c r="J264" s="1252"/>
      <c r="K264" s="1252"/>
      <c r="L264" s="1252"/>
      <c r="M264" s="1253"/>
      <c r="N264" s="1104">
        <v>500</v>
      </c>
      <c r="O264" s="1104"/>
      <c r="P264" s="1104"/>
      <c r="Q264" s="1104"/>
      <c r="R264" s="1104"/>
      <c r="S264" s="1104">
        <v>140</v>
      </c>
      <c r="T264" s="1104"/>
      <c r="U264" s="1104"/>
      <c r="V264" s="1104"/>
      <c r="W264" s="1104"/>
      <c r="X264" s="1250" t="s">
        <v>1429</v>
      </c>
      <c r="Y264" s="1104"/>
      <c r="Z264" s="1104"/>
      <c r="AA264" s="1104"/>
      <c r="AB264" s="1104"/>
      <c r="AC264" s="1105">
        <v>500</v>
      </c>
      <c r="AD264" s="1105"/>
      <c r="AE264" s="1105"/>
      <c r="AF264" s="1105"/>
      <c r="AG264" s="1106"/>
      <c r="AL264" s="408">
        <f>I264-AC280</f>
        <v>140</v>
      </c>
      <c r="AM264" s="409">
        <f t="shared" si="10"/>
        <v>280</v>
      </c>
      <c r="AO264" s="681"/>
    </row>
    <row r="265" spans="1:41" ht="21.75" customHeight="1" x14ac:dyDescent="0.2">
      <c r="D265" s="1066" t="s">
        <v>1878</v>
      </c>
      <c r="E265" s="1067"/>
      <c r="F265" s="1067"/>
      <c r="G265" s="1067"/>
      <c r="H265" s="1068"/>
      <c r="I265" s="1105">
        <v>31275</v>
      </c>
      <c r="J265" s="1105"/>
      <c r="K265" s="1105"/>
      <c r="L265" s="1105"/>
      <c r="M265" s="1106"/>
      <c r="N265" s="1053">
        <v>206011</v>
      </c>
      <c r="O265" s="1254"/>
      <c r="P265" s="1254"/>
      <c r="Q265" s="1254"/>
      <c r="R265" s="1255"/>
      <c r="S265" s="1313">
        <v>31275</v>
      </c>
      <c r="T265" s="1254"/>
      <c r="U265" s="1254"/>
      <c r="V265" s="1254"/>
      <c r="W265" s="1255"/>
      <c r="X265" s="1256" t="s">
        <v>1429</v>
      </c>
      <c r="Y265" s="1254"/>
      <c r="Z265" s="1254"/>
      <c r="AA265" s="1254"/>
      <c r="AB265" s="1255"/>
      <c r="AC265" s="1251">
        <v>206011</v>
      </c>
      <c r="AD265" s="1252"/>
      <c r="AE265" s="1252"/>
      <c r="AF265" s="1252"/>
      <c r="AG265" s="1253"/>
      <c r="AL265" s="408"/>
      <c r="AM265" s="409"/>
      <c r="AO265" s="681"/>
    </row>
    <row r="266" spans="1:41" ht="21.75" customHeight="1" x14ac:dyDescent="0.2">
      <c r="D266" s="1066" t="s">
        <v>1879</v>
      </c>
      <c r="E266" s="1067"/>
      <c r="F266" s="1067"/>
      <c r="G266" s="1067"/>
      <c r="H266" s="1068"/>
      <c r="I266" s="1105">
        <v>0</v>
      </c>
      <c r="J266" s="1105"/>
      <c r="K266" s="1105"/>
      <c r="L266" s="1105"/>
      <c r="M266" s="1106"/>
      <c r="N266" s="1330" t="s">
        <v>1429</v>
      </c>
      <c r="O266" s="1254"/>
      <c r="P266" s="1254"/>
      <c r="Q266" s="1254"/>
      <c r="R266" s="1255"/>
      <c r="S266" s="1256" t="s">
        <v>1429</v>
      </c>
      <c r="T266" s="1254"/>
      <c r="U266" s="1254"/>
      <c r="V266" s="1254"/>
      <c r="W266" s="1255"/>
      <c r="X266" s="1256" t="s">
        <v>1429</v>
      </c>
      <c r="Y266" s="1254"/>
      <c r="Z266" s="1254"/>
      <c r="AA266" s="1254"/>
      <c r="AB266" s="1255"/>
      <c r="AC266" s="1251">
        <v>0</v>
      </c>
      <c r="AD266" s="1252"/>
      <c r="AE266" s="1252"/>
      <c r="AF266" s="1252"/>
      <c r="AG266" s="1253"/>
      <c r="AL266" s="408"/>
      <c r="AM266" s="409"/>
      <c r="AO266" s="681"/>
    </row>
    <row r="267" spans="1:41" ht="21.75" customHeight="1" x14ac:dyDescent="0.2">
      <c r="D267" s="1066" t="s">
        <v>1880</v>
      </c>
      <c r="E267" s="1067"/>
      <c r="F267" s="1067"/>
      <c r="G267" s="1067"/>
      <c r="H267" s="1068"/>
      <c r="I267" s="1105"/>
      <c r="J267" s="1105"/>
      <c r="K267" s="1105"/>
      <c r="L267" s="1105"/>
      <c r="M267" s="1106"/>
      <c r="N267" s="1053">
        <v>330</v>
      </c>
      <c r="O267" s="1254"/>
      <c r="P267" s="1254"/>
      <c r="Q267" s="1254"/>
      <c r="R267" s="1255"/>
      <c r="S267" s="1256" t="s">
        <v>1429</v>
      </c>
      <c r="T267" s="1254"/>
      <c r="U267" s="1254"/>
      <c r="V267" s="1254"/>
      <c r="W267" s="1255"/>
      <c r="X267" s="1256" t="s">
        <v>1429</v>
      </c>
      <c r="Y267" s="1254"/>
      <c r="Z267" s="1254"/>
      <c r="AA267" s="1254"/>
      <c r="AB267" s="1255"/>
      <c r="AC267" s="1251">
        <v>330</v>
      </c>
      <c r="AD267" s="1252"/>
      <c r="AE267" s="1252"/>
      <c r="AF267" s="1252"/>
      <c r="AG267" s="1253"/>
      <c r="AL267" s="689">
        <f>I267-AC281</f>
        <v>0</v>
      </c>
      <c r="AM267" s="683">
        <f t="shared" si="10"/>
        <v>0</v>
      </c>
      <c r="AO267" s="690"/>
    </row>
    <row r="268" spans="1:41" ht="14.25" customHeight="1" thickBot="1" x14ac:dyDescent="0.3">
      <c r="D268" s="1091" t="s">
        <v>1888</v>
      </c>
      <c r="E268" s="1091"/>
      <c r="F268" s="1091"/>
      <c r="G268" s="1091"/>
      <c r="H268" s="1091"/>
      <c r="I268" s="1258">
        <v>99</v>
      </c>
      <c r="J268" s="1258"/>
      <c r="K268" s="1258"/>
      <c r="L268" s="1258"/>
      <c r="M268" s="1041"/>
      <c r="N268" s="1334" t="s">
        <v>1429</v>
      </c>
      <c r="O268" s="1335"/>
      <c r="P268" s="1335"/>
      <c r="Q268" s="1335"/>
      <c r="R268" s="1335"/>
      <c r="S268" s="1335">
        <v>99</v>
      </c>
      <c r="T268" s="1335"/>
      <c r="U268" s="1335"/>
      <c r="V268" s="1335"/>
      <c r="W268" s="1335"/>
      <c r="X268" s="1257" t="s">
        <v>1429</v>
      </c>
      <c r="Y268" s="1257"/>
      <c r="Z268" s="1257"/>
      <c r="AA268" s="1257"/>
      <c r="AB268" s="1257"/>
      <c r="AC268" s="1258">
        <v>0</v>
      </c>
      <c r="AD268" s="1258"/>
      <c r="AE268" s="1258"/>
      <c r="AF268" s="1258"/>
      <c r="AG268" s="1041"/>
      <c r="AL268" s="651"/>
      <c r="AM268" s="388"/>
    </row>
    <row r="269" spans="1:41" ht="14.25" customHeight="1" thickBot="1" x14ac:dyDescent="0.25">
      <c r="AL269" s="651"/>
    </row>
    <row r="270" spans="1:41" ht="14.25" customHeight="1" thickBot="1" x14ac:dyDescent="0.25">
      <c r="A270" s="647" t="s">
        <v>1453</v>
      </c>
      <c r="D270" s="1030" t="s">
        <v>1</v>
      </c>
      <c r="E270" s="1030"/>
      <c r="F270" s="1030"/>
      <c r="G270" s="1030"/>
      <c r="H270" s="1030"/>
      <c r="I270" s="1030" t="s">
        <v>3</v>
      </c>
      <c r="J270" s="1030"/>
      <c r="K270" s="1030"/>
      <c r="L270" s="1030"/>
      <c r="M270" s="1030"/>
      <c r="N270" s="1030"/>
      <c r="O270" s="1030"/>
      <c r="P270" s="1030"/>
      <c r="Q270" s="1030"/>
      <c r="R270" s="1030"/>
      <c r="S270" s="1030"/>
      <c r="T270" s="1030"/>
      <c r="U270" s="1030"/>
      <c r="V270" s="1030"/>
      <c r="W270" s="1030"/>
      <c r="X270" s="1030"/>
      <c r="Y270" s="1030"/>
      <c r="Z270" s="1030"/>
      <c r="AA270" s="1030"/>
      <c r="AB270" s="1030"/>
      <c r="AC270" s="1030"/>
      <c r="AD270" s="1030"/>
      <c r="AE270" s="1030"/>
      <c r="AF270" s="1030"/>
      <c r="AG270" s="1030"/>
      <c r="AL270" s="651"/>
    </row>
    <row r="271" spans="1:41" ht="30.75" customHeight="1" thickTop="1" thickBot="1" x14ac:dyDescent="0.25">
      <c r="D271" s="1030"/>
      <c r="E271" s="1030"/>
      <c r="F271" s="1030"/>
      <c r="G271" s="1030"/>
      <c r="H271" s="1030"/>
      <c r="I271" s="1031" t="s">
        <v>32</v>
      </c>
      <c r="J271" s="1031"/>
      <c r="K271" s="1031"/>
      <c r="L271" s="1031"/>
      <c r="M271" s="1031"/>
      <c r="N271" s="1031" t="s">
        <v>124</v>
      </c>
      <c r="O271" s="1031"/>
      <c r="P271" s="1031"/>
      <c r="Q271" s="1031"/>
      <c r="R271" s="1031"/>
      <c r="S271" s="1031" t="s">
        <v>210</v>
      </c>
      <c r="T271" s="1031"/>
      <c r="U271" s="1031"/>
      <c r="V271" s="1031"/>
      <c r="W271" s="1031"/>
      <c r="X271" s="1031" t="s">
        <v>211</v>
      </c>
      <c r="Y271" s="1031"/>
      <c r="Z271" s="1031"/>
      <c r="AA271" s="1031"/>
      <c r="AB271" s="1031"/>
      <c r="AC271" s="1031" t="s">
        <v>30</v>
      </c>
      <c r="AD271" s="1031"/>
      <c r="AE271" s="1031"/>
      <c r="AF271" s="1031"/>
      <c r="AG271" s="1031"/>
      <c r="AL271" s="651"/>
      <c r="AM271" s="641" t="s">
        <v>30</v>
      </c>
      <c r="AO271" s="641" t="s">
        <v>30</v>
      </c>
    </row>
    <row r="272" spans="1:41" ht="28.5" customHeight="1" thickBot="1" x14ac:dyDescent="0.25">
      <c r="D272" s="1240" t="s">
        <v>212</v>
      </c>
      <c r="E272" s="1241"/>
      <c r="F272" s="1241"/>
      <c r="G272" s="1241"/>
      <c r="H272" s="1242"/>
      <c r="I272" s="1243"/>
      <c r="J272" s="1244"/>
      <c r="K272" s="1244"/>
      <c r="L272" s="1244"/>
      <c r="M272" s="1244"/>
      <c r="N272" s="1244"/>
      <c r="O272" s="1244"/>
      <c r="P272" s="1244"/>
      <c r="Q272" s="1244"/>
      <c r="R272" s="1244"/>
      <c r="S272" s="1244"/>
      <c r="T272" s="1244"/>
      <c r="U272" s="1244"/>
      <c r="V272" s="1244"/>
      <c r="W272" s="1244"/>
      <c r="X272" s="1244"/>
      <c r="Y272" s="1244"/>
      <c r="Z272" s="1244"/>
      <c r="AA272" s="1244"/>
      <c r="AB272" s="1244"/>
      <c r="AC272" s="1245">
        <f>SUM(I272:AB272)</f>
        <v>0</v>
      </c>
      <c r="AD272" s="1245"/>
      <c r="AE272" s="1245"/>
      <c r="AF272" s="1245"/>
      <c r="AG272" s="1246"/>
      <c r="AL272" s="651"/>
      <c r="AM272" s="682">
        <f>SUM(I272:AB272)-AC272</f>
        <v>0</v>
      </c>
      <c r="AO272" s="684">
        <f>AC272-BS!$E$105-BS!$E$107</f>
        <v>0</v>
      </c>
    </row>
    <row r="273" spans="3:41" ht="28.5" customHeight="1" thickBot="1" x14ac:dyDescent="0.25">
      <c r="D273" s="1240" t="s">
        <v>213</v>
      </c>
      <c r="E273" s="1241"/>
      <c r="F273" s="1241"/>
      <c r="G273" s="1241"/>
      <c r="H273" s="1242"/>
      <c r="I273" s="1243">
        <v>39334</v>
      </c>
      <c r="J273" s="1244"/>
      <c r="K273" s="1244"/>
      <c r="L273" s="1244"/>
      <c r="M273" s="1244"/>
      <c r="N273" s="1244">
        <f>SUM(N274:R282)</f>
        <v>36964</v>
      </c>
      <c r="O273" s="1244"/>
      <c r="P273" s="1244"/>
      <c r="Q273" s="1244"/>
      <c r="R273" s="1244"/>
      <c r="S273" s="1244">
        <v>15042</v>
      </c>
      <c r="T273" s="1244"/>
      <c r="U273" s="1244"/>
      <c r="V273" s="1244"/>
      <c r="W273" s="1244"/>
      <c r="X273" s="1244">
        <v>23292</v>
      </c>
      <c r="Y273" s="1244"/>
      <c r="Z273" s="1244"/>
      <c r="AA273" s="1244"/>
      <c r="AB273" s="1244"/>
      <c r="AC273" s="1245">
        <v>37964</v>
      </c>
      <c r="AD273" s="1245"/>
      <c r="AE273" s="1245"/>
      <c r="AF273" s="1245"/>
      <c r="AG273" s="1246"/>
      <c r="AM273" s="409">
        <f t="shared" ref="AM273" si="12">SUM(I273:AB273)-AC273</f>
        <v>76668</v>
      </c>
      <c r="AO273" s="410">
        <f>AC273-BS!$E$106-BS!$E$108</f>
        <v>0</v>
      </c>
    </row>
    <row r="274" spans="3:41" ht="21.75" customHeight="1" x14ac:dyDescent="0.2">
      <c r="D274" s="1081" t="s">
        <v>1874</v>
      </c>
      <c r="E274" s="1082"/>
      <c r="F274" s="1082"/>
      <c r="G274" s="1082"/>
      <c r="H274" s="1083"/>
      <c r="I274" s="1132">
        <v>1200</v>
      </c>
      <c r="J274" s="1133"/>
      <c r="K274" s="1133"/>
      <c r="L274" s="1133"/>
      <c r="M274" s="1133"/>
      <c r="N274" s="1133">
        <v>2750</v>
      </c>
      <c r="O274" s="1133"/>
      <c r="P274" s="1133"/>
      <c r="Q274" s="1133"/>
      <c r="R274" s="1133"/>
      <c r="S274" s="1133">
        <v>1200</v>
      </c>
      <c r="T274" s="1133"/>
      <c r="U274" s="1133"/>
      <c r="V274" s="1133"/>
      <c r="W274" s="1133"/>
      <c r="X274" s="1260" t="s">
        <v>1429</v>
      </c>
      <c r="Y274" s="1133"/>
      <c r="Z274" s="1133"/>
      <c r="AA274" s="1133"/>
      <c r="AB274" s="1133"/>
      <c r="AC274" s="1134">
        <v>2750</v>
      </c>
      <c r="AD274" s="1134"/>
      <c r="AE274" s="1134"/>
      <c r="AF274" s="1134"/>
      <c r="AG274" s="1135"/>
      <c r="AM274" s="409">
        <f>SUM(I274:AB274)-AC274</f>
        <v>2400</v>
      </c>
      <c r="AO274" s="409"/>
    </row>
    <row r="275" spans="3:41" ht="21.75" customHeight="1" x14ac:dyDescent="0.2">
      <c r="D275" s="1066" t="s">
        <v>1875</v>
      </c>
      <c r="E275" s="1067"/>
      <c r="F275" s="1067"/>
      <c r="G275" s="1067"/>
      <c r="H275" s="1068"/>
      <c r="I275" s="1050">
        <v>1000</v>
      </c>
      <c r="J275" s="1104"/>
      <c r="K275" s="1104"/>
      <c r="L275" s="1104"/>
      <c r="M275" s="1104"/>
      <c r="N275" s="1104">
        <v>700</v>
      </c>
      <c r="O275" s="1104"/>
      <c r="P275" s="1104"/>
      <c r="Q275" s="1104"/>
      <c r="R275" s="1104"/>
      <c r="S275" s="1104">
        <v>1000</v>
      </c>
      <c r="T275" s="1104"/>
      <c r="U275" s="1104"/>
      <c r="V275" s="1104"/>
      <c r="W275" s="1104"/>
      <c r="X275" s="1250" t="s">
        <v>1429</v>
      </c>
      <c r="Y275" s="1104"/>
      <c r="Z275" s="1104"/>
      <c r="AA275" s="1104"/>
      <c r="AB275" s="1104"/>
      <c r="AC275" s="1105">
        <v>700</v>
      </c>
      <c r="AD275" s="1105"/>
      <c r="AE275" s="1105"/>
      <c r="AF275" s="1105"/>
      <c r="AG275" s="1106"/>
      <c r="AM275" s="409">
        <f t="shared" ref="AM275:AM281" si="13">SUM(I275:AB275)-AC275</f>
        <v>2000</v>
      </c>
      <c r="AO275" s="681"/>
    </row>
    <row r="276" spans="3:41" ht="21.75" customHeight="1" x14ac:dyDescent="0.2">
      <c r="D276" s="1066" t="s">
        <v>1876</v>
      </c>
      <c r="E276" s="1067"/>
      <c r="F276" s="1067"/>
      <c r="G276" s="1067"/>
      <c r="H276" s="1068"/>
      <c r="I276" s="1050">
        <v>119</v>
      </c>
      <c r="J276" s="1104"/>
      <c r="K276" s="1104"/>
      <c r="L276" s="1104"/>
      <c r="M276" s="1104"/>
      <c r="N276" s="1104" t="s">
        <v>1429</v>
      </c>
      <c r="O276" s="1104"/>
      <c r="P276" s="1104"/>
      <c r="Q276" s="1104"/>
      <c r="R276" s="1104"/>
      <c r="S276" s="1104" t="s">
        <v>1429</v>
      </c>
      <c r="T276" s="1104"/>
      <c r="U276" s="1104"/>
      <c r="V276" s="1104"/>
      <c r="W276" s="1104"/>
      <c r="X276" s="1104">
        <v>119</v>
      </c>
      <c r="Y276" s="1104"/>
      <c r="Z276" s="1104"/>
      <c r="AA276" s="1104"/>
      <c r="AB276" s="1104"/>
      <c r="AC276" s="1105">
        <v>0</v>
      </c>
      <c r="AD276" s="1105"/>
      <c r="AE276" s="1105"/>
      <c r="AF276" s="1105"/>
      <c r="AG276" s="1106"/>
      <c r="AM276" s="409">
        <f t="shared" si="13"/>
        <v>238</v>
      </c>
      <c r="AO276" s="681"/>
    </row>
    <row r="277" spans="3:41" ht="21.75" customHeight="1" x14ac:dyDescent="0.2">
      <c r="D277" s="1259" t="s">
        <v>1960</v>
      </c>
      <c r="E277" s="1067"/>
      <c r="F277" s="1067"/>
      <c r="G277" s="1067"/>
      <c r="H277" s="1068"/>
      <c r="I277" s="1053">
        <v>4000</v>
      </c>
      <c r="J277" s="1254"/>
      <c r="K277" s="1254"/>
      <c r="L277" s="1254"/>
      <c r="M277" s="1255"/>
      <c r="N277" s="1313">
        <v>2000</v>
      </c>
      <c r="O277" s="1254"/>
      <c r="P277" s="1254"/>
      <c r="Q277" s="1254"/>
      <c r="R277" s="1255"/>
      <c r="S277" s="1313">
        <v>2417</v>
      </c>
      <c r="T277" s="1254"/>
      <c r="U277" s="1254"/>
      <c r="V277" s="1254"/>
      <c r="W277" s="1255"/>
      <c r="X277" s="1313">
        <v>583</v>
      </c>
      <c r="Y277" s="1254"/>
      <c r="Z277" s="1254"/>
      <c r="AA277" s="1254"/>
      <c r="AB277" s="1255"/>
      <c r="AC277" s="1251">
        <v>3000</v>
      </c>
      <c r="AD277" s="1252"/>
      <c r="AE277" s="1252"/>
      <c r="AF277" s="1252"/>
      <c r="AG277" s="1253"/>
      <c r="AM277" s="409"/>
      <c r="AO277" s="681"/>
    </row>
    <row r="278" spans="3:41" ht="21.75" customHeight="1" x14ac:dyDescent="0.2">
      <c r="D278" s="1066" t="s">
        <v>1877</v>
      </c>
      <c r="E278" s="1067"/>
      <c r="F278" s="1067"/>
      <c r="G278" s="1067"/>
      <c r="H278" s="1068"/>
      <c r="I278" s="1053">
        <v>150</v>
      </c>
      <c r="J278" s="1254"/>
      <c r="K278" s="1254"/>
      <c r="L278" s="1254"/>
      <c r="M278" s="1255"/>
      <c r="N278" s="1313">
        <v>140</v>
      </c>
      <c r="O278" s="1254"/>
      <c r="P278" s="1254"/>
      <c r="Q278" s="1254"/>
      <c r="R278" s="1255"/>
      <c r="S278" s="1313">
        <v>150</v>
      </c>
      <c r="T278" s="1254"/>
      <c r="U278" s="1254"/>
      <c r="V278" s="1254"/>
      <c r="W278" s="1255"/>
      <c r="X278" s="1256" t="s">
        <v>1429</v>
      </c>
      <c r="Y278" s="1254"/>
      <c r="Z278" s="1254"/>
      <c r="AA278" s="1254"/>
      <c r="AB278" s="1255"/>
      <c r="AC278" s="1251">
        <v>140</v>
      </c>
      <c r="AD278" s="1252"/>
      <c r="AE278" s="1252"/>
      <c r="AF278" s="1252"/>
      <c r="AG278" s="1253"/>
      <c r="AM278" s="409"/>
      <c r="AO278" s="681"/>
    </row>
    <row r="279" spans="3:41" ht="21.75" customHeight="1" x14ac:dyDescent="0.2">
      <c r="D279" s="1066" t="s">
        <v>1878</v>
      </c>
      <c r="E279" s="1067"/>
      <c r="F279" s="1067"/>
      <c r="G279" s="1067"/>
      <c r="H279" s="1068"/>
      <c r="I279" s="1050">
        <v>26241</v>
      </c>
      <c r="J279" s="1104"/>
      <c r="K279" s="1104"/>
      <c r="L279" s="1104"/>
      <c r="M279" s="1104"/>
      <c r="N279" s="1104">
        <v>31275</v>
      </c>
      <c r="O279" s="1104"/>
      <c r="P279" s="1104"/>
      <c r="Q279" s="1104"/>
      <c r="R279" s="1104"/>
      <c r="S279" s="1104">
        <v>6604</v>
      </c>
      <c r="T279" s="1104"/>
      <c r="U279" s="1104"/>
      <c r="V279" s="1104"/>
      <c r="W279" s="1104"/>
      <c r="X279" s="1104">
        <v>19637</v>
      </c>
      <c r="Y279" s="1104"/>
      <c r="Z279" s="1104"/>
      <c r="AA279" s="1104"/>
      <c r="AB279" s="1104"/>
      <c r="AC279" s="1105">
        <v>31275</v>
      </c>
      <c r="AD279" s="1105"/>
      <c r="AE279" s="1105"/>
      <c r="AF279" s="1105"/>
      <c r="AG279" s="1106"/>
      <c r="AM279" s="409">
        <f t="shared" si="13"/>
        <v>52482</v>
      </c>
      <c r="AO279" s="681"/>
    </row>
    <row r="280" spans="3:41" ht="21.75" customHeight="1" x14ac:dyDescent="0.2">
      <c r="D280" s="1066" t="s">
        <v>1879</v>
      </c>
      <c r="E280" s="1067"/>
      <c r="F280" s="1067"/>
      <c r="G280" s="1067"/>
      <c r="H280" s="1068"/>
      <c r="I280" s="1050">
        <v>5000</v>
      </c>
      <c r="J280" s="1104"/>
      <c r="K280" s="1104"/>
      <c r="L280" s="1104"/>
      <c r="M280" s="1104"/>
      <c r="N280" s="1104" t="s">
        <v>1429</v>
      </c>
      <c r="O280" s="1104"/>
      <c r="P280" s="1104"/>
      <c r="Q280" s="1104"/>
      <c r="R280" s="1104"/>
      <c r="S280" s="1104">
        <v>3671</v>
      </c>
      <c r="T280" s="1104"/>
      <c r="U280" s="1104"/>
      <c r="V280" s="1104"/>
      <c r="W280" s="1104"/>
      <c r="X280" s="1104">
        <v>1329</v>
      </c>
      <c r="Y280" s="1104"/>
      <c r="Z280" s="1104"/>
      <c r="AA280" s="1104"/>
      <c r="AB280" s="1104"/>
      <c r="AC280" s="1105">
        <v>0</v>
      </c>
      <c r="AD280" s="1105"/>
      <c r="AE280" s="1105"/>
      <c r="AF280" s="1105"/>
      <c r="AG280" s="1106"/>
      <c r="AM280" s="409">
        <f t="shared" si="13"/>
        <v>10000</v>
      </c>
      <c r="AO280" s="681"/>
    </row>
    <row r="281" spans="3:41" ht="21.75" customHeight="1" x14ac:dyDescent="0.2">
      <c r="D281" s="1092" t="s">
        <v>1880</v>
      </c>
      <c r="E281" s="1092"/>
      <c r="F281" s="1092"/>
      <c r="G281" s="1092"/>
      <c r="H281" s="1092"/>
      <c r="I281" s="1050">
        <v>1624</v>
      </c>
      <c r="J281" s="1104"/>
      <c r="K281" s="1104"/>
      <c r="L281" s="1104"/>
      <c r="M281" s="1104"/>
      <c r="N281" s="1265"/>
      <c r="O281" s="1265"/>
      <c r="P281" s="1265"/>
      <c r="Q281" s="1265"/>
      <c r="R281" s="1265"/>
      <c r="S281" s="1266" t="s">
        <v>1429</v>
      </c>
      <c r="T281" s="1267"/>
      <c r="U281" s="1267"/>
      <c r="V281" s="1267"/>
      <c r="W281" s="1268"/>
      <c r="X281" s="1104">
        <v>1624</v>
      </c>
      <c r="Y281" s="1104"/>
      <c r="Z281" s="1104"/>
      <c r="AA281" s="1104"/>
      <c r="AB281" s="1104"/>
      <c r="AC281" s="1105">
        <v>0</v>
      </c>
      <c r="AD281" s="1105"/>
      <c r="AE281" s="1105"/>
      <c r="AF281" s="1105"/>
      <c r="AG281" s="1106"/>
      <c r="AM281" s="683">
        <f t="shared" si="13"/>
        <v>3248</v>
      </c>
      <c r="AO281" s="690"/>
    </row>
    <row r="282" spans="3:41" ht="21.75" customHeight="1" thickBot="1" x14ac:dyDescent="0.25">
      <c r="C282" s="976"/>
      <c r="D282" s="1314" t="s">
        <v>1888</v>
      </c>
      <c r="E282" s="1315"/>
      <c r="F282" s="1315"/>
      <c r="G282" s="1315"/>
      <c r="H282" s="1316"/>
      <c r="I282" s="1317" t="s">
        <v>1429</v>
      </c>
      <c r="J282" s="1318"/>
      <c r="K282" s="1318"/>
      <c r="L282" s="1318"/>
      <c r="M282" s="1319"/>
      <c r="N282" s="1320">
        <v>99</v>
      </c>
      <c r="O282" s="1321"/>
      <c r="P282" s="1321"/>
      <c r="Q282" s="1321"/>
      <c r="R282" s="1322"/>
      <c r="S282" s="1326" t="s">
        <v>1429</v>
      </c>
      <c r="T282" s="1327"/>
      <c r="U282" s="1327"/>
      <c r="V282" s="1327"/>
      <c r="W282" s="1328"/>
      <c r="X282" s="1329" t="s">
        <v>1429</v>
      </c>
      <c r="Y282" s="1321"/>
      <c r="Z282" s="1321"/>
      <c r="AA282" s="1321"/>
      <c r="AB282" s="1322"/>
      <c r="AC282" s="1323">
        <v>99</v>
      </c>
      <c r="AD282" s="1324"/>
      <c r="AE282" s="1324"/>
      <c r="AF282" s="1324"/>
      <c r="AG282" s="1325"/>
      <c r="AM282" s="651"/>
      <c r="AO282" s="653"/>
    </row>
    <row r="283" spans="3:41" ht="14.25" customHeight="1" thickTop="1" x14ac:dyDescent="0.2"/>
    <row r="284" spans="3:41" ht="14.25" customHeight="1" x14ac:dyDescent="0.2">
      <c r="D284" s="1261" t="s">
        <v>1907</v>
      </c>
      <c r="E284" s="1165"/>
      <c r="F284" s="1165"/>
      <c r="G284" s="1165"/>
      <c r="H284" s="1165"/>
      <c r="I284" s="1165"/>
      <c r="J284" s="1165"/>
      <c r="K284" s="1165"/>
      <c r="L284" s="1165"/>
      <c r="M284" s="1165"/>
      <c r="N284" s="1165"/>
      <c r="O284" s="1165"/>
      <c r="P284" s="1165"/>
      <c r="Q284" s="1165"/>
      <c r="R284" s="1165"/>
      <c r="S284" s="1165"/>
      <c r="T284" s="1165"/>
      <c r="U284" s="1165"/>
      <c r="V284" s="1165"/>
      <c r="W284" s="1165"/>
      <c r="X284" s="1165"/>
      <c r="Y284" s="1165"/>
      <c r="Z284" s="1165"/>
      <c r="AA284" s="1165"/>
      <c r="AB284" s="1165"/>
      <c r="AC284" s="1165"/>
      <c r="AD284" s="1165"/>
      <c r="AE284" s="1165"/>
      <c r="AF284" s="1165"/>
      <c r="AG284" s="1165"/>
    </row>
    <row r="287" spans="3:41" ht="14.25" customHeight="1" x14ac:dyDescent="0.2">
      <c r="D287" s="634" t="s">
        <v>1937</v>
      </c>
    </row>
    <row r="289" spans="1:42" ht="14.25" customHeight="1" x14ac:dyDescent="0.2">
      <c r="D289" s="1165" t="s">
        <v>1454</v>
      </c>
      <c r="E289" s="1165"/>
      <c r="F289" s="1165"/>
      <c r="G289" s="1165"/>
      <c r="H289" s="1165"/>
      <c r="I289" s="1165"/>
      <c r="J289" s="1165"/>
      <c r="K289" s="1165"/>
      <c r="L289" s="1165"/>
      <c r="M289" s="1165"/>
      <c r="N289" s="1165"/>
      <c r="O289" s="1165"/>
      <c r="P289" s="1165"/>
      <c r="Q289" s="1165"/>
      <c r="R289" s="1165"/>
      <c r="S289" s="1165"/>
      <c r="T289" s="1165"/>
      <c r="U289" s="1165"/>
      <c r="V289" s="1165"/>
      <c r="W289" s="1165"/>
      <c r="X289" s="1165"/>
      <c r="Y289" s="1165"/>
      <c r="Z289" s="1165"/>
      <c r="AA289" s="1165"/>
      <c r="AB289" s="1165"/>
      <c r="AC289" s="1165"/>
      <c r="AD289" s="1165"/>
      <c r="AE289" s="1165"/>
      <c r="AF289" s="1165"/>
      <c r="AG289" s="1165"/>
    </row>
    <row r="290" spans="1:42" ht="14.25" customHeight="1" thickBot="1" x14ac:dyDescent="0.25"/>
    <row r="291" spans="1:42" ht="28.5" customHeight="1" thickTop="1" thickBot="1" x14ac:dyDescent="0.25">
      <c r="A291" s="647">
        <v>26</v>
      </c>
      <c r="D291" s="1171" t="s">
        <v>131</v>
      </c>
      <c r="E291" s="1172"/>
      <c r="F291" s="1172"/>
      <c r="G291" s="1172"/>
      <c r="H291" s="1172"/>
      <c r="I291" s="1172"/>
      <c r="J291" s="1172"/>
      <c r="K291" s="1172"/>
      <c r="L291" s="1172"/>
      <c r="M291" s="1173"/>
      <c r="N291" s="1171" t="s">
        <v>2</v>
      </c>
      <c r="O291" s="1172"/>
      <c r="P291" s="1172"/>
      <c r="Q291" s="1172"/>
      <c r="R291" s="1172"/>
      <c r="S291" s="1172"/>
      <c r="T291" s="1172"/>
      <c r="U291" s="1172"/>
      <c r="V291" s="1172"/>
      <c r="W291" s="1173"/>
      <c r="X291" s="1171" t="s">
        <v>3</v>
      </c>
      <c r="Y291" s="1172"/>
      <c r="Z291" s="1172"/>
      <c r="AA291" s="1172"/>
      <c r="AB291" s="1172"/>
      <c r="AC291" s="1172"/>
      <c r="AD291" s="1172"/>
      <c r="AE291" s="1172"/>
      <c r="AF291" s="1172"/>
      <c r="AG291" s="1173"/>
      <c r="AL291" s="641" t="s">
        <v>2</v>
      </c>
      <c r="AM291" s="644" t="s">
        <v>3</v>
      </c>
      <c r="AO291" s="641" t="s">
        <v>2</v>
      </c>
      <c r="AP291" s="644" t="s">
        <v>3</v>
      </c>
    </row>
    <row r="292" spans="1:42" ht="28.5" customHeight="1" thickBot="1" x14ac:dyDescent="0.25">
      <c r="D292" s="1109" t="s">
        <v>219</v>
      </c>
      <c r="E292" s="1110"/>
      <c r="F292" s="1110"/>
      <c r="G292" s="1110"/>
      <c r="H292" s="1110"/>
      <c r="I292" s="1110"/>
      <c r="J292" s="1110"/>
      <c r="K292" s="1110"/>
      <c r="L292" s="1110"/>
      <c r="M292" s="1111"/>
      <c r="N292" s="1177"/>
      <c r="O292" s="1142"/>
      <c r="P292" s="1142"/>
      <c r="Q292" s="1142"/>
      <c r="R292" s="1142"/>
      <c r="S292" s="1142"/>
      <c r="T292" s="1142"/>
      <c r="U292" s="1142"/>
      <c r="V292" s="1142"/>
      <c r="W292" s="1142"/>
      <c r="X292" s="1177"/>
      <c r="Y292" s="1142"/>
      <c r="Z292" s="1142"/>
      <c r="AA292" s="1142"/>
      <c r="AB292" s="1142"/>
      <c r="AC292" s="1142"/>
      <c r="AD292" s="1142"/>
      <c r="AE292" s="1142"/>
      <c r="AF292" s="1142"/>
      <c r="AG292" s="1142"/>
      <c r="AL292" s="655">
        <f>SUM(N294:W297)-N292</f>
        <v>1279302</v>
      </c>
      <c r="AM292" s="657">
        <f>SUM(X294:AG297)-X292</f>
        <v>1184198</v>
      </c>
      <c r="AO292" s="673">
        <f>N292-BS!$D$109</f>
        <v>0</v>
      </c>
      <c r="AP292" s="674">
        <f>X292-BS!$E$109</f>
        <v>0</v>
      </c>
    </row>
    <row r="293" spans="1:42" ht="28.5" customHeight="1" x14ac:dyDescent="0.2">
      <c r="D293" s="1075" t="s">
        <v>218</v>
      </c>
      <c r="E293" s="1076"/>
      <c r="F293" s="1076"/>
      <c r="G293" s="1076"/>
      <c r="H293" s="1076"/>
      <c r="I293" s="1076"/>
      <c r="J293" s="1076"/>
      <c r="K293" s="1076"/>
      <c r="L293" s="1076"/>
      <c r="M293" s="1077"/>
      <c r="N293" s="1167"/>
      <c r="O293" s="1032"/>
      <c r="P293" s="1032"/>
      <c r="Q293" s="1032"/>
      <c r="R293" s="1032"/>
      <c r="S293" s="1032"/>
      <c r="T293" s="1032"/>
      <c r="U293" s="1032"/>
      <c r="V293" s="1032"/>
      <c r="W293" s="1032"/>
      <c r="X293" s="1269"/>
      <c r="Y293" s="1269"/>
      <c r="Z293" s="1269"/>
      <c r="AA293" s="1269"/>
      <c r="AB293" s="1269"/>
      <c r="AC293" s="1269"/>
      <c r="AD293" s="1269"/>
      <c r="AE293" s="1269"/>
      <c r="AF293" s="1269"/>
      <c r="AG293" s="1269"/>
      <c r="AL293" s="652"/>
      <c r="AM293" s="665"/>
      <c r="AO293" s="671"/>
      <c r="AP293" s="672"/>
    </row>
    <row r="294" spans="1:42" ht="28.5" customHeight="1" x14ac:dyDescent="0.2">
      <c r="D294" s="1262" t="s">
        <v>217</v>
      </c>
      <c r="E294" s="1263"/>
      <c r="F294" s="1263"/>
      <c r="G294" s="1263"/>
      <c r="H294" s="1263"/>
      <c r="I294" s="1263"/>
      <c r="J294" s="1263"/>
      <c r="K294" s="1263"/>
      <c r="L294" s="1263"/>
      <c r="M294" s="1264"/>
      <c r="N294" s="1167"/>
      <c r="O294" s="1032"/>
      <c r="P294" s="1032"/>
      <c r="Q294" s="1032"/>
      <c r="R294" s="1032"/>
      <c r="S294" s="1032"/>
      <c r="T294" s="1032"/>
      <c r="U294" s="1032"/>
      <c r="V294" s="1032"/>
      <c r="W294" s="1032"/>
      <c r="X294" s="1269"/>
      <c r="Y294" s="1269"/>
      <c r="Z294" s="1269"/>
      <c r="AA294" s="1269"/>
      <c r="AB294" s="1269"/>
      <c r="AC294" s="1269"/>
      <c r="AD294" s="1269"/>
      <c r="AE294" s="1269"/>
      <c r="AF294" s="1269"/>
      <c r="AG294" s="1269"/>
      <c r="AL294" s="652"/>
      <c r="AM294" s="665"/>
      <c r="AO294" s="671"/>
      <c r="AP294" s="672"/>
    </row>
    <row r="295" spans="1:42" ht="28.5" customHeight="1" thickBot="1" x14ac:dyDescent="0.25">
      <c r="D295" s="1109" t="s">
        <v>216</v>
      </c>
      <c r="E295" s="1110"/>
      <c r="F295" s="1110"/>
      <c r="G295" s="1110"/>
      <c r="H295" s="1110"/>
      <c r="I295" s="1110"/>
      <c r="J295" s="1110"/>
      <c r="K295" s="1110"/>
      <c r="L295" s="1110"/>
      <c r="M295" s="1111"/>
      <c r="N295" s="1177">
        <v>639651</v>
      </c>
      <c r="O295" s="1142"/>
      <c r="P295" s="1142"/>
      <c r="Q295" s="1142"/>
      <c r="R295" s="1142"/>
      <c r="S295" s="1142"/>
      <c r="T295" s="1142"/>
      <c r="U295" s="1142"/>
      <c r="V295" s="1142"/>
      <c r="W295" s="1142"/>
      <c r="X295" s="1177">
        <v>592099</v>
      </c>
      <c r="Y295" s="1142"/>
      <c r="Z295" s="1142"/>
      <c r="AA295" s="1142"/>
      <c r="AB295" s="1142"/>
      <c r="AC295" s="1142"/>
      <c r="AD295" s="1142"/>
      <c r="AE295" s="1142"/>
      <c r="AF295" s="1142"/>
      <c r="AG295" s="1142"/>
      <c r="AL295" s="668">
        <f>SUM(N297:W297)-N295</f>
        <v>-589411</v>
      </c>
      <c r="AM295" s="654">
        <f>SUM(X297:AG297)-X295</f>
        <v>-517379</v>
      </c>
      <c r="AO295" s="669">
        <f>N295-BS!$D$121</f>
        <v>0</v>
      </c>
      <c r="AP295" s="670">
        <f>X295-BS!$E$121</f>
        <v>0</v>
      </c>
    </row>
    <row r="296" spans="1:42" ht="28.5" customHeight="1" x14ac:dyDescent="0.2">
      <c r="D296" s="1075" t="s">
        <v>473</v>
      </c>
      <c r="E296" s="1076"/>
      <c r="F296" s="1076"/>
      <c r="G296" s="1076"/>
      <c r="H296" s="1076"/>
      <c r="I296" s="1076"/>
      <c r="J296" s="1076"/>
      <c r="K296" s="1076"/>
      <c r="L296" s="1076"/>
      <c r="M296" s="1077"/>
      <c r="N296" s="1167">
        <v>589411</v>
      </c>
      <c r="O296" s="1032"/>
      <c r="P296" s="1032"/>
      <c r="Q296" s="1032"/>
      <c r="R296" s="1032"/>
      <c r="S296" s="1032"/>
      <c r="T296" s="1032"/>
      <c r="U296" s="1032"/>
      <c r="V296" s="1032"/>
      <c r="W296" s="1032"/>
      <c r="X296" s="1053">
        <v>517379</v>
      </c>
      <c r="Y296" s="1254"/>
      <c r="Z296" s="1254"/>
      <c r="AA296" s="1254"/>
      <c r="AB296" s="1254"/>
      <c r="AC296" s="1254"/>
      <c r="AD296" s="1254"/>
      <c r="AE296" s="1254"/>
      <c r="AF296" s="1254"/>
      <c r="AG296" s="1167"/>
      <c r="AL296" s="652"/>
      <c r="AM296" s="665"/>
      <c r="AO296" s="671"/>
      <c r="AP296" s="672"/>
    </row>
    <row r="297" spans="1:42" ht="28.5" customHeight="1" x14ac:dyDescent="0.2">
      <c r="D297" s="1262" t="s">
        <v>215</v>
      </c>
      <c r="E297" s="1263"/>
      <c r="F297" s="1263"/>
      <c r="G297" s="1263"/>
      <c r="H297" s="1263"/>
      <c r="I297" s="1263"/>
      <c r="J297" s="1263"/>
      <c r="K297" s="1263"/>
      <c r="L297" s="1263"/>
      <c r="M297" s="1264"/>
      <c r="N297" s="1181">
        <v>50240</v>
      </c>
      <c r="O297" s="1182"/>
      <c r="P297" s="1182"/>
      <c r="Q297" s="1182"/>
      <c r="R297" s="1182"/>
      <c r="S297" s="1182"/>
      <c r="T297" s="1182"/>
      <c r="U297" s="1182"/>
      <c r="V297" s="1182"/>
      <c r="W297" s="1182"/>
      <c r="X297" s="1182">
        <v>74720</v>
      </c>
      <c r="Y297" s="1182"/>
      <c r="Z297" s="1182"/>
      <c r="AA297" s="1182"/>
      <c r="AB297" s="1182"/>
      <c r="AC297" s="1182"/>
      <c r="AD297" s="1182"/>
      <c r="AE297" s="1182"/>
      <c r="AF297" s="1182"/>
      <c r="AG297" s="1182"/>
      <c r="AL297" s="658"/>
      <c r="AM297" s="664"/>
      <c r="AO297" s="691"/>
      <c r="AP297" s="692"/>
    </row>
    <row r="299" spans="1:42" ht="14.25" customHeight="1" x14ac:dyDescent="0.2">
      <c r="D299" s="1261" t="s">
        <v>1967</v>
      </c>
      <c r="E299" s="1165"/>
      <c r="F299" s="1165"/>
      <c r="G299" s="1165"/>
      <c r="H299" s="1165"/>
      <c r="I299" s="1165"/>
      <c r="J299" s="1165"/>
      <c r="K299" s="1165"/>
      <c r="L299" s="1165"/>
      <c r="M299" s="1165"/>
      <c r="N299" s="1165"/>
      <c r="O299" s="1165"/>
      <c r="P299" s="1165"/>
      <c r="Q299" s="1165"/>
      <c r="R299" s="1165"/>
      <c r="S299" s="1165"/>
      <c r="T299" s="1165"/>
      <c r="U299" s="1165"/>
      <c r="V299" s="1165"/>
      <c r="W299" s="1165"/>
      <c r="X299" s="1165"/>
      <c r="Y299" s="1165"/>
      <c r="Z299" s="1165"/>
      <c r="AA299" s="1165"/>
      <c r="AB299" s="1165"/>
      <c r="AC299" s="1165"/>
      <c r="AD299" s="1165"/>
      <c r="AE299" s="1165"/>
      <c r="AF299" s="1165"/>
      <c r="AG299" s="1165"/>
    </row>
    <row r="301" spans="1:42" ht="14.25" customHeight="1" x14ac:dyDescent="0.2">
      <c r="C301" s="972"/>
      <c r="D301" s="970" t="s">
        <v>1908</v>
      </c>
      <c r="E301" s="972"/>
      <c r="F301" s="972"/>
      <c r="G301" s="972"/>
      <c r="H301" s="972"/>
      <c r="I301" s="972"/>
      <c r="J301" s="972"/>
      <c r="K301" s="972"/>
      <c r="L301" s="972"/>
      <c r="M301" s="972"/>
    </row>
    <row r="303" spans="1:42" ht="14.25" customHeight="1" x14ac:dyDescent="0.2">
      <c r="D303" s="1261" t="s">
        <v>1909</v>
      </c>
      <c r="E303" s="1165"/>
      <c r="F303" s="1165"/>
      <c r="G303" s="1165"/>
      <c r="H303" s="1165"/>
      <c r="I303" s="1165"/>
      <c r="J303" s="1165"/>
      <c r="K303" s="1165"/>
      <c r="L303" s="1165"/>
      <c r="M303" s="1165"/>
      <c r="N303" s="1165"/>
      <c r="O303" s="1165"/>
      <c r="P303" s="1165"/>
      <c r="Q303" s="1165"/>
      <c r="R303" s="1165"/>
      <c r="S303" s="1165"/>
      <c r="T303" s="1165"/>
      <c r="U303" s="1165"/>
      <c r="V303" s="1165"/>
      <c r="W303" s="1165"/>
      <c r="X303" s="1165"/>
      <c r="Y303" s="1165"/>
      <c r="Z303" s="1165"/>
      <c r="AA303" s="1165"/>
      <c r="AB303" s="1165"/>
      <c r="AC303" s="1165"/>
      <c r="AD303" s="1165"/>
      <c r="AE303" s="1165"/>
      <c r="AF303" s="1165"/>
      <c r="AG303" s="1165"/>
    </row>
    <row r="304" spans="1:42" ht="14.25" customHeight="1" thickBot="1" x14ac:dyDescent="0.25"/>
    <row r="305" spans="4:33" ht="12" thickBot="1" x14ac:dyDescent="0.25">
      <c r="D305" s="1031" t="s">
        <v>131</v>
      </c>
      <c r="E305" s="1031"/>
      <c r="F305" s="1031"/>
      <c r="G305" s="1031"/>
      <c r="H305" s="1031"/>
      <c r="I305" s="1031"/>
      <c r="J305" s="1031"/>
      <c r="K305" s="1031"/>
      <c r="L305" s="1031"/>
      <c r="M305" s="1031"/>
      <c r="N305" s="1031" t="s">
        <v>2</v>
      </c>
      <c r="O305" s="1031"/>
      <c r="P305" s="1031"/>
      <c r="Q305" s="1031"/>
      <c r="R305" s="1031"/>
      <c r="S305" s="1031"/>
      <c r="T305" s="1031"/>
      <c r="U305" s="1031"/>
      <c r="V305" s="1031"/>
      <c r="W305" s="1031"/>
      <c r="X305" s="1031" t="s">
        <v>3</v>
      </c>
      <c r="Y305" s="1031"/>
      <c r="Z305" s="1031"/>
      <c r="AA305" s="1031"/>
      <c r="AB305" s="1031"/>
      <c r="AC305" s="1031"/>
      <c r="AD305" s="1031"/>
      <c r="AE305" s="1031"/>
      <c r="AF305" s="1031"/>
      <c r="AG305" s="1031"/>
    </row>
    <row r="306" spans="4:33" ht="19.5" customHeight="1" x14ac:dyDescent="0.2">
      <c r="D306" s="1271" t="s">
        <v>220</v>
      </c>
      <c r="E306" s="1271"/>
      <c r="F306" s="1271"/>
      <c r="G306" s="1271"/>
      <c r="H306" s="1271"/>
      <c r="I306" s="1271"/>
      <c r="J306" s="1271"/>
      <c r="K306" s="1271"/>
      <c r="L306" s="1271"/>
      <c r="M306" s="1271"/>
      <c r="N306" s="1285"/>
      <c r="O306" s="1285"/>
      <c r="P306" s="1285"/>
      <c r="Q306" s="1285"/>
      <c r="R306" s="1285"/>
      <c r="S306" s="1285"/>
      <c r="T306" s="1285"/>
      <c r="U306" s="1285"/>
      <c r="V306" s="1285"/>
      <c r="W306" s="1285"/>
      <c r="X306" s="1285"/>
      <c r="Y306" s="1285"/>
      <c r="Z306" s="1285"/>
      <c r="AA306" s="1285"/>
      <c r="AB306" s="1285"/>
      <c r="AC306" s="1285"/>
      <c r="AD306" s="1285"/>
      <c r="AE306" s="1285"/>
      <c r="AF306" s="1285"/>
      <c r="AG306" s="1285"/>
    </row>
    <row r="307" spans="4:33" ht="14.25" customHeight="1" x14ac:dyDescent="0.2">
      <c r="D307" s="1092" t="s">
        <v>221</v>
      </c>
      <c r="E307" s="1092"/>
      <c r="F307" s="1092"/>
      <c r="G307" s="1092"/>
      <c r="H307" s="1092"/>
      <c r="I307" s="1092"/>
      <c r="J307" s="1092"/>
      <c r="K307" s="1092"/>
      <c r="L307" s="1092"/>
      <c r="M307" s="1092"/>
      <c r="N307" s="1032"/>
      <c r="O307" s="1032"/>
      <c r="P307" s="1032"/>
      <c r="Q307" s="1032"/>
      <c r="R307" s="1032"/>
      <c r="S307" s="1032"/>
      <c r="T307" s="1032"/>
      <c r="U307" s="1032"/>
      <c r="V307" s="1032"/>
      <c r="W307" s="1032"/>
      <c r="X307" s="1032"/>
      <c r="Y307" s="1032"/>
      <c r="Z307" s="1032"/>
      <c r="AA307" s="1032"/>
      <c r="AB307" s="1032"/>
      <c r="AC307" s="1032"/>
      <c r="AD307" s="1032"/>
      <c r="AE307" s="1032"/>
      <c r="AF307" s="1032"/>
      <c r="AG307" s="1032"/>
    </row>
    <row r="308" spans="4:33" ht="14.25" customHeight="1" x14ac:dyDescent="0.2">
      <c r="D308" s="1092" t="s">
        <v>222</v>
      </c>
      <c r="E308" s="1092"/>
      <c r="F308" s="1092"/>
      <c r="G308" s="1092"/>
      <c r="H308" s="1092"/>
      <c r="I308" s="1092"/>
      <c r="J308" s="1092"/>
      <c r="K308" s="1092"/>
      <c r="L308" s="1092"/>
      <c r="M308" s="1092"/>
      <c r="N308" s="1032"/>
      <c r="O308" s="1032"/>
      <c r="P308" s="1032"/>
      <c r="Q308" s="1032"/>
      <c r="R308" s="1032"/>
      <c r="S308" s="1032"/>
      <c r="T308" s="1032"/>
      <c r="U308" s="1032"/>
      <c r="V308" s="1032"/>
      <c r="W308" s="1032"/>
      <c r="X308" s="1032"/>
      <c r="Y308" s="1032"/>
      <c r="Z308" s="1032"/>
      <c r="AA308" s="1032"/>
      <c r="AB308" s="1032"/>
      <c r="AC308" s="1032"/>
      <c r="AD308" s="1032"/>
      <c r="AE308" s="1032"/>
      <c r="AF308" s="1032"/>
      <c r="AG308" s="1032"/>
    </row>
    <row r="309" spans="4:33" ht="19.5" customHeight="1" x14ac:dyDescent="0.2">
      <c r="D309" s="1270" t="s">
        <v>223</v>
      </c>
      <c r="E309" s="1270"/>
      <c r="F309" s="1270"/>
      <c r="G309" s="1270"/>
      <c r="H309" s="1270"/>
      <c r="I309" s="1270"/>
      <c r="J309" s="1270"/>
      <c r="K309" s="1270"/>
      <c r="L309" s="1270"/>
      <c r="M309" s="1270"/>
      <c r="N309" s="1275">
        <v>228168.82</v>
      </c>
      <c r="O309" s="1275"/>
      <c r="P309" s="1275"/>
      <c r="Q309" s="1275"/>
      <c r="R309" s="1275"/>
      <c r="S309" s="1275"/>
      <c r="T309" s="1275"/>
      <c r="U309" s="1275"/>
      <c r="V309" s="1275"/>
      <c r="W309" s="1275"/>
      <c r="X309" s="1275">
        <v>34416</v>
      </c>
      <c r="Y309" s="1275"/>
      <c r="Z309" s="1275"/>
      <c r="AA309" s="1275"/>
      <c r="AB309" s="1275"/>
      <c r="AC309" s="1275"/>
      <c r="AD309" s="1275"/>
      <c r="AE309" s="1275"/>
      <c r="AF309" s="1275"/>
      <c r="AG309" s="1275"/>
    </row>
    <row r="310" spans="4:33" ht="14.25" customHeight="1" x14ac:dyDescent="0.2">
      <c r="D310" s="1092" t="s">
        <v>221</v>
      </c>
      <c r="E310" s="1092"/>
      <c r="F310" s="1092"/>
      <c r="G310" s="1092"/>
      <c r="H310" s="1092"/>
      <c r="I310" s="1092"/>
      <c r="J310" s="1092"/>
      <c r="K310" s="1092"/>
      <c r="L310" s="1092"/>
      <c r="M310" s="1092"/>
      <c r="N310" s="1032">
        <v>228168.82</v>
      </c>
      <c r="O310" s="1032"/>
      <c r="P310" s="1032"/>
      <c r="Q310" s="1032"/>
      <c r="R310" s="1032"/>
      <c r="S310" s="1032"/>
      <c r="T310" s="1032"/>
      <c r="U310" s="1032"/>
      <c r="V310" s="1032"/>
      <c r="W310" s="1032"/>
      <c r="X310" s="1032">
        <v>34416</v>
      </c>
      <c r="Y310" s="1032"/>
      <c r="Z310" s="1032"/>
      <c r="AA310" s="1032"/>
      <c r="AB310" s="1032"/>
      <c r="AC310" s="1032"/>
      <c r="AD310" s="1032"/>
      <c r="AE310" s="1032"/>
      <c r="AF310" s="1032"/>
      <c r="AG310" s="1032"/>
    </row>
    <row r="311" spans="4:33" ht="14.25" customHeight="1" x14ac:dyDescent="0.2">
      <c r="D311" s="1092" t="s">
        <v>222</v>
      </c>
      <c r="E311" s="1092"/>
      <c r="F311" s="1092"/>
      <c r="G311" s="1092"/>
      <c r="H311" s="1092"/>
      <c r="I311" s="1092"/>
      <c r="J311" s="1092"/>
      <c r="K311" s="1092"/>
      <c r="L311" s="1092"/>
      <c r="M311" s="1092"/>
      <c r="N311" s="1032"/>
      <c r="O311" s="1032"/>
      <c r="P311" s="1032"/>
      <c r="Q311" s="1032"/>
      <c r="R311" s="1032"/>
      <c r="S311" s="1032"/>
      <c r="T311" s="1032"/>
      <c r="U311" s="1032"/>
      <c r="V311" s="1032"/>
      <c r="W311" s="1032"/>
      <c r="X311" s="1032"/>
      <c r="Y311" s="1032"/>
      <c r="Z311" s="1032"/>
      <c r="AA311" s="1032"/>
      <c r="AB311" s="1032"/>
      <c r="AC311" s="1032"/>
      <c r="AD311" s="1032"/>
      <c r="AE311" s="1032"/>
      <c r="AF311" s="1032"/>
      <c r="AG311" s="1032"/>
    </row>
    <row r="312" spans="4:33" ht="22.5" customHeight="1" x14ac:dyDescent="0.2">
      <c r="D312" s="1270" t="s">
        <v>224</v>
      </c>
      <c r="E312" s="1270"/>
      <c r="F312" s="1270"/>
      <c r="G312" s="1270"/>
      <c r="H312" s="1270"/>
      <c r="I312" s="1270"/>
      <c r="J312" s="1270"/>
      <c r="K312" s="1270"/>
      <c r="L312" s="1270"/>
      <c r="M312" s="1270"/>
      <c r="N312" s="1275"/>
      <c r="O312" s="1275"/>
      <c r="P312" s="1275"/>
      <c r="Q312" s="1275"/>
      <c r="R312" s="1275"/>
      <c r="S312" s="1275"/>
      <c r="T312" s="1275"/>
      <c r="U312" s="1275"/>
      <c r="V312" s="1275"/>
      <c r="W312" s="1275"/>
      <c r="X312" s="1275"/>
      <c r="Y312" s="1275"/>
      <c r="Z312" s="1275"/>
      <c r="AA312" s="1275"/>
      <c r="AB312" s="1275"/>
      <c r="AC312" s="1275"/>
      <c r="AD312" s="1275"/>
      <c r="AE312" s="1275"/>
      <c r="AF312" s="1275"/>
      <c r="AG312" s="1275"/>
    </row>
    <row r="313" spans="4:33" ht="24" customHeight="1" x14ac:dyDescent="0.2">
      <c r="D313" s="1270" t="s">
        <v>225</v>
      </c>
      <c r="E313" s="1270"/>
      <c r="F313" s="1270"/>
      <c r="G313" s="1270"/>
      <c r="H313" s="1270"/>
      <c r="I313" s="1270"/>
      <c r="J313" s="1270"/>
      <c r="K313" s="1270"/>
      <c r="L313" s="1270"/>
      <c r="M313" s="1270"/>
      <c r="N313" s="1275"/>
      <c r="O313" s="1275"/>
      <c r="P313" s="1275"/>
      <c r="Q313" s="1275"/>
      <c r="R313" s="1275"/>
      <c r="S313" s="1275"/>
      <c r="T313" s="1275"/>
      <c r="U313" s="1275"/>
      <c r="V313" s="1275"/>
      <c r="W313" s="1275"/>
      <c r="X313" s="1275"/>
      <c r="Y313" s="1275"/>
      <c r="Z313" s="1275"/>
      <c r="AA313" s="1275"/>
      <c r="AB313" s="1275"/>
      <c r="AC313" s="1275"/>
      <c r="AD313" s="1275"/>
      <c r="AE313" s="1275"/>
      <c r="AF313" s="1275"/>
      <c r="AG313" s="1275"/>
    </row>
    <row r="314" spans="4:33" ht="14.25" customHeight="1" x14ac:dyDescent="0.2">
      <c r="D314" s="1270" t="s">
        <v>226</v>
      </c>
      <c r="E314" s="1270"/>
      <c r="F314" s="1270"/>
      <c r="G314" s="1270"/>
      <c r="H314" s="1270"/>
      <c r="I314" s="1270"/>
      <c r="J314" s="1270"/>
      <c r="K314" s="1270"/>
      <c r="L314" s="1270"/>
      <c r="M314" s="1270"/>
      <c r="N314" s="1275">
        <v>22</v>
      </c>
      <c r="O314" s="1275"/>
      <c r="P314" s="1275"/>
      <c r="Q314" s="1275"/>
      <c r="R314" s="1275"/>
      <c r="S314" s="1275"/>
      <c r="T314" s="1275"/>
      <c r="U314" s="1275"/>
      <c r="V314" s="1275"/>
      <c r="W314" s="1275"/>
      <c r="X314" s="1275">
        <v>23</v>
      </c>
      <c r="Y314" s="1275"/>
      <c r="Z314" s="1275"/>
      <c r="AA314" s="1275"/>
      <c r="AB314" s="1275"/>
      <c r="AC314" s="1275"/>
      <c r="AD314" s="1275"/>
      <c r="AE314" s="1275"/>
      <c r="AF314" s="1275"/>
      <c r="AG314" s="1275"/>
    </row>
    <row r="315" spans="4:33" ht="14.25" customHeight="1" x14ac:dyDescent="0.2">
      <c r="D315" s="1270" t="s">
        <v>227</v>
      </c>
      <c r="E315" s="1270"/>
      <c r="F315" s="1270"/>
      <c r="G315" s="1270"/>
      <c r="H315" s="1270"/>
      <c r="I315" s="1270"/>
      <c r="J315" s="1270"/>
      <c r="K315" s="1270"/>
      <c r="L315" s="1270"/>
      <c r="M315" s="1270"/>
      <c r="N315" s="1275">
        <v>50197.140400000004</v>
      </c>
      <c r="O315" s="1275"/>
      <c r="P315" s="1275"/>
      <c r="Q315" s="1275"/>
      <c r="R315" s="1275"/>
      <c r="S315" s="1275"/>
      <c r="T315" s="1275"/>
      <c r="U315" s="1275"/>
      <c r="V315" s="1275"/>
      <c r="W315" s="1275"/>
      <c r="X315" s="1275">
        <v>7916</v>
      </c>
      <c r="Y315" s="1275"/>
      <c r="Z315" s="1275"/>
      <c r="AA315" s="1275"/>
      <c r="AB315" s="1275"/>
      <c r="AC315" s="1275"/>
      <c r="AD315" s="1275"/>
      <c r="AE315" s="1275"/>
      <c r="AF315" s="1275"/>
      <c r="AG315" s="1275"/>
    </row>
    <row r="316" spans="4:33" ht="14.25" customHeight="1" x14ac:dyDescent="0.2">
      <c r="D316" s="1270" t="s">
        <v>228</v>
      </c>
      <c r="E316" s="1270"/>
      <c r="F316" s="1270"/>
      <c r="G316" s="1270"/>
      <c r="H316" s="1270"/>
      <c r="I316" s="1270"/>
      <c r="J316" s="1270"/>
      <c r="K316" s="1270"/>
      <c r="L316" s="1270"/>
      <c r="M316" s="1270"/>
      <c r="N316" s="1275"/>
      <c r="O316" s="1275"/>
      <c r="P316" s="1275"/>
      <c r="Q316" s="1275"/>
      <c r="R316" s="1275"/>
      <c r="S316" s="1275"/>
      <c r="T316" s="1275"/>
      <c r="U316" s="1275"/>
      <c r="V316" s="1275"/>
      <c r="W316" s="1275"/>
      <c r="X316" s="1275"/>
      <c r="Y316" s="1275"/>
      <c r="Z316" s="1275"/>
      <c r="AA316" s="1275"/>
      <c r="AB316" s="1275"/>
      <c r="AC316" s="1275"/>
      <c r="AD316" s="1275"/>
      <c r="AE316" s="1275"/>
      <c r="AF316" s="1275"/>
      <c r="AG316" s="1275"/>
    </row>
    <row r="317" spans="4:33" ht="14.25" customHeight="1" x14ac:dyDescent="0.2">
      <c r="D317" s="1092" t="s">
        <v>229</v>
      </c>
      <c r="E317" s="1092"/>
      <c r="F317" s="1092"/>
      <c r="G317" s="1092"/>
      <c r="H317" s="1092"/>
      <c r="I317" s="1092"/>
      <c r="J317" s="1092"/>
      <c r="K317" s="1092"/>
      <c r="L317" s="1092"/>
      <c r="M317" s="1092"/>
      <c r="N317" s="1032">
        <v>-42281</v>
      </c>
      <c r="O317" s="1032"/>
      <c r="P317" s="1032"/>
      <c r="Q317" s="1032"/>
      <c r="R317" s="1032"/>
      <c r="S317" s="1032"/>
      <c r="T317" s="1032"/>
      <c r="U317" s="1032"/>
      <c r="V317" s="1032"/>
      <c r="W317" s="1032"/>
      <c r="X317" s="1032">
        <v>-9033</v>
      </c>
      <c r="Y317" s="1032"/>
      <c r="Z317" s="1032"/>
      <c r="AA317" s="1032"/>
      <c r="AB317" s="1032"/>
      <c r="AC317" s="1032"/>
      <c r="AD317" s="1032"/>
      <c r="AE317" s="1032"/>
      <c r="AF317" s="1032"/>
      <c r="AG317" s="1032"/>
    </row>
    <row r="318" spans="4:33" ht="14.25" customHeight="1" x14ac:dyDescent="0.2">
      <c r="D318" s="1092" t="s">
        <v>230</v>
      </c>
      <c r="E318" s="1092"/>
      <c r="F318" s="1092"/>
      <c r="G318" s="1092"/>
      <c r="H318" s="1092"/>
      <c r="I318" s="1092"/>
      <c r="J318" s="1092"/>
      <c r="K318" s="1092"/>
      <c r="L318" s="1092"/>
      <c r="M318" s="1092"/>
      <c r="N318" s="1032"/>
      <c r="O318" s="1032"/>
      <c r="P318" s="1032"/>
      <c r="Q318" s="1032"/>
      <c r="R318" s="1032"/>
      <c r="S318" s="1032"/>
      <c r="T318" s="1032"/>
      <c r="U318" s="1032"/>
      <c r="V318" s="1032"/>
      <c r="W318" s="1032"/>
      <c r="X318" s="1032"/>
      <c r="Y318" s="1032"/>
      <c r="Z318" s="1032"/>
      <c r="AA318" s="1032"/>
      <c r="AB318" s="1032"/>
      <c r="AC318" s="1032"/>
      <c r="AD318" s="1032"/>
      <c r="AE318" s="1032"/>
      <c r="AF318" s="1032"/>
      <c r="AG318" s="1032"/>
    </row>
    <row r="319" spans="4:33" ht="14.25" customHeight="1" x14ac:dyDescent="0.2">
      <c r="D319" s="1270" t="s">
        <v>231</v>
      </c>
      <c r="E319" s="1270"/>
      <c r="F319" s="1270"/>
      <c r="G319" s="1270"/>
      <c r="H319" s="1270"/>
      <c r="I319" s="1270"/>
      <c r="J319" s="1270"/>
      <c r="K319" s="1270"/>
      <c r="L319" s="1270"/>
      <c r="M319" s="1270"/>
      <c r="N319" s="1275"/>
      <c r="O319" s="1275"/>
      <c r="P319" s="1275"/>
      <c r="Q319" s="1275"/>
      <c r="R319" s="1275"/>
      <c r="S319" s="1275"/>
      <c r="T319" s="1275"/>
      <c r="U319" s="1275"/>
      <c r="V319" s="1275"/>
      <c r="W319" s="1275"/>
      <c r="X319" s="1275"/>
      <c r="Y319" s="1275"/>
      <c r="Z319" s="1275"/>
      <c r="AA319" s="1275"/>
      <c r="AB319" s="1275"/>
      <c r="AC319" s="1275"/>
      <c r="AD319" s="1275"/>
      <c r="AE319" s="1275"/>
      <c r="AF319" s="1275"/>
      <c r="AG319" s="1275"/>
    </row>
    <row r="320" spans="4:33" ht="14.25" customHeight="1" x14ac:dyDescent="0.2">
      <c r="D320" s="1270" t="s">
        <v>232</v>
      </c>
      <c r="E320" s="1270"/>
      <c r="F320" s="1270"/>
      <c r="G320" s="1270"/>
      <c r="H320" s="1270"/>
      <c r="I320" s="1270"/>
      <c r="J320" s="1270"/>
      <c r="K320" s="1270"/>
      <c r="L320" s="1270"/>
      <c r="M320" s="1270"/>
      <c r="N320" s="1275"/>
      <c r="O320" s="1275"/>
      <c r="P320" s="1275"/>
      <c r="Q320" s="1275"/>
      <c r="R320" s="1275"/>
      <c r="S320" s="1275"/>
      <c r="T320" s="1275"/>
      <c r="U320" s="1275"/>
      <c r="V320" s="1275"/>
      <c r="W320" s="1275"/>
      <c r="X320" s="1275"/>
      <c r="Y320" s="1275"/>
      <c r="Z320" s="1275"/>
      <c r="AA320" s="1275"/>
      <c r="AB320" s="1275"/>
      <c r="AC320" s="1275"/>
      <c r="AD320" s="1275"/>
      <c r="AE320" s="1275"/>
      <c r="AF320" s="1275"/>
      <c r="AG320" s="1275"/>
    </row>
    <row r="321" spans="1:42" ht="14.25" customHeight="1" x14ac:dyDescent="0.2">
      <c r="D321" s="1092" t="s">
        <v>233</v>
      </c>
      <c r="E321" s="1092"/>
      <c r="F321" s="1092"/>
      <c r="G321" s="1092"/>
      <c r="H321" s="1092"/>
      <c r="I321" s="1092"/>
      <c r="J321" s="1092"/>
      <c r="K321" s="1092"/>
      <c r="L321" s="1092"/>
      <c r="M321" s="1092"/>
      <c r="N321" s="1032"/>
      <c r="O321" s="1032"/>
      <c r="P321" s="1032"/>
      <c r="Q321" s="1032"/>
      <c r="R321" s="1032"/>
      <c r="S321" s="1032"/>
      <c r="T321" s="1032"/>
      <c r="U321" s="1032"/>
      <c r="V321" s="1032"/>
      <c r="W321" s="1032"/>
      <c r="X321" s="1032"/>
      <c r="Y321" s="1032"/>
      <c r="Z321" s="1032"/>
      <c r="AA321" s="1032"/>
      <c r="AB321" s="1032"/>
      <c r="AC321" s="1032"/>
      <c r="AD321" s="1032"/>
      <c r="AE321" s="1032"/>
      <c r="AF321" s="1032"/>
      <c r="AG321" s="1032"/>
    </row>
    <row r="322" spans="1:42" ht="14.25" customHeight="1" thickBot="1" x14ac:dyDescent="0.25">
      <c r="D322" s="1091" t="s">
        <v>230</v>
      </c>
      <c r="E322" s="1091"/>
      <c r="F322" s="1091"/>
      <c r="G322" s="1091"/>
      <c r="H322" s="1091"/>
      <c r="I322" s="1091"/>
      <c r="J322" s="1091"/>
      <c r="K322" s="1091"/>
      <c r="L322" s="1091"/>
      <c r="M322" s="1091"/>
      <c r="N322" s="1065"/>
      <c r="O322" s="1065"/>
      <c r="P322" s="1065"/>
      <c r="Q322" s="1065"/>
      <c r="R322" s="1065"/>
      <c r="S322" s="1065"/>
      <c r="T322" s="1065"/>
      <c r="U322" s="1065"/>
      <c r="V322" s="1065"/>
      <c r="W322" s="1065"/>
      <c r="X322" s="1065"/>
      <c r="Y322" s="1065"/>
      <c r="Z322" s="1065"/>
      <c r="AA322" s="1065"/>
      <c r="AB322" s="1065"/>
      <c r="AC322" s="1065"/>
      <c r="AD322" s="1065"/>
      <c r="AE322" s="1065"/>
      <c r="AF322" s="1065"/>
      <c r="AG322" s="1065"/>
    </row>
    <row r="324" spans="1:42" ht="14.25" customHeight="1" x14ac:dyDescent="0.2">
      <c r="D324" s="970" t="s">
        <v>1961</v>
      </c>
      <c r="E324" s="970"/>
      <c r="F324" s="970"/>
      <c r="G324" s="970"/>
      <c r="H324" s="970"/>
      <c r="I324" s="970"/>
      <c r="J324" s="970"/>
      <c r="K324" s="970"/>
      <c r="L324" s="970"/>
      <c r="M324" s="970"/>
      <c r="N324" s="970"/>
      <c r="O324" s="970"/>
      <c r="P324" s="970"/>
      <c r="Q324" s="970"/>
      <c r="R324" s="970"/>
      <c r="S324" s="970"/>
      <c r="T324" s="970"/>
      <c r="U324" s="970"/>
      <c r="V324" s="970"/>
      <c r="W324" s="970"/>
      <c r="X324" s="970"/>
      <c r="Y324" s="970"/>
      <c r="Z324" s="970"/>
      <c r="AA324" s="970"/>
      <c r="AB324" s="970"/>
      <c r="AC324" s="970"/>
      <c r="AD324" s="970"/>
      <c r="AE324" s="970"/>
      <c r="AF324" s="970"/>
      <c r="AG324" s="970"/>
    </row>
    <row r="325" spans="1:42" ht="14.25" customHeight="1" thickBot="1" x14ac:dyDescent="0.25"/>
    <row r="326" spans="1:42" ht="28.5" customHeight="1" thickTop="1" thickBot="1" x14ac:dyDescent="0.25">
      <c r="A326" s="647">
        <v>27</v>
      </c>
      <c r="D326" s="1171" t="s">
        <v>131</v>
      </c>
      <c r="E326" s="1172"/>
      <c r="F326" s="1172"/>
      <c r="G326" s="1172"/>
      <c r="H326" s="1172"/>
      <c r="I326" s="1172"/>
      <c r="J326" s="1172"/>
      <c r="K326" s="1172"/>
      <c r="L326" s="1172"/>
      <c r="M326" s="1173"/>
      <c r="N326" s="1171" t="s">
        <v>2</v>
      </c>
      <c r="O326" s="1172"/>
      <c r="P326" s="1172"/>
      <c r="Q326" s="1172"/>
      <c r="R326" s="1172"/>
      <c r="S326" s="1172"/>
      <c r="T326" s="1172"/>
      <c r="U326" s="1172"/>
      <c r="V326" s="1172"/>
      <c r="W326" s="1173"/>
      <c r="X326" s="1171" t="s">
        <v>3</v>
      </c>
      <c r="Y326" s="1172"/>
      <c r="Z326" s="1172"/>
      <c r="AA326" s="1172"/>
      <c r="AB326" s="1172"/>
      <c r="AC326" s="1172"/>
      <c r="AD326" s="1172"/>
      <c r="AE326" s="1172"/>
      <c r="AF326" s="1172"/>
      <c r="AG326" s="1173"/>
      <c r="AL326" s="641" t="s">
        <v>2</v>
      </c>
      <c r="AM326" s="644" t="s">
        <v>3</v>
      </c>
      <c r="AO326" s="641" t="s">
        <v>2</v>
      </c>
      <c r="AP326" s="644" t="s">
        <v>3</v>
      </c>
    </row>
    <row r="327" spans="1:42" ht="18.75" customHeight="1" x14ac:dyDescent="0.2">
      <c r="D327" s="1276" t="s">
        <v>234</v>
      </c>
      <c r="E327" s="1277"/>
      <c r="F327" s="1277"/>
      <c r="G327" s="1277"/>
      <c r="H327" s="1277"/>
      <c r="I327" s="1277"/>
      <c r="J327" s="1277"/>
      <c r="K327" s="1277"/>
      <c r="L327" s="1277"/>
      <c r="M327" s="1278"/>
      <c r="N327" s="1181"/>
      <c r="O327" s="1182"/>
      <c r="P327" s="1182"/>
      <c r="Q327" s="1182"/>
      <c r="R327" s="1182"/>
      <c r="S327" s="1182"/>
      <c r="T327" s="1182"/>
      <c r="U327" s="1182"/>
      <c r="V327" s="1182"/>
      <c r="W327" s="1182"/>
      <c r="X327" s="1182">
        <v>5</v>
      </c>
      <c r="Y327" s="1182"/>
      <c r="Z327" s="1182"/>
      <c r="AA327" s="1182"/>
      <c r="AB327" s="1182"/>
      <c r="AC327" s="1182"/>
      <c r="AD327" s="1182"/>
      <c r="AE327" s="1182"/>
      <c r="AF327" s="1182"/>
      <c r="AG327" s="1182"/>
      <c r="AL327" s="658"/>
      <c r="AM327" s="664"/>
      <c r="AO327" s="658"/>
      <c r="AP327" s="664"/>
    </row>
    <row r="328" spans="1:42" ht="18.75" customHeight="1" x14ac:dyDescent="0.2">
      <c r="D328" s="1279" t="s">
        <v>235</v>
      </c>
      <c r="E328" s="1280"/>
      <c r="F328" s="1280"/>
      <c r="G328" s="1280"/>
      <c r="H328" s="1280"/>
      <c r="I328" s="1280"/>
      <c r="J328" s="1280"/>
      <c r="K328" s="1280"/>
      <c r="L328" s="1280"/>
      <c r="M328" s="1281"/>
      <c r="N328" s="1167">
        <v>280</v>
      </c>
      <c r="O328" s="1032"/>
      <c r="P328" s="1032"/>
      <c r="Q328" s="1032"/>
      <c r="R328" s="1032"/>
      <c r="S328" s="1032"/>
      <c r="T328" s="1032"/>
      <c r="U328" s="1032"/>
      <c r="V328" s="1032"/>
      <c r="W328" s="1032"/>
      <c r="X328" s="1053">
        <v>258</v>
      </c>
      <c r="Y328" s="1254"/>
      <c r="Z328" s="1254"/>
      <c r="AA328" s="1254"/>
      <c r="AB328" s="1254"/>
      <c r="AC328" s="1254"/>
      <c r="AD328" s="1254"/>
      <c r="AE328" s="1254"/>
      <c r="AF328" s="1254"/>
      <c r="AG328" s="1167"/>
      <c r="AL328" s="652"/>
      <c r="AM328" s="665"/>
      <c r="AO328" s="652"/>
      <c r="AP328" s="665"/>
    </row>
    <row r="329" spans="1:42" ht="18.75" customHeight="1" x14ac:dyDescent="0.2">
      <c r="D329" s="1279" t="s">
        <v>236</v>
      </c>
      <c r="E329" s="1280"/>
      <c r="F329" s="1280"/>
      <c r="G329" s="1280"/>
      <c r="H329" s="1280"/>
      <c r="I329" s="1280"/>
      <c r="J329" s="1280"/>
      <c r="K329" s="1280"/>
      <c r="L329" s="1280"/>
      <c r="M329" s="1281"/>
      <c r="N329" s="1167"/>
      <c r="O329" s="1032"/>
      <c r="P329" s="1032"/>
      <c r="Q329" s="1032"/>
      <c r="R329" s="1032"/>
      <c r="S329" s="1032"/>
      <c r="T329" s="1032"/>
      <c r="U329" s="1032"/>
      <c r="V329" s="1032"/>
      <c r="W329" s="1032"/>
      <c r="X329" s="1053"/>
      <c r="Y329" s="1254"/>
      <c r="Z329" s="1254"/>
      <c r="AA329" s="1254"/>
      <c r="AB329" s="1254"/>
      <c r="AC329" s="1254"/>
      <c r="AD329" s="1254"/>
      <c r="AE329" s="1254"/>
      <c r="AF329" s="1254"/>
      <c r="AG329" s="1167"/>
      <c r="AL329" s="652"/>
      <c r="AM329" s="665"/>
      <c r="AO329" s="652"/>
      <c r="AP329" s="665"/>
    </row>
    <row r="330" spans="1:42" ht="18.75" customHeight="1" x14ac:dyDescent="0.2">
      <c r="D330" s="1279" t="s">
        <v>237</v>
      </c>
      <c r="E330" s="1280"/>
      <c r="F330" s="1280"/>
      <c r="G330" s="1280"/>
      <c r="H330" s="1280"/>
      <c r="I330" s="1280"/>
      <c r="J330" s="1280"/>
      <c r="K330" s="1280"/>
      <c r="L330" s="1280"/>
      <c r="M330" s="1281"/>
      <c r="N330" s="1167"/>
      <c r="O330" s="1032"/>
      <c r="P330" s="1032"/>
      <c r="Q330" s="1032"/>
      <c r="R330" s="1032"/>
      <c r="S330" s="1032"/>
      <c r="T330" s="1032"/>
      <c r="U330" s="1032"/>
      <c r="V330" s="1032"/>
      <c r="W330" s="1032"/>
      <c r="X330" s="1053"/>
      <c r="Y330" s="1254"/>
      <c r="Z330" s="1254"/>
      <c r="AA330" s="1254"/>
      <c r="AB330" s="1254"/>
      <c r="AC330" s="1254"/>
      <c r="AD330" s="1254"/>
      <c r="AE330" s="1254"/>
      <c r="AF330" s="1254"/>
      <c r="AG330" s="1167"/>
      <c r="AL330" s="652"/>
      <c r="AM330" s="665"/>
      <c r="AO330" s="652"/>
      <c r="AP330" s="665"/>
    </row>
    <row r="331" spans="1:42" ht="18.75" customHeight="1" x14ac:dyDescent="0.2">
      <c r="D331" s="1282" t="s">
        <v>238</v>
      </c>
      <c r="E331" s="1283"/>
      <c r="F331" s="1283"/>
      <c r="G331" s="1283"/>
      <c r="H331" s="1283"/>
      <c r="I331" s="1283"/>
      <c r="J331" s="1283"/>
      <c r="K331" s="1283"/>
      <c r="L331" s="1283"/>
      <c r="M331" s="1284"/>
      <c r="N331" s="1253">
        <f>SUM(N328:W330)</f>
        <v>280</v>
      </c>
      <c r="O331" s="1144"/>
      <c r="P331" s="1144"/>
      <c r="Q331" s="1144"/>
      <c r="R331" s="1144"/>
      <c r="S331" s="1144"/>
      <c r="T331" s="1144"/>
      <c r="U331" s="1144"/>
      <c r="V331" s="1144"/>
      <c r="W331" s="1144"/>
      <c r="X331" s="1253">
        <f>SUM(X328:AG330)</f>
        <v>258</v>
      </c>
      <c r="Y331" s="1144"/>
      <c r="Z331" s="1144"/>
      <c r="AA331" s="1144"/>
      <c r="AB331" s="1144"/>
      <c r="AC331" s="1144"/>
      <c r="AD331" s="1144"/>
      <c r="AE331" s="1144"/>
      <c r="AF331" s="1144"/>
      <c r="AG331" s="1144"/>
      <c r="AL331" s="668">
        <f>SUM(N328:W330)-N331</f>
        <v>0</v>
      </c>
      <c r="AM331" s="654">
        <f>SUM(X328:AG330)-X331</f>
        <v>0</v>
      </c>
      <c r="AO331" s="652"/>
      <c r="AP331" s="665"/>
    </row>
    <row r="332" spans="1:42" ht="18.75" customHeight="1" x14ac:dyDescent="0.2">
      <c r="D332" s="1282" t="s">
        <v>239</v>
      </c>
      <c r="E332" s="1283"/>
      <c r="F332" s="1283"/>
      <c r="G332" s="1283"/>
      <c r="H332" s="1283"/>
      <c r="I332" s="1283"/>
      <c r="J332" s="1283"/>
      <c r="K332" s="1283"/>
      <c r="L332" s="1283"/>
      <c r="M332" s="1284"/>
      <c r="N332" s="1167">
        <v>280</v>
      </c>
      <c r="O332" s="1032"/>
      <c r="P332" s="1032"/>
      <c r="Q332" s="1032"/>
      <c r="R332" s="1032"/>
      <c r="S332" s="1032"/>
      <c r="T332" s="1032"/>
      <c r="U332" s="1032"/>
      <c r="V332" s="1032"/>
      <c r="W332" s="1032"/>
      <c r="X332" s="1053">
        <v>263</v>
      </c>
      <c r="Y332" s="1254"/>
      <c r="Z332" s="1254"/>
      <c r="AA332" s="1254"/>
      <c r="AB332" s="1254"/>
      <c r="AC332" s="1254"/>
      <c r="AD332" s="1254"/>
      <c r="AE332" s="1254"/>
      <c r="AF332" s="1254"/>
      <c r="AG332" s="1167"/>
      <c r="AL332" s="652"/>
      <c r="AM332" s="665"/>
      <c r="AO332" s="652"/>
      <c r="AP332" s="665"/>
    </row>
    <row r="333" spans="1:42" ht="18.75" customHeight="1" thickBot="1" x14ac:dyDescent="0.25">
      <c r="D333" s="1272" t="s">
        <v>240</v>
      </c>
      <c r="E333" s="1273"/>
      <c r="F333" s="1273"/>
      <c r="G333" s="1273"/>
      <c r="H333" s="1273"/>
      <c r="I333" s="1273"/>
      <c r="J333" s="1273"/>
      <c r="K333" s="1273"/>
      <c r="L333" s="1273"/>
      <c r="M333" s="1274"/>
      <c r="N333" s="1177">
        <v>0</v>
      </c>
      <c r="O333" s="1142"/>
      <c r="P333" s="1142"/>
      <c r="Q333" s="1142"/>
      <c r="R333" s="1142"/>
      <c r="S333" s="1142"/>
      <c r="T333" s="1142"/>
      <c r="U333" s="1142"/>
      <c r="V333" s="1142"/>
      <c r="W333" s="1142"/>
      <c r="X333" s="1177">
        <v>0</v>
      </c>
      <c r="Y333" s="1142"/>
      <c r="Z333" s="1142"/>
      <c r="AA333" s="1142"/>
      <c r="AB333" s="1142"/>
      <c r="AC333" s="1142"/>
      <c r="AD333" s="1142"/>
      <c r="AE333" s="1142"/>
      <c r="AF333" s="1142"/>
      <c r="AG333" s="1142"/>
      <c r="AL333" s="655">
        <f>N327+N331+N332-N333</f>
        <v>560</v>
      </c>
      <c r="AM333" s="657">
        <f>X327+X331+X332-X333</f>
        <v>526</v>
      </c>
      <c r="AO333" s="655">
        <f>N333-BS!$D$118</f>
        <v>0</v>
      </c>
      <c r="AP333" s="657">
        <f>X333-BS!$E$118</f>
        <v>0</v>
      </c>
    </row>
    <row r="340" spans="1:33" ht="14.25" customHeight="1" x14ac:dyDescent="0.2">
      <c r="D340" s="634" t="s">
        <v>1962</v>
      </c>
    </row>
    <row r="342" spans="1:33" ht="14.25" customHeight="1" x14ac:dyDescent="0.2">
      <c r="D342" s="1046" t="s">
        <v>1456</v>
      </c>
      <c r="E342" s="1046"/>
      <c r="F342" s="1046"/>
      <c r="G342" s="1046"/>
      <c r="H342" s="1046"/>
      <c r="I342" s="1046"/>
      <c r="J342" s="1046"/>
      <c r="K342" s="1046"/>
      <c r="L342" s="1046"/>
      <c r="M342" s="1046"/>
      <c r="N342" s="1046"/>
      <c r="O342" s="1046"/>
      <c r="P342" s="1046"/>
      <c r="Q342" s="1046"/>
      <c r="R342" s="1046"/>
      <c r="S342" s="1046"/>
      <c r="T342" s="1046"/>
      <c r="U342" s="1046"/>
      <c r="V342" s="1046"/>
      <c r="W342" s="1046"/>
      <c r="X342" s="1046"/>
      <c r="Y342" s="1046"/>
      <c r="Z342" s="1046"/>
      <c r="AA342" s="1046"/>
      <c r="AB342" s="1046"/>
      <c r="AC342" s="1046"/>
      <c r="AD342" s="1046"/>
      <c r="AE342" s="1046"/>
      <c r="AF342" s="1046"/>
      <c r="AG342" s="1046"/>
    </row>
    <row r="344" spans="1:33" ht="14.25" customHeight="1" x14ac:dyDescent="0.2">
      <c r="D344" s="1048" t="s">
        <v>1457</v>
      </c>
      <c r="E344" s="1048"/>
      <c r="F344" s="1048"/>
      <c r="G344" s="1048"/>
      <c r="H344" s="1048"/>
      <c r="I344" s="1048"/>
      <c r="J344" s="1048"/>
      <c r="K344" s="1048"/>
      <c r="L344" s="1048"/>
      <c r="M344" s="1048"/>
      <c r="N344" s="1048"/>
      <c r="O344" s="1048"/>
      <c r="P344" s="1048"/>
      <c r="Q344" s="1048"/>
      <c r="R344" s="1048"/>
      <c r="S344" s="1048"/>
      <c r="T344" s="1048"/>
      <c r="U344" s="1048"/>
      <c r="V344" s="1048"/>
      <c r="W344" s="1048"/>
      <c r="X344" s="1048"/>
      <c r="Y344" s="1048"/>
      <c r="Z344" s="1048"/>
      <c r="AA344" s="1048"/>
      <c r="AB344" s="1048"/>
      <c r="AC344" s="1048"/>
      <c r="AD344" s="1048"/>
      <c r="AE344" s="1048"/>
      <c r="AF344" s="1048"/>
      <c r="AG344" s="1048"/>
    </row>
    <row r="345" spans="1:33" ht="14.25" customHeight="1" thickBot="1" x14ac:dyDescent="0.25">
      <c r="R345" s="653"/>
      <c r="S345" s="653"/>
      <c r="T345" s="653"/>
      <c r="U345" s="653"/>
      <c r="V345" s="653"/>
      <c r="W345" s="653"/>
      <c r="X345" s="653"/>
      <c r="Y345" s="653"/>
    </row>
    <row r="346" spans="1:33" ht="35.25" customHeight="1" thickBot="1" x14ac:dyDescent="0.25">
      <c r="A346" s="647">
        <v>35</v>
      </c>
      <c r="D346" s="1034" t="s">
        <v>275</v>
      </c>
      <c r="E346" s="1034"/>
      <c r="F346" s="1034"/>
      <c r="G346" s="1034"/>
      <c r="H346" s="1034"/>
      <c r="I346" s="1034"/>
      <c r="J346" s="1035" t="s">
        <v>1910</v>
      </c>
      <c r="K346" s="1035"/>
      <c r="L346" s="1035"/>
      <c r="M346" s="1035"/>
      <c r="N346" s="1035"/>
      <c r="O346" s="1035"/>
      <c r="P346" s="1035"/>
      <c r="Q346" s="1035"/>
      <c r="R346" s="1289"/>
      <c r="S346" s="1289"/>
      <c r="T346" s="1289"/>
      <c r="U346" s="1289"/>
      <c r="V346" s="1289"/>
      <c r="W346" s="1289"/>
      <c r="X346" s="1289"/>
      <c r="Y346" s="1290"/>
      <c r="Z346" s="1288"/>
      <c r="AA346" s="1288"/>
      <c r="AB346" s="1288"/>
      <c r="AC346" s="1288"/>
      <c r="AD346" s="1288"/>
      <c r="AE346" s="1288"/>
      <c r="AF346" s="1288"/>
      <c r="AG346" s="1288"/>
    </row>
    <row r="347" spans="1:33" ht="49.5" customHeight="1" thickBot="1" x14ac:dyDescent="0.25">
      <c r="D347" s="1034"/>
      <c r="E347" s="1034"/>
      <c r="F347" s="1034"/>
      <c r="G347" s="1034"/>
      <c r="H347" s="1034"/>
      <c r="I347" s="1034"/>
      <c r="J347" s="1035" t="s">
        <v>2</v>
      </c>
      <c r="K347" s="1035"/>
      <c r="L347" s="1035"/>
      <c r="M347" s="1035"/>
      <c r="N347" s="1035" t="s">
        <v>484</v>
      </c>
      <c r="O347" s="1035"/>
      <c r="P347" s="1035"/>
      <c r="Q347" s="1035"/>
      <c r="R347" s="1289"/>
      <c r="S347" s="1289"/>
      <c r="T347" s="1289"/>
      <c r="U347" s="1290"/>
      <c r="V347" s="1288"/>
      <c r="W347" s="1288"/>
      <c r="X347" s="1288"/>
      <c r="Y347" s="1288"/>
      <c r="Z347" s="1288"/>
      <c r="AA347" s="1288"/>
      <c r="AB347" s="1288"/>
      <c r="AC347" s="1288"/>
      <c r="AD347" s="1288"/>
      <c r="AE347" s="1288"/>
      <c r="AF347" s="1288"/>
      <c r="AG347" s="1288"/>
    </row>
    <row r="348" spans="1:33" ht="14.25" customHeight="1" x14ac:dyDescent="0.2">
      <c r="D348" s="1294" t="s">
        <v>1881</v>
      </c>
      <c r="E348" s="1294"/>
      <c r="F348" s="1294"/>
      <c r="G348" s="1294"/>
      <c r="H348" s="1294"/>
      <c r="I348" s="1294"/>
      <c r="J348" s="1571">
        <v>2263127</v>
      </c>
      <c r="K348" s="1571"/>
      <c r="L348" s="1571"/>
      <c r="M348" s="1571"/>
      <c r="N348" s="1038">
        <v>673827</v>
      </c>
      <c r="O348" s="1038"/>
      <c r="P348" s="1038"/>
      <c r="Q348" s="1038"/>
      <c r="R348" s="1286"/>
      <c r="S348" s="1286"/>
      <c r="T348" s="1286"/>
      <c r="U348" s="1287"/>
      <c r="V348" s="1291"/>
      <c r="W348" s="1291"/>
      <c r="X348" s="1291"/>
      <c r="Y348" s="1291"/>
      <c r="Z348" s="1291"/>
      <c r="AA348" s="1291"/>
      <c r="AB348" s="1291"/>
      <c r="AC348" s="1291"/>
      <c r="AD348" s="1291"/>
      <c r="AE348" s="1291"/>
      <c r="AF348" s="1291"/>
      <c r="AG348" s="1291"/>
    </row>
    <row r="349" spans="1:33" ht="14.25" customHeight="1" x14ac:dyDescent="0.2">
      <c r="D349" s="1293" t="s">
        <v>1882</v>
      </c>
      <c r="E349" s="1293"/>
      <c r="F349" s="1293"/>
      <c r="G349" s="1293"/>
      <c r="H349" s="1293"/>
      <c r="I349" s="1293"/>
      <c r="J349" s="1572">
        <v>1072592</v>
      </c>
      <c r="K349" s="1572"/>
      <c r="L349" s="1572"/>
      <c r="M349" s="1572"/>
      <c r="N349" s="1024">
        <v>1191139</v>
      </c>
      <c r="O349" s="1024"/>
      <c r="P349" s="1024"/>
      <c r="Q349" s="1024"/>
      <c r="R349" s="1286"/>
      <c r="S349" s="1286"/>
      <c r="T349" s="1286"/>
      <c r="U349" s="1287"/>
      <c r="V349" s="1291"/>
      <c r="W349" s="1291"/>
      <c r="X349" s="1291"/>
      <c r="Y349" s="1291"/>
      <c r="Z349" s="1291"/>
      <c r="AA349" s="1291"/>
      <c r="AB349" s="1291"/>
      <c r="AC349" s="1291"/>
      <c r="AD349" s="1291"/>
      <c r="AE349" s="1291"/>
      <c r="AF349" s="1291"/>
      <c r="AG349" s="1291"/>
    </row>
    <row r="350" spans="1:33" ht="14.25" customHeight="1" thickBot="1" x14ac:dyDescent="0.25">
      <c r="D350" s="1292" t="s">
        <v>14</v>
      </c>
      <c r="E350" s="1292"/>
      <c r="F350" s="1292"/>
      <c r="G350" s="1292"/>
      <c r="H350" s="1292"/>
      <c r="I350" s="1292"/>
      <c r="J350" s="1295">
        <f>SUM(J348:M349)</f>
        <v>3335719</v>
      </c>
      <c r="K350" s="1295"/>
      <c r="L350" s="1295"/>
      <c r="M350" s="1295"/>
      <c r="N350" s="1295">
        <f>SUM(N348:Q349)</f>
        <v>1864966</v>
      </c>
      <c r="O350" s="1295"/>
      <c r="P350" s="1295"/>
      <c r="Q350" s="1295"/>
      <c r="R350" s="1286"/>
      <c r="S350" s="1286"/>
      <c r="T350" s="1286"/>
      <c r="U350" s="1287"/>
      <c r="V350" s="1291"/>
      <c r="W350" s="1291"/>
      <c r="X350" s="1291"/>
      <c r="Y350" s="1291"/>
      <c r="Z350" s="1291"/>
      <c r="AA350" s="1291"/>
      <c r="AB350" s="1291"/>
      <c r="AC350" s="1291"/>
      <c r="AD350" s="1291"/>
      <c r="AE350" s="1291"/>
      <c r="AF350" s="1291"/>
      <c r="AG350" s="1291"/>
    </row>
    <row r="351" spans="1:33" ht="16.5" customHeight="1" x14ac:dyDescent="0.2">
      <c r="R351" s="653"/>
      <c r="S351" s="653"/>
      <c r="T351" s="653"/>
      <c r="U351" s="653"/>
    </row>
    <row r="352" spans="1:33" ht="14.25" customHeight="1" x14ac:dyDescent="0.2">
      <c r="D352" s="1046" t="s">
        <v>1458</v>
      </c>
      <c r="E352" s="1046"/>
      <c r="F352" s="1046"/>
      <c r="G352" s="1046"/>
      <c r="H352" s="1046"/>
      <c r="I352" s="1046"/>
      <c r="J352" s="1046"/>
      <c r="K352" s="1046"/>
      <c r="L352" s="1046"/>
      <c r="M352" s="1046"/>
      <c r="N352" s="1046"/>
      <c r="O352" s="1046"/>
      <c r="P352" s="1046"/>
      <c r="Q352" s="1046"/>
      <c r="R352" s="1046"/>
      <c r="S352" s="1046"/>
      <c r="T352" s="1046"/>
      <c r="U352" s="1046"/>
      <c r="V352" s="1046"/>
      <c r="W352" s="1046"/>
      <c r="X352" s="1046"/>
      <c r="Y352" s="1046"/>
      <c r="Z352" s="1046"/>
      <c r="AA352" s="1046"/>
      <c r="AB352" s="1046"/>
      <c r="AC352" s="1046"/>
      <c r="AD352" s="1046"/>
      <c r="AE352" s="1046"/>
      <c r="AF352" s="1046"/>
      <c r="AG352" s="1046"/>
    </row>
    <row r="354" spans="1:42" ht="14.25" customHeight="1" x14ac:dyDescent="0.2">
      <c r="D354" s="1336" t="s">
        <v>1459</v>
      </c>
      <c r="E354" s="1337"/>
      <c r="F354" s="1337"/>
      <c r="G354" s="1337"/>
      <c r="H354" s="1337"/>
      <c r="I354" s="1337"/>
      <c r="J354" s="1337"/>
      <c r="K354" s="1337"/>
      <c r="L354" s="1337"/>
      <c r="M354" s="1337"/>
      <c r="N354" s="1337"/>
      <c r="O354" s="1337"/>
      <c r="P354" s="1337"/>
      <c r="Q354" s="1337"/>
      <c r="R354" s="1337"/>
      <c r="S354" s="1337"/>
      <c r="T354" s="1337"/>
      <c r="U354" s="1337"/>
      <c r="V354" s="1337"/>
      <c r="W354" s="1337"/>
      <c r="X354" s="1337"/>
      <c r="Y354" s="1337"/>
      <c r="Z354" s="1337"/>
      <c r="AA354" s="1337"/>
      <c r="AB354" s="1337"/>
      <c r="AC354" s="1337"/>
      <c r="AD354" s="1337"/>
      <c r="AE354" s="1337"/>
      <c r="AF354" s="1337"/>
      <c r="AG354" s="1337"/>
    </row>
    <row r="355" spans="1:42" ht="14.25" customHeight="1" x14ac:dyDescent="0.2">
      <c r="D355" s="1337"/>
      <c r="E355" s="1337"/>
      <c r="F355" s="1337"/>
      <c r="G355" s="1337"/>
      <c r="H355" s="1337"/>
      <c r="I355" s="1337"/>
      <c r="J355" s="1337"/>
      <c r="K355" s="1337"/>
      <c r="L355" s="1337"/>
      <c r="M355" s="1337"/>
      <c r="N355" s="1337"/>
      <c r="O355" s="1337"/>
      <c r="P355" s="1337"/>
      <c r="Q355" s="1337"/>
      <c r="R355" s="1337"/>
      <c r="S355" s="1337"/>
      <c r="T355" s="1337"/>
      <c r="U355" s="1337"/>
      <c r="V355" s="1337"/>
      <c r="W355" s="1337"/>
      <c r="X355" s="1337"/>
      <c r="Y355" s="1337"/>
      <c r="Z355" s="1337"/>
      <c r="AA355" s="1337"/>
      <c r="AB355" s="1337"/>
      <c r="AC355" s="1337"/>
      <c r="AD355" s="1337"/>
      <c r="AE355" s="1337"/>
      <c r="AF355" s="1337"/>
      <c r="AG355" s="1337"/>
    </row>
    <row r="356" spans="1:42" ht="14.25" customHeight="1" thickBot="1" x14ac:dyDescent="0.25"/>
    <row r="357" spans="1:42" ht="14.25" customHeight="1" thickBot="1" x14ac:dyDescent="0.25">
      <c r="A357" s="647">
        <v>37</v>
      </c>
      <c r="D357" s="1338" t="s">
        <v>131</v>
      </c>
      <c r="E357" s="1339"/>
      <c r="F357" s="1339"/>
      <c r="G357" s="1339"/>
      <c r="H357" s="1339"/>
      <c r="I357" s="1339"/>
      <c r="J357" s="1339"/>
      <c r="K357" s="1339"/>
      <c r="L357" s="1339"/>
      <c r="M357" s="1340"/>
      <c r="N357" s="1341" t="s">
        <v>2</v>
      </c>
      <c r="O357" s="1342"/>
      <c r="P357" s="1342"/>
      <c r="Q357" s="1342"/>
      <c r="R357" s="1342"/>
      <c r="S357" s="1342"/>
      <c r="T357" s="1342"/>
      <c r="U357" s="1342"/>
      <c r="V357" s="1342"/>
      <c r="W357" s="1342"/>
      <c r="X357" s="1341" t="s">
        <v>3</v>
      </c>
      <c r="Y357" s="1342"/>
      <c r="Z357" s="1342"/>
      <c r="AA357" s="1342"/>
      <c r="AB357" s="1342"/>
      <c r="AC357" s="1342"/>
      <c r="AD357" s="1342"/>
      <c r="AE357" s="1342"/>
      <c r="AF357" s="1342"/>
      <c r="AG357" s="1345"/>
    </row>
    <row r="358" spans="1:42" ht="14.25" customHeight="1" thickBot="1" x14ac:dyDescent="0.25">
      <c r="D358" s="1338"/>
      <c r="E358" s="1339"/>
      <c r="F358" s="1339"/>
      <c r="G358" s="1339"/>
      <c r="H358" s="1339"/>
      <c r="I358" s="1339"/>
      <c r="J358" s="1339"/>
      <c r="K358" s="1339"/>
      <c r="L358" s="1339"/>
      <c r="M358" s="1340"/>
      <c r="N358" s="1343"/>
      <c r="O358" s="1344"/>
      <c r="P358" s="1344"/>
      <c r="Q358" s="1344"/>
      <c r="R358" s="1344"/>
      <c r="S358" s="1344"/>
      <c r="T358" s="1344"/>
      <c r="U358" s="1344"/>
      <c r="V358" s="1344"/>
      <c r="W358" s="1344"/>
      <c r="X358" s="1343"/>
      <c r="Y358" s="1344"/>
      <c r="Z358" s="1344"/>
      <c r="AA358" s="1344"/>
      <c r="AB358" s="1344"/>
      <c r="AC358" s="1344"/>
      <c r="AD358" s="1344"/>
      <c r="AE358" s="1344"/>
      <c r="AF358" s="1344"/>
      <c r="AG358" s="1346"/>
      <c r="AO358" s="705" t="s">
        <v>2</v>
      </c>
      <c r="AP358" s="706" t="s">
        <v>3</v>
      </c>
    </row>
    <row r="359" spans="1:42" s="639" customFormat="1" ht="27" customHeight="1" x14ac:dyDescent="0.2">
      <c r="A359" s="677"/>
      <c r="D359" s="1347" t="s">
        <v>487</v>
      </c>
      <c r="E359" s="1348"/>
      <c r="F359" s="1348"/>
      <c r="G359" s="1348"/>
      <c r="H359" s="1348"/>
      <c r="I359" s="1348"/>
      <c r="J359" s="1348"/>
      <c r="K359" s="1348"/>
      <c r="L359" s="1348"/>
      <c r="M359" s="1349"/>
      <c r="N359" s="1350"/>
      <c r="O359" s="1350"/>
      <c r="P359" s="1350"/>
      <c r="Q359" s="1350"/>
      <c r="R359" s="1350"/>
      <c r="S359" s="1350"/>
      <c r="T359" s="1350"/>
      <c r="U359" s="1350"/>
      <c r="V359" s="1350"/>
      <c r="W359" s="1350"/>
      <c r="X359" s="1350"/>
      <c r="Y359" s="1350"/>
      <c r="Z359" s="1350"/>
      <c r="AA359" s="1350"/>
      <c r="AB359" s="1350"/>
      <c r="AC359" s="1350"/>
      <c r="AD359" s="1350"/>
      <c r="AE359" s="1350"/>
      <c r="AF359" s="1350"/>
      <c r="AG359" s="1350"/>
      <c r="AO359" s="707"/>
      <c r="AP359" s="708"/>
    </row>
    <row r="360" spans="1:42" s="639" customFormat="1" ht="27" customHeight="1" x14ac:dyDescent="0.2">
      <c r="A360" s="677"/>
      <c r="D360" s="1095" t="s">
        <v>290</v>
      </c>
      <c r="E360" s="1095"/>
      <c r="F360" s="1095"/>
      <c r="G360" s="1095"/>
      <c r="H360" s="1095"/>
      <c r="I360" s="1095"/>
      <c r="J360" s="1095"/>
      <c r="K360" s="1095"/>
      <c r="L360" s="1095"/>
      <c r="M360" s="1095"/>
      <c r="N360" s="1297">
        <v>17</v>
      </c>
      <c r="O360" s="1297"/>
      <c r="P360" s="1297"/>
      <c r="Q360" s="1297"/>
      <c r="R360" s="1297"/>
      <c r="S360" s="1297"/>
      <c r="T360" s="1297"/>
      <c r="U360" s="1297"/>
      <c r="V360" s="1297"/>
      <c r="W360" s="1297"/>
      <c r="X360" s="1297">
        <v>0</v>
      </c>
      <c r="Y360" s="1297"/>
      <c r="Z360" s="1297"/>
      <c r="AA360" s="1297"/>
      <c r="AB360" s="1297"/>
      <c r="AC360" s="1297"/>
      <c r="AD360" s="1297"/>
      <c r="AE360" s="1297"/>
      <c r="AF360" s="1297"/>
      <c r="AG360" s="1297"/>
      <c r="AO360" s="707"/>
      <c r="AP360" s="708"/>
    </row>
    <row r="361" spans="1:42" s="639" customFormat="1" ht="27" customHeight="1" x14ac:dyDescent="0.2">
      <c r="A361" s="677"/>
      <c r="D361" s="1094" t="s">
        <v>1884</v>
      </c>
      <c r="E361" s="1094"/>
      <c r="F361" s="1094"/>
      <c r="G361" s="1094"/>
      <c r="H361" s="1094"/>
      <c r="I361" s="1094"/>
      <c r="J361" s="1094"/>
      <c r="K361" s="1094"/>
      <c r="L361" s="1094"/>
      <c r="M361" s="1094"/>
      <c r="N361" s="1078">
        <v>17</v>
      </c>
      <c r="O361" s="1078"/>
      <c r="P361" s="1078"/>
      <c r="Q361" s="1078"/>
      <c r="R361" s="1078"/>
      <c r="S361" s="1078"/>
      <c r="T361" s="1078"/>
      <c r="U361" s="1078"/>
      <c r="V361" s="1078"/>
      <c r="W361" s="1078"/>
      <c r="X361" s="1078">
        <v>0</v>
      </c>
      <c r="Y361" s="1078"/>
      <c r="Z361" s="1078"/>
      <c r="AA361" s="1078"/>
      <c r="AB361" s="1078"/>
      <c r="AC361" s="1078"/>
      <c r="AD361" s="1078"/>
      <c r="AE361" s="1078"/>
      <c r="AF361" s="1078"/>
      <c r="AG361" s="1078"/>
      <c r="AO361" s="707"/>
      <c r="AP361" s="708"/>
    </row>
    <row r="362" spans="1:42" s="639" customFormat="1" ht="27" customHeight="1" x14ac:dyDescent="0.2">
      <c r="A362" s="677"/>
      <c r="D362" s="1095" t="s">
        <v>291</v>
      </c>
      <c r="E362" s="1095"/>
      <c r="F362" s="1095"/>
      <c r="G362" s="1095"/>
      <c r="H362" s="1095"/>
      <c r="I362" s="1095"/>
      <c r="J362" s="1095"/>
      <c r="K362" s="1095"/>
      <c r="L362" s="1095"/>
      <c r="M362" s="1095"/>
      <c r="N362" s="1078">
        <v>4</v>
      </c>
      <c r="O362" s="1078"/>
      <c r="P362" s="1078"/>
      <c r="Q362" s="1078"/>
      <c r="R362" s="1078"/>
      <c r="S362" s="1078"/>
      <c r="T362" s="1078"/>
      <c r="U362" s="1078"/>
      <c r="V362" s="1078"/>
      <c r="W362" s="1078"/>
      <c r="X362" s="1078">
        <v>38</v>
      </c>
      <c r="Y362" s="1078"/>
      <c r="Z362" s="1078"/>
      <c r="AA362" s="1078"/>
      <c r="AB362" s="1078"/>
      <c r="AC362" s="1078"/>
      <c r="AD362" s="1078"/>
      <c r="AE362" s="1078"/>
      <c r="AF362" s="1078"/>
      <c r="AG362" s="1078"/>
      <c r="AO362" s="668">
        <f>N362-SUM('P&amp;L'!$D$35,'P&amp;L'!$D$37,'P&amp;L'!$D$41,'P&amp;L'!$D$43,'P&amp;L'!$D$46,'P&amp;L'!$D$48,'P&amp;L'!$D$50,'P&amp;L'!$D$52)</f>
        <v>0</v>
      </c>
      <c r="AP362" s="654">
        <f>X362-SUM('P&amp;L'!$E$35,'P&amp;L'!$E$37,'P&amp;L'!$E$41,'P&amp;L'!$E$43,'P&amp;L'!$E$46,'P&amp;L'!$E$48,'P&amp;L'!$E$50,'P&amp;L'!$E$52)</f>
        <v>0</v>
      </c>
    </row>
    <row r="363" spans="1:42" s="639" customFormat="1" ht="27" customHeight="1" x14ac:dyDescent="0.2">
      <c r="A363" s="677"/>
      <c r="D363" s="1296" t="s">
        <v>292</v>
      </c>
      <c r="E363" s="1296"/>
      <c r="F363" s="1296"/>
      <c r="G363" s="1296"/>
      <c r="H363" s="1296"/>
      <c r="I363" s="1296"/>
      <c r="J363" s="1296"/>
      <c r="K363" s="1296"/>
      <c r="L363" s="1296"/>
      <c r="M363" s="1296"/>
      <c r="N363" s="1078">
        <v>0</v>
      </c>
      <c r="O363" s="1078"/>
      <c r="P363" s="1078"/>
      <c r="Q363" s="1078"/>
      <c r="R363" s="1078"/>
      <c r="S363" s="1078"/>
      <c r="T363" s="1078"/>
      <c r="U363" s="1078"/>
      <c r="V363" s="1078"/>
      <c r="W363" s="1078"/>
      <c r="X363" s="1078">
        <v>3</v>
      </c>
      <c r="Y363" s="1078"/>
      <c r="Z363" s="1078"/>
      <c r="AA363" s="1078"/>
      <c r="AB363" s="1078"/>
      <c r="AC363" s="1078"/>
      <c r="AD363" s="1078"/>
      <c r="AE363" s="1078"/>
      <c r="AF363" s="1078"/>
      <c r="AG363" s="1078"/>
      <c r="AO363" s="668">
        <f>N363-'P&amp;L'!$D$48</f>
        <v>0</v>
      </c>
      <c r="AP363" s="654">
        <f>X363-'P&amp;L'!$E$48</f>
        <v>0</v>
      </c>
    </row>
    <row r="364" spans="1:42" s="639" customFormat="1" ht="27" customHeight="1" x14ac:dyDescent="0.2">
      <c r="A364" s="677"/>
      <c r="D364" s="1094" t="s">
        <v>293</v>
      </c>
      <c r="E364" s="1094"/>
      <c r="F364" s="1094"/>
      <c r="G364" s="1094"/>
      <c r="H364" s="1094"/>
      <c r="I364" s="1094"/>
      <c r="J364" s="1094"/>
      <c r="K364" s="1094"/>
      <c r="L364" s="1094"/>
      <c r="M364" s="1094"/>
      <c r="N364" s="1078">
        <v>0</v>
      </c>
      <c r="O364" s="1078"/>
      <c r="P364" s="1078"/>
      <c r="Q364" s="1078"/>
      <c r="R364" s="1078"/>
      <c r="S364" s="1078"/>
      <c r="T364" s="1078"/>
      <c r="U364" s="1078"/>
      <c r="V364" s="1078"/>
      <c r="W364" s="1078"/>
      <c r="X364" s="1078">
        <v>0</v>
      </c>
      <c r="Y364" s="1078"/>
      <c r="Z364" s="1078"/>
      <c r="AA364" s="1078"/>
      <c r="AB364" s="1078"/>
      <c r="AC364" s="1078"/>
      <c r="AD364" s="1078"/>
      <c r="AE364" s="1078"/>
      <c r="AF364" s="1078"/>
      <c r="AG364" s="1078"/>
      <c r="AO364" s="652"/>
      <c r="AP364" s="665"/>
    </row>
    <row r="365" spans="1:42" s="639" customFormat="1" ht="27" customHeight="1" x14ac:dyDescent="0.2">
      <c r="A365" s="677"/>
      <c r="D365" s="1296" t="s">
        <v>294</v>
      </c>
      <c r="E365" s="1296"/>
      <c r="F365" s="1296"/>
      <c r="G365" s="1296"/>
      <c r="H365" s="1296"/>
      <c r="I365" s="1296"/>
      <c r="J365" s="1296"/>
      <c r="K365" s="1296"/>
      <c r="L365" s="1296"/>
      <c r="M365" s="1296"/>
      <c r="N365" s="1078">
        <v>4</v>
      </c>
      <c r="O365" s="1078"/>
      <c r="P365" s="1078"/>
      <c r="Q365" s="1078"/>
      <c r="R365" s="1078"/>
      <c r="S365" s="1078"/>
      <c r="T365" s="1078"/>
      <c r="U365" s="1078"/>
      <c r="V365" s="1078"/>
      <c r="W365" s="1078"/>
      <c r="X365" s="1078">
        <v>35</v>
      </c>
      <c r="Y365" s="1078"/>
      <c r="Z365" s="1078"/>
      <c r="AA365" s="1078"/>
      <c r="AB365" s="1078"/>
      <c r="AC365" s="1078"/>
      <c r="AD365" s="1078"/>
      <c r="AE365" s="1078"/>
      <c r="AF365" s="1078"/>
      <c r="AG365" s="1078"/>
      <c r="AO365" s="652"/>
      <c r="AP365" s="665"/>
    </row>
    <row r="366" spans="1:42" s="639" customFormat="1" ht="27" customHeight="1" x14ac:dyDescent="0.2">
      <c r="A366" s="677"/>
      <c r="D366" s="1094" t="s">
        <v>1883</v>
      </c>
      <c r="E366" s="1094"/>
      <c r="F366" s="1094"/>
      <c r="G366" s="1094"/>
      <c r="H366" s="1094"/>
      <c r="I366" s="1094"/>
      <c r="J366" s="1094"/>
      <c r="K366" s="1094"/>
      <c r="L366" s="1094"/>
      <c r="M366" s="1094"/>
      <c r="N366" s="1078">
        <v>4</v>
      </c>
      <c r="O366" s="1078"/>
      <c r="P366" s="1078"/>
      <c r="Q366" s="1078"/>
      <c r="R366" s="1078"/>
      <c r="S366" s="1078"/>
      <c r="T366" s="1078"/>
      <c r="U366" s="1078"/>
      <c r="V366" s="1078"/>
      <c r="W366" s="1078"/>
      <c r="X366" s="1078">
        <v>35</v>
      </c>
      <c r="Y366" s="1078"/>
      <c r="Z366" s="1078"/>
      <c r="AA366" s="1078"/>
      <c r="AB366" s="1078"/>
      <c r="AC366" s="1078"/>
      <c r="AD366" s="1078"/>
      <c r="AE366" s="1078"/>
      <c r="AF366" s="1078"/>
      <c r="AG366" s="1078"/>
      <c r="AO366" s="652"/>
      <c r="AP366" s="665"/>
    </row>
    <row r="367" spans="1:42" s="639" customFormat="1" ht="27" customHeight="1" x14ac:dyDescent="0.2">
      <c r="A367" s="677"/>
      <c r="D367" s="1095" t="s">
        <v>295</v>
      </c>
      <c r="E367" s="1095"/>
      <c r="F367" s="1095"/>
      <c r="G367" s="1095"/>
      <c r="H367" s="1095"/>
      <c r="I367" s="1095"/>
      <c r="J367" s="1095"/>
      <c r="K367" s="1095"/>
      <c r="L367" s="1095"/>
      <c r="M367" s="1095"/>
      <c r="N367" s="1078">
        <v>0</v>
      </c>
      <c r="O367" s="1078"/>
      <c r="P367" s="1078"/>
      <c r="Q367" s="1078"/>
      <c r="R367" s="1078"/>
      <c r="S367" s="1078"/>
      <c r="T367" s="1078"/>
      <c r="U367" s="1078"/>
      <c r="V367" s="1078"/>
      <c r="W367" s="1078"/>
      <c r="X367" s="1078">
        <v>0</v>
      </c>
      <c r="Y367" s="1078"/>
      <c r="Z367" s="1078"/>
      <c r="AA367" s="1078"/>
      <c r="AB367" s="1078"/>
      <c r="AC367" s="1078"/>
      <c r="AD367" s="1078"/>
      <c r="AE367" s="1078"/>
      <c r="AF367" s="1078"/>
      <c r="AG367" s="1078"/>
      <c r="AO367" s="668">
        <f>N367-'P&amp;L'!$D$60</f>
        <v>0</v>
      </c>
      <c r="AP367" s="654">
        <f>X367-'P&amp;L'!$E$60</f>
        <v>0</v>
      </c>
    </row>
    <row r="368" spans="1:42" ht="14.25" customHeight="1" x14ac:dyDescent="0.2">
      <c r="D368" s="704"/>
      <c r="E368" s="704"/>
      <c r="F368" s="704"/>
      <c r="G368" s="704"/>
      <c r="H368" s="704"/>
      <c r="I368" s="704"/>
      <c r="J368" s="704"/>
      <c r="K368" s="704"/>
      <c r="L368" s="704"/>
      <c r="M368" s="704"/>
    </row>
    <row r="369" spans="1:42" ht="14.25" customHeight="1" x14ac:dyDescent="0.2">
      <c r="D369" s="1048" t="s">
        <v>1460</v>
      </c>
      <c r="E369" s="1048"/>
      <c r="F369" s="1048"/>
      <c r="G369" s="1048"/>
      <c r="H369" s="1048"/>
      <c r="I369" s="1048"/>
      <c r="J369" s="1048"/>
      <c r="K369" s="1048"/>
      <c r="L369" s="1048"/>
      <c r="M369" s="1048"/>
      <c r="N369" s="1048"/>
      <c r="O369" s="1048"/>
      <c r="P369" s="1048"/>
      <c r="Q369" s="1048"/>
      <c r="R369" s="1048"/>
      <c r="S369" s="1048"/>
      <c r="T369" s="1048"/>
      <c r="U369" s="1048"/>
      <c r="V369" s="1048"/>
      <c r="W369" s="1048"/>
      <c r="X369" s="1048"/>
      <c r="Y369" s="1048"/>
      <c r="Z369" s="1048"/>
      <c r="AA369" s="1048"/>
      <c r="AB369" s="1048"/>
      <c r="AC369" s="1048"/>
      <c r="AD369" s="1048"/>
      <c r="AE369" s="1048"/>
      <c r="AF369" s="1048"/>
      <c r="AG369" s="1048"/>
    </row>
    <row r="370" spans="1:42" ht="14.25" customHeight="1" thickBot="1" x14ac:dyDescent="0.25">
      <c r="D370" s="704"/>
      <c r="E370" s="704"/>
      <c r="F370" s="704"/>
      <c r="G370" s="704"/>
      <c r="H370" s="704"/>
      <c r="I370" s="704"/>
      <c r="J370" s="704"/>
      <c r="K370" s="704"/>
      <c r="L370" s="704"/>
      <c r="M370" s="704"/>
    </row>
    <row r="371" spans="1:42" ht="14.25" customHeight="1" thickBot="1" x14ac:dyDescent="0.25">
      <c r="A371" s="647">
        <v>38</v>
      </c>
      <c r="D371" s="1301" t="s">
        <v>131</v>
      </c>
      <c r="E371" s="1302"/>
      <c r="F371" s="1302"/>
      <c r="G371" s="1302"/>
      <c r="H371" s="1302"/>
      <c r="I371" s="1302"/>
      <c r="J371" s="1302"/>
      <c r="K371" s="1302"/>
      <c r="L371" s="1302"/>
      <c r="M371" s="1303"/>
      <c r="N371" s="1069" t="s">
        <v>2</v>
      </c>
      <c r="O371" s="1070"/>
      <c r="P371" s="1070"/>
      <c r="Q371" s="1070"/>
      <c r="R371" s="1070"/>
      <c r="S371" s="1070"/>
      <c r="T371" s="1070"/>
      <c r="U371" s="1070"/>
      <c r="V371" s="1070"/>
      <c r="W371" s="1070"/>
      <c r="X371" s="1069" t="s">
        <v>3</v>
      </c>
      <c r="Y371" s="1070"/>
      <c r="Z371" s="1070"/>
      <c r="AA371" s="1070"/>
      <c r="AB371" s="1070"/>
      <c r="AC371" s="1070"/>
      <c r="AD371" s="1070"/>
      <c r="AE371" s="1070"/>
      <c r="AF371" s="1070"/>
      <c r="AG371" s="1071"/>
    </row>
    <row r="372" spans="1:42" ht="14.25" customHeight="1" thickTop="1" thickBot="1" x14ac:dyDescent="0.25">
      <c r="D372" s="1301"/>
      <c r="E372" s="1302"/>
      <c r="F372" s="1302"/>
      <c r="G372" s="1302"/>
      <c r="H372" s="1302"/>
      <c r="I372" s="1302"/>
      <c r="J372" s="1302"/>
      <c r="K372" s="1302"/>
      <c r="L372" s="1302"/>
      <c r="M372" s="1303"/>
      <c r="N372" s="1072"/>
      <c r="O372" s="1073"/>
      <c r="P372" s="1073"/>
      <c r="Q372" s="1073"/>
      <c r="R372" s="1073"/>
      <c r="S372" s="1073"/>
      <c r="T372" s="1073"/>
      <c r="U372" s="1073"/>
      <c r="V372" s="1073"/>
      <c r="W372" s="1073"/>
      <c r="X372" s="1072"/>
      <c r="Y372" s="1073"/>
      <c r="Z372" s="1073"/>
      <c r="AA372" s="1073"/>
      <c r="AB372" s="1073"/>
      <c r="AC372" s="1073"/>
      <c r="AD372" s="1073"/>
      <c r="AE372" s="1073"/>
      <c r="AF372" s="1073"/>
      <c r="AG372" s="1074"/>
      <c r="AL372" s="696" t="s">
        <v>2</v>
      </c>
      <c r="AM372" s="697" t="s">
        <v>3</v>
      </c>
      <c r="AO372" s="696" t="s">
        <v>2</v>
      </c>
      <c r="AP372" s="697" t="s">
        <v>3</v>
      </c>
    </row>
    <row r="373" spans="1:42" ht="26.25" customHeight="1" x14ac:dyDescent="0.2">
      <c r="D373" s="1304" t="s">
        <v>297</v>
      </c>
      <c r="E373" s="1305"/>
      <c r="F373" s="1305"/>
      <c r="G373" s="1305"/>
      <c r="H373" s="1305"/>
      <c r="I373" s="1305"/>
      <c r="J373" s="1305"/>
      <c r="K373" s="1305"/>
      <c r="L373" s="1305"/>
      <c r="M373" s="1306"/>
      <c r="N373" s="1307"/>
      <c r="O373" s="1307"/>
      <c r="P373" s="1307"/>
      <c r="Q373" s="1307"/>
      <c r="R373" s="1307"/>
      <c r="S373" s="1307"/>
      <c r="T373" s="1307"/>
      <c r="U373" s="1307"/>
      <c r="V373" s="1307"/>
      <c r="W373" s="1307"/>
      <c r="X373" s="1307"/>
      <c r="Y373" s="1307"/>
      <c r="Z373" s="1307"/>
      <c r="AA373" s="1307"/>
      <c r="AB373" s="1307"/>
      <c r="AC373" s="1307"/>
      <c r="AD373" s="1307"/>
      <c r="AE373" s="1307"/>
      <c r="AF373" s="1307"/>
      <c r="AG373" s="1307"/>
      <c r="AL373" s="688"/>
      <c r="AM373" s="686"/>
      <c r="AO373" s="676">
        <f>N373+N374-'P&amp;L'!$D$13+N376+N378+N377</f>
        <v>3335736</v>
      </c>
      <c r="AP373" s="660">
        <f>X373+X374-'P&amp;L'!$E$13+X376+X377+X378</f>
        <v>1888314</v>
      </c>
    </row>
    <row r="374" spans="1:42" ht="26.25" customHeight="1" x14ac:dyDescent="0.2">
      <c r="D374" s="1066" t="s">
        <v>298</v>
      </c>
      <c r="E374" s="1067"/>
      <c r="F374" s="1067"/>
      <c r="G374" s="1067"/>
      <c r="H374" s="1067"/>
      <c r="I374" s="1067"/>
      <c r="J374" s="1067"/>
      <c r="K374" s="1067"/>
      <c r="L374" s="1067"/>
      <c r="M374" s="1068"/>
      <c r="N374" s="1099">
        <v>3335719</v>
      </c>
      <c r="O374" s="1099"/>
      <c r="P374" s="1099"/>
      <c r="Q374" s="1099"/>
      <c r="R374" s="1099"/>
      <c r="S374" s="1099"/>
      <c r="T374" s="1099"/>
      <c r="U374" s="1099"/>
      <c r="V374" s="1099"/>
      <c r="W374" s="1099"/>
      <c r="X374" s="1099">
        <v>1864966</v>
      </c>
      <c r="Y374" s="1099"/>
      <c r="Z374" s="1099"/>
      <c r="AA374" s="1099"/>
      <c r="AB374" s="1099"/>
      <c r="AC374" s="1099"/>
      <c r="AD374" s="1099"/>
      <c r="AE374" s="1099"/>
      <c r="AF374" s="1099"/>
      <c r="AG374" s="1099"/>
      <c r="AL374" s="408"/>
      <c r="AM374" s="407"/>
      <c r="AO374" s="668">
        <f>AO373</f>
        <v>3335736</v>
      </c>
      <c r="AP374" s="654">
        <f>AP373</f>
        <v>1888314</v>
      </c>
    </row>
    <row r="375" spans="1:42" ht="26.25" customHeight="1" x14ac:dyDescent="0.2">
      <c r="D375" s="1066" t="s">
        <v>299</v>
      </c>
      <c r="E375" s="1067"/>
      <c r="F375" s="1067"/>
      <c r="G375" s="1067"/>
      <c r="H375" s="1067"/>
      <c r="I375" s="1067"/>
      <c r="J375" s="1067"/>
      <c r="K375" s="1067"/>
      <c r="L375" s="1067"/>
      <c r="M375" s="1068"/>
      <c r="N375" s="1099"/>
      <c r="O375" s="1099"/>
      <c r="P375" s="1099"/>
      <c r="Q375" s="1099"/>
      <c r="R375" s="1099"/>
      <c r="S375" s="1099"/>
      <c r="T375" s="1099"/>
      <c r="U375" s="1099"/>
      <c r="V375" s="1099"/>
      <c r="W375" s="1099"/>
      <c r="X375" s="1099"/>
      <c r="Y375" s="1099"/>
      <c r="Z375" s="1099"/>
      <c r="AA375" s="1099"/>
      <c r="AB375" s="1099"/>
      <c r="AC375" s="1099"/>
      <c r="AD375" s="1099"/>
      <c r="AE375" s="1099"/>
      <c r="AF375" s="1099"/>
      <c r="AG375" s="1099"/>
      <c r="AL375" s="408"/>
      <c r="AM375" s="407"/>
      <c r="AO375" s="668">
        <f>N375-'P&amp;L'!$D$9</f>
        <v>0</v>
      </c>
      <c r="AP375" s="654">
        <f>X375-'P&amp;L'!$E$9</f>
        <v>0</v>
      </c>
    </row>
    <row r="376" spans="1:42" ht="26.25" customHeight="1" x14ac:dyDescent="0.2">
      <c r="D376" s="1066" t="s">
        <v>300</v>
      </c>
      <c r="E376" s="1067"/>
      <c r="F376" s="1067"/>
      <c r="G376" s="1067"/>
      <c r="H376" s="1067"/>
      <c r="I376" s="1067"/>
      <c r="J376" s="1067"/>
      <c r="K376" s="1067"/>
      <c r="L376" s="1067"/>
      <c r="M376" s="1068"/>
      <c r="N376" s="1297"/>
      <c r="O376" s="1297"/>
      <c r="P376" s="1297"/>
      <c r="Q376" s="1297"/>
      <c r="R376" s="1297"/>
      <c r="S376" s="1297"/>
      <c r="T376" s="1297"/>
      <c r="U376" s="1297"/>
      <c r="V376" s="1297"/>
      <c r="W376" s="1297"/>
      <c r="X376" s="1297"/>
      <c r="Y376" s="1297"/>
      <c r="Z376" s="1297"/>
      <c r="AA376" s="1297"/>
      <c r="AB376" s="1297"/>
      <c r="AC376" s="1297"/>
      <c r="AD376" s="1297"/>
      <c r="AE376" s="1297"/>
      <c r="AF376" s="1297"/>
      <c r="AG376" s="1297"/>
      <c r="AL376" s="408"/>
      <c r="AM376" s="407"/>
      <c r="AO376" s="707"/>
      <c r="AP376" s="708"/>
    </row>
    <row r="377" spans="1:42" ht="26.25" customHeight="1" x14ac:dyDescent="0.2">
      <c r="D377" s="1066" t="s">
        <v>301</v>
      </c>
      <c r="E377" s="1067"/>
      <c r="F377" s="1067"/>
      <c r="G377" s="1067"/>
      <c r="H377" s="1067"/>
      <c r="I377" s="1067"/>
      <c r="J377" s="1067"/>
      <c r="K377" s="1067"/>
      <c r="L377" s="1067"/>
      <c r="M377" s="1068"/>
      <c r="N377" s="1078"/>
      <c r="O377" s="1078"/>
      <c r="P377" s="1078"/>
      <c r="Q377" s="1078"/>
      <c r="R377" s="1078"/>
      <c r="S377" s="1078"/>
      <c r="T377" s="1078"/>
      <c r="U377" s="1078"/>
      <c r="V377" s="1078"/>
      <c r="W377" s="1078"/>
      <c r="X377" s="1078"/>
      <c r="Y377" s="1078"/>
      <c r="Z377" s="1078"/>
      <c r="AA377" s="1078"/>
      <c r="AB377" s="1078"/>
      <c r="AC377" s="1078"/>
      <c r="AD377" s="1078"/>
      <c r="AE377" s="1078"/>
      <c r="AF377" s="1078"/>
      <c r="AG377" s="1078"/>
      <c r="AL377" s="408"/>
      <c r="AM377" s="407"/>
      <c r="AO377" s="668"/>
      <c r="AP377" s="654"/>
    </row>
    <row r="378" spans="1:42" ht="26.25" customHeight="1" x14ac:dyDescent="0.2">
      <c r="D378" s="1066" t="s">
        <v>302</v>
      </c>
      <c r="E378" s="1067"/>
      <c r="F378" s="1067"/>
      <c r="G378" s="1067"/>
      <c r="H378" s="1067"/>
      <c r="I378" s="1067"/>
      <c r="J378" s="1067"/>
      <c r="K378" s="1067"/>
      <c r="L378" s="1067"/>
      <c r="M378" s="1068"/>
      <c r="N378" s="1311">
        <v>17</v>
      </c>
      <c r="O378" s="1311"/>
      <c r="P378" s="1311"/>
      <c r="Q378" s="1311"/>
      <c r="R378" s="1311"/>
      <c r="S378" s="1311"/>
      <c r="T378" s="1311"/>
      <c r="U378" s="1311"/>
      <c r="V378" s="1311"/>
      <c r="W378" s="1311"/>
      <c r="X378" s="1099">
        <v>23348</v>
      </c>
      <c r="Y378" s="1099"/>
      <c r="Z378" s="1099"/>
      <c r="AA378" s="1099"/>
      <c r="AB378" s="1099"/>
      <c r="AC378" s="1099"/>
      <c r="AD378" s="1099"/>
      <c r="AE378" s="1099"/>
      <c r="AF378" s="1099"/>
      <c r="AG378" s="1099"/>
      <c r="AL378" s="408"/>
      <c r="AM378" s="407"/>
      <c r="AO378" s="707"/>
      <c r="AP378" s="708"/>
    </row>
    <row r="379" spans="1:42" ht="26.25" customHeight="1" thickBot="1" x14ac:dyDescent="0.25">
      <c r="D379" s="1308" t="s">
        <v>303</v>
      </c>
      <c r="E379" s="1309"/>
      <c r="F379" s="1309"/>
      <c r="G379" s="1309"/>
      <c r="H379" s="1309"/>
      <c r="I379" s="1309"/>
      <c r="J379" s="1309"/>
      <c r="K379" s="1309"/>
      <c r="L379" s="1309"/>
      <c r="M379" s="1310"/>
      <c r="N379" s="1312">
        <f>SUM(N373:W378)</f>
        <v>3335736</v>
      </c>
      <c r="O379" s="1312"/>
      <c r="P379" s="1312"/>
      <c r="Q379" s="1312"/>
      <c r="R379" s="1312"/>
      <c r="S379" s="1312"/>
      <c r="T379" s="1312"/>
      <c r="U379" s="1312"/>
      <c r="V379" s="1312"/>
      <c r="W379" s="1312"/>
      <c r="X379" s="1312">
        <f>SUM(X373:AG378)</f>
        <v>1888314</v>
      </c>
      <c r="Y379" s="1312"/>
      <c r="Z379" s="1312"/>
      <c r="AA379" s="1312"/>
      <c r="AB379" s="1312"/>
      <c r="AC379" s="1312"/>
      <c r="AD379" s="1312"/>
      <c r="AE379" s="1312"/>
      <c r="AF379" s="1312"/>
      <c r="AG379" s="1312"/>
      <c r="AL379" s="709">
        <f>SUM(N373:W378)-N379</f>
        <v>0</v>
      </c>
      <c r="AM379" s="687">
        <f>SUM(X373:AG378)-X379</f>
        <v>0</v>
      </c>
      <c r="AO379" s="824">
        <f>N379-'P&amp;L'!D13</f>
        <v>3335736</v>
      </c>
      <c r="AP379" s="825">
        <f>X379-'P&amp;L'!E13</f>
        <v>1888314</v>
      </c>
    </row>
    <row r="388" spans="1:42" ht="14.25" customHeight="1" x14ac:dyDescent="0.2">
      <c r="D388" s="1046" t="s">
        <v>1461</v>
      </c>
      <c r="E388" s="1046"/>
      <c r="F388" s="1046"/>
      <c r="G388" s="1046"/>
      <c r="H388" s="1046"/>
      <c r="I388" s="1046"/>
      <c r="J388" s="1046"/>
      <c r="K388" s="1046"/>
      <c r="L388" s="1046"/>
      <c r="M388" s="1046"/>
      <c r="N388" s="1046"/>
      <c r="O388" s="1046"/>
      <c r="P388" s="1046"/>
      <c r="Q388" s="1046"/>
      <c r="R388" s="1046"/>
      <c r="S388" s="1046"/>
      <c r="T388" s="1046"/>
      <c r="U388" s="1046"/>
      <c r="V388" s="1046"/>
      <c r="W388" s="1046"/>
      <c r="X388" s="1046"/>
      <c r="Y388" s="1046"/>
      <c r="Z388" s="1046"/>
      <c r="AA388" s="1046"/>
      <c r="AB388" s="1046"/>
      <c r="AC388" s="1046"/>
      <c r="AD388" s="1046"/>
      <c r="AE388" s="1046"/>
      <c r="AF388" s="1046"/>
      <c r="AG388" s="1046"/>
    </row>
    <row r="390" spans="1:42" ht="14.25" customHeight="1" x14ac:dyDescent="0.2">
      <c r="D390" s="1048" t="s">
        <v>1462</v>
      </c>
      <c r="E390" s="1048"/>
      <c r="F390" s="1048"/>
      <c r="G390" s="1048"/>
      <c r="H390" s="1048"/>
      <c r="I390" s="1048"/>
      <c r="J390" s="1048"/>
      <c r="K390" s="1048"/>
      <c r="L390" s="1048"/>
      <c r="M390" s="1048"/>
      <c r="N390" s="1048"/>
      <c r="O390" s="1048"/>
      <c r="P390" s="1048"/>
      <c r="Q390" s="1048"/>
      <c r="R390" s="1048"/>
      <c r="S390" s="1048"/>
      <c r="T390" s="1048"/>
      <c r="U390" s="1048"/>
      <c r="V390" s="1048"/>
      <c r="W390" s="1048"/>
      <c r="X390" s="1048"/>
      <c r="Y390" s="1048"/>
      <c r="Z390" s="1048"/>
      <c r="AA390" s="1048"/>
      <c r="AB390" s="1048"/>
      <c r="AC390" s="1048"/>
      <c r="AD390" s="1048"/>
      <c r="AE390" s="1048"/>
      <c r="AF390" s="1048"/>
      <c r="AG390" s="1048"/>
    </row>
    <row r="391" spans="1:42" ht="14.25" customHeight="1" thickBot="1" x14ac:dyDescent="0.25"/>
    <row r="392" spans="1:42" ht="14.25" customHeight="1" thickBot="1" x14ac:dyDescent="0.25">
      <c r="A392" s="647">
        <v>39</v>
      </c>
      <c r="D392" s="1225" t="s">
        <v>131</v>
      </c>
      <c r="E392" s="1226"/>
      <c r="F392" s="1226"/>
      <c r="G392" s="1226"/>
      <c r="H392" s="1226"/>
      <c r="I392" s="1226"/>
      <c r="J392" s="1226"/>
      <c r="K392" s="1226"/>
      <c r="L392" s="1226"/>
      <c r="M392" s="1227"/>
      <c r="N392" s="1069" t="s">
        <v>2</v>
      </c>
      <c r="O392" s="1070"/>
      <c r="P392" s="1070"/>
      <c r="Q392" s="1070"/>
      <c r="R392" s="1070"/>
      <c r="S392" s="1070"/>
      <c r="T392" s="1070"/>
      <c r="U392" s="1070"/>
      <c r="V392" s="1070"/>
      <c r="W392" s="1070"/>
      <c r="X392" s="1069" t="s">
        <v>3</v>
      </c>
      <c r="Y392" s="1070"/>
      <c r="Z392" s="1070"/>
      <c r="AA392" s="1070"/>
      <c r="AB392" s="1070"/>
      <c r="AC392" s="1070"/>
      <c r="AD392" s="1070"/>
      <c r="AE392" s="1070"/>
      <c r="AF392" s="1070"/>
      <c r="AG392" s="1071"/>
    </row>
    <row r="393" spans="1:42" ht="14.25" customHeight="1" thickTop="1" thickBot="1" x14ac:dyDescent="0.25">
      <c r="D393" s="1228"/>
      <c r="E393" s="1229"/>
      <c r="F393" s="1229"/>
      <c r="G393" s="1229"/>
      <c r="H393" s="1229"/>
      <c r="I393" s="1229"/>
      <c r="J393" s="1229"/>
      <c r="K393" s="1229"/>
      <c r="L393" s="1229"/>
      <c r="M393" s="1230"/>
      <c r="N393" s="1072"/>
      <c r="O393" s="1073"/>
      <c r="P393" s="1073"/>
      <c r="Q393" s="1073"/>
      <c r="R393" s="1073"/>
      <c r="S393" s="1073"/>
      <c r="T393" s="1073"/>
      <c r="U393" s="1073"/>
      <c r="V393" s="1073"/>
      <c r="W393" s="1073"/>
      <c r="X393" s="1072"/>
      <c r="Y393" s="1073"/>
      <c r="Z393" s="1073"/>
      <c r="AA393" s="1073"/>
      <c r="AB393" s="1073"/>
      <c r="AC393" s="1073"/>
      <c r="AD393" s="1073"/>
      <c r="AE393" s="1073"/>
      <c r="AF393" s="1073"/>
      <c r="AG393" s="1074"/>
      <c r="AL393" s="698" t="s">
        <v>2</v>
      </c>
      <c r="AM393" s="702" t="s">
        <v>3</v>
      </c>
      <c r="AO393" s="698" t="s">
        <v>2</v>
      </c>
      <c r="AP393" s="702" t="s">
        <v>3</v>
      </c>
    </row>
    <row r="394" spans="1:42" s="20" customFormat="1" ht="29.25" customHeight="1" x14ac:dyDescent="0.2">
      <c r="A394" s="700"/>
      <c r="D394" s="1234" t="s">
        <v>305</v>
      </c>
      <c r="E394" s="1235"/>
      <c r="F394" s="1235"/>
      <c r="G394" s="1235"/>
      <c r="H394" s="1235"/>
      <c r="I394" s="1235"/>
      <c r="J394" s="1235"/>
      <c r="K394" s="1235"/>
      <c r="L394" s="1235"/>
      <c r="M394" s="1236"/>
      <c r="N394" s="1078">
        <v>3192113</v>
      </c>
      <c r="O394" s="1078"/>
      <c r="P394" s="1078"/>
      <c r="Q394" s="1078"/>
      <c r="R394" s="1078"/>
      <c r="S394" s="1078"/>
      <c r="T394" s="1078"/>
      <c r="U394" s="1078"/>
      <c r="V394" s="1078"/>
      <c r="W394" s="1078"/>
      <c r="X394" s="1078">
        <v>1740405</v>
      </c>
      <c r="Y394" s="1078"/>
      <c r="Z394" s="1078"/>
      <c r="AA394" s="1078"/>
      <c r="AB394" s="1078"/>
      <c r="AC394" s="1078"/>
      <c r="AD394" s="1078"/>
      <c r="AE394" s="1078"/>
      <c r="AF394" s="1078"/>
      <c r="AG394" s="1078"/>
      <c r="AL394" s="676">
        <f>SUM(N395,N401)-N394</f>
        <v>0</v>
      </c>
      <c r="AM394" s="660">
        <f>SUM(X395,X401)-X394</f>
        <v>0</v>
      </c>
      <c r="AO394" s="676">
        <f>N394-'P&amp;L'!$D$18</f>
        <v>12700</v>
      </c>
      <c r="AP394" s="660">
        <f>X394-'P&amp;L'!$E$18</f>
        <v>0</v>
      </c>
    </row>
    <row r="395" spans="1:42" s="20" customFormat="1" ht="29.25" customHeight="1" x14ac:dyDescent="0.2">
      <c r="A395" s="700"/>
      <c r="D395" s="1237" t="s">
        <v>306</v>
      </c>
      <c r="E395" s="1238"/>
      <c r="F395" s="1238"/>
      <c r="G395" s="1238"/>
      <c r="H395" s="1238"/>
      <c r="I395" s="1238"/>
      <c r="J395" s="1238"/>
      <c r="K395" s="1238"/>
      <c r="L395" s="1238"/>
      <c r="M395" s="1239"/>
      <c r="N395" s="1099">
        <v>2050</v>
      </c>
      <c r="O395" s="1099"/>
      <c r="P395" s="1099"/>
      <c r="Q395" s="1099"/>
      <c r="R395" s="1099"/>
      <c r="S395" s="1099"/>
      <c r="T395" s="1099"/>
      <c r="U395" s="1099"/>
      <c r="V395" s="1099"/>
      <c r="W395" s="1099"/>
      <c r="X395" s="1099">
        <v>2000</v>
      </c>
      <c r="Y395" s="1099"/>
      <c r="Z395" s="1099"/>
      <c r="AA395" s="1099"/>
      <c r="AB395" s="1099"/>
      <c r="AC395" s="1099"/>
      <c r="AD395" s="1099"/>
      <c r="AE395" s="1099"/>
      <c r="AF395" s="1099"/>
      <c r="AG395" s="1099"/>
      <c r="AL395" s="668">
        <f>SUM(N396:W400)-N395</f>
        <v>0</v>
      </c>
      <c r="AM395" s="654">
        <f>SUM(X396:AG400)-X395</f>
        <v>0</v>
      </c>
      <c r="AO395" s="668"/>
      <c r="AP395" s="654"/>
    </row>
    <row r="396" spans="1:42" s="20" customFormat="1" ht="29.25" customHeight="1" x14ac:dyDescent="0.2">
      <c r="A396" s="700"/>
      <c r="D396" s="1066" t="s">
        <v>307</v>
      </c>
      <c r="E396" s="1067"/>
      <c r="F396" s="1067"/>
      <c r="G396" s="1067"/>
      <c r="H396" s="1067"/>
      <c r="I396" s="1067"/>
      <c r="J396" s="1067"/>
      <c r="K396" s="1067"/>
      <c r="L396" s="1067"/>
      <c r="M396" s="1068"/>
      <c r="N396" s="1099">
        <v>2050</v>
      </c>
      <c r="O396" s="1099"/>
      <c r="P396" s="1099"/>
      <c r="Q396" s="1099"/>
      <c r="R396" s="1099"/>
      <c r="S396" s="1099"/>
      <c r="T396" s="1099"/>
      <c r="U396" s="1099"/>
      <c r="V396" s="1099"/>
      <c r="W396" s="1099"/>
      <c r="X396" s="1099">
        <v>2000</v>
      </c>
      <c r="Y396" s="1099"/>
      <c r="Z396" s="1099"/>
      <c r="AA396" s="1099"/>
      <c r="AB396" s="1099"/>
      <c r="AC396" s="1099"/>
      <c r="AD396" s="1099"/>
      <c r="AE396" s="1099"/>
      <c r="AF396" s="1099"/>
      <c r="AG396" s="1099"/>
      <c r="AL396" s="652"/>
      <c r="AM396" s="654"/>
      <c r="AO396" s="712"/>
      <c r="AP396" s="713"/>
    </row>
    <row r="397" spans="1:42" s="20" customFormat="1" ht="29.25" customHeight="1" x14ac:dyDescent="0.2">
      <c r="A397" s="700"/>
      <c r="D397" s="1066" t="s">
        <v>308</v>
      </c>
      <c r="E397" s="1067"/>
      <c r="F397" s="1067"/>
      <c r="G397" s="1067"/>
      <c r="H397" s="1067"/>
      <c r="I397" s="1067"/>
      <c r="J397" s="1067"/>
      <c r="K397" s="1067"/>
      <c r="L397" s="1067"/>
      <c r="M397" s="1068"/>
      <c r="N397" s="1099"/>
      <c r="O397" s="1099"/>
      <c r="P397" s="1099"/>
      <c r="Q397" s="1099"/>
      <c r="R397" s="1099"/>
      <c r="S397" s="1099"/>
      <c r="T397" s="1099"/>
      <c r="U397" s="1099"/>
      <c r="V397" s="1099"/>
      <c r="W397" s="1099"/>
      <c r="X397" s="1099"/>
      <c r="Y397" s="1099"/>
      <c r="Z397" s="1099"/>
      <c r="AA397" s="1099"/>
      <c r="AB397" s="1099"/>
      <c r="AC397" s="1099"/>
      <c r="AD397" s="1099"/>
      <c r="AE397" s="1099"/>
      <c r="AF397" s="1099"/>
      <c r="AG397" s="1099"/>
      <c r="AL397" s="652"/>
      <c r="AM397" s="654"/>
      <c r="AO397" s="714"/>
      <c r="AP397" s="715"/>
    </row>
    <row r="398" spans="1:42" s="20" customFormat="1" ht="29.25" customHeight="1" x14ac:dyDescent="0.2">
      <c r="A398" s="700"/>
      <c r="D398" s="1066" t="s">
        <v>309</v>
      </c>
      <c r="E398" s="1067"/>
      <c r="F398" s="1067"/>
      <c r="G398" s="1067"/>
      <c r="H398" s="1067"/>
      <c r="I398" s="1067"/>
      <c r="J398" s="1067"/>
      <c r="K398" s="1067"/>
      <c r="L398" s="1067"/>
      <c r="M398" s="1068"/>
      <c r="N398" s="1099"/>
      <c r="O398" s="1099"/>
      <c r="P398" s="1099"/>
      <c r="Q398" s="1099"/>
      <c r="R398" s="1099"/>
      <c r="S398" s="1099"/>
      <c r="T398" s="1099"/>
      <c r="U398" s="1099"/>
      <c r="V398" s="1099"/>
      <c r="W398" s="1099"/>
      <c r="X398" s="1099"/>
      <c r="Y398" s="1099"/>
      <c r="Z398" s="1099"/>
      <c r="AA398" s="1099"/>
      <c r="AB398" s="1099"/>
      <c r="AC398" s="1099"/>
      <c r="AD398" s="1099"/>
      <c r="AE398" s="1099"/>
      <c r="AF398" s="1099"/>
      <c r="AG398" s="1099"/>
      <c r="AL398" s="652"/>
      <c r="AM398" s="654"/>
      <c r="AO398" s="712"/>
      <c r="AP398" s="713"/>
    </row>
    <row r="399" spans="1:42" s="20" customFormat="1" ht="29.25" customHeight="1" x14ac:dyDescent="0.2">
      <c r="A399" s="700"/>
      <c r="D399" s="1066" t="s">
        <v>310</v>
      </c>
      <c r="E399" s="1067"/>
      <c r="F399" s="1067"/>
      <c r="G399" s="1067"/>
      <c r="H399" s="1067"/>
      <c r="I399" s="1067"/>
      <c r="J399" s="1067"/>
      <c r="K399" s="1067"/>
      <c r="L399" s="1067"/>
      <c r="M399" s="1068"/>
      <c r="N399" s="1099"/>
      <c r="O399" s="1099"/>
      <c r="P399" s="1099"/>
      <c r="Q399" s="1099"/>
      <c r="R399" s="1099"/>
      <c r="S399" s="1099"/>
      <c r="T399" s="1099"/>
      <c r="U399" s="1099"/>
      <c r="V399" s="1099"/>
      <c r="W399" s="1099"/>
      <c r="X399" s="1099"/>
      <c r="Y399" s="1099"/>
      <c r="Z399" s="1099"/>
      <c r="AA399" s="1099"/>
      <c r="AB399" s="1099"/>
      <c r="AC399" s="1099"/>
      <c r="AD399" s="1099"/>
      <c r="AE399" s="1099"/>
      <c r="AF399" s="1099"/>
      <c r="AG399" s="1099"/>
      <c r="AL399" s="652"/>
      <c r="AM399" s="654"/>
      <c r="AO399" s="714"/>
      <c r="AP399" s="715"/>
    </row>
    <row r="400" spans="1:42" s="20" customFormat="1" ht="29.25" customHeight="1" x14ac:dyDescent="0.2">
      <c r="A400" s="700"/>
      <c r="D400" s="1066" t="s">
        <v>311</v>
      </c>
      <c r="E400" s="1067"/>
      <c r="F400" s="1067"/>
      <c r="G400" s="1067"/>
      <c r="H400" s="1067"/>
      <c r="I400" s="1067"/>
      <c r="J400" s="1067"/>
      <c r="K400" s="1067"/>
      <c r="L400" s="1067"/>
      <c r="M400" s="1068"/>
      <c r="N400" s="1099"/>
      <c r="O400" s="1099"/>
      <c r="P400" s="1099"/>
      <c r="Q400" s="1099"/>
      <c r="R400" s="1099"/>
      <c r="S400" s="1099"/>
      <c r="T400" s="1099"/>
      <c r="U400" s="1099"/>
      <c r="V400" s="1099"/>
      <c r="W400" s="1099"/>
      <c r="X400" s="1099"/>
      <c r="Y400" s="1099"/>
      <c r="Z400" s="1099"/>
      <c r="AA400" s="1099"/>
      <c r="AB400" s="1099"/>
      <c r="AC400" s="1099"/>
      <c r="AD400" s="1099"/>
      <c r="AE400" s="1099"/>
      <c r="AF400" s="1099"/>
      <c r="AG400" s="1099"/>
      <c r="AL400" s="668"/>
      <c r="AM400" s="654"/>
      <c r="AO400" s="714"/>
      <c r="AP400" s="715"/>
    </row>
    <row r="401" spans="1:42" s="20" customFormat="1" ht="29.25" customHeight="1" x14ac:dyDescent="0.2">
      <c r="A401" s="700"/>
      <c r="D401" s="1100" t="s">
        <v>312</v>
      </c>
      <c r="E401" s="1101"/>
      <c r="F401" s="1101"/>
      <c r="G401" s="1101"/>
      <c r="H401" s="1101"/>
      <c r="I401" s="1101"/>
      <c r="J401" s="1101"/>
      <c r="K401" s="1101"/>
      <c r="L401" s="1101"/>
      <c r="M401" s="1102"/>
      <c r="N401" s="1078">
        <f>3190813-750</f>
        <v>3190063</v>
      </c>
      <c r="O401" s="1078"/>
      <c r="P401" s="1078"/>
      <c r="Q401" s="1078"/>
      <c r="R401" s="1078"/>
      <c r="S401" s="1078"/>
      <c r="T401" s="1078"/>
      <c r="U401" s="1078"/>
      <c r="V401" s="1078"/>
      <c r="W401" s="1078"/>
      <c r="X401" s="1078">
        <v>1738405</v>
      </c>
      <c r="Y401" s="1078"/>
      <c r="Z401" s="1078"/>
      <c r="AA401" s="1078"/>
      <c r="AB401" s="1078"/>
      <c r="AC401" s="1078"/>
      <c r="AD401" s="1078"/>
      <c r="AE401" s="1078"/>
      <c r="AF401" s="1078"/>
      <c r="AG401" s="1078"/>
      <c r="AL401" s="668">
        <f>SUM(N402:W405)-N401</f>
        <v>-36832</v>
      </c>
      <c r="AM401" s="654">
        <f>SUM(X402:AG405)-X401</f>
        <v>-8875</v>
      </c>
      <c r="AO401" s="712"/>
      <c r="AP401" s="713"/>
    </row>
    <row r="402" spans="1:42" s="20" customFormat="1" ht="29.25" customHeight="1" x14ac:dyDescent="0.2">
      <c r="A402" s="700"/>
      <c r="D402" s="1094" t="s">
        <v>1885</v>
      </c>
      <c r="E402" s="1095"/>
      <c r="F402" s="1095"/>
      <c r="G402" s="1095"/>
      <c r="H402" s="1095"/>
      <c r="I402" s="1095"/>
      <c r="J402" s="1095"/>
      <c r="K402" s="1095"/>
      <c r="L402" s="1095"/>
      <c r="M402" s="1095"/>
      <c r="N402" s="1078">
        <v>3150179</v>
      </c>
      <c r="O402" s="1078"/>
      <c r="P402" s="1078"/>
      <c r="Q402" s="1078"/>
      <c r="R402" s="1078"/>
      <c r="S402" s="1078"/>
      <c r="T402" s="1078"/>
      <c r="U402" s="1078"/>
      <c r="V402" s="1078"/>
      <c r="W402" s="1078"/>
      <c r="X402" s="1078">
        <v>1712062</v>
      </c>
      <c r="Y402" s="1078"/>
      <c r="Z402" s="1078"/>
      <c r="AA402" s="1078"/>
      <c r="AB402" s="1078"/>
      <c r="AC402" s="1078"/>
      <c r="AD402" s="1078"/>
      <c r="AE402" s="1078"/>
      <c r="AF402" s="1078"/>
      <c r="AG402" s="1078"/>
      <c r="AL402" s="652"/>
      <c r="AM402" s="654"/>
      <c r="AO402" s="652"/>
      <c r="AP402" s="665"/>
    </row>
    <row r="403" spans="1:42" s="20" customFormat="1" ht="29.25" customHeight="1" x14ac:dyDescent="0.2">
      <c r="A403" s="967"/>
      <c r="D403" s="1094" t="s">
        <v>1918</v>
      </c>
      <c r="E403" s="1095"/>
      <c r="F403" s="1095"/>
      <c r="G403" s="1095"/>
      <c r="H403" s="1095"/>
      <c r="I403" s="1095"/>
      <c r="J403" s="1095"/>
      <c r="K403" s="1095"/>
      <c r="L403" s="1095"/>
      <c r="M403" s="1095"/>
      <c r="N403" s="1078"/>
      <c r="O403" s="1078"/>
      <c r="P403" s="1078"/>
      <c r="Q403" s="1078"/>
      <c r="R403" s="1078"/>
      <c r="S403" s="1078"/>
      <c r="T403" s="1078"/>
      <c r="U403" s="1078"/>
      <c r="V403" s="1078"/>
      <c r="W403" s="1078"/>
      <c r="X403" s="1078">
        <v>11912</v>
      </c>
      <c r="Y403" s="1078"/>
      <c r="Z403" s="1078"/>
      <c r="AA403" s="1078"/>
      <c r="AB403" s="1078"/>
      <c r="AC403" s="1078"/>
      <c r="AD403" s="1078"/>
      <c r="AE403" s="1078"/>
      <c r="AF403" s="1078"/>
      <c r="AG403" s="1078"/>
      <c r="AL403" s="652"/>
      <c r="AM403" s="654"/>
      <c r="AO403" s="652"/>
      <c r="AP403" s="665"/>
    </row>
    <row r="404" spans="1:42" s="20" customFormat="1" ht="29.25" customHeight="1" x14ac:dyDescent="0.2">
      <c r="A404" s="700"/>
      <c r="D404" s="1094" t="s">
        <v>1886</v>
      </c>
      <c r="E404" s="1094"/>
      <c r="F404" s="1094"/>
      <c r="G404" s="1094"/>
      <c r="H404" s="1094"/>
      <c r="I404" s="1094"/>
      <c r="J404" s="1094"/>
      <c r="K404" s="1094"/>
      <c r="L404" s="1094"/>
      <c r="M404" s="1094"/>
      <c r="N404" s="1078">
        <v>0</v>
      </c>
      <c r="O404" s="1078"/>
      <c r="P404" s="1078"/>
      <c r="Q404" s="1078"/>
      <c r="R404" s="1078"/>
      <c r="S404" s="1078"/>
      <c r="T404" s="1078"/>
      <c r="U404" s="1078"/>
      <c r="V404" s="1078"/>
      <c r="W404" s="1078"/>
      <c r="X404" s="1078">
        <v>1524</v>
      </c>
      <c r="Y404" s="1078"/>
      <c r="Z404" s="1078"/>
      <c r="AA404" s="1078"/>
      <c r="AB404" s="1078"/>
      <c r="AC404" s="1078"/>
      <c r="AD404" s="1078"/>
      <c r="AE404" s="1078"/>
      <c r="AF404" s="1078"/>
      <c r="AG404" s="1078"/>
      <c r="AL404" s="652"/>
      <c r="AM404" s="654"/>
      <c r="AO404" s="652"/>
      <c r="AP404" s="665"/>
    </row>
    <row r="405" spans="1:42" s="20" customFormat="1" ht="29.25" customHeight="1" x14ac:dyDescent="0.2">
      <c r="A405" s="700"/>
      <c r="D405" s="1094" t="s">
        <v>1887</v>
      </c>
      <c r="E405" s="1094"/>
      <c r="F405" s="1094"/>
      <c r="G405" s="1094"/>
      <c r="H405" s="1094"/>
      <c r="I405" s="1094"/>
      <c r="J405" s="1094"/>
      <c r="K405" s="1094"/>
      <c r="L405" s="1094"/>
      <c r="M405" s="1094"/>
      <c r="N405" s="1078">
        <v>3052</v>
      </c>
      <c r="O405" s="1078"/>
      <c r="P405" s="1078"/>
      <c r="Q405" s="1078"/>
      <c r="R405" s="1078"/>
      <c r="S405" s="1078"/>
      <c r="T405" s="1078"/>
      <c r="U405" s="1078"/>
      <c r="V405" s="1078"/>
      <c r="W405" s="1078"/>
      <c r="X405" s="1078">
        <v>4032</v>
      </c>
      <c r="Y405" s="1078"/>
      <c r="Z405" s="1078"/>
      <c r="AA405" s="1078"/>
      <c r="AB405" s="1078"/>
      <c r="AC405" s="1078"/>
      <c r="AD405" s="1078"/>
      <c r="AE405" s="1078"/>
      <c r="AF405" s="1078"/>
      <c r="AG405" s="1078"/>
      <c r="AL405" s="652"/>
      <c r="AM405" s="654"/>
      <c r="AO405" s="652"/>
      <c r="AP405" s="665"/>
    </row>
    <row r="406" spans="1:42" s="20" customFormat="1" ht="29.25" customHeight="1" x14ac:dyDescent="0.2">
      <c r="A406" s="967"/>
      <c r="D406" s="1075" t="s">
        <v>1888</v>
      </c>
      <c r="E406" s="1076"/>
      <c r="F406" s="1076"/>
      <c r="G406" s="1076"/>
      <c r="H406" s="1076"/>
      <c r="I406" s="1076"/>
      <c r="J406" s="1076"/>
      <c r="K406" s="1076"/>
      <c r="L406" s="1076"/>
      <c r="M406" s="1077"/>
      <c r="N406" s="1331">
        <f>37582-750</f>
        <v>36832</v>
      </c>
      <c r="O406" s="1332"/>
      <c r="P406" s="1332"/>
      <c r="Q406" s="1332"/>
      <c r="R406" s="1332"/>
      <c r="S406" s="1332"/>
      <c r="T406" s="1332"/>
      <c r="U406" s="1332"/>
      <c r="V406" s="1332"/>
      <c r="W406" s="1333"/>
      <c r="X406" s="1331">
        <v>8875</v>
      </c>
      <c r="Y406" s="1332"/>
      <c r="Z406" s="1332"/>
      <c r="AA406" s="1332"/>
      <c r="AB406" s="1332"/>
      <c r="AC406" s="1332"/>
      <c r="AD406" s="1332"/>
      <c r="AE406" s="1332"/>
      <c r="AF406" s="1332"/>
      <c r="AG406" s="1333"/>
      <c r="AL406" s="652"/>
      <c r="AM406" s="654"/>
      <c r="AO406" s="652"/>
      <c r="AP406" s="665"/>
    </row>
    <row r="407" spans="1:42" s="20" customFormat="1" ht="29.25" customHeight="1" x14ac:dyDescent="0.2">
      <c r="A407" s="700"/>
      <c r="D407" s="1095" t="s">
        <v>313</v>
      </c>
      <c r="E407" s="1095"/>
      <c r="F407" s="1095"/>
      <c r="G407" s="1095"/>
      <c r="H407" s="1095"/>
      <c r="I407" s="1095"/>
      <c r="J407" s="1095"/>
      <c r="K407" s="1095"/>
      <c r="L407" s="1095"/>
      <c r="M407" s="1095"/>
      <c r="N407" s="1078"/>
      <c r="O407" s="1078"/>
      <c r="P407" s="1078"/>
      <c r="Q407" s="1078"/>
      <c r="R407" s="1078"/>
      <c r="S407" s="1078"/>
      <c r="T407" s="1078"/>
      <c r="U407" s="1078"/>
      <c r="V407" s="1078"/>
      <c r="W407" s="1078"/>
      <c r="X407" s="1078"/>
      <c r="Y407" s="1078"/>
      <c r="Z407" s="1078"/>
      <c r="AA407" s="1078"/>
      <c r="AB407" s="1078"/>
      <c r="AC407" s="1078"/>
      <c r="AD407" s="1078"/>
      <c r="AE407" s="1078"/>
      <c r="AF407" s="1078"/>
      <c r="AG407" s="1078"/>
      <c r="AL407" s="668" t="e">
        <f>SUM(#REF!)-N407</f>
        <v>#REF!</v>
      </c>
      <c r="AM407" s="654" t="e">
        <f>SUM(#REF!)-X407</f>
        <v>#REF!</v>
      </c>
      <c r="AO407" s="652"/>
      <c r="AP407" s="665"/>
    </row>
    <row r="408" spans="1:42" s="20" customFormat="1" ht="29.25" customHeight="1" x14ac:dyDescent="0.2">
      <c r="A408" s="700"/>
      <c r="D408" s="1096" t="s">
        <v>314</v>
      </c>
      <c r="E408" s="1097"/>
      <c r="F408" s="1097"/>
      <c r="G408" s="1097"/>
      <c r="H408" s="1097"/>
      <c r="I408" s="1097"/>
      <c r="J408" s="1097"/>
      <c r="K408" s="1097"/>
      <c r="L408" s="1097"/>
      <c r="M408" s="1098"/>
      <c r="N408" s="1078"/>
      <c r="O408" s="1078"/>
      <c r="P408" s="1078"/>
      <c r="Q408" s="1078"/>
      <c r="R408" s="1078"/>
      <c r="S408" s="1078"/>
      <c r="T408" s="1078"/>
      <c r="U408" s="1078"/>
      <c r="V408" s="1078"/>
      <c r="W408" s="1078"/>
      <c r="X408" s="1078">
        <v>1753</v>
      </c>
      <c r="Y408" s="1078"/>
      <c r="Z408" s="1078"/>
      <c r="AA408" s="1078"/>
      <c r="AB408" s="1078"/>
      <c r="AC408" s="1078"/>
      <c r="AD408" s="1078"/>
      <c r="AE408" s="1078"/>
      <c r="AF408" s="1078"/>
      <c r="AG408" s="1078"/>
      <c r="AL408" s="668">
        <f>SUM(N409,N411)-N408</f>
        <v>1166</v>
      </c>
      <c r="AM408" s="654">
        <f>SUM(X409,X411)-X408</f>
        <v>0</v>
      </c>
      <c r="AO408" s="668">
        <f>N408-SUM('P&amp;L'!$D$36,'P&amp;L'!$D$42,'P&amp;L'!$D$44,'P&amp;L'!$D$45,'P&amp;L'!$D$47,'P&amp;L'!$D$49,'P&amp;L'!$D$51,'P&amp;L'!$D$53)</f>
        <v>-1166</v>
      </c>
      <c r="AP408" s="654">
        <f>X408-SUM('P&amp;L'!$E$36,'P&amp;L'!$E$42,'P&amp;L'!$E$44,'P&amp;L'!$E$45,'P&amp;L'!$E$47,'P&amp;L'!$E$49,'P&amp;L'!$E$51,'P&amp;L'!$E$53)</f>
        <v>1</v>
      </c>
    </row>
    <row r="409" spans="1:42" s="20" customFormat="1" ht="29.25" customHeight="1" x14ac:dyDescent="0.2">
      <c r="A409" s="700"/>
      <c r="D409" s="1100" t="s">
        <v>315</v>
      </c>
      <c r="E409" s="1101"/>
      <c r="F409" s="1101"/>
      <c r="G409" s="1101"/>
      <c r="H409" s="1101"/>
      <c r="I409" s="1101"/>
      <c r="J409" s="1101"/>
      <c r="K409" s="1101"/>
      <c r="L409" s="1101"/>
      <c r="M409" s="1102"/>
      <c r="N409" s="1078">
        <v>16</v>
      </c>
      <c r="O409" s="1078"/>
      <c r="P409" s="1078"/>
      <c r="Q409" s="1078"/>
      <c r="R409" s="1078"/>
      <c r="S409" s="1078"/>
      <c r="T409" s="1078"/>
      <c r="U409" s="1078"/>
      <c r="V409" s="1078"/>
      <c r="W409" s="1078"/>
      <c r="X409" s="1078">
        <v>18</v>
      </c>
      <c r="Y409" s="1078"/>
      <c r="Z409" s="1078"/>
      <c r="AA409" s="1078"/>
      <c r="AB409" s="1078"/>
      <c r="AC409" s="1078"/>
      <c r="AD409" s="1078"/>
      <c r="AE409" s="1078"/>
      <c r="AF409" s="1078"/>
      <c r="AG409" s="1078"/>
      <c r="AL409" s="668"/>
      <c r="AM409" s="654"/>
      <c r="AO409" s="668">
        <f>N409-'P&amp;L'!$D$49</f>
        <v>0</v>
      </c>
      <c r="AP409" s="654">
        <f>X409-'P&amp;L'!$E$49</f>
        <v>0</v>
      </c>
    </row>
    <row r="410" spans="1:42" s="20" customFormat="1" ht="29.25" customHeight="1" x14ac:dyDescent="0.2">
      <c r="A410" s="700"/>
      <c r="D410" s="1075" t="s">
        <v>316</v>
      </c>
      <c r="E410" s="1076"/>
      <c r="F410" s="1076"/>
      <c r="G410" s="1076"/>
      <c r="H410" s="1076"/>
      <c r="I410" s="1076"/>
      <c r="J410" s="1076"/>
      <c r="K410" s="1076"/>
      <c r="L410" s="1076"/>
      <c r="M410" s="1077"/>
      <c r="N410" s="1078">
        <v>16</v>
      </c>
      <c r="O410" s="1078"/>
      <c r="P410" s="1078"/>
      <c r="Q410" s="1078"/>
      <c r="R410" s="1078"/>
      <c r="S410" s="1078"/>
      <c r="T410" s="1078"/>
      <c r="U410" s="1078"/>
      <c r="V410" s="1078"/>
      <c r="W410" s="1078"/>
      <c r="X410" s="1078">
        <v>18</v>
      </c>
      <c r="Y410" s="1078"/>
      <c r="Z410" s="1078"/>
      <c r="AA410" s="1078"/>
      <c r="AB410" s="1078"/>
      <c r="AC410" s="1078"/>
      <c r="AD410" s="1078"/>
      <c r="AE410" s="1078"/>
      <c r="AF410" s="1078"/>
      <c r="AG410" s="1078"/>
      <c r="AL410" s="652"/>
      <c r="AM410" s="654"/>
      <c r="AO410" s="652"/>
      <c r="AP410" s="665"/>
    </row>
    <row r="411" spans="1:42" s="20" customFormat="1" ht="29.25" customHeight="1" x14ac:dyDescent="0.2">
      <c r="A411" s="700"/>
      <c r="D411" s="1100" t="s">
        <v>317</v>
      </c>
      <c r="E411" s="1101"/>
      <c r="F411" s="1101"/>
      <c r="G411" s="1101"/>
      <c r="H411" s="1101"/>
      <c r="I411" s="1101"/>
      <c r="J411" s="1101"/>
      <c r="K411" s="1101"/>
      <c r="L411" s="1101"/>
      <c r="M411" s="1102"/>
      <c r="N411" s="1078">
        <v>1150</v>
      </c>
      <c r="O411" s="1078"/>
      <c r="P411" s="1078"/>
      <c r="Q411" s="1078"/>
      <c r="R411" s="1078"/>
      <c r="S411" s="1078"/>
      <c r="T411" s="1078"/>
      <c r="U411" s="1078"/>
      <c r="V411" s="1078"/>
      <c r="W411" s="1078"/>
      <c r="X411" s="1078">
        <v>1735</v>
      </c>
      <c r="Y411" s="1078"/>
      <c r="Z411" s="1078"/>
      <c r="AA411" s="1078"/>
      <c r="AB411" s="1078"/>
      <c r="AC411" s="1078"/>
      <c r="AD411" s="1078"/>
      <c r="AE411" s="1078"/>
      <c r="AF411" s="1078"/>
      <c r="AG411" s="1078"/>
      <c r="AL411" s="668">
        <f>SUM(N412:W413)-N411</f>
        <v>0</v>
      </c>
      <c r="AM411" s="654">
        <f>SUM(X412:AG413)-X411</f>
        <v>0</v>
      </c>
      <c r="AO411" s="652"/>
      <c r="AP411" s="665"/>
    </row>
    <row r="412" spans="1:42" s="20" customFormat="1" ht="29.25" customHeight="1" x14ac:dyDescent="0.2">
      <c r="A412" s="700"/>
      <c r="D412" s="1075" t="s">
        <v>1889</v>
      </c>
      <c r="E412" s="1076"/>
      <c r="F412" s="1076"/>
      <c r="G412" s="1076"/>
      <c r="H412" s="1076"/>
      <c r="I412" s="1076"/>
      <c r="J412" s="1076"/>
      <c r="K412" s="1076"/>
      <c r="L412" s="1076"/>
      <c r="M412" s="1077"/>
      <c r="N412" s="1078">
        <v>1055</v>
      </c>
      <c r="O412" s="1078"/>
      <c r="P412" s="1078"/>
      <c r="Q412" s="1078"/>
      <c r="R412" s="1078"/>
      <c r="S412" s="1078"/>
      <c r="T412" s="1078"/>
      <c r="U412" s="1078"/>
      <c r="V412" s="1078"/>
      <c r="W412" s="1078"/>
      <c r="X412" s="1078">
        <v>633</v>
      </c>
      <c r="Y412" s="1078"/>
      <c r="Z412" s="1078"/>
      <c r="AA412" s="1078"/>
      <c r="AB412" s="1078"/>
      <c r="AC412" s="1078"/>
      <c r="AD412" s="1078"/>
      <c r="AE412" s="1078"/>
      <c r="AF412" s="1078"/>
      <c r="AG412" s="1078"/>
      <c r="AL412" s="652"/>
      <c r="AM412" s="654"/>
      <c r="AO412" s="652"/>
      <c r="AP412" s="665"/>
    </row>
    <row r="413" spans="1:42" s="20" customFormat="1" ht="29.25" customHeight="1" x14ac:dyDescent="0.2">
      <c r="A413" s="700"/>
      <c r="D413" s="1075" t="s">
        <v>1890</v>
      </c>
      <c r="E413" s="1076"/>
      <c r="F413" s="1076"/>
      <c r="G413" s="1076"/>
      <c r="H413" s="1076"/>
      <c r="I413" s="1076"/>
      <c r="J413" s="1076"/>
      <c r="K413" s="1076"/>
      <c r="L413" s="1076"/>
      <c r="M413" s="1077"/>
      <c r="N413" s="1078">
        <v>95</v>
      </c>
      <c r="O413" s="1078"/>
      <c r="P413" s="1078"/>
      <c r="Q413" s="1078"/>
      <c r="R413" s="1078"/>
      <c r="S413" s="1078"/>
      <c r="T413" s="1078"/>
      <c r="U413" s="1078"/>
      <c r="V413" s="1078"/>
      <c r="W413" s="1078"/>
      <c r="X413" s="1078">
        <v>1102</v>
      </c>
      <c r="Y413" s="1078"/>
      <c r="Z413" s="1078"/>
      <c r="AA413" s="1078"/>
      <c r="AB413" s="1078"/>
      <c r="AC413" s="1078"/>
      <c r="AD413" s="1078"/>
      <c r="AE413" s="1078"/>
      <c r="AF413" s="1078"/>
      <c r="AG413" s="1078"/>
      <c r="AL413" s="652"/>
      <c r="AM413" s="654"/>
      <c r="AO413" s="652"/>
      <c r="AP413" s="665"/>
    </row>
    <row r="414" spans="1:42" s="20" customFormat="1" ht="29.25" customHeight="1" x14ac:dyDescent="0.2">
      <c r="A414" s="700"/>
      <c r="D414" s="1096" t="s">
        <v>318</v>
      </c>
      <c r="E414" s="1097"/>
      <c r="F414" s="1097"/>
      <c r="G414" s="1097"/>
      <c r="H414" s="1097"/>
      <c r="I414" s="1097"/>
      <c r="J414" s="1097"/>
      <c r="K414" s="1097"/>
      <c r="L414" s="1097"/>
      <c r="M414" s="1098"/>
      <c r="N414" s="1078">
        <v>0</v>
      </c>
      <c r="O414" s="1078"/>
      <c r="P414" s="1078"/>
      <c r="Q414" s="1078"/>
      <c r="R414" s="1078"/>
      <c r="S414" s="1078"/>
      <c r="T414" s="1078"/>
      <c r="U414" s="1078"/>
      <c r="V414" s="1078"/>
      <c r="W414" s="1078"/>
      <c r="X414" s="1078">
        <v>0</v>
      </c>
      <c r="Y414" s="1078"/>
      <c r="Z414" s="1078"/>
      <c r="AA414" s="1078"/>
      <c r="AB414" s="1078"/>
      <c r="AC414" s="1078"/>
      <c r="AD414" s="1078"/>
      <c r="AE414" s="1078"/>
      <c r="AF414" s="1078"/>
      <c r="AG414" s="1078"/>
      <c r="AL414" s="668" t="e">
        <f>SUM(#REF!)-N414</f>
        <v>#REF!</v>
      </c>
      <c r="AM414" s="654" t="e">
        <f>SUM(#REF!)-X414</f>
        <v>#REF!</v>
      </c>
      <c r="AO414" s="668">
        <f>N414-'P&amp;L'!$D$61</f>
        <v>0</v>
      </c>
      <c r="AP414" s="654">
        <f>X414-'P&amp;L'!$E$61</f>
        <v>0</v>
      </c>
    </row>
    <row r="415" spans="1:42" ht="14.25" customHeight="1" x14ac:dyDescent="0.2">
      <c r="D415" s="710"/>
      <c r="E415" s="710"/>
      <c r="F415" s="710"/>
      <c r="G415" s="710"/>
      <c r="H415" s="710"/>
      <c r="I415" s="710"/>
      <c r="J415" s="710"/>
      <c r="K415" s="710"/>
      <c r="L415" s="710"/>
      <c r="M415" s="710"/>
      <c r="N415" s="711"/>
      <c r="O415" s="711"/>
      <c r="P415" s="711"/>
      <c r="Q415" s="711"/>
      <c r="R415" s="711"/>
      <c r="S415" s="711"/>
      <c r="T415" s="711"/>
      <c r="U415" s="711"/>
      <c r="V415" s="711"/>
      <c r="W415" s="711"/>
      <c r="X415" s="711"/>
      <c r="Y415" s="711"/>
      <c r="Z415" s="711"/>
      <c r="AA415" s="711"/>
      <c r="AB415" s="711"/>
      <c r="AC415" s="711"/>
      <c r="AD415" s="711"/>
      <c r="AE415" s="711"/>
      <c r="AF415" s="711"/>
      <c r="AG415" s="711"/>
    </row>
    <row r="416" spans="1:42" ht="14.25" customHeight="1" x14ac:dyDescent="0.2">
      <c r="D416" s="710"/>
      <c r="E416" s="710"/>
      <c r="F416" s="710"/>
      <c r="G416" s="710"/>
      <c r="H416" s="710"/>
      <c r="I416" s="710"/>
      <c r="J416" s="710"/>
      <c r="K416" s="710"/>
      <c r="L416" s="710"/>
      <c r="M416" s="710"/>
      <c r="N416" s="711"/>
      <c r="O416" s="711"/>
      <c r="P416" s="711"/>
      <c r="Q416" s="711"/>
      <c r="R416" s="711"/>
      <c r="S416" s="711"/>
      <c r="T416" s="711"/>
      <c r="U416" s="711"/>
      <c r="V416" s="711"/>
      <c r="W416" s="711"/>
      <c r="X416" s="711"/>
      <c r="Y416" s="711"/>
      <c r="Z416" s="711"/>
      <c r="AA416" s="711"/>
      <c r="AB416" s="711"/>
      <c r="AC416" s="711"/>
      <c r="AD416" s="711"/>
      <c r="AE416" s="711"/>
      <c r="AF416" s="711"/>
      <c r="AG416" s="711"/>
    </row>
    <row r="417" spans="1:33" ht="14.25" customHeight="1" x14ac:dyDescent="0.2">
      <c r="D417" s="1046" t="s">
        <v>1463</v>
      </c>
      <c r="E417" s="1046"/>
      <c r="F417" s="1046"/>
      <c r="G417" s="1046"/>
      <c r="H417" s="1046"/>
      <c r="I417" s="1046"/>
      <c r="J417" s="1046"/>
      <c r="K417" s="1046"/>
      <c r="L417" s="1046"/>
      <c r="M417" s="1046"/>
      <c r="N417" s="1046"/>
      <c r="O417" s="1046"/>
      <c r="P417" s="1046"/>
      <c r="Q417" s="1046"/>
      <c r="R417" s="1046"/>
      <c r="S417" s="1046"/>
      <c r="T417" s="1046"/>
      <c r="U417" s="1046"/>
      <c r="V417" s="1046"/>
      <c r="W417" s="1046"/>
      <c r="X417" s="1046"/>
      <c r="Y417" s="1046"/>
      <c r="Z417" s="1046"/>
      <c r="AA417" s="1046"/>
      <c r="AB417" s="1046"/>
      <c r="AC417" s="1046"/>
      <c r="AD417" s="1046"/>
      <c r="AE417" s="1046"/>
      <c r="AF417" s="1046"/>
      <c r="AG417" s="1046"/>
    </row>
    <row r="419" spans="1:33" ht="14.25" customHeight="1" x14ac:dyDescent="0.2">
      <c r="D419" s="1090" t="s">
        <v>1464</v>
      </c>
      <c r="E419" s="1048"/>
      <c r="F419" s="1048"/>
      <c r="G419" s="1048"/>
      <c r="H419" s="1048"/>
      <c r="I419" s="1048"/>
      <c r="J419" s="1048"/>
      <c r="K419" s="1048"/>
      <c r="L419" s="1048"/>
      <c r="M419" s="1048"/>
      <c r="N419" s="1048"/>
      <c r="O419" s="1048"/>
      <c r="P419" s="1048"/>
      <c r="Q419" s="1048"/>
      <c r="R419" s="1048"/>
      <c r="S419" s="1048"/>
      <c r="T419" s="1048"/>
      <c r="U419" s="1048"/>
      <c r="V419" s="1048"/>
      <c r="W419" s="1048"/>
      <c r="X419" s="1048"/>
      <c r="Y419" s="1048"/>
      <c r="Z419" s="1048"/>
      <c r="AA419" s="1048"/>
      <c r="AB419" s="1048"/>
      <c r="AC419" s="1048"/>
      <c r="AD419" s="1048"/>
      <c r="AE419" s="1048"/>
      <c r="AF419" s="1048"/>
      <c r="AG419" s="1048"/>
    </row>
    <row r="420" spans="1:33" ht="14.25" customHeight="1" thickBot="1" x14ac:dyDescent="0.25"/>
    <row r="421" spans="1:33" ht="28.5" customHeight="1" thickBot="1" x14ac:dyDescent="0.25">
      <c r="A421" s="647">
        <v>40</v>
      </c>
      <c r="D421" s="1031" t="s">
        <v>131</v>
      </c>
      <c r="E421" s="1031"/>
      <c r="F421" s="1031"/>
      <c r="G421" s="1031"/>
      <c r="H421" s="1031"/>
      <c r="I421" s="1031"/>
      <c r="J421" s="1031"/>
      <c r="K421" s="1031"/>
      <c r="L421" s="1031"/>
      <c r="M421" s="1031"/>
      <c r="N421" s="1031"/>
      <c r="O421" s="1031"/>
      <c r="P421" s="1031" t="s">
        <v>2</v>
      </c>
      <c r="Q421" s="1031"/>
      <c r="R421" s="1031"/>
      <c r="S421" s="1031"/>
      <c r="T421" s="1031"/>
      <c r="U421" s="1031"/>
      <c r="V421" s="1031"/>
      <c r="W421" s="1031"/>
      <c r="X421" s="1031"/>
      <c r="Y421" s="1031" t="s">
        <v>3</v>
      </c>
      <c r="Z421" s="1031"/>
      <c r="AA421" s="1031"/>
      <c r="AB421" s="1031"/>
      <c r="AC421" s="1031"/>
      <c r="AD421" s="1031"/>
      <c r="AE421" s="1031"/>
      <c r="AF421" s="1031"/>
      <c r="AG421" s="1031"/>
    </row>
    <row r="422" spans="1:33" ht="46.5" customHeight="1" x14ac:dyDescent="0.2">
      <c r="D422" s="1093" t="s">
        <v>320</v>
      </c>
      <c r="E422" s="1093"/>
      <c r="F422" s="1093"/>
      <c r="G422" s="1093"/>
      <c r="H422" s="1093"/>
      <c r="I422" s="1093"/>
      <c r="J422" s="1093"/>
      <c r="K422" s="1093"/>
      <c r="L422" s="1093"/>
      <c r="M422" s="1093"/>
      <c r="N422" s="1093"/>
      <c r="O422" s="1093"/>
      <c r="P422" s="1084">
        <v>-2282</v>
      </c>
      <c r="Q422" s="1084"/>
      <c r="R422" s="1084"/>
      <c r="S422" s="1084"/>
      <c r="T422" s="1084"/>
      <c r="U422" s="1084"/>
      <c r="V422" s="1084"/>
      <c r="W422" s="1084"/>
      <c r="X422" s="1084"/>
      <c r="Y422" s="1084">
        <v>1377</v>
      </c>
      <c r="Z422" s="1084"/>
      <c r="AA422" s="1084"/>
      <c r="AB422" s="1084"/>
      <c r="AC422" s="1084"/>
      <c r="AD422" s="1084"/>
      <c r="AE422" s="1084"/>
      <c r="AF422" s="1084"/>
      <c r="AG422" s="1084"/>
    </row>
    <row r="423" spans="1:33" ht="45.75" customHeight="1" x14ac:dyDescent="0.2">
      <c r="D423" s="1092" t="s">
        <v>321</v>
      </c>
      <c r="E423" s="1092"/>
      <c r="F423" s="1092"/>
      <c r="G423" s="1092"/>
      <c r="H423" s="1092"/>
      <c r="I423" s="1092"/>
      <c r="J423" s="1092"/>
      <c r="K423" s="1092"/>
      <c r="L423" s="1092"/>
      <c r="M423" s="1092"/>
      <c r="N423" s="1092"/>
      <c r="O423" s="1092"/>
      <c r="P423" s="1032"/>
      <c r="Q423" s="1032"/>
      <c r="R423" s="1032"/>
      <c r="S423" s="1032"/>
      <c r="T423" s="1032"/>
      <c r="U423" s="1032"/>
      <c r="V423" s="1032"/>
      <c r="W423" s="1032"/>
      <c r="X423" s="1032"/>
      <c r="Y423" s="1032"/>
      <c r="Z423" s="1032"/>
      <c r="AA423" s="1032"/>
      <c r="AB423" s="1032"/>
      <c r="AC423" s="1032"/>
      <c r="AD423" s="1032"/>
      <c r="AE423" s="1032"/>
      <c r="AF423" s="1032"/>
      <c r="AG423" s="1032"/>
    </row>
    <row r="424" spans="1:33" ht="72" customHeight="1" x14ac:dyDescent="0.2">
      <c r="D424" s="1092" t="s">
        <v>322</v>
      </c>
      <c r="E424" s="1092"/>
      <c r="F424" s="1092"/>
      <c r="G424" s="1092"/>
      <c r="H424" s="1092"/>
      <c r="I424" s="1092"/>
      <c r="J424" s="1092"/>
      <c r="K424" s="1092"/>
      <c r="L424" s="1092"/>
      <c r="M424" s="1092"/>
      <c r="N424" s="1092"/>
      <c r="O424" s="1092"/>
      <c r="P424" s="1032"/>
      <c r="Q424" s="1032"/>
      <c r="R424" s="1032"/>
      <c r="S424" s="1032"/>
      <c r="T424" s="1032"/>
      <c r="U424" s="1032"/>
      <c r="V424" s="1032"/>
      <c r="W424" s="1032"/>
      <c r="X424" s="1032"/>
      <c r="Y424" s="1032"/>
      <c r="Z424" s="1032"/>
      <c r="AA424" s="1032"/>
      <c r="AB424" s="1032"/>
      <c r="AC424" s="1032"/>
      <c r="AD424" s="1032"/>
      <c r="AE424" s="1032"/>
      <c r="AF424" s="1032"/>
      <c r="AG424" s="1032"/>
    </row>
    <row r="425" spans="1:33" ht="55.5" customHeight="1" x14ac:dyDescent="0.2">
      <c r="D425" s="1092" t="s">
        <v>323</v>
      </c>
      <c r="E425" s="1092"/>
      <c r="F425" s="1092"/>
      <c r="G425" s="1092"/>
      <c r="H425" s="1092"/>
      <c r="I425" s="1092"/>
      <c r="J425" s="1092"/>
      <c r="K425" s="1092"/>
      <c r="L425" s="1092"/>
      <c r="M425" s="1092"/>
      <c r="N425" s="1092"/>
      <c r="O425" s="1092"/>
      <c r="P425" s="1032"/>
      <c r="Q425" s="1032"/>
      <c r="R425" s="1032"/>
      <c r="S425" s="1032"/>
      <c r="T425" s="1032"/>
      <c r="U425" s="1032"/>
      <c r="V425" s="1032"/>
      <c r="W425" s="1032"/>
      <c r="X425" s="1032"/>
      <c r="Y425" s="1032"/>
      <c r="Z425" s="1032"/>
      <c r="AA425" s="1032"/>
      <c r="AB425" s="1032"/>
      <c r="AC425" s="1032"/>
      <c r="AD425" s="1032"/>
      <c r="AE425" s="1032"/>
      <c r="AF425" s="1032"/>
      <c r="AG425" s="1032"/>
    </row>
    <row r="426" spans="1:33" ht="55.5" customHeight="1" x14ac:dyDescent="0.2">
      <c r="D426" s="1092" t="s">
        <v>324</v>
      </c>
      <c r="E426" s="1092"/>
      <c r="F426" s="1092"/>
      <c r="G426" s="1092"/>
      <c r="H426" s="1092"/>
      <c r="I426" s="1092"/>
      <c r="J426" s="1092"/>
      <c r="K426" s="1092"/>
      <c r="L426" s="1092"/>
      <c r="M426" s="1092"/>
      <c r="N426" s="1092"/>
      <c r="O426" s="1092"/>
      <c r="P426" s="1032"/>
      <c r="Q426" s="1032"/>
      <c r="R426" s="1032"/>
      <c r="S426" s="1032"/>
      <c r="T426" s="1032"/>
      <c r="U426" s="1032"/>
      <c r="V426" s="1032"/>
      <c r="W426" s="1032"/>
      <c r="X426" s="1032"/>
      <c r="Y426" s="1032"/>
      <c r="Z426" s="1032"/>
      <c r="AA426" s="1032"/>
      <c r="AB426" s="1032"/>
      <c r="AC426" s="1032"/>
      <c r="AD426" s="1032"/>
      <c r="AE426" s="1032"/>
      <c r="AF426" s="1032"/>
      <c r="AG426" s="1032"/>
    </row>
    <row r="427" spans="1:33" ht="44.25" customHeight="1" thickBot="1" x14ac:dyDescent="0.25">
      <c r="D427" s="1091" t="s">
        <v>325</v>
      </c>
      <c r="E427" s="1091"/>
      <c r="F427" s="1091"/>
      <c r="G427" s="1091"/>
      <c r="H427" s="1091"/>
      <c r="I427" s="1091"/>
      <c r="J427" s="1091"/>
      <c r="K427" s="1091"/>
      <c r="L427" s="1091"/>
      <c r="M427" s="1091"/>
      <c r="N427" s="1091"/>
      <c r="O427" s="1091"/>
      <c r="P427" s="1065"/>
      <c r="Q427" s="1065"/>
      <c r="R427" s="1065"/>
      <c r="S427" s="1065"/>
      <c r="T427" s="1065"/>
      <c r="U427" s="1065"/>
      <c r="V427" s="1065"/>
      <c r="W427" s="1065"/>
      <c r="X427" s="1065"/>
      <c r="Y427" s="1065"/>
      <c r="Z427" s="1065"/>
      <c r="AA427" s="1065"/>
      <c r="AB427" s="1065"/>
      <c r="AC427" s="1065"/>
      <c r="AD427" s="1065"/>
      <c r="AE427" s="1065"/>
      <c r="AF427" s="1065"/>
      <c r="AG427" s="1065"/>
    </row>
    <row r="430" spans="1:33" ht="14.25" customHeight="1" x14ac:dyDescent="0.2">
      <c r="D430" s="1079" t="s">
        <v>1464</v>
      </c>
      <c r="E430" s="1080"/>
      <c r="F430" s="1080"/>
      <c r="G430" s="1080"/>
      <c r="H430" s="1080"/>
      <c r="I430" s="1080"/>
      <c r="J430" s="1080"/>
      <c r="K430" s="1080"/>
      <c r="L430" s="1080"/>
      <c r="M430" s="1080"/>
      <c r="N430" s="1080"/>
      <c r="O430" s="1080"/>
      <c r="P430" s="1080"/>
      <c r="Q430" s="1080"/>
      <c r="R430" s="1080"/>
      <c r="S430" s="1080"/>
      <c r="T430" s="1080"/>
      <c r="U430" s="1080"/>
      <c r="V430" s="1080"/>
      <c r="W430" s="1080"/>
      <c r="X430" s="1080"/>
      <c r="Y430" s="1080"/>
      <c r="Z430" s="1080"/>
      <c r="AA430" s="1080"/>
      <c r="AB430" s="1080"/>
      <c r="AC430" s="1080"/>
      <c r="AD430" s="1080"/>
      <c r="AE430" s="1080"/>
      <c r="AF430" s="1080"/>
      <c r="AG430" s="1080"/>
    </row>
    <row r="431" spans="1:33" ht="14.25" customHeight="1" thickBot="1" x14ac:dyDescent="0.25"/>
    <row r="432" spans="1:33" ht="14.25" customHeight="1" thickBot="1" x14ac:dyDescent="0.25">
      <c r="A432" s="647">
        <v>41</v>
      </c>
      <c r="D432" s="1030" t="s">
        <v>1</v>
      </c>
      <c r="E432" s="1030"/>
      <c r="F432" s="1030"/>
      <c r="G432" s="1030"/>
      <c r="H432" s="1030"/>
      <c r="I432" s="1030"/>
      <c r="J432" s="1069" t="s">
        <v>2</v>
      </c>
      <c r="K432" s="1070"/>
      <c r="L432" s="1070"/>
      <c r="M432" s="1070"/>
      <c r="N432" s="1070"/>
      <c r="O432" s="1070"/>
      <c r="P432" s="1070"/>
      <c r="Q432" s="1070"/>
      <c r="R432" s="1070"/>
      <c r="S432" s="1070"/>
      <c r="T432" s="1070"/>
      <c r="U432" s="1071"/>
      <c r="V432" s="1069" t="s">
        <v>3</v>
      </c>
      <c r="W432" s="1070"/>
      <c r="X432" s="1070"/>
      <c r="Y432" s="1070"/>
      <c r="Z432" s="1070"/>
      <c r="AA432" s="1070"/>
      <c r="AB432" s="1070"/>
      <c r="AC432" s="1070"/>
      <c r="AD432" s="1070"/>
      <c r="AE432" s="1070"/>
      <c r="AF432" s="1070"/>
      <c r="AG432" s="1071"/>
    </row>
    <row r="433" spans="4:42" ht="14.25" customHeight="1" thickTop="1" thickBot="1" x14ac:dyDescent="0.25">
      <c r="D433" s="1030"/>
      <c r="E433" s="1030"/>
      <c r="F433" s="1030"/>
      <c r="G433" s="1030"/>
      <c r="H433" s="1030"/>
      <c r="I433" s="1030"/>
      <c r="J433" s="1072"/>
      <c r="K433" s="1073"/>
      <c r="L433" s="1073"/>
      <c r="M433" s="1073"/>
      <c r="N433" s="1073"/>
      <c r="O433" s="1073"/>
      <c r="P433" s="1073"/>
      <c r="Q433" s="1073"/>
      <c r="R433" s="1073"/>
      <c r="S433" s="1073"/>
      <c r="T433" s="1073"/>
      <c r="U433" s="1074"/>
      <c r="V433" s="1072"/>
      <c r="W433" s="1073"/>
      <c r="X433" s="1073"/>
      <c r="Y433" s="1073"/>
      <c r="Z433" s="1073"/>
      <c r="AA433" s="1073"/>
      <c r="AB433" s="1073"/>
      <c r="AC433" s="1073"/>
      <c r="AD433" s="1073"/>
      <c r="AE433" s="1073"/>
      <c r="AF433" s="1073"/>
      <c r="AG433" s="1074"/>
      <c r="AO433" s="701" t="s">
        <v>2</v>
      </c>
      <c r="AP433" s="698" t="s">
        <v>3</v>
      </c>
    </row>
    <row r="434" spans="4:42" ht="14.25" customHeight="1" thickBot="1" x14ac:dyDescent="0.25">
      <c r="D434" s="1030"/>
      <c r="E434" s="1030"/>
      <c r="F434" s="1030"/>
      <c r="G434" s="1030"/>
      <c r="H434" s="1030"/>
      <c r="I434" s="1030"/>
      <c r="J434" s="1031" t="s">
        <v>327</v>
      </c>
      <c r="K434" s="1031"/>
      <c r="L434" s="1031"/>
      <c r="M434" s="1031"/>
      <c r="N434" s="1031" t="s">
        <v>328</v>
      </c>
      <c r="O434" s="1031"/>
      <c r="P434" s="1031"/>
      <c r="Q434" s="1031"/>
      <c r="R434" s="1031" t="s">
        <v>1465</v>
      </c>
      <c r="S434" s="1031"/>
      <c r="T434" s="1031"/>
      <c r="U434" s="1031"/>
      <c r="V434" s="1031" t="s">
        <v>327</v>
      </c>
      <c r="W434" s="1031"/>
      <c r="X434" s="1031"/>
      <c r="Y434" s="1031"/>
      <c r="Z434" s="1031" t="s">
        <v>328</v>
      </c>
      <c r="AA434" s="1031"/>
      <c r="AB434" s="1031"/>
      <c r="AC434" s="1031"/>
      <c r="AD434" s="1031" t="s">
        <v>1465</v>
      </c>
      <c r="AE434" s="1031"/>
      <c r="AF434" s="1031"/>
      <c r="AG434" s="1031"/>
      <c r="AO434" s="716"/>
      <c r="AP434" s="717"/>
    </row>
    <row r="435" spans="4:42" ht="34.5" customHeight="1" x14ac:dyDescent="0.2">
      <c r="D435" s="1081" t="s">
        <v>330</v>
      </c>
      <c r="E435" s="1082"/>
      <c r="F435" s="1082"/>
      <c r="G435" s="1082"/>
      <c r="H435" s="1082"/>
      <c r="I435" s="1083"/>
      <c r="J435" s="1084">
        <v>76057</v>
      </c>
      <c r="K435" s="1084"/>
      <c r="L435" s="1084"/>
      <c r="M435" s="1085"/>
      <c r="N435" s="1086" t="s">
        <v>18</v>
      </c>
      <c r="O435" s="1087"/>
      <c r="P435" s="1087"/>
      <c r="Q435" s="1088"/>
      <c r="R435" s="1089" t="s">
        <v>18</v>
      </c>
      <c r="S435" s="1087"/>
      <c r="T435" s="1087"/>
      <c r="U435" s="1087"/>
      <c r="V435" s="1084">
        <v>142365</v>
      </c>
      <c r="W435" s="1084"/>
      <c r="X435" s="1084"/>
      <c r="Y435" s="1085"/>
      <c r="Z435" s="1086" t="s">
        <v>18</v>
      </c>
      <c r="AA435" s="1087"/>
      <c r="AB435" s="1087"/>
      <c r="AC435" s="1088"/>
      <c r="AD435" s="1089" t="s">
        <v>18</v>
      </c>
      <c r="AE435" s="1087"/>
      <c r="AF435" s="1087"/>
      <c r="AG435" s="1087"/>
      <c r="AO435" s="668">
        <f>J435-'P&amp;L'!$D$55</f>
        <v>0</v>
      </c>
      <c r="AP435" s="654">
        <f>V435-'P&amp;L'!$E$55</f>
        <v>0</v>
      </c>
    </row>
    <row r="436" spans="4:42" ht="27.75" customHeight="1" x14ac:dyDescent="0.2">
      <c r="D436" s="1066" t="s">
        <v>331</v>
      </c>
      <c r="E436" s="1067"/>
      <c r="F436" s="1067"/>
      <c r="G436" s="1067"/>
      <c r="H436" s="1067"/>
      <c r="I436" s="1068"/>
      <c r="J436" s="1054" t="s">
        <v>18</v>
      </c>
      <c r="K436" s="1054"/>
      <c r="L436" s="1054"/>
      <c r="M436" s="1055"/>
      <c r="N436" s="1049">
        <v>17493</v>
      </c>
      <c r="O436" s="1032"/>
      <c r="P436" s="1032"/>
      <c r="Q436" s="1050"/>
      <c r="R436" s="1051">
        <v>23</v>
      </c>
      <c r="S436" s="1052"/>
      <c r="T436" s="1052"/>
      <c r="U436" s="1052"/>
      <c r="V436" s="1054" t="s">
        <v>18</v>
      </c>
      <c r="W436" s="1054"/>
      <c r="X436" s="1054"/>
      <c r="Y436" s="1055"/>
      <c r="Z436" s="1049">
        <v>27049</v>
      </c>
      <c r="AA436" s="1032"/>
      <c r="AB436" s="1032"/>
      <c r="AC436" s="1050"/>
      <c r="AD436" s="1051">
        <v>19</v>
      </c>
      <c r="AE436" s="1052"/>
      <c r="AF436" s="1052"/>
      <c r="AG436" s="1052"/>
      <c r="AO436" s="652"/>
      <c r="AP436" s="665"/>
    </row>
    <row r="437" spans="4:42" ht="27.75" customHeight="1" x14ac:dyDescent="0.2">
      <c r="D437" s="1066" t="s">
        <v>332</v>
      </c>
      <c r="E437" s="1067"/>
      <c r="F437" s="1067"/>
      <c r="G437" s="1067"/>
      <c r="H437" s="1067"/>
      <c r="I437" s="1068"/>
      <c r="J437" s="1059">
        <v>24845</v>
      </c>
      <c r="K437" s="1059"/>
      <c r="L437" s="1059"/>
      <c r="M437" s="1060"/>
      <c r="N437" s="1061">
        <v>5714</v>
      </c>
      <c r="O437" s="1059"/>
      <c r="P437" s="1059"/>
      <c r="Q437" s="1062"/>
      <c r="R437" s="1063">
        <v>23</v>
      </c>
      <c r="S437" s="1064"/>
      <c r="T437" s="1064"/>
      <c r="U437" s="1064"/>
      <c r="V437" s="1059">
        <v>832</v>
      </c>
      <c r="W437" s="1059"/>
      <c r="X437" s="1059"/>
      <c r="Y437" s="1060"/>
      <c r="Z437" s="1061">
        <v>158</v>
      </c>
      <c r="AA437" s="1059"/>
      <c r="AB437" s="1059"/>
      <c r="AC437" s="1062"/>
      <c r="AD437" s="1063">
        <v>19</v>
      </c>
      <c r="AE437" s="1064"/>
      <c r="AF437" s="1064"/>
      <c r="AG437" s="1064"/>
      <c r="AO437" s="652"/>
      <c r="AP437" s="665"/>
    </row>
    <row r="438" spans="4:42" ht="27.75" customHeight="1" x14ac:dyDescent="0.2">
      <c r="D438" s="1066" t="s">
        <v>333</v>
      </c>
      <c r="E438" s="1067"/>
      <c r="F438" s="1067"/>
      <c r="G438" s="1067"/>
      <c r="H438" s="1067"/>
      <c r="I438" s="1068"/>
      <c r="J438" s="1032">
        <v>0</v>
      </c>
      <c r="K438" s="1032"/>
      <c r="L438" s="1032"/>
      <c r="M438" s="1053"/>
      <c r="N438" s="1049">
        <v>0</v>
      </c>
      <c r="O438" s="1032"/>
      <c r="P438" s="1032"/>
      <c r="Q438" s="1050"/>
      <c r="R438" s="1051"/>
      <c r="S438" s="1052"/>
      <c r="T438" s="1052"/>
      <c r="U438" s="1052"/>
      <c r="V438" s="1032">
        <v>0</v>
      </c>
      <c r="W438" s="1032"/>
      <c r="X438" s="1032"/>
      <c r="Y438" s="1053"/>
      <c r="Z438" s="1049">
        <v>0</v>
      </c>
      <c r="AA438" s="1032"/>
      <c r="AB438" s="1032"/>
      <c r="AC438" s="1050"/>
      <c r="AD438" s="1051"/>
      <c r="AE438" s="1052"/>
      <c r="AF438" s="1052"/>
      <c r="AG438" s="1052"/>
      <c r="AO438" s="652"/>
      <c r="AP438" s="665"/>
    </row>
    <row r="439" spans="4:42" ht="27.75" customHeight="1" x14ac:dyDescent="0.2">
      <c r="D439" s="1075" t="s">
        <v>1858</v>
      </c>
      <c r="E439" s="1076"/>
      <c r="F439" s="1076"/>
      <c r="G439" s="1076"/>
      <c r="H439" s="1076"/>
      <c r="I439" s="1077"/>
      <c r="J439" s="1032"/>
      <c r="K439" s="1032"/>
      <c r="L439" s="1032"/>
      <c r="M439" s="1053"/>
      <c r="N439" s="1049"/>
      <c r="O439" s="1032"/>
      <c r="P439" s="1032"/>
      <c r="Q439" s="1050"/>
      <c r="R439" s="1051"/>
      <c r="S439" s="1052"/>
      <c r="T439" s="1052"/>
      <c r="U439" s="1052"/>
      <c r="V439" s="1032"/>
      <c r="W439" s="1032"/>
      <c r="X439" s="1032"/>
      <c r="Y439" s="1053"/>
      <c r="Z439" s="1049"/>
      <c r="AA439" s="1032"/>
      <c r="AB439" s="1032"/>
      <c r="AC439" s="1050"/>
      <c r="AD439" s="1051"/>
      <c r="AE439" s="1052"/>
      <c r="AF439" s="1052"/>
      <c r="AG439" s="1052"/>
      <c r="AO439" s="652"/>
      <c r="AP439" s="665"/>
    </row>
    <row r="440" spans="4:42" ht="27.75" customHeight="1" x14ac:dyDescent="0.2">
      <c r="D440" s="1066" t="s">
        <v>334</v>
      </c>
      <c r="E440" s="1067"/>
      <c r="F440" s="1067"/>
      <c r="G440" s="1067"/>
      <c r="H440" s="1067"/>
      <c r="I440" s="1068"/>
      <c r="J440" s="1032"/>
      <c r="K440" s="1032"/>
      <c r="L440" s="1032"/>
      <c r="M440" s="1053"/>
      <c r="N440" s="1049"/>
      <c r="O440" s="1032"/>
      <c r="P440" s="1032"/>
      <c r="Q440" s="1050"/>
      <c r="R440" s="1051"/>
      <c r="S440" s="1052"/>
      <c r="T440" s="1052"/>
      <c r="U440" s="1052"/>
      <c r="V440" s="1032"/>
      <c r="W440" s="1032"/>
      <c r="X440" s="1032"/>
      <c r="Y440" s="1053"/>
      <c r="Z440" s="1049"/>
      <c r="AA440" s="1032"/>
      <c r="AB440" s="1032"/>
      <c r="AC440" s="1050"/>
      <c r="AD440" s="1051"/>
      <c r="AE440" s="1052"/>
      <c r="AF440" s="1052"/>
      <c r="AG440" s="1052"/>
      <c r="AO440" s="652"/>
      <c r="AP440" s="665"/>
    </row>
    <row r="441" spans="4:42" ht="27.75" customHeight="1" x14ac:dyDescent="0.2">
      <c r="D441" s="1075" t="s">
        <v>1859</v>
      </c>
      <c r="E441" s="1076"/>
      <c r="F441" s="1076"/>
      <c r="G441" s="1076"/>
      <c r="H441" s="1076"/>
      <c r="I441" s="1077"/>
      <c r="J441" s="1032"/>
      <c r="K441" s="1032"/>
      <c r="L441" s="1032"/>
      <c r="M441" s="1053"/>
      <c r="N441" s="1049">
        <v>2282</v>
      </c>
      <c r="O441" s="1032"/>
      <c r="P441" s="1032"/>
      <c r="Q441" s="1050"/>
      <c r="R441" s="1051"/>
      <c r="S441" s="1052"/>
      <c r="T441" s="1052"/>
      <c r="U441" s="1052"/>
      <c r="V441" s="1032"/>
      <c r="W441" s="1032"/>
      <c r="X441" s="1032"/>
      <c r="Y441" s="1053"/>
      <c r="Z441" s="1049">
        <f>-Y422</f>
        <v>-1377</v>
      </c>
      <c r="AA441" s="1032"/>
      <c r="AB441" s="1032"/>
      <c r="AC441" s="1050"/>
      <c r="AD441" s="1051"/>
      <c r="AE441" s="1052"/>
      <c r="AF441" s="1052"/>
      <c r="AG441" s="1052"/>
      <c r="AO441" s="652"/>
      <c r="AP441" s="665"/>
    </row>
    <row r="442" spans="4:42" ht="27.75" customHeight="1" x14ac:dyDescent="0.2">
      <c r="D442" s="1075" t="s">
        <v>287</v>
      </c>
      <c r="E442" s="1076"/>
      <c r="F442" s="1076"/>
      <c r="G442" s="1076"/>
      <c r="H442" s="1076"/>
      <c r="I442" s="1077"/>
      <c r="J442" s="1032"/>
      <c r="K442" s="1032"/>
      <c r="L442" s="1032"/>
      <c r="M442" s="1053"/>
      <c r="N442" s="1049">
        <v>-115</v>
      </c>
      <c r="O442" s="1032"/>
      <c r="P442" s="1032"/>
      <c r="Q442" s="1050"/>
      <c r="R442" s="1051"/>
      <c r="S442" s="1052"/>
      <c r="T442" s="1052"/>
      <c r="U442" s="1052"/>
      <c r="V442" s="1032"/>
      <c r="W442" s="1032"/>
      <c r="X442" s="1032"/>
      <c r="Y442" s="1053"/>
      <c r="Z442" s="1049">
        <f>-5102+1377</f>
        <v>-3725</v>
      </c>
      <c r="AA442" s="1032"/>
      <c r="AB442" s="1032"/>
      <c r="AC442" s="1050"/>
      <c r="AD442" s="1051"/>
      <c r="AE442" s="1052"/>
      <c r="AF442" s="1052"/>
      <c r="AG442" s="1052"/>
      <c r="AO442" s="652"/>
      <c r="AP442" s="665"/>
    </row>
    <row r="443" spans="4:42" ht="27.75" customHeight="1" x14ac:dyDescent="0.2">
      <c r="D443" s="1066" t="s">
        <v>14</v>
      </c>
      <c r="E443" s="1067"/>
      <c r="F443" s="1067"/>
      <c r="G443" s="1067"/>
      <c r="H443" s="1067"/>
      <c r="I443" s="1068"/>
      <c r="J443" s="1032"/>
      <c r="K443" s="1032"/>
      <c r="L443" s="1032"/>
      <c r="M443" s="1053"/>
      <c r="N443" s="1049">
        <v>25374</v>
      </c>
      <c r="O443" s="1032"/>
      <c r="P443" s="1032"/>
      <c r="Q443" s="1050"/>
      <c r="R443" s="1051">
        <v>33</v>
      </c>
      <c r="S443" s="1052"/>
      <c r="T443" s="1052"/>
      <c r="U443" s="1052"/>
      <c r="V443" s="1032"/>
      <c r="W443" s="1032"/>
      <c r="X443" s="1032"/>
      <c r="Y443" s="1053"/>
      <c r="Z443" s="1049">
        <v>22105</v>
      </c>
      <c r="AA443" s="1032"/>
      <c r="AB443" s="1032"/>
      <c r="AC443" s="1050"/>
      <c r="AD443" s="1051">
        <v>15</v>
      </c>
      <c r="AE443" s="1052"/>
      <c r="AF443" s="1052"/>
      <c r="AG443" s="1052"/>
      <c r="AO443" s="652"/>
      <c r="AP443" s="665"/>
    </row>
    <row r="444" spans="4:42" ht="27.75" customHeight="1" x14ac:dyDescent="0.2">
      <c r="D444" s="1066" t="s">
        <v>335</v>
      </c>
      <c r="E444" s="1067"/>
      <c r="F444" s="1067"/>
      <c r="G444" s="1067"/>
      <c r="H444" s="1067"/>
      <c r="I444" s="1068"/>
      <c r="J444" s="1054" t="s">
        <v>18</v>
      </c>
      <c r="K444" s="1054"/>
      <c r="L444" s="1054"/>
      <c r="M444" s="1055"/>
      <c r="N444" s="1049">
        <v>67655</v>
      </c>
      <c r="O444" s="1032"/>
      <c r="P444" s="1032"/>
      <c r="Q444" s="1050"/>
      <c r="R444" s="1051">
        <v>89</v>
      </c>
      <c r="S444" s="1052"/>
      <c r="T444" s="1052"/>
      <c r="U444" s="1052"/>
      <c r="V444" s="1054" t="s">
        <v>18</v>
      </c>
      <c r="W444" s="1054"/>
      <c r="X444" s="1054"/>
      <c r="Y444" s="1055"/>
      <c r="Z444" s="1049">
        <v>13072</v>
      </c>
      <c r="AA444" s="1032"/>
      <c r="AB444" s="1032"/>
      <c r="AC444" s="1050"/>
      <c r="AD444" s="1051">
        <v>9</v>
      </c>
      <c r="AE444" s="1052"/>
      <c r="AF444" s="1052"/>
      <c r="AG444" s="1052"/>
      <c r="AO444" s="668">
        <f>N444-'P&amp;L'!$D$57-'P&amp;L'!$D$64</f>
        <v>0</v>
      </c>
      <c r="AP444" s="654">
        <f>Z444-'P&amp;L'!$E$57-'P&amp;L'!$E$64</f>
        <v>0</v>
      </c>
    </row>
    <row r="445" spans="4:42" ht="27.75" customHeight="1" x14ac:dyDescent="0.2">
      <c r="D445" s="1066" t="s">
        <v>336</v>
      </c>
      <c r="E445" s="1067"/>
      <c r="F445" s="1067"/>
      <c r="G445" s="1067"/>
      <c r="H445" s="1067"/>
      <c r="I445" s="1068"/>
      <c r="J445" s="1054" t="s">
        <v>18</v>
      </c>
      <c r="K445" s="1054"/>
      <c r="L445" s="1054"/>
      <c r="M445" s="1055"/>
      <c r="N445" s="1049">
        <v>-42281</v>
      </c>
      <c r="O445" s="1032"/>
      <c r="P445" s="1032"/>
      <c r="Q445" s="1050"/>
      <c r="R445" s="1051">
        <v>-56</v>
      </c>
      <c r="S445" s="1052"/>
      <c r="T445" s="1052"/>
      <c r="U445" s="1052"/>
      <c r="V445" s="1054" t="s">
        <v>18</v>
      </c>
      <c r="W445" s="1054"/>
      <c r="X445" s="1054"/>
      <c r="Y445" s="1055"/>
      <c r="Z445" s="1049">
        <v>9033</v>
      </c>
      <c r="AA445" s="1032"/>
      <c r="AB445" s="1032"/>
      <c r="AC445" s="1050"/>
      <c r="AD445" s="1051">
        <v>6</v>
      </c>
      <c r="AE445" s="1052"/>
      <c r="AF445" s="1052"/>
      <c r="AG445" s="1052"/>
      <c r="AO445" s="668">
        <f>N445-'P&amp;L'!$D$58-'P&amp;L'!$D$65</f>
        <v>0</v>
      </c>
      <c r="AP445" s="654">
        <f>Z445-'P&amp;L'!$E$58-'P&amp;L'!$E$65</f>
        <v>0</v>
      </c>
    </row>
    <row r="446" spans="4:42" ht="27.75" customHeight="1" thickBot="1" x14ac:dyDescent="0.25">
      <c r="D446" s="1056" t="s">
        <v>337</v>
      </c>
      <c r="E446" s="1057"/>
      <c r="F446" s="1057"/>
      <c r="G446" s="1057"/>
      <c r="H446" s="1057"/>
      <c r="I446" s="1058"/>
      <c r="J446" s="1039" t="s">
        <v>18</v>
      </c>
      <c r="K446" s="1039"/>
      <c r="L446" s="1039"/>
      <c r="M446" s="1040"/>
      <c r="N446" s="1041">
        <f>N444+N445</f>
        <v>25374</v>
      </c>
      <c r="O446" s="1042"/>
      <c r="P446" s="1042"/>
      <c r="Q446" s="1043"/>
      <c r="R446" s="1044">
        <v>33</v>
      </c>
      <c r="S446" s="1045"/>
      <c r="T446" s="1045"/>
      <c r="U446" s="1045"/>
      <c r="V446" s="1039" t="s">
        <v>18</v>
      </c>
      <c r="W446" s="1039"/>
      <c r="X446" s="1039"/>
      <c r="Y446" s="1040"/>
      <c r="Z446" s="1041">
        <f>Z444+Z445</f>
        <v>22105</v>
      </c>
      <c r="AA446" s="1042"/>
      <c r="AB446" s="1042"/>
      <c r="AC446" s="1043"/>
      <c r="AD446" s="1044">
        <v>15</v>
      </c>
      <c r="AE446" s="1045"/>
      <c r="AF446" s="1045"/>
      <c r="AG446" s="1045"/>
      <c r="AO446" s="655">
        <f>N446-'P&amp;L'!$D$56-'P&amp;L'!$D$63</f>
        <v>0</v>
      </c>
      <c r="AP446" s="657">
        <f>Z446-'P&amp;L'!$E$56-'P&amp;L'!$E$63</f>
        <v>0</v>
      </c>
    </row>
    <row r="449" spans="1:33" ht="14.25" customHeight="1" x14ac:dyDescent="0.2">
      <c r="D449" s="1046" t="s">
        <v>1466</v>
      </c>
      <c r="E449" s="1046"/>
      <c r="F449" s="1046"/>
      <c r="G449" s="1046"/>
      <c r="H449" s="1046"/>
      <c r="I449" s="1046"/>
      <c r="J449" s="1046"/>
      <c r="K449" s="1046"/>
      <c r="L449" s="1046"/>
      <c r="M449" s="1046"/>
      <c r="N449" s="1046"/>
      <c r="O449" s="1046"/>
      <c r="P449" s="1046"/>
      <c r="Q449" s="1046"/>
      <c r="R449" s="1046"/>
      <c r="S449" s="1046"/>
      <c r="T449" s="1046"/>
      <c r="U449" s="1046"/>
      <c r="V449" s="1046"/>
      <c r="W449" s="1046"/>
      <c r="X449" s="1046"/>
      <c r="Y449" s="1046"/>
      <c r="Z449" s="1046"/>
      <c r="AA449" s="1046"/>
      <c r="AB449" s="1046"/>
      <c r="AC449" s="1046"/>
      <c r="AD449" s="1046"/>
      <c r="AE449" s="1046"/>
      <c r="AF449" s="1046"/>
      <c r="AG449" s="1046"/>
    </row>
    <row r="451" spans="1:33" ht="27.75" customHeight="1" x14ac:dyDescent="0.2">
      <c r="D451" s="1047" t="s">
        <v>1911</v>
      </c>
      <c r="E451" s="1048"/>
      <c r="F451" s="1048"/>
      <c r="G451" s="1048"/>
      <c r="H451" s="1048"/>
      <c r="I451" s="1048"/>
      <c r="J451" s="1048"/>
      <c r="K451" s="1048"/>
      <c r="L451" s="1048"/>
      <c r="M451" s="1048"/>
      <c r="N451" s="1048"/>
      <c r="O451" s="1048"/>
      <c r="P451" s="1048"/>
      <c r="Q451" s="1048"/>
      <c r="R451" s="1048"/>
      <c r="S451" s="1048"/>
      <c r="T451" s="1048"/>
      <c r="U451" s="1048"/>
      <c r="V451" s="1048"/>
      <c r="W451" s="1048"/>
      <c r="X451" s="1048"/>
      <c r="Y451" s="1048"/>
      <c r="Z451" s="1048"/>
      <c r="AA451" s="1048"/>
      <c r="AB451" s="1048"/>
      <c r="AC451" s="1048"/>
      <c r="AD451" s="1048"/>
      <c r="AE451" s="1048"/>
      <c r="AF451" s="1048"/>
      <c r="AG451" s="1048"/>
    </row>
    <row r="453" spans="1:33" s="972" customFormat="1" ht="14.25" customHeight="1" x14ac:dyDescent="0.2">
      <c r="A453" s="980"/>
      <c r="D453" s="970" t="s">
        <v>1963</v>
      </c>
    </row>
    <row r="454" spans="1:33" s="972" customFormat="1" ht="14.25" customHeight="1" x14ac:dyDescent="0.2">
      <c r="A454" s="980"/>
    </row>
    <row r="455" spans="1:33" s="972" customFormat="1" ht="26.25" customHeight="1" x14ac:dyDescent="0.2">
      <c r="A455" s="980"/>
      <c r="D455" s="1033" t="s">
        <v>1975</v>
      </c>
      <c r="E455" s="1033"/>
      <c r="F455" s="1033"/>
      <c r="G455" s="1033"/>
      <c r="H455" s="1033"/>
      <c r="I455" s="1033"/>
      <c r="J455" s="1033"/>
      <c r="K455" s="1033"/>
      <c r="L455" s="1033"/>
      <c r="M455" s="1033"/>
      <c r="N455" s="1033"/>
      <c r="O455" s="1033"/>
      <c r="P455" s="1033"/>
      <c r="Q455" s="1033"/>
      <c r="R455" s="1033"/>
      <c r="S455" s="1033"/>
      <c r="T455" s="1033"/>
      <c r="U455" s="1033"/>
      <c r="V455" s="1033"/>
      <c r="W455" s="1033"/>
      <c r="X455" s="1033"/>
      <c r="Y455" s="1033"/>
      <c r="Z455" s="1033"/>
      <c r="AA455" s="1033"/>
      <c r="AB455" s="1033"/>
      <c r="AC455" s="1033"/>
      <c r="AD455" s="1033"/>
      <c r="AE455" s="1033"/>
      <c r="AF455" s="1033"/>
      <c r="AG455" s="1033"/>
    </row>
    <row r="456" spans="1:33" s="972" customFormat="1" ht="14.25" customHeight="1" thickBot="1" x14ac:dyDescent="0.25">
      <c r="A456" s="980"/>
    </row>
    <row r="457" spans="1:33" s="972" customFormat="1" ht="14.25" customHeight="1" thickBot="1" x14ac:dyDescent="0.25">
      <c r="A457" s="980" t="s">
        <v>1467</v>
      </c>
      <c r="D457" s="1034" t="s">
        <v>387</v>
      </c>
      <c r="E457" s="1034"/>
      <c r="F457" s="1034"/>
      <c r="G457" s="1034"/>
      <c r="H457" s="1034"/>
      <c r="I457" s="1034"/>
      <c r="J457" s="1034"/>
      <c r="K457" s="1034"/>
      <c r="L457" s="1034"/>
      <c r="M457" s="1035" t="s">
        <v>388</v>
      </c>
      <c r="N457" s="1035"/>
      <c r="O457" s="1035"/>
      <c r="P457" s="1035"/>
      <c r="Q457" s="1035"/>
      <c r="R457" s="1035" t="s">
        <v>389</v>
      </c>
      <c r="S457" s="1035"/>
      <c r="T457" s="1035"/>
      <c r="U457" s="1035"/>
      <c r="V457" s="1035"/>
      <c r="W457" s="1035"/>
      <c r="X457" s="1035"/>
      <c r="Y457" s="1035"/>
      <c r="Z457" s="1035"/>
      <c r="AA457" s="1035"/>
      <c r="AB457" s="1035"/>
      <c r="AC457" s="1035"/>
      <c r="AD457" s="1035"/>
      <c r="AE457" s="1035"/>
      <c r="AF457" s="1035"/>
      <c r="AG457" s="1035"/>
    </row>
    <row r="458" spans="1:33" s="972" customFormat="1" ht="26.25" customHeight="1" thickBot="1" x14ac:dyDescent="0.25">
      <c r="A458" s="980"/>
      <c r="D458" s="1034"/>
      <c r="E458" s="1034"/>
      <c r="F458" s="1034"/>
      <c r="G458" s="1034"/>
      <c r="H458" s="1034"/>
      <c r="I458" s="1034"/>
      <c r="J458" s="1034"/>
      <c r="K458" s="1034"/>
      <c r="L458" s="1034"/>
      <c r="M458" s="1035"/>
      <c r="N458" s="1035"/>
      <c r="O458" s="1035"/>
      <c r="P458" s="1035"/>
      <c r="Q458" s="1035"/>
      <c r="R458" s="1035" t="s">
        <v>2</v>
      </c>
      <c r="S458" s="1035"/>
      <c r="T458" s="1035"/>
      <c r="U458" s="1035"/>
      <c r="V458" s="1035"/>
      <c r="W458" s="1035"/>
      <c r="X458" s="1035"/>
      <c r="Y458" s="1035"/>
      <c r="Z458" s="1035" t="s">
        <v>390</v>
      </c>
      <c r="AA458" s="1035"/>
      <c r="AB458" s="1035"/>
      <c r="AC458" s="1035"/>
      <c r="AD458" s="1035"/>
      <c r="AE458" s="1035"/>
      <c r="AF458" s="1035"/>
      <c r="AG458" s="1035"/>
    </row>
    <row r="459" spans="1:33" s="972" customFormat="1" ht="18.75" customHeight="1" x14ac:dyDescent="0.2">
      <c r="A459" s="980"/>
      <c r="D459" s="1036" t="s">
        <v>1891</v>
      </c>
      <c r="E459" s="1036"/>
      <c r="F459" s="1036"/>
      <c r="G459" s="1036"/>
      <c r="H459" s="1036"/>
      <c r="I459" s="1036"/>
      <c r="J459" s="1036"/>
      <c r="K459" s="1036"/>
      <c r="L459" s="1036"/>
      <c r="M459" s="1037">
        <v>3</v>
      </c>
      <c r="N459" s="1037"/>
      <c r="O459" s="1037"/>
      <c r="P459" s="1037"/>
      <c r="Q459" s="1037"/>
      <c r="R459" s="1038">
        <v>926531</v>
      </c>
      <c r="S459" s="1038"/>
      <c r="T459" s="1038"/>
      <c r="U459" s="1038"/>
      <c r="V459" s="1038"/>
      <c r="W459" s="1038"/>
      <c r="X459" s="1038"/>
      <c r="Y459" s="1038"/>
      <c r="Z459" s="1038">
        <v>1069028</v>
      </c>
      <c r="AA459" s="1038"/>
      <c r="AB459" s="1038"/>
      <c r="AC459" s="1038"/>
      <c r="AD459" s="1038"/>
      <c r="AE459" s="1038"/>
      <c r="AF459" s="1038"/>
      <c r="AG459" s="1038"/>
    </row>
    <row r="460" spans="1:33" s="972" customFormat="1" ht="18.75" customHeight="1" x14ac:dyDescent="0.2">
      <c r="A460" s="980"/>
      <c r="D460" s="1026" t="s">
        <v>1913</v>
      </c>
      <c r="E460" s="1026"/>
      <c r="F460" s="1026"/>
      <c r="G460" s="1026"/>
      <c r="H460" s="1026"/>
      <c r="I460" s="1026"/>
      <c r="J460" s="1026"/>
      <c r="K460" s="1026"/>
      <c r="L460" s="1026"/>
      <c r="M460" s="1023">
        <v>3</v>
      </c>
      <c r="N460" s="1023"/>
      <c r="O460" s="1023"/>
      <c r="P460" s="1023"/>
      <c r="Q460" s="1023"/>
      <c r="R460" s="1024">
        <v>133</v>
      </c>
      <c r="S460" s="1024"/>
      <c r="T460" s="1024"/>
      <c r="U460" s="1024"/>
      <c r="V460" s="1024"/>
      <c r="W460" s="1024"/>
      <c r="X460" s="1024"/>
      <c r="Y460" s="1024"/>
      <c r="Z460" s="1024">
        <v>9870</v>
      </c>
      <c r="AA460" s="1024"/>
      <c r="AB460" s="1024"/>
      <c r="AC460" s="1024"/>
      <c r="AD460" s="1024"/>
      <c r="AE460" s="1024"/>
      <c r="AF460" s="1024"/>
      <c r="AG460" s="1024"/>
    </row>
    <row r="461" spans="1:33" s="972" customFormat="1" ht="18.75" customHeight="1" x14ac:dyDescent="0.2">
      <c r="A461" s="980"/>
      <c r="D461" s="1026" t="s">
        <v>1913</v>
      </c>
      <c r="E461" s="1026"/>
      <c r="F461" s="1026"/>
      <c r="G461" s="1026"/>
      <c r="H461" s="1026"/>
      <c r="I461" s="1026"/>
      <c r="J461" s="1026"/>
      <c r="K461" s="1026"/>
      <c r="L461" s="1026"/>
      <c r="M461" s="1023">
        <v>4</v>
      </c>
      <c r="N461" s="1023"/>
      <c r="O461" s="1023"/>
      <c r="P461" s="1023"/>
      <c r="Q461" s="1023"/>
      <c r="R461" s="1572">
        <v>3184408</v>
      </c>
      <c r="S461" s="1572"/>
      <c r="T461" s="1572"/>
      <c r="U461" s="1572"/>
      <c r="V461" s="1572"/>
      <c r="W461" s="1572"/>
      <c r="X461" s="1572"/>
      <c r="Y461" s="1572"/>
      <c r="Z461" s="1024">
        <v>1725251</v>
      </c>
      <c r="AA461" s="1024"/>
      <c r="AB461" s="1024"/>
      <c r="AC461" s="1024"/>
      <c r="AD461" s="1024"/>
      <c r="AE461" s="1024"/>
      <c r="AF461" s="1024"/>
      <c r="AG461" s="1024"/>
    </row>
    <row r="462" spans="1:33" s="972" customFormat="1" ht="18.75" customHeight="1" x14ac:dyDescent="0.2">
      <c r="A462" s="980"/>
      <c r="D462" s="1022" t="s">
        <v>1938</v>
      </c>
      <c r="E462" s="1022"/>
      <c r="F462" s="1022"/>
      <c r="G462" s="1022"/>
      <c r="H462" s="1022"/>
      <c r="I462" s="1022"/>
      <c r="J462" s="1022"/>
      <c r="K462" s="1022"/>
      <c r="L462" s="1022"/>
      <c r="M462" s="1023">
        <v>3</v>
      </c>
      <c r="N462" s="1023"/>
      <c r="O462" s="1023"/>
      <c r="P462" s="1023"/>
      <c r="Q462" s="1023"/>
      <c r="R462" s="1024">
        <v>3462</v>
      </c>
      <c r="S462" s="1024"/>
      <c r="T462" s="1024"/>
      <c r="U462" s="1024"/>
      <c r="V462" s="1024"/>
      <c r="W462" s="1024"/>
      <c r="X462" s="1024"/>
      <c r="Y462" s="1024"/>
      <c r="Z462" s="1024">
        <v>437</v>
      </c>
      <c r="AA462" s="1024"/>
      <c r="AB462" s="1024"/>
      <c r="AC462" s="1024"/>
      <c r="AD462" s="1024"/>
      <c r="AE462" s="1024"/>
      <c r="AF462" s="1024"/>
      <c r="AG462" s="1024"/>
    </row>
    <row r="463" spans="1:33" s="972" customFormat="1" ht="18.75" customHeight="1" x14ac:dyDescent="0.2">
      <c r="A463" s="980"/>
      <c r="D463" s="1022" t="s">
        <v>1912</v>
      </c>
      <c r="E463" s="1022"/>
      <c r="F463" s="1022"/>
      <c r="G463" s="1022"/>
      <c r="H463" s="1022"/>
      <c r="I463" s="1022"/>
      <c r="J463" s="1022"/>
      <c r="K463" s="1022"/>
      <c r="L463" s="1022"/>
      <c r="M463" s="1023">
        <v>4</v>
      </c>
      <c r="N463" s="1023"/>
      <c r="O463" s="1023"/>
      <c r="P463" s="1023"/>
      <c r="Q463" s="1023"/>
      <c r="R463" s="1024">
        <v>84</v>
      </c>
      <c r="S463" s="1024"/>
      <c r="T463" s="1024"/>
      <c r="U463" s="1024"/>
      <c r="V463" s="1024"/>
      <c r="W463" s="1024"/>
      <c r="X463" s="1024"/>
      <c r="Y463" s="1024"/>
      <c r="Z463" s="1024">
        <v>60</v>
      </c>
      <c r="AA463" s="1024"/>
      <c r="AB463" s="1024"/>
      <c r="AC463" s="1024"/>
      <c r="AD463" s="1024"/>
      <c r="AE463" s="1024"/>
      <c r="AF463" s="1024"/>
      <c r="AG463" s="1024"/>
    </row>
    <row r="464" spans="1:33" s="972" customFormat="1" ht="18.75" customHeight="1" x14ac:dyDescent="0.2">
      <c r="A464" s="980"/>
      <c r="D464" s="1022" t="s">
        <v>1912</v>
      </c>
      <c r="E464" s="1022"/>
      <c r="F464" s="1022"/>
      <c r="G464" s="1022"/>
      <c r="H464" s="1022"/>
      <c r="I464" s="1022"/>
      <c r="J464" s="1022"/>
      <c r="K464" s="1022"/>
      <c r="L464" s="1022"/>
      <c r="M464" s="1023">
        <v>3</v>
      </c>
      <c r="N464" s="1023"/>
      <c r="O464" s="1023"/>
      <c r="P464" s="1023"/>
      <c r="Q464" s="1023"/>
      <c r="R464" s="1024">
        <v>55</v>
      </c>
      <c r="S464" s="1024"/>
      <c r="T464" s="1024"/>
      <c r="U464" s="1024"/>
      <c r="V464" s="1024"/>
      <c r="W464" s="1024"/>
      <c r="X464" s="1024"/>
      <c r="Y464" s="1024"/>
      <c r="Z464" s="1024">
        <v>150</v>
      </c>
      <c r="AA464" s="1024"/>
      <c r="AB464" s="1024"/>
      <c r="AC464" s="1024"/>
      <c r="AD464" s="1024"/>
      <c r="AE464" s="1024"/>
      <c r="AF464" s="1024"/>
      <c r="AG464" s="1024"/>
    </row>
    <row r="465" spans="1:33" s="972" customFormat="1" ht="18.75" customHeight="1" x14ac:dyDescent="0.2">
      <c r="A465" s="980"/>
      <c r="D465" s="1025" t="s">
        <v>1939</v>
      </c>
      <c r="E465" s="1025"/>
      <c r="F465" s="1025"/>
      <c r="G465" s="1025"/>
      <c r="H465" s="1025"/>
      <c r="I465" s="1025"/>
      <c r="J465" s="1025"/>
      <c r="K465" s="1025"/>
      <c r="L465" s="1025"/>
      <c r="M465" s="1023">
        <v>4</v>
      </c>
      <c r="N465" s="1023"/>
      <c r="O465" s="1023"/>
      <c r="P465" s="1023"/>
      <c r="Q465" s="1023"/>
      <c r="R465" s="1024" t="s">
        <v>1429</v>
      </c>
      <c r="S465" s="1024"/>
      <c r="T465" s="1024"/>
      <c r="U465" s="1024"/>
      <c r="V465" s="1024"/>
      <c r="W465" s="1024"/>
      <c r="X465" s="1024"/>
      <c r="Y465" s="1024"/>
      <c r="Z465" s="1024">
        <v>20026</v>
      </c>
      <c r="AA465" s="1024"/>
      <c r="AB465" s="1024"/>
      <c r="AC465" s="1024"/>
      <c r="AD465" s="1024"/>
      <c r="AE465" s="1024"/>
      <c r="AF465" s="1024"/>
      <c r="AG465" s="1024"/>
    </row>
    <row r="466" spans="1:33" s="972" customFormat="1" ht="18.75" customHeight="1" x14ac:dyDescent="0.2">
      <c r="A466" s="980"/>
      <c r="D466" s="1022" t="s">
        <v>1914</v>
      </c>
      <c r="E466" s="1022"/>
      <c r="F466" s="1022"/>
      <c r="G466" s="1022"/>
      <c r="H466" s="1022"/>
      <c r="I466" s="1022"/>
      <c r="J466" s="1022"/>
      <c r="K466" s="1022"/>
      <c r="L466" s="1022"/>
      <c r="M466" s="1023">
        <v>3</v>
      </c>
      <c r="N466" s="1023"/>
      <c r="O466" s="1023"/>
      <c r="P466" s="1023"/>
      <c r="Q466" s="1023"/>
      <c r="R466" s="1024">
        <v>590</v>
      </c>
      <c r="S466" s="1024"/>
      <c r="T466" s="1024"/>
      <c r="U466" s="1024"/>
      <c r="V466" s="1024"/>
      <c r="W466" s="1024"/>
      <c r="X466" s="1024"/>
      <c r="Y466" s="1024"/>
      <c r="Z466" s="1024" t="s">
        <v>1429</v>
      </c>
      <c r="AA466" s="1024"/>
      <c r="AB466" s="1024"/>
      <c r="AC466" s="1024"/>
      <c r="AD466" s="1024"/>
      <c r="AE466" s="1024"/>
      <c r="AF466" s="1024"/>
      <c r="AG466" s="1024"/>
    </row>
    <row r="467" spans="1:33" s="972" customFormat="1" ht="18.75" customHeight="1" x14ac:dyDescent="0.2">
      <c r="A467" s="980"/>
      <c r="D467" s="1026" t="s">
        <v>1940</v>
      </c>
      <c r="E467" s="1026"/>
      <c r="F467" s="1026"/>
      <c r="G467" s="1026"/>
      <c r="H467" s="1026"/>
      <c r="I467" s="1026"/>
      <c r="J467" s="1026"/>
      <c r="K467" s="1026"/>
      <c r="L467" s="1026"/>
      <c r="M467" s="1023">
        <v>3</v>
      </c>
      <c r="N467" s="1023"/>
      <c r="O467" s="1023"/>
      <c r="P467" s="1023"/>
      <c r="Q467" s="1023"/>
      <c r="R467" s="1024" t="s">
        <v>1429</v>
      </c>
      <c r="S467" s="1024"/>
      <c r="T467" s="1024"/>
      <c r="U467" s="1024"/>
      <c r="V467" s="1024"/>
      <c r="W467" s="1024"/>
      <c r="X467" s="1024"/>
      <c r="Y467" s="1024"/>
      <c r="Z467" s="1024">
        <v>789</v>
      </c>
      <c r="AA467" s="1024"/>
      <c r="AB467" s="1024"/>
      <c r="AC467" s="1024"/>
      <c r="AD467" s="1024"/>
      <c r="AE467" s="1024"/>
      <c r="AF467" s="1024"/>
      <c r="AG467" s="1024"/>
    </row>
    <row r="468" spans="1:33" s="972" customFormat="1" ht="18.75" customHeight="1" thickBot="1" x14ac:dyDescent="0.25">
      <c r="A468" s="980"/>
      <c r="D468" s="1027" t="s">
        <v>1940</v>
      </c>
      <c r="E468" s="1027"/>
      <c r="F468" s="1027"/>
      <c r="G468" s="1027"/>
      <c r="H468" s="1027"/>
      <c r="I468" s="1027"/>
      <c r="J468" s="1027"/>
      <c r="K468" s="1027"/>
      <c r="L468" s="1027"/>
      <c r="M468" s="1028">
        <v>4</v>
      </c>
      <c r="N468" s="1028"/>
      <c r="O468" s="1028"/>
      <c r="P468" s="1028"/>
      <c r="Q468" s="1028"/>
      <c r="R468" s="1029">
        <v>662</v>
      </c>
      <c r="S468" s="1029"/>
      <c r="T468" s="1029"/>
      <c r="U468" s="1029"/>
      <c r="V468" s="1029"/>
      <c r="W468" s="1029"/>
      <c r="X468" s="1029"/>
      <c r="Y468" s="1029"/>
      <c r="Z468" s="1029">
        <v>1102</v>
      </c>
      <c r="AA468" s="1029"/>
      <c r="AB468" s="1029"/>
      <c r="AC468" s="1029"/>
      <c r="AD468" s="1029"/>
      <c r="AE468" s="1029"/>
      <c r="AF468" s="1029"/>
      <c r="AG468" s="1029"/>
    </row>
    <row r="469" spans="1:33" s="972" customFormat="1" ht="18.75" customHeight="1" x14ac:dyDescent="0.2">
      <c r="A469" s="980"/>
      <c r="D469" s="981"/>
      <c r="E469" s="981"/>
      <c r="F469" s="981"/>
      <c r="G469" s="981"/>
      <c r="H469" s="981"/>
      <c r="I469" s="981"/>
      <c r="J469" s="981"/>
      <c r="K469" s="981"/>
      <c r="L469" s="981"/>
      <c r="M469" s="981"/>
      <c r="N469" s="981"/>
      <c r="O469" s="981"/>
      <c r="P469" s="981"/>
      <c r="Q469" s="981"/>
      <c r="R469" s="979"/>
      <c r="S469" s="979"/>
      <c r="T469" s="979"/>
      <c r="U469" s="979"/>
      <c r="V469" s="979"/>
      <c r="W469" s="979"/>
      <c r="X469" s="979"/>
      <c r="Y469" s="979"/>
      <c r="Z469" s="979"/>
      <c r="AA469" s="979"/>
      <c r="AB469" s="979"/>
      <c r="AC469" s="979"/>
      <c r="AD469" s="979"/>
      <c r="AE469" s="979"/>
      <c r="AF469" s="979"/>
      <c r="AG469" s="979"/>
    </row>
    <row r="470" spans="1:33" ht="14.25" customHeight="1" x14ac:dyDescent="0.2">
      <c r="D470" s="1007" t="s">
        <v>1941</v>
      </c>
      <c r="E470" s="1007"/>
      <c r="F470" s="1007"/>
      <c r="G470" s="1007"/>
      <c r="H470" s="1007"/>
      <c r="I470" s="1007"/>
      <c r="J470" s="1007"/>
      <c r="K470" s="1007"/>
      <c r="L470" s="1007"/>
      <c r="M470" s="1007"/>
      <c r="N470" s="1007"/>
      <c r="O470" s="1007"/>
      <c r="P470" s="1007"/>
      <c r="Q470" s="1007"/>
      <c r="R470" s="1007"/>
      <c r="S470" s="1007"/>
      <c r="T470" s="1007"/>
      <c r="U470" s="1007"/>
      <c r="V470" s="1007"/>
      <c r="W470" s="1007"/>
      <c r="X470" s="1007"/>
      <c r="Y470" s="1007"/>
      <c r="Z470" s="1007"/>
      <c r="AA470" s="1007"/>
      <c r="AB470" s="1007"/>
      <c r="AC470" s="1007"/>
      <c r="AD470" s="1007"/>
      <c r="AE470" s="1007"/>
      <c r="AF470" s="1007"/>
      <c r="AG470" s="1007"/>
    </row>
    <row r="471" spans="1:33" ht="14.25" customHeight="1" thickBot="1" x14ac:dyDescent="0.25">
      <c r="D471" s="982"/>
      <c r="E471" s="982"/>
      <c r="F471" s="982"/>
      <c r="G471" s="982"/>
      <c r="H471" s="982"/>
      <c r="I471" s="982"/>
      <c r="J471" s="982"/>
      <c r="K471" s="982"/>
      <c r="L471" s="982"/>
      <c r="M471" s="982"/>
      <c r="N471" s="982"/>
      <c r="O471" s="982"/>
      <c r="P471" s="982"/>
      <c r="Q471" s="982"/>
      <c r="R471" s="982"/>
      <c r="S471" s="982"/>
      <c r="T471" s="982"/>
      <c r="U471" s="982"/>
      <c r="V471" s="982"/>
      <c r="W471" s="982"/>
      <c r="X471" s="982"/>
      <c r="Y471" s="982"/>
      <c r="Z471" s="982"/>
      <c r="AA471" s="982"/>
      <c r="AB471" s="982"/>
      <c r="AC471" s="982"/>
      <c r="AD471" s="982"/>
      <c r="AE471" s="982"/>
      <c r="AF471" s="982"/>
      <c r="AG471" s="982"/>
    </row>
    <row r="472" spans="1:33" ht="14.25" customHeight="1" x14ac:dyDescent="0.2">
      <c r="D472" s="1008" t="s">
        <v>1942</v>
      </c>
      <c r="E472" s="1009"/>
      <c r="F472" s="1009"/>
      <c r="G472" s="1009"/>
      <c r="H472" s="1009"/>
      <c r="I472" s="1009"/>
      <c r="J472" s="1009"/>
      <c r="K472" s="1009"/>
      <c r="L472" s="1009"/>
      <c r="M472" s="1009"/>
      <c r="N472" s="1009"/>
      <c r="O472" s="1009"/>
      <c r="P472" s="1009"/>
      <c r="Q472" s="1009"/>
      <c r="R472" s="1009"/>
      <c r="S472" s="1009"/>
      <c r="T472" s="1009"/>
      <c r="U472" s="1009"/>
      <c r="V472" s="1009"/>
      <c r="W472" s="1009"/>
      <c r="X472" s="1009"/>
      <c r="Y472" s="1009"/>
      <c r="Z472" s="1010" t="s">
        <v>1943</v>
      </c>
      <c r="AA472" s="1010"/>
      <c r="AB472" s="1010"/>
      <c r="AC472" s="1010"/>
      <c r="AD472" s="1010"/>
      <c r="AE472" s="1010"/>
      <c r="AF472" s="1010"/>
      <c r="AG472" s="1011"/>
    </row>
    <row r="473" spans="1:33" ht="14.25" customHeight="1" x14ac:dyDescent="0.2">
      <c r="D473" s="1012" t="s">
        <v>1914</v>
      </c>
      <c r="E473" s="1013"/>
      <c r="F473" s="1013"/>
      <c r="G473" s="1013"/>
      <c r="H473" s="1013"/>
      <c r="I473" s="1013"/>
      <c r="J473" s="1013"/>
      <c r="K473" s="1013"/>
      <c r="L473" s="1013"/>
      <c r="M473" s="1013"/>
      <c r="N473" s="1013"/>
      <c r="O473" s="1013"/>
      <c r="P473" s="1013"/>
      <c r="Q473" s="1013"/>
      <c r="R473" s="1013"/>
      <c r="S473" s="1013"/>
      <c r="T473" s="1013"/>
      <c r="U473" s="1013"/>
      <c r="V473" s="1013"/>
      <c r="W473" s="1013"/>
      <c r="X473" s="1013"/>
      <c r="Y473" s="1013"/>
      <c r="Z473" s="1014">
        <v>590</v>
      </c>
      <c r="AA473" s="1014"/>
      <c r="AB473" s="1014"/>
      <c r="AC473" s="1014"/>
      <c r="AD473" s="1014"/>
      <c r="AE473" s="1014"/>
      <c r="AF473" s="1014"/>
      <c r="AG473" s="1015"/>
    </row>
    <row r="474" spans="1:33" ht="14.25" customHeight="1" x14ac:dyDescent="0.2">
      <c r="D474" s="1016" t="s">
        <v>1944</v>
      </c>
      <c r="E474" s="1017"/>
      <c r="F474" s="1017"/>
      <c r="G474" s="1017"/>
      <c r="H474" s="1017"/>
      <c r="I474" s="1017"/>
      <c r="J474" s="1017"/>
      <c r="K474" s="1017"/>
      <c r="L474" s="1017"/>
      <c r="M474" s="1017"/>
      <c r="N474" s="1017"/>
      <c r="O474" s="1017"/>
      <c r="P474" s="1017"/>
      <c r="Q474" s="1017"/>
      <c r="R474" s="1017"/>
      <c r="S474" s="1017"/>
      <c r="T474" s="1017"/>
      <c r="U474" s="1017"/>
      <c r="V474" s="1017"/>
      <c r="W474" s="1017"/>
      <c r="X474" s="1017"/>
      <c r="Y474" s="1017"/>
      <c r="Z474" s="1018">
        <f>SUM(Z473:AG473)</f>
        <v>590</v>
      </c>
      <c r="AA474" s="1018"/>
      <c r="AB474" s="1018"/>
      <c r="AC474" s="1018"/>
      <c r="AD474" s="1018"/>
      <c r="AE474" s="1018"/>
      <c r="AF474" s="1018"/>
      <c r="AG474" s="1019"/>
    </row>
    <row r="475" spans="1:33" ht="14.25" customHeight="1" x14ac:dyDescent="0.2">
      <c r="D475" s="1012" t="s">
        <v>1946</v>
      </c>
      <c r="E475" s="1013"/>
      <c r="F475" s="1013"/>
      <c r="G475" s="1013"/>
      <c r="H475" s="1013"/>
      <c r="I475" s="1013"/>
      <c r="J475" s="1013"/>
      <c r="K475" s="1013"/>
      <c r="L475" s="1013"/>
      <c r="M475" s="1013"/>
      <c r="N475" s="1013"/>
      <c r="O475" s="1013"/>
      <c r="P475" s="1013"/>
      <c r="Q475" s="1013"/>
      <c r="R475" s="1013"/>
      <c r="S475" s="1013"/>
      <c r="T475" s="1013"/>
      <c r="U475" s="1013"/>
      <c r="V475" s="1013"/>
      <c r="W475" s="1013"/>
      <c r="X475" s="1013"/>
      <c r="Y475" s="1013"/>
      <c r="Z475" s="1014">
        <v>-558522</v>
      </c>
      <c r="AA475" s="1014"/>
      <c r="AB475" s="1014"/>
      <c r="AC475" s="1014"/>
      <c r="AD475" s="1014"/>
      <c r="AE475" s="1014"/>
      <c r="AF475" s="1014"/>
      <c r="AG475" s="1015"/>
    </row>
    <row r="476" spans="1:33" ht="14.25" customHeight="1" thickBot="1" x14ac:dyDescent="0.25">
      <c r="D476" s="1003" t="s">
        <v>1945</v>
      </c>
      <c r="E476" s="1004"/>
      <c r="F476" s="1004"/>
      <c r="G476" s="1004"/>
      <c r="H476" s="1004"/>
      <c r="I476" s="1004"/>
      <c r="J476" s="1004"/>
      <c r="K476" s="1004"/>
      <c r="L476" s="1004"/>
      <c r="M476" s="1004"/>
      <c r="N476" s="1004"/>
      <c r="O476" s="1004"/>
      <c r="P476" s="1004"/>
      <c r="Q476" s="1004"/>
      <c r="R476" s="1004"/>
      <c r="S476" s="1004"/>
      <c r="T476" s="1004"/>
      <c r="U476" s="1004"/>
      <c r="V476" s="1004"/>
      <c r="W476" s="1004"/>
      <c r="X476" s="1004"/>
      <c r="Y476" s="1004"/>
      <c r="Z476" s="1005">
        <f>SUM(Z475)</f>
        <v>-558522</v>
      </c>
      <c r="AA476" s="1005"/>
      <c r="AB476" s="1005"/>
      <c r="AC476" s="1005"/>
      <c r="AD476" s="1005"/>
      <c r="AE476" s="1005"/>
      <c r="AF476" s="1005"/>
      <c r="AG476" s="1006"/>
    </row>
    <row r="477" spans="1:33" ht="14.25" customHeight="1" x14ac:dyDescent="0.2">
      <c r="D477" s="983"/>
      <c r="E477" s="983"/>
      <c r="F477" s="983"/>
      <c r="G477" s="983"/>
      <c r="H477" s="983"/>
      <c r="I477" s="983"/>
      <c r="J477" s="983"/>
      <c r="K477" s="983"/>
      <c r="L477" s="983"/>
      <c r="M477" s="983"/>
      <c r="N477" s="983"/>
      <c r="O477" s="983"/>
      <c r="P477" s="983"/>
      <c r="Q477" s="983"/>
      <c r="R477" s="983"/>
      <c r="S477" s="983"/>
      <c r="T477" s="983"/>
      <c r="U477" s="983"/>
      <c r="V477" s="983"/>
      <c r="W477" s="983"/>
      <c r="X477" s="983"/>
      <c r="Y477" s="983"/>
      <c r="Z477" s="984"/>
      <c r="AA477" s="984"/>
      <c r="AB477" s="984"/>
      <c r="AC477" s="984"/>
      <c r="AD477" s="984"/>
      <c r="AE477" s="984"/>
      <c r="AF477" s="984"/>
      <c r="AG477" s="984"/>
    </row>
    <row r="478" spans="1:33" ht="14.25" customHeight="1" x14ac:dyDescent="0.2">
      <c r="D478" s="970" t="s">
        <v>1964</v>
      </c>
      <c r="E478" s="972"/>
      <c r="F478" s="972"/>
      <c r="G478" s="972"/>
      <c r="H478" s="972"/>
      <c r="I478" s="972"/>
      <c r="J478" s="972"/>
      <c r="K478" s="972"/>
      <c r="L478" s="972"/>
      <c r="M478" s="972"/>
      <c r="N478" s="972"/>
      <c r="O478" s="972"/>
      <c r="P478" s="972"/>
      <c r="Q478" s="972"/>
    </row>
    <row r="479" spans="1:33" ht="14.25" customHeight="1" thickBot="1" x14ac:dyDescent="0.25"/>
    <row r="480" spans="1:33" ht="14.25" customHeight="1" thickBot="1" x14ac:dyDescent="0.25">
      <c r="D480" s="1030" t="s">
        <v>465</v>
      </c>
      <c r="E480" s="1030"/>
      <c r="F480" s="1030"/>
      <c r="G480" s="1030"/>
      <c r="H480" s="1030"/>
      <c r="I480" s="1030"/>
      <c r="J480" s="1030"/>
      <c r="K480" s="1030"/>
      <c r="L480" s="1030"/>
      <c r="M480" s="1030"/>
      <c r="N480" s="1030" t="s">
        <v>2</v>
      </c>
      <c r="O480" s="1030"/>
      <c r="P480" s="1030"/>
      <c r="Q480" s="1030"/>
      <c r="R480" s="1030"/>
      <c r="S480" s="1030"/>
      <c r="T480" s="1030"/>
      <c r="U480" s="1030"/>
      <c r="V480" s="1030"/>
      <c r="W480" s="1030"/>
      <c r="X480" s="1030"/>
      <c r="Y480" s="1030"/>
      <c r="Z480" s="1030"/>
      <c r="AA480" s="1030"/>
      <c r="AB480" s="1030"/>
      <c r="AC480" s="1030"/>
      <c r="AD480" s="1030"/>
      <c r="AE480" s="1030"/>
      <c r="AF480" s="1030"/>
      <c r="AG480" s="1030"/>
    </row>
    <row r="481" spans="4:41" ht="47.25" customHeight="1" thickTop="1" thickBot="1" x14ac:dyDescent="0.25">
      <c r="D481" s="1030"/>
      <c r="E481" s="1030"/>
      <c r="F481" s="1030"/>
      <c r="G481" s="1030"/>
      <c r="H481" s="1030"/>
      <c r="I481" s="1030"/>
      <c r="J481" s="1030"/>
      <c r="K481" s="1030"/>
      <c r="L481" s="1030"/>
      <c r="M481" s="1030"/>
      <c r="N481" s="1031" t="s">
        <v>472</v>
      </c>
      <c r="O481" s="1031"/>
      <c r="P481" s="1031"/>
      <c r="Q481" s="1031"/>
      <c r="R481" s="1031" t="s">
        <v>27</v>
      </c>
      <c r="S481" s="1031"/>
      <c r="T481" s="1031"/>
      <c r="U481" s="1031"/>
      <c r="V481" s="1031" t="s">
        <v>28</v>
      </c>
      <c r="W481" s="1031"/>
      <c r="X481" s="1031"/>
      <c r="Y481" s="1031"/>
      <c r="Z481" s="1031" t="s">
        <v>29</v>
      </c>
      <c r="AA481" s="1031"/>
      <c r="AB481" s="1031"/>
      <c r="AC481" s="1031"/>
      <c r="AD481" s="1031" t="s">
        <v>392</v>
      </c>
      <c r="AE481" s="1031"/>
      <c r="AF481" s="1031"/>
      <c r="AG481" s="1031"/>
      <c r="AL481" s="641" t="s">
        <v>472</v>
      </c>
      <c r="AM481" s="641" t="s">
        <v>392</v>
      </c>
      <c r="AO481" s="641" t="s">
        <v>392</v>
      </c>
    </row>
    <row r="482" spans="4:41" ht="14.25" customHeight="1" x14ac:dyDescent="0.2">
      <c r="D482" s="1211" t="s">
        <v>393</v>
      </c>
      <c r="E482" s="1211"/>
      <c r="F482" s="1211"/>
      <c r="G482" s="1211"/>
      <c r="H482" s="1211"/>
      <c r="I482" s="1211"/>
      <c r="J482" s="1211"/>
      <c r="K482" s="1211"/>
      <c r="L482" s="1211"/>
      <c r="M482" s="1211"/>
      <c r="N482" s="1204">
        <v>6639</v>
      </c>
      <c r="O482" s="1204"/>
      <c r="P482" s="1204"/>
      <c r="Q482" s="1204"/>
      <c r="R482" s="1204"/>
      <c r="S482" s="1204"/>
      <c r="T482" s="1204"/>
      <c r="U482" s="1204"/>
      <c r="V482" s="1204"/>
      <c r="W482" s="1204"/>
      <c r="X482" s="1204"/>
      <c r="Y482" s="1204"/>
      <c r="Z482" s="1204"/>
      <c r="AA482" s="1204"/>
      <c r="AB482" s="1204"/>
      <c r="AC482" s="1204"/>
      <c r="AD482" s="1249">
        <f>SUM(N482:AC482)</f>
        <v>6639</v>
      </c>
      <c r="AE482" s="1249"/>
      <c r="AF482" s="1249"/>
      <c r="AG482" s="1249"/>
      <c r="AL482" s="682">
        <f>N482-AD504</f>
        <v>0</v>
      </c>
      <c r="AM482" s="686">
        <f>SUM(N482:AC482)-AD482</f>
        <v>0</v>
      </c>
      <c r="AO482" s="684">
        <f>AD482-BS!$D$84</f>
        <v>0</v>
      </c>
    </row>
    <row r="483" spans="4:41" ht="14.25" customHeight="1" x14ac:dyDescent="0.2">
      <c r="D483" s="1092" t="s">
        <v>394</v>
      </c>
      <c r="E483" s="1092"/>
      <c r="F483" s="1092"/>
      <c r="G483" s="1092"/>
      <c r="H483" s="1092"/>
      <c r="I483" s="1092"/>
      <c r="J483" s="1092"/>
      <c r="K483" s="1092"/>
      <c r="L483" s="1092"/>
      <c r="M483" s="1092"/>
      <c r="N483" s="1032"/>
      <c r="O483" s="1032"/>
      <c r="P483" s="1032"/>
      <c r="Q483" s="1032"/>
      <c r="R483" s="1032"/>
      <c r="S483" s="1032"/>
      <c r="T483" s="1032"/>
      <c r="U483" s="1032"/>
      <c r="V483" s="1032"/>
      <c r="W483" s="1032"/>
      <c r="X483" s="1032"/>
      <c r="Y483" s="1032"/>
      <c r="Z483" s="1032"/>
      <c r="AA483" s="1032"/>
      <c r="AB483" s="1032"/>
      <c r="AC483" s="1032"/>
      <c r="AD483" s="1144">
        <f t="shared" ref="AD483:AD499" si="14">SUM(N483:AC483)</f>
        <v>0</v>
      </c>
      <c r="AE483" s="1144"/>
      <c r="AF483" s="1144"/>
      <c r="AG483" s="1144"/>
      <c r="AL483" s="409">
        <f t="shared" ref="AL483:AL498" si="15">N483-AD505</f>
        <v>0</v>
      </c>
      <c r="AM483" s="407">
        <f t="shared" ref="AM483:AM499" si="16">SUM(N483:AC483)-AD483</f>
        <v>0</v>
      </c>
      <c r="AO483" s="410">
        <f>AD483-BS!$D$85</f>
        <v>0</v>
      </c>
    </row>
    <row r="484" spans="4:41" ht="14.25" customHeight="1" x14ac:dyDescent="0.2">
      <c r="D484" s="1092" t="s">
        <v>466</v>
      </c>
      <c r="E484" s="1092"/>
      <c r="F484" s="1092"/>
      <c r="G484" s="1092"/>
      <c r="H484" s="1092"/>
      <c r="I484" s="1092"/>
      <c r="J484" s="1092"/>
      <c r="K484" s="1092"/>
      <c r="L484" s="1092"/>
      <c r="M484" s="1092"/>
      <c r="N484" s="1032"/>
      <c r="O484" s="1032"/>
      <c r="P484" s="1032"/>
      <c r="Q484" s="1032"/>
      <c r="R484" s="1032"/>
      <c r="S484" s="1032"/>
      <c r="T484" s="1032"/>
      <c r="U484" s="1032"/>
      <c r="V484" s="1032"/>
      <c r="W484" s="1032"/>
      <c r="X484" s="1032"/>
      <c r="Y484" s="1032"/>
      <c r="Z484" s="1032"/>
      <c r="AA484" s="1032"/>
      <c r="AB484" s="1032"/>
      <c r="AC484" s="1032"/>
      <c r="AD484" s="1144">
        <f t="shared" si="14"/>
        <v>0</v>
      </c>
      <c r="AE484" s="1144"/>
      <c r="AF484" s="1144"/>
      <c r="AG484" s="1144"/>
      <c r="AL484" s="409">
        <f t="shared" si="15"/>
        <v>0</v>
      </c>
      <c r="AM484" s="407">
        <f t="shared" si="16"/>
        <v>0</v>
      </c>
      <c r="AO484" s="410">
        <f>AD484-BS!$D$86</f>
        <v>0</v>
      </c>
    </row>
    <row r="485" spans="4:41" ht="14.25" customHeight="1" x14ac:dyDescent="0.2">
      <c r="D485" s="1092" t="s">
        <v>467</v>
      </c>
      <c r="E485" s="1092"/>
      <c r="F485" s="1092"/>
      <c r="G485" s="1092"/>
      <c r="H485" s="1092"/>
      <c r="I485" s="1092"/>
      <c r="J485" s="1092"/>
      <c r="K485" s="1092"/>
      <c r="L485" s="1092"/>
      <c r="M485" s="1092"/>
      <c r="N485" s="1032"/>
      <c r="O485" s="1032"/>
      <c r="P485" s="1032"/>
      <c r="Q485" s="1032"/>
      <c r="R485" s="1032"/>
      <c r="S485" s="1032"/>
      <c r="T485" s="1032"/>
      <c r="U485" s="1032"/>
      <c r="V485" s="1032"/>
      <c r="W485" s="1032"/>
      <c r="X485" s="1032"/>
      <c r="Y485" s="1032"/>
      <c r="Z485" s="1032"/>
      <c r="AA485" s="1032"/>
      <c r="AB485" s="1032"/>
      <c r="AC485" s="1032"/>
      <c r="AD485" s="1144">
        <f t="shared" si="14"/>
        <v>0</v>
      </c>
      <c r="AE485" s="1144"/>
      <c r="AF485" s="1144"/>
      <c r="AG485" s="1144"/>
      <c r="AL485" s="409">
        <f t="shared" si="15"/>
        <v>0</v>
      </c>
      <c r="AM485" s="407">
        <f t="shared" si="16"/>
        <v>0</v>
      </c>
      <c r="AO485" s="409">
        <f>AD485-BS!$D$87</f>
        <v>0</v>
      </c>
    </row>
    <row r="486" spans="4:41" ht="14.25" customHeight="1" x14ac:dyDescent="0.2">
      <c r="D486" s="1092" t="s">
        <v>395</v>
      </c>
      <c r="E486" s="1092"/>
      <c r="F486" s="1092"/>
      <c r="G486" s="1092"/>
      <c r="H486" s="1092"/>
      <c r="I486" s="1092"/>
      <c r="J486" s="1092"/>
      <c r="K486" s="1092"/>
      <c r="L486" s="1092"/>
      <c r="M486" s="1092"/>
      <c r="N486" s="1032"/>
      <c r="O486" s="1032"/>
      <c r="P486" s="1032"/>
      <c r="Q486" s="1032"/>
      <c r="R486" s="1032"/>
      <c r="S486" s="1032"/>
      <c r="T486" s="1032"/>
      <c r="U486" s="1032"/>
      <c r="V486" s="1032"/>
      <c r="W486" s="1032"/>
      <c r="X486" s="1032"/>
      <c r="Y486" s="1032"/>
      <c r="Z486" s="1032"/>
      <c r="AA486" s="1032"/>
      <c r="AB486" s="1032"/>
      <c r="AC486" s="1032"/>
      <c r="AD486" s="1144">
        <f t="shared" si="14"/>
        <v>0</v>
      </c>
      <c r="AE486" s="1144"/>
      <c r="AF486" s="1144"/>
      <c r="AG486" s="1144"/>
      <c r="AL486" s="409">
        <f t="shared" si="15"/>
        <v>0</v>
      </c>
      <c r="AM486" s="407">
        <f t="shared" si="16"/>
        <v>0</v>
      </c>
      <c r="AO486" s="410">
        <f>AD486-BS!$D$89</f>
        <v>0</v>
      </c>
    </row>
    <row r="487" spans="4:41" ht="14.25" customHeight="1" x14ac:dyDescent="0.2">
      <c r="D487" s="1092" t="s">
        <v>396</v>
      </c>
      <c r="E487" s="1092"/>
      <c r="F487" s="1092"/>
      <c r="G487" s="1092"/>
      <c r="H487" s="1092"/>
      <c r="I487" s="1092"/>
      <c r="J487" s="1092"/>
      <c r="K487" s="1092"/>
      <c r="L487" s="1092"/>
      <c r="M487" s="1092"/>
      <c r="N487" s="1032"/>
      <c r="O487" s="1032"/>
      <c r="P487" s="1032"/>
      <c r="Q487" s="1032"/>
      <c r="R487" s="1032"/>
      <c r="S487" s="1032"/>
      <c r="T487" s="1032"/>
      <c r="U487" s="1032"/>
      <c r="V487" s="1032"/>
      <c r="W487" s="1032"/>
      <c r="X487" s="1032"/>
      <c r="Y487" s="1032"/>
      <c r="Z487" s="1032"/>
      <c r="AA487" s="1032"/>
      <c r="AB487" s="1032"/>
      <c r="AC487" s="1032"/>
      <c r="AD487" s="1144">
        <f t="shared" si="14"/>
        <v>0</v>
      </c>
      <c r="AE487" s="1144"/>
      <c r="AF487" s="1144"/>
      <c r="AG487" s="1144"/>
      <c r="AL487" s="409">
        <f t="shared" si="15"/>
        <v>0</v>
      </c>
      <c r="AM487" s="407">
        <f t="shared" si="16"/>
        <v>0</v>
      </c>
      <c r="AO487" s="410">
        <f>AD487-BS!$D$90</f>
        <v>0</v>
      </c>
    </row>
    <row r="488" spans="4:41" ht="21.75" customHeight="1" x14ac:dyDescent="0.2">
      <c r="D488" s="1092" t="s">
        <v>397</v>
      </c>
      <c r="E488" s="1092"/>
      <c r="F488" s="1092"/>
      <c r="G488" s="1092"/>
      <c r="H488" s="1092"/>
      <c r="I488" s="1092"/>
      <c r="J488" s="1092"/>
      <c r="K488" s="1092"/>
      <c r="L488" s="1092"/>
      <c r="M488" s="1092"/>
      <c r="N488" s="1032"/>
      <c r="O488" s="1032"/>
      <c r="P488" s="1032"/>
      <c r="Q488" s="1032"/>
      <c r="R488" s="1032"/>
      <c r="S488" s="1032"/>
      <c r="T488" s="1032"/>
      <c r="U488" s="1032"/>
      <c r="V488" s="1032"/>
      <c r="W488" s="1032"/>
      <c r="X488" s="1032"/>
      <c r="Y488" s="1032"/>
      <c r="Z488" s="1032"/>
      <c r="AA488" s="1032"/>
      <c r="AB488" s="1032"/>
      <c r="AC488" s="1032"/>
      <c r="AD488" s="1144">
        <f t="shared" si="14"/>
        <v>0</v>
      </c>
      <c r="AE488" s="1144"/>
      <c r="AF488" s="1144"/>
      <c r="AG488" s="1144"/>
      <c r="AL488" s="409">
        <f t="shared" si="15"/>
        <v>0</v>
      </c>
      <c r="AM488" s="407">
        <f t="shared" si="16"/>
        <v>0</v>
      </c>
      <c r="AO488" s="410">
        <f>AD488-BS!$D$91</f>
        <v>0</v>
      </c>
    </row>
    <row r="489" spans="4:41" ht="14.25" customHeight="1" x14ac:dyDescent="0.2">
      <c r="D489" s="1092" t="s">
        <v>398</v>
      </c>
      <c r="E489" s="1092"/>
      <c r="F489" s="1092"/>
      <c r="G489" s="1092"/>
      <c r="H489" s="1092"/>
      <c r="I489" s="1092"/>
      <c r="J489" s="1092"/>
      <c r="K489" s="1092"/>
      <c r="L489" s="1092"/>
      <c r="M489" s="1092"/>
      <c r="N489" s="1032"/>
      <c r="O489" s="1032"/>
      <c r="P489" s="1032"/>
      <c r="Q489" s="1032"/>
      <c r="R489" s="1032"/>
      <c r="S489" s="1032"/>
      <c r="T489" s="1032"/>
      <c r="U489" s="1032"/>
      <c r="V489" s="1032"/>
      <c r="W489" s="1032"/>
      <c r="X489" s="1032"/>
      <c r="Y489" s="1032"/>
      <c r="Z489" s="1032"/>
      <c r="AA489" s="1032"/>
      <c r="AB489" s="1032"/>
      <c r="AC489" s="1032"/>
      <c r="AD489" s="1144">
        <f t="shared" si="14"/>
        <v>0</v>
      </c>
      <c r="AE489" s="1144"/>
      <c r="AF489" s="1144"/>
      <c r="AG489" s="1144"/>
      <c r="AL489" s="409">
        <f t="shared" si="15"/>
        <v>0</v>
      </c>
      <c r="AM489" s="407">
        <f t="shared" si="16"/>
        <v>0</v>
      </c>
      <c r="AO489" s="410">
        <f>AD489-BS!$D$92-BS!$D$93</f>
        <v>0</v>
      </c>
    </row>
    <row r="490" spans="4:41" ht="23.25" customHeight="1" x14ac:dyDescent="0.2">
      <c r="D490" s="1092" t="s">
        <v>468</v>
      </c>
      <c r="E490" s="1092"/>
      <c r="F490" s="1092"/>
      <c r="G490" s="1092"/>
      <c r="H490" s="1092"/>
      <c r="I490" s="1092"/>
      <c r="J490" s="1092"/>
      <c r="K490" s="1092"/>
      <c r="L490" s="1092"/>
      <c r="M490" s="1092"/>
      <c r="N490" s="1032"/>
      <c r="O490" s="1032"/>
      <c r="P490" s="1032"/>
      <c r="Q490" s="1032"/>
      <c r="R490" s="1032"/>
      <c r="S490" s="1032"/>
      <c r="T490" s="1032"/>
      <c r="U490" s="1032"/>
      <c r="V490" s="1032"/>
      <c r="W490" s="1032"/>
      <c r="X490" s="1032"/>
      <c r="Y490" s="1032"/>
      <c r="Z490" s="1032"/>
      <c r="AA490" s="1032"/>
      <c r="AB490" s="1032"/>
      <c r="AC490" s="1032"/>
      <c r="AD490" s="1144">
        <f t="shared" si="14"/>
        <v>0</v>
      </c>
      <c r="AE490" s="1144"/>
      <c r="AF490" s="1144"/>
      <c r="AG490" s="1144"/>
      <c r="AL490" s="409">
        <f t="shared" si="15"/>
        <v>0</v>
      </c>
      <c r="AM490" s="407">
        <f t="shared" si="16"/>
        <v>0</v>
      </c>
      <c r="AO490" s="410">
        <f>AD490-BS!$D$94</f>
        <v>0</v>
      </c>
    </row>
    <row r="491" spans="4:41" ht="14.25" customHeight="1" x14ac:dyDescent="0.2">
      <c r="D491" s="1092" t="s">
        <v>399</v>
      </c>
      <c r="E491" s="1092"/>
      <c r="F491" s="1092"/>
      <c r="G491" s="1092"/>
      <c r="H491" s="1092"/>
      <c r="I491" s="1092"/>
      <c r="J491" s="1092"/>
      <c r="K491" s="1092"/>
      <c r="L491" s="1092"/>
      <c r="M491" s="1092"/>
      <c r="N491" s="1032">
        <v>332</v>
      </c>
      <c r="O491" s="1032"/>
      <c r="P491" s="1032"/>
      <c r="Q491" s="1032"/>
      <c r="R491" s="1032"/>
      <c r="S491" s="1032"/>
      <c r="T491" s="1032"/>
      <c r="U491" s="1032"/>
      <c r="V491" s="1032"/>
      <c r="W491" s="1032"/>
      <c r="X491" s="1032"/>
      <c r="Y491" s="1032"/>
      <c r="Z491" s="1032">
        <v>332</v>
      </c>
      <c r="AA491" s="1032"/>
      <c r="AB491" s="1032"/>
      <c r="AC491" s="1032"/>
      <c r="AD491" s="1144">
        <f t="shared" si="14"/>
        <v>664</v>
      </c>
      <c r="AE491" s="1144"/>
      <c r="AF491" s="1144"/>
      <c r="AG491" s="1144"/>
      <c r="AL491" s="409">
        <f t="shared" si="15"/>
        <v>0</v>
      </c>
      <c r="AM491" s="407">
        <f t="shared" si="16"/>
        <v>0</v>
      </c>
      <c r="AO491" s="410">
        <f>AD491-BS!$D$96</f>
        <v>0</v>
      </c>
    </row>
    <row r="492" spans="4:41" ht="14.25" customHeight="1" x14ac:dyDescent="0.2">
      <c r="D492" s="1092" t="s">
        <v>400</v>
      </c>
      <c r="E492" s="1092"/>
      <c r="F492" s="1092"/>
      <c r="G492" s="1092"/>
      <c r="H492" s="1092"/>
      <c r="I492" s="1092"/>
      <c r="J492" s="1092"/>
      <c r="K492" s="1092"/>
      <c r="L492" s="1092"/>
      <c r="M492" s="1092"/>
      <c r="N492" s="1032"/>
      <c r="O492" s="1032"/>
      <c r="P492" s="1032"/>
      <c r="Q492" s="1032"/>
      <c r="R492" s="1032"/>
      <c r="S492" s="1032"/>
      <c r="T492" s="1032"/>
      <c r="U492" s="1032"/>
      <c r="V492" s="1032"/>
      <c r="W492" s="1032"/>
      <c r="X492" s="1032"/>
      <c r="Y492" s="1032"/>
      <c r="Z492" s="1032"/>
      <c r="AA492" s="1032"/>
      <c r="AB492" s="1032"/>
      <c r="AC492" s="1032"/>
      <c r="AD492" s="1144">
        <f t="shared" si="14"/>
        <v>0</v>
      </c>
      <c r="AE492" s="1144"/>
      <c r="AF492" s="1144"/>
      <c r="AG492" s="1144"/>
      <c r="AL492" s="409">
        <f t="shared" si="15"/>
        <v>0</v>
      </c>
      <c r="AM492" s="407">
        <f t="shared" si="16"/>
        <v>0</v>
      </c>
      <c r="AO492" s="410">
        <f>AD492-BS!$D$97</f>
        <v>0</v>
      </c>
    </row>
    <row r="493" spans="4:41" ht="14.25" customHeight="1" x14ac:dyDescent="0.2">
      <c r="D493" s="1092" t="s">
        <v>401</v>
      </c>
      <c r="E493" s="1092"/>
      <c r="F493" s="1092"/>
      <c r="G493" s="1092"/>
      <c r="H493" s="1092"/>
      <c r="I493" s="1092"/>
      <c r="J493" s="1092"/>
      <c r="K493" s="1092"/>
      <c r="L493" s="1092"/>
      <c r="M493" s="1092"/>
      <c r="N493" s="1032"/>
      <c r="O493" s="1032"/>
      <c r="P493" s="1032"/>
      <c r="Q493" s="1032"/>
      <c r="R493" s="1032"/>
      <c r="S493" s="1032"/>
      <c r="T493" s="1032"/>
      <c r="U493" s="1032"/>
      <c r="V493" s="1032"/>
      <c r="W493" s="1032"/>
      <c r="X493" s="1032"/>
      <c r="Y493" s="1032"/>
      <c r="Z493" s="1032"/>
      <c r="AA493" s="1032"/>
      <c r="AB493" s="1032"/>
      <c r="AC493" s="1032"/>
      <c r="AD493" s="1144">
        <f t="shared" si="14"/>
        <v>0</v>
      </c>
      <c r="AE493" s="1144"/>
      <c r="AF493" s="1144"/>
      <c r="AG493" s="1144"/>
      <c r="AL493" s="409">
        <f t="shared" si="15"/>
        <v>0</v>
      </c>
      <c r="AM493" s="407">
        <f t="shared" si="16"/>
        <v>0</v>
      </c>
      <c r="AO493" s="410">
        <f>AD493-BS!$D$98</f>
        <v>0</v>
      </c>
    </row>
    <row r="494" spans="4:41" ht="14.25" customHeight="1" x14ac:dyDescent="0.2">
      <c r="D494" s="1092" t="s">
        <v>402</v>
      </c>
      <c r="E494" s="1092"/>
      <c r="F494" s="1092"/>
      <c r="G494" s="1092"/>
      <c r="H494" s="1092"/>
      <c r="I494" s="1092"/>
      <c r="J494" s="1092"/>
      <c r="K494" s="1092"/>
      <c r="L494" s="1092"/>
      <c r="M494" s="1092"/>
      <c r="N494" s="1032">
        <v>296198</v>
      </c>
      <c r="O494" s="1032"/>
      <c r="P494" s="1032"/>
      <c r="Q494" s="1032"/>
      <c r="R494" s="1032"/>
      <c r="S494" s="1032"/>
      <c r="T494" s="1032"/>
      <c r="U494" s="1032"/>
      <c r="V494" s="1032"/>
      <c r="W494" s="1032"/>
      <c r="X494" s="1032"/>
      <c r="Y494" s="1032"/>
      <c r="Z494" s="1032">
        <v>-296198</v>
      </c>
      <c r="AA494" s="1032"/>
      <c r="AB494" s="1032"/>
      <c r="AC494" s="1032"/>
      <c r="AD494" s="1144">
        <f>SUM(N494:AC494)</f>
        <v>0</v>
      </c>
      <c r="AE494" s="1144"/>
      <c r="AF494" s="1144"/>
      <c r="AG494" s="1144"/>
      <c r="AL494" s="409">
        <f t="shared" si="15"/>
        <v>0</v>
      </c>
      <c r="AM494" s="407">
        <f t="shared" si="16"/>
        <v>0</v>
      </c>
      <c r="AO494" s="410">
        <f>AD494-BS!$D$100</f>
        <v>0</v>
      </c>
    </row>
    <row r="495" spans="4:41" ht="14.25" customHeight="1" x14ac:dyDescent="0.2">
      <c r="D495" s="1092" t="s">
        <v>469</v>
      </c>
      <c r="E495" s="1092"/>
      <c r="F495" s="1092"/>
      <c r="G495" s="1092"/>
      <c r="H495" s="1092"/>
      <c r="I495" s="1092"/>
      <c r="J495" s="1092"/>
      <c r="K495" s="1092"/>
      <c r="L495" s="1092"/>
      <c r="M495" s="1092"/>
      <c r="N495" s="1032">
        <v>-308934</v>
      </c>
      <c r="O495" s="1032"/>
      <c r="P495" s="1032"/>
      <c r="Q495" s="1032"/>
      <c r="R495" s="1032"/>
      <c r="S495" s="1032"/>
      <c r="T495" s="1032"/>
      <c r="U495" s="1032"/>
      <c r="V495" s="1032"/>
      <c r="W495" s="1032"/>
      <c r="X495" s="1032"/>
      <c r="Y495" s="1032"/>
      <c r="Z495" s="1032">
        <v>308934</v>
      </c>
      <c r="AA495" s="1032"/>
      <c r="AB495" s="1032"/>
      <c r="AC495" s="1032"/>
      <c r="AD495" s="1144">
        <f t="shared" si="14"/>
        <v>0</v>
      </c>
      <c r="AE495" s="1144"/>
      <c r="AF495" s="1144"/>
      <c r="AG495" s="1144"/>
      <c r="AL495" s="409">
        <f t="shared" si="15"/>
        <v>0</v>
      </c>
      <c r="AM495" s="407">
        <f t="shared" si="16"/>
        <v>0</v>
      </c>
      <c r="AO495" s="410">
        <f>AD495-BS!$D$101</f>
        <v>0</v>
      </c>
    </row>
    <row r="496" spans="4:41" ht="23.25" customHeight="1" x14ac:dyDescent="0.2">
      <c r="D496" s="1092" t="s">
        <v>470</v>
      </c>
      <c r="E496" s="1092"/>
      <c r="F496" s="1092"/>
      <c r="G496" s="1092"/>
      <c r="H496" s="1092"/>
      <c r="I496" s="1092"/>
      <c r="J496" s="1092"/>
      <c r="K496" s="1092"/>
      <c r="L496" s="1092"/>
      <c r="M496" s="1092"/>
      <c r="N496" s="1099">
        <v>120260</v>
      </c>
      <c r="O496" s="1099"/>
      <c r="P496" s="1099"/>
      <c r="Q496" s="1099"/>
      <c r="R496" s="1099">
        <v>50683</v>
      </c>
      <c r="S496" s="1099"/>
      <c r="T496" s="1099"/>
      <c r="U496" s="1099"/>
      <c r="V496" s="1099"/>
      <c r="W496" s="1099"/>
      <c r="X496" s="1099"/>
      <c r="Y496" s="1099"/>
      <c r="Z496" s="1099">
        <v>-120260</v>
      </c>
      <c r="AA496" s="1099"/>
      <c r="AB496" s="1099"/>
      <c r="AC496" s="1099"/>
      <c r="AD496" s="1144">
        <f t="shared" si="14"/>
        <v>50683</v>
      </c>
      <c r="AE496" s="1144"/>
      <c r="AF496" s="1144"/>
      <c r="AG496" s="1144"/>
      <c r="AL496" s="409">
        <f t="shared" si="15"/>
        <v>0</v>
      </c>
      <c r="AM496" s="407">
        <f t="shared" si="16"/>
        <v>0</v>
      </c>
      <c r="AO496" s="410">
        <f>AD496-BS!$D$102</f>
        <v>0</v>
      </c>
    </row>
    <row r="497" spans="4:41" ht="14.25" customHeight="1" x14ac:dyDescent="0.2">
      <c r="D497" s="1092" t="s">
        <v>403</v>
      </c>
      <c r="E497" s="1092"/>
      <c r="F497" s="1092"/>
      <c r="G497" s="1092"/>
      <c r="H497" s="1092"/>
      <c r="I497" s="1092"/>
      <c r="J497" s="1092"/>
      <c r="K497" s="1092"/>
      <c r="L497" s="1092"/>
      <c r="M497" s="1092"/>
      <c r="N497" s="1032"/>
      <c r="O497" s="1032"/>
      <c r="P497" s="1032"/>
      <c r="Q497" s="1032"/>
      <c r="R497" s="1032"/>
      <c r="S497" s="1032"/>
      <c r="T497" s="1032"/>
      <c r="U497" s="1032"/>
      <c r="V497" s="1032">
        <v>-107192</v>
      </c>
      <c r="W497" s="1032"/>
      <c r="X497" s="1032"/>
      <c r="Y497" s="1032"/>
      <c r="Z497" s="1032">
        <v>107192</v>
      </c>
      <c r="AA497" s="1032"/>
      <c r="AB497" s="1032"/>
      <c r="AC497" s="1032"/>
      <c r="AD497" s="1144">
        <f t="shared" si="14"/>
        <v>0</v>
      </c>
      <c r="AE497" s="1144"/>
      <c r="AF497" s="1144"/>
      <c r="AG497" s="1144"/>
      <c r="AL497" s="409">
        <f t="shared" si="15"/>
        <v>0</v>
      </c>
      <c r="AM497" s="407">
        <f>SUM(N497:AC497)-AD497</f>
        <v>0</v>
      </c>
      <c r="AO497" s="411"/>
    </row>
    <row r="498" spans="4:41" ht="14.25" customHeight="1" x14ac:dyDescent="0.2">
      <c r="D498" s="1092" t="s">
        <v>404</v>
      </c>
      <c r="E498" s="1092"/>
      <c r="F498" s="1092"/>
      <c r="G498" s="1092"/>
      <c r="H498" s="1092"/>
      <c r="I498" s="1092"/>
      <c r="J498" s="1092"/>
      <c r="K498" s="1092"/>
      <c r="L498" s="1092"/>
      <c r="M498" s="1092"/>
      <c r="N498" s="1032"/>
      <c r="O498" s="1032"/>
      <c r="P498" s="1032"/>
      <c r="Q498" s="1032"/>
      <c r="R498" s="1032"/>
      <c r="S498" s="1032"/>
      <c r="T498" s="1032"/>
      <c r="U498" s="1032"/>
      <c r="V498" s="1032"/>
      <c r="W498" s="1032"/>
      <c r="X498" s="1032"/>
      <c r="Y498" s="1032"/>
      <c r="Z498" s="1032"/>
      <c r="AA498" s="1032"/>
      <c r="AB498" s="1032"/>
      <c r="AC498" s="1032"/>
      <c r="AD498" s="1144">
        <f t="shared" si="14"/>
        <v>0</v>
      </c>
      <c r="AE498" s="1144"/>
      <c r="AF498" s="1144"/>
      <c r="AG498" s="1144"/>
      <c r="AL498" s="409">
        <f t="shared" si="15"/>
        <v>0</v>
      </c>
      <c r="AM498" s="407">
        <f t="shared" si="16"/>
        <v>0</v>
      </c>
      <c r="AO498" s="411"/>
    </row>
    <row r="499" spans="4:41" ht="24" customHeight="1" thickBot="1" x14ac:dyDescent="0.25">
      <c r="D499" s="1247" t="s">
        <v>471</v>
      </c>
      <c r="E499" s="1247"/>
      <c r="F499" s="1247"/>
      <c r="G499" s="1247"/>
      <c r="H499" s="1247"/>
      <c r="I499" s="1247"/>
      <c r="J499" s="1247"/>
      <c r="K499" s="1247"/>
      <c r="L499" s="1247"/>
      <c r="M499" s="1247"/>
      <c r="N499" s="1248"/>
      <c r="O499" s="1248"/>
      <c r="P499" s="1248"/>
      <c r="Q499" s="1248"/>
      <c r="R499" s="1248"/>
      <c r="S499" s="1248"/>
      <c r="T499" s="1248"/>
      <c r="U499" s="1248"/>
      <c r="V499" s="1248"/>
      <c r="W499" s="1248"/>
      <c r="X499" s="1248"/>
      <c r="Y499" s="1248"/>
      <c r="Z499" s="1248"/>
      <c r="AA499" s="1248"/>
      <c r="AB499" s="1248"/>
      <c r="AC499" s="1248"/>
      <c r="AD499" s="1042">
        <f t="shared" si="14"/>
        <v>0</v>
      </c>
      <c r="AE499" s="1042"/>
      <c r="AF499" s="1042"/>
      <c r="AG499" s="1042"/>
      <c r="AL499" s="683">
        <f>N499-AD521</f>
        <v>0</v>
      </c>
      <c r="AM499" s="687">
        <f t="shared" si="16"/>
        <v>0</v>
      </c>
      <c r="AO499" s="685"/>
    </row>
    <row r="501" spans="4:41" ht="14.25" customHeight="1" thickBot="1" x14ac:dyDescent="0.25"/>
    <row r="502" spans="4:41" ht="14.25" customHeight="1" thickBot="1" x14ac:dyDescent="0.25">
      <c r="D502" s="1030" t="s">
        <v>465</v>
      </c>
      <c r="E502" s="1030"/>
      <c r="F502" s="1030"/>
      <c r="G502" s="1030"/>
      <c r="H502" s="1030"/>
      <c r="I502" s="1030"/>
      <c r="J502" s="1030"/>
      <c r="K502" s="1030"/>
      <c r="L502" s="1030"/>
      <c r="M502" s="1030"/>
      <c r="N502" s="1030" t="s">
        <v>3</v>
      </c>
      <c r="O502" s="1030"/>
      <c r="P502" s="1030"/>
      <c r="Q502" s="1030"/>
      <c r="R502" s="1030"/>
      <c r="S502" s="1030"/>
      <c r="T502" s="1030"/>
      <c r="U502" s="1030"/>
      <c r="V502" s="1030"/>
      <c r="W502" s="1030"/>
      <c r="X502" s="1030"/>
      <c r="Y502" s="1030"/>
      <c r="Z502" s="1030"/>
      <c r="AA502" s="1030"/>
      <c r="AB502" s="1030"/>
      <c r="AC502" s="1030"/>
      <c r="AD502" s="1030"/>
      <c r="AE502" s="1030"/>
      <c r="AF502" s="1030"/>
      <c r="AG502" s="1030"/>
    </row>
    <row r="503" spans="4:41" ht="50.25" customHeight="1" thickTop="1" thickBot="1" x14ac:dyDescent="0.25">
      <c r="D503" s="1030"/>
      <c r="E503" s="1030"/>
      <c r="F503" s="1030"/>
      <c r="G503" s="1030"/>
      <c r="H503" s="1030"/>
      <c r="I503" s="1030"/>
      <c r="J503" s="1030"/>
      <c r="K503" s="1030"/>
      <c r="L503" s="1030"/>
      <c r="M503" s="1030"/>
      <c r="N503" s="1031" t="s">
        <v>472</v>
      </c>
      <c r="O503" s="1031"/>
      <c r="P503" s="1031"/>
      <c r="Q503" s="1031"/>
      <c r="R503" s="1031" t="s">
        <v>27</v>
      </c>
      <c r="S503" s="1031"/>
      <c r="T503" s="1031"/>
      <c r="U503" s="1031"/>
      <c r="V503" s="1031" t="s">
        <v>28</v>
      </c>
      <c r="W503" s="1031"/>
      <c r="X503" s="1031"/>
      <c r="Y503" s="1031"/>
      <c r="Z503" s="1031" t="s">
        <v>29</v>
      </c>
      <c r="AA503" s="1031"/>
      <c r="AB503" s="1031"/>
      <c r="AC503" s="1031"/>
      <c r="AD503" s="1031" t="s">
        <v>392</v>
      </c>
      <c r="AE503" s="1031"/>
      <c r="AF503" s="1031"/>
      <c r="AG503" s="1031"/>
      <c r="AM503" s="641" t="s">
        <v>392</v>
      </c>
      <c r="AO503" s="641" t="s">
        <v>392</v>
      </c>
    </row>
    <row r="504" spans="4:41" ht="14.25" customHeight="1" x14ac:dyDescent="0.2">
      <c r="D504" s="1211" t="s">
        <v>393</v>
      </c>
      <c r="E504" s="1211"/>
      <c r="F504" s="1211"/>
      <c r="G504" s="1211"/>
      <c r="H504" s="1211"/>
      <c r="I504" s="1211"/>
      <c r="J504" s="1211"/>
      <c r="K504" s="1211"/>
      <c r="L504" s="1211"/>
      <c r="M504" s="1211"/>
      <c r="N504" s="1204">
        <v>6639</v>
      </c>
      <c r="O504" s="1204"/>
      <c r="P504" s="1204"/>
      <c r="Q504" s="1204"/>
      <c r="R504" s="1204"/>
      <c r="S504" s="1204"/>
      <c r="T504" s="1204"/>
      <c r="U504" s="1204"/>
      <c r="V504" s="1204"/>
      <c r="W504" s="1204"/>
      <c r="X504" s="1204"/>
      <c r="Y504" s="1204"/>
      <c r="Z504" s="1204"/>
      <c r="AA504" s="1204"/>
      <c r="AB504" s="1204"/>
      <c r="AC504" s="1204"/>
      <c r="AD504" s="1249">
        <f>SUM(N504:AC504)</f>
        <v>6639</v>
      </c>
      <c r="AE504" s="1249"/>
      <c r="AF504" s="1249"/>
      <c r="AG504" s="1249"/>
      <c r="AM504" s="682">
        <f>SUM(N504:AC504)-AD504</f>
        <v>0</v>
      </c>
      <c r="AO504" s="684">
        <f>AD504-BS!$E$84</f>
        <v>0</v>
      </c>
    </row>
    <row r="505" spans="4:41" ht="14.25" customHeight="1" x14ac:dyDescent="0.2">
      <c r="D505" s="1092" t="s">
        <v>394</v>
      </c>
      <c r="E505" s="1092"/>
      <c r="F505" s="1092"/>
      <c r="G505" s="1092"/>
      <c r="H505" s="1092"/>
      <c r="I505" s="1092"/>
      <c r="J505" s="1092"/>
      <c r="K505" s="1092"/>
      <c r="L505" s="1092"/>
      <c r="M505" s="1092"/>
      <c r="N505" s="1032"/>
      <c r="O505" s="1032"/>
      <c r="P505" s="1032"/>
      <c r="Q505" s="1032"/>
      <c r="R505" s="1032"/>
      <c r="S505" s="1032"/>
      <c r="T505" s="1032"/>
      <c r="U505" s="1032"/>
      <c r="V505" s="1032"/>
      <c r="W505" s="1032"/>
      <c r="X505" s="1032"/>
      <c r="Y505" s="1032"/>
      <c r="Z505" s="1032"/>
      <c r="AA505" s="1032"/>
      <c r="AB505" s="1032"/>
      <c r="AC505" s="1032"/>
      <c r="AD505" s="1144">
        <f>SUM(N505:AC505)</f>
        <v>0</v>
      </c>
      <c r="AE505" s="1144"/>
      <c r="AF505" s="1144"/>
      <c r="AG505" s="1144"/>
      <c r="AM505" s="409">
        <f t="shared" ref="AM505:AM518" si="17">SUM(N505:AC505)-AD505</f>
        <v>0</v>
      </c>
      <c r="AO505" s="410">
        <f>AD505-BS!$E$85</f>
        <v>0</v>
      </c>
    </row>
    <row r="506" spans="4:41" ht="14.25" customHeight="1" x14ac:dyDescent="0.2">
      <c r="D506" s="1092" t="s">
        <v>466</v>
      </c>
      <c r="E506" s="1092"/>
      <c r="F506" s="1092"/>
      <c r="G506" s="1092"/>
      <c r="H506" s="1092"/>
      <c r="I506" s="1092"/>
      <c r="J506" s="1092"/>
      <c r="K506" s="1092"/>
      <c r="L506" s="1092"/>
      <c r="M506" s="1092"/>
      <c r="N506" s="1032"/>
      <c r="O506" s="1032"/>
      <c r="P506" s="1032"/>
      <c r="Q506" s="1032"/>
      <c r="R506" s="1032"/>
      <c r="S506" s="1032"/>
      <c r="T506" s="1032"/>
      <c r="U506" s="1032"/>
      <c r="V506" s="1032"/>
      <c r="W506" s="1032"/>
      <c r="X506" s="1032"/>
      <c r="Y506" s="1032"/>
      <c r="Z506" s="1032"/>
      <c r="AA506" s="1032"/>
      <c r="AB506" s="1032"/>
      <c r="AC506" s="1032"/>
      <c r="AD506" s="1144">
        <f t="shared" ref="AD506:AD521" si="18">SUM(N506:AC506)</f>
        <v>0</v>
      </c>
      <c r="AE506" s="1144"/>
      <c r="AF506" s="1144"/>
      <c r="AG506" s="1144"/>
      <c r="AM506" s="409">
        <f t="shared" si="17"/>
        <v>0</v>
      </c>
      <c r="AO506" s="410">
        <f>AD506-BS!$E$86</f>
        <v>0</v>
      </c>
    </row>
    <row r="507" spans="4:41" ht="14.25" customHeight="1" x14ac:dyDescent="0.2">
      <c r="D507" s="1092" t="s">
        <v>467</v>
      </c>
      <c r="E507" s="1092"/>
      <c r="F507" s="1092"/>
      <c r="G507" s="1092"/>
      <c r="H507" s="1092"/>
      <c r="I507" s="1092"/>
      <c r="J507" s="1092"/>
      <c r="K507" s="1092"/>
      <c r="L507" s="1092"/>
      <c r="M507" s="1092"/>
      <c r="N507" s="1032"/>
      <c r="O507" s="1032"/>
      <c r="P507" s="1032"/>
      <c r="Q507" s="1032"/>
      <c r="R507" s="1032"/>
      <c r="S507" s="1032"/>
      <c r="T507" s="1032"/>
      <c r="U507" s="1032"/>
      <c r="V507" s="1032"/>
      <c r="W507" s="1032"/>
      <c r="X507" s="1032"/>
      <c r="Y507" s="1032"/>
      <c r="Z507" s="1032"/>
      <c r="AA507" s="1032"/>
      <c r="AB507" s="1032"/>
      <c r="AC507" s="1032"/>
      <c r="AD507" s="1144">
        <f t="shared" si="18"/>
        <v>0</v>
      </c>
      <c r="AE507" s="1144"/>
      <c r="AF507" s="1144"/>
      <c r="AG507" s="1144"/>
      <c r="AM507" s="409">
        <f t="shared" si="17"/>
        <v>0</v>
      </c>
      <c r="AO507" s="410">
        <f>AD507-BS!$E$87</f>
        <v>0</v>
      </c>
    </row>
    <row r="508" spans="4:41" ht="14.25" customHeight="1" x14ac:dyDescent="0.2">
      <c r="D508" s="1092" t="s">
        <v>395</v>
      </c>
      <c r="E508" s="1092"/>
      <c r="F508" s="1092"/>
      <c r="G508" s="1092"/>
      <c r="H508" s="1092"/>
      <c r="I508" s="1092"/>
      <c r="J508" s="1092"/>
      <c r="K508" s="1092"/>
      <c r="L508" s="1092"/>
      <c r="M508" s="1092"/>
      <c r="N508" s="1032"/>
      <c r="O508" s="1032"/>
      <c r="P508" s="1032"/>
      <c r="Q508" s="1032"/>
      <c r="R508" s="1032"/>
      <c r="S508" s="1032"/>
      <c r="T508" s="1032"/>
      <c r="U508" s="1032"/>
      <c r="V508" s="1032"/>
      <c r="W508" s="1032"/>
      <c r="X508" s="1032"/>
      <c r="Y508" s="1032"/>
      <c r="Z508" s="1032"/>
      <c r="AA508" s="1032"/>
      <c r="AB508" s="1032"/>
      <c r="AC508" s="1032"/>
      <c r="AD508" s="1144">
        <f t="shared" si="18"/>
        <v>0</v>
      </c>
      <c r="AE508" s="1144"/>
      <c r="AF508" s="1144"/>
      <c r="AG508" s="1144"/>
      <c r="AM508" s="409">
        <f t="shared" si="17"/>
        <v>0</v>
      </c>
      <c r="AO508" s="410">
        <f>AD508-BS!$E$89</f>
        <v>0</v>
      </c>
    </row>
    <row r="509" spans="4:41" ht="14.25" customHeight="1" x14ac:dyDescent="0.2">
      <c r="D509" s="1092" t="s">
        <v>396</v>
      </c>
      <c r="E509" s="1092"/>
      <c r="F509" s="1092"/>
      <c r="G509" s="1092"/>
      <c r="H509" s="1092"/>
      <c r="I509" s="1092"/>
      <c r="J509" s="1092"/>
      <c r="K509" s="1092"/>
      <c r="L509" s="1092"/>
      <c r="M509" s="1092"/>
      <c r="N509" s="1032"/>
      <c r="O509" s="1032"/>
      <c r="P509" s="1032"/>
      <c r="Q509" s="1032"/>
      <c r="R509" s="1032"/>
      <c r="S509" s="1032"/>
      <c r="T509" s="1032"/>
      <c r="U509" s="1032"/>
      <c r="V509" s="1032"/>
      <c r="W509" s="1032"/>
      <c r="X509" s="1032"/>
      <c r="Y509" s="1032"/>
      <c r="Z509" s="1032"/>
      <c r="AA509" s="1032"/>
      <c r="AB509" s="1032"/>
      <c r="AC509" s="1032"/>
      <c r="AD509" s="1144">
        <f t="shared" si="18"/>
        <v>0</v>
      </c>
      <c r="AE509" s="1144"/>
      <c r="AF509" s="1144"/>
      <c r="AG509" s="1144"/>
      <c r="AM509" s="409">
        <f t="shared" si="17"/>
        <v>0</v>
      </c>
      <c r="AO509" s="410">
        <f>AD509-BS!$E$90</f>
        <v>0</v>
      </c>
    </row>
    <row r="510" spans="4:41" ht="22.5" customHeight="1" x14ac:dyDescent="0.2">
      <c r="D510" s="1092" t="s">
        <v>397</v>
      </c>
      <c r="E510" s="1092"/>
      <c r="F510" s="1092"/>
      <c r="G510" s="1092"/>
      <c r="H510" s="1092"/>
      <c r="I510" s="1092"/>
      <c r="J510" s="1092"/>
      <c r="K510" s="1092"/>
      <c r="L510" s="1092"/>
      <c r="M510" s="1092"/>
      <c r="N510" s="1032"/>
      <c r="O510" s="1032"/>
      <c r="P510" s="1032"/>
      <c r="Q510" s="1032"/>
      <c r="R510" s="1032"/>
      <c r="S510" s="1032"/>
      <c r="T510" s="1032"/>
      <c r="U510" s="1032"/>
      <c r="V510" s="1032"/>
      <c r="W510" s="1032"/>
      <c r="X510" s="1032"/>
      <c r="Y510" s="1032"/>
      <c r="Z510" s="1032"/>
      <c r="AA510" s="1032"/>
      <c r="AB510" s="1032"/>
      <c r="AC510" s="1032"/>
      <c r="AD510" s="1144">
        <f t="shared" si="18"/>
        <v>0</v>
      </c>
      <c r="AE510" s="1144"/>
      <c r="AF510" s="1144"/>
      <c r="AG510" s="1144"/>
      <c r="AM510" s="409">
        <f t="shared" si="17"/>
        <v>0</v>
      </c>
      <c r="AO510" s="410">
        <f>AD510-BS!$E$91</f>
        <v>0</v>
      </c>
    </row>
    <row r="511" spans="4:41" ht="14.25" customHeight="1" x14ac:dyDescent="0.2">
      <c r="D511" s="1092" t="s">
        <v>398</v>
      </c>
      <c r="E511" s="1092"/>
      <c r="F511" s="1092"/>
      <c r="G511" s="1092"/>
      <c r="H511" s="1092"/>
      <c r="I511" s="1092"/>
      <c r="J511" s="1092"/>
      <c r="K511" s="1092"/>
      <c r="L511" s="1092"/>
      <c r="M511" s="1092"/>
      <c r="N511" s="1032"/>
      <c r="O511" s="1032"/>
      <c r="P511" s="1032"/>
      <c r="Q511" s="1032"/>
      <c r="R511" s="1032"/>
      <c r="S511" s="1032"/>
      <c r="T511" s="1032"/>
      <c r="U511" s="1032"/>
      <c r="V511" s="1032"/>
      <c r="W511" s="1032"/>
      <c r="X511" s="1032"/>
      <c r="Y511" s="1032"/>
      <c r="Z511" s="1032"/>
      <c r="AA511" s="1032"/>
      <c r="AB511" s="1032"/>
      <c r="AC511" s="1032"/>
      <c r="AD511" s="1144">
        <f t="shared" si="18"/>
        <v>0</v>
      </c>
      <c r="AE511" s="1144"/>
      <c r="AF511" s="1144"/>
      <c r="AG511" s="1144"/>
      <c r="AM511" s="409">
        <f t="shared" si="17"/>
        <v>0</v>
      </c>
      <c r="AO511" s="410">
        <f>AD511-BS!$E$92-BS!$E$93</f>
        <v>0</v>
      </c>
    </row>
    <row r="512" spans="4:41" ht="21" customHeight="1" x14ac:dyDescent="0.2">
      <c r="D512" s="1092" t="s">
        <v>468</v>
      </c>
      <c r="E512" s="1092"/>
      <c r="F512" s="1092"/>
      <c r="G512" s="1092"/>
      <c r="H512" s="1092"/>
      <c r="I512" s="1092"/>
      <c r="J512" s="1092"/>
      <c r="K512" s="1092"/>
      <c r="L512" s="1092"/>
      <c r="M512" s="1092"/>
      <c r="N512" s="1032"/>
      <c r="O512" s="1032"/>
      <c r="P512" s="1032"/>
      <c r="Q512" s="1032"/>
      <c r="R512" s="1032"/>
      <c r="S512" s="1032"/>
      <c r="T512" s="1032"/>
      <c r="U512" s="1032"/>
      <c r="V512" s="1032"/>
      <c r="W512" s="1032"/>
      <c r="X512" s="1032"/>
      <c r="Y512" s="1032"/>
      <c r="Z512" s="1032"/>
      <c r="AA512" s="1032"/>
      <c r="AB512" s="1032"/>
      <c r="AC512" s="1032"/>
      <c r="AD512" s="1144">
        <f t="shared" si="18"/>
        <v>0</v>
      </c>
      <c r="AE512" s="1144"/>
      <c r="AF512" s="1144"/>
      <c r="AG512" s="1144"/>
      <c r="AM512" s="409">
        <f t="shared" si="17"/>
        <v>0</v>
      </c>
      <c r="AO512" s="410">
        <f>AD512-BS!$E$94</f>
        <v>0</v>
      </c>
    </row>
    <row r="513" spans="4:41" ht="14.25" customHeight="1" x14ac:dyDescent="0.2">
      <c r="D513" s="1092" t="s">
        <v>399</v>
      </c>
      <c r="E513" s="1092"/>
      <c r="F513" s="1092"/>
      <c r="G513" s="1092"/>
      <c r="H513" s="1092"/>
      <c r="I513" s="1092"/>
      <c r="J513" s="1092"/>
      <c r="K513" s="1092"/>
      <c r="L513" s="1092"/>
      <c r="M513" s="1092"/>
      <c r="N513" s="1032">
        <v>332</v>
      </c>
      <c r="O513" s="1032"/>
      <c r="P513" s="1032"/>
      <c r="Q513" s="1032"/>
      <c r="R513" s="1032"/>
      <c r="S513" s="1032"/>
      <c r="T513" s="1032"/>
      <c r="U513" s="1032"/>
      <c r="V513" s="1032"/>
      <c r="W513" s="1032"/>
      <c r="X513" s="1032"/>
      <c r="Y513" s="1032"/>
      <c r="Z513" s="1032"/>
      <c r="AA513" s="1032"/>
      <c r="AB513" s="1032"/>
      <c r="AC513" s="1032"/>
      <c r="AD513" s="1144">
        <f t="shared" si="18"/>
        <v>332</v>
      </c>
      <c r="AE513" s="1144"/>
      <c r="AF513" s="1144"/>
      <c r="AG513" s="1144"/>
      <c r="AM513" s="409">
        <f t="shared" si="17"/>
        <v>0</v>
      </c>
      <c r="AO513" s="410">
        <f>AD513-BS!$E$96</f>
        <v>0</v>
      </c>
    </row>
    <row r="514" spans="4:41" ht="14.25" customHeight="1" x14ac:dyDescent="0.2">
      <c r="D514" s="1092" t="s">
        <v>400</v>
      </c>
      <c r="E514" s="1092"/>
      <c r="F514" s="1092"/>
      <c r="G514" s="1092"/>
      <c r="H514" s="1092"/>
      <c r="I514" s="1092"/>
      <c r="J514" s="1092"/>
      <c r="K514" s="1092"/>
      <c r="L514" s="1092"/>
      <c r="M514" s="1092"/>
      <c r="N514" s="1032"/>
      <c r="O514" s="1032"/>
      <c r="P514" s="1032"/>
      <c r="Q514" s="1032"/>
      <c r="R514" s="1032"/>
      <c r="S514" s="1032"/>
      <c r="T514" s="1032"/>
      <c r="U514" s="1032"/>
      <c r="V514" s="1032"/>
      <c r="W514" s="1032"/>
      <c r="X514" s="1032"/>
      <c r="Y514" s="1032"/>
      <c r="Z514" s="1032"/>
      <c r="AA514" s="1032"/>
      <c r="AB514" s="1032"/>
      <c r="AC514" s="1032"/>
      <c r="AD514" s="1144">
        <f t="shared" si="18"/>
        <v>0</v>
      </c>
      <c r="AE514" s="1144"/>
      <c r="AF514" s="1144"/>
      <c r="AG514" s="1144"/>
      <c r="AM514" s="409">
        <f t="shared" si="17"/>
        <v>0</v>
      </c>
      <c r="AO514" s="410">
        <f>AD514-BS!$E$97</f>
        <v>0</v>
      </c>
    </row>
    <row r="515" spans="4:41" ht="14.25" customHeight="1" x14ac:dyDescent="0.2">
      <c r="D515" s="1092" t="s">
        <v>401</v>
      </c>
      <c r="E515" s="1092"/>
      <c r="F515" s="1092"/>
      <c r="G515" s="1092"/>
      <c r="H515" s="1092"/>
      <c r="I515" s="1092"/>
      <c r="J515" s="1092"/>
      <c r="K515" s="1092"/>
      <c r="L515" s="1092"/>
      <c r="M515" s="1092"/>
      <c r="N515" s="1032"/>
      <c r="O515" s="1032"/>
      <c r="P515" s="1032"/>
      <c r="Q515" s="1032"/>
      <c r="R515" s="1032"/>
      <c r="S515" s="1032"/>
      <c r="T515" s="1032"/>
      <c r="U515" s="1032"/>
      <c r="V515" s="1032"/>
      <c r="W515" s="1032"/>
      <c r="X515" s="1032"/>
      <c r="Y515" s="1032"/>
      <c r="Z515" s="1032"/>
      <c r="AA515" s="1032"/>
      <c r="AB515" s="1032"/>
      <c r="AC515" s="1032"/>
      <c r="AD515" s="1144">
        <f t="shared" si="18"/>
        <v>0</v>
      </c>
      <c r="AE515" s="1144"/>
      <c r="AF515" s="1144"/>
      <c r="AG515" s="1144"/>
      <c r="AM515" s="409">
        <f t="shared" si="17"/>
        <v>0</v>
      </c>
      <c r="AO515" s="410">
        <f>AD515-BS!$E$98</f>
        <v>0</v>
      </c>
    </row>
    <row r="516" spans="4:41" ht="14.25" customHeight="1" x14ac:dyDescent="0.2">
      <c r="D516" s="1092" t="s">
        <v>402</v>
      </c>
      <c r="E516" s="1092"/>
      <c r="F516" s="1092"/>
      <c r="G516" s="1092"/>
      <c r="H516" s="1092"/>
      <c r="I516" s="1092"/>
      <c r="J516" s="1092"/>
      <c r="K516" s="1092"/>
      <c r="L516" s="1092"/>
      <c r="M516" s="1092"/>
      <c r="N516" s="1032">
        <v>63203</v>
      </c>
      <c r="O516" s="1032"/>
      <c r="P516" s="1032"/>
      <c r="Q516" s="1032"/>
      <c r="R516" s="1032"/>
      <c r="S516" s="1032"/>
      <c r="T516" s="1032"/>
      <c r="U516" s="1032"/>
      <c r="V516" s="1032"/>
      <c r="W516" s="1032"/>
      <c r="X516" s="1032"/>
      <c r="Y516" s="1032"/>
      <c r="Z516" s="1032">
        <v>232995</v>
      </c>
      <c r="AA516" s="1032"/>
      <c r="AB516" s="1032"/>
      <c r="AC516" s="1032"/>
      <c r="AD516" s="1144">
        <f t="shared" si="18"/>
        <v>296198</v>
      </c>
      <c r="AE516" s="1144"/>
      <c r="AF516" s="1144"/>
      <c r="AG516" s="1144"/>
      <c r="AM516" s="409">
        <f t="shared" si="17"/>
        <v>0</v>
      </c>
      <c r="AO516" s="410">
        <f>AD516-BS!$E$100</f>
        <v>0</v>
      </c>
    </row>
    <row r="517" spans="4:41" ht="14.25" customHeight="1" x14ac:dyDescent="0.2">
      <c r="D517" s="1092" t="s">
        <v>469</v>
      </c>
      <c r="E517" s="1092"/>
      <c r="F517" s="1092"/>
      <c r="G517" s="1092"/>
      <c r="H517" s="1092"/>
      <c r="I517" s="1092"/>
      <c r="J517" s="1092"/>
      <c r="K517" s="1092"/>
      <c r="L517" s="1092"/>
      <c r="M517" s="1092"/>
      <c r="N517" s="1032">
        <v>-308934</v>
      </c>
      <c r="O517" s="1032"/>
      <c r="P517" s="1032"/>
      <c r="Q517" s="1032"/>
      <c r="R517" s="1032"/>
      <c r="S517" s="1032"/>
      <c r="T517" s="1032"/>
      <c r="U517" s="1032"/>
      <c r="V517" s="1032"/>
      <c r="W517" s="1032"/>
      <c r="X517" s="1032"/>
      <c r="Y517" s="1032"/>
      <c r="Z517" s="1032"/>
      <c r="AA517" s="1032"/>
      <c r="AB517" s="1032"/>
      <c r="AC517" s="1032"/>
      <c r="AD517" s="1144">
        <f t="shared" si="18"/>
        <v>-308934</v>
      </c>
      <c r="AE517" s="1144"/>
      <c r="AF517" s="1144"/>
      <c r="AG517" s="1144"/>
      <c r="AM517" s="409">
        <f t="shared" si="17"/>
        <v>0</v>
      </c>
      <c r="AO517" s="410">
        <f>AD517-BS!$E$101</f>
        <v>0</v>
      </c>
    </row>
    <row r="518" spans="4:41" ht="21" customHeight="1" x14ac:dyDescent="0.2">
      <c r="D518" s="1092" t="s">
        <v>470</v>
      </c>
      <c r="E518" s="1092"/>
      <c r="F518" s="1092"/>
      <c r="G518" s="1092"/>
      <c r="H518" s="1092"/>
      <c r="I518" s="1092"/>
      <c r="J518" s="1092"/>
      <c r="K518" s="1092"/>
      <c r="L518" s="1092"/>
      <c r="M518" s="1092"/>
      <c r="N518" s="1099">
        <v>232995</v>
      </c>
      <c r="O518" s="1099"/>
      <c r="P518" s="1099"/>
      <c r="Q518" s="1099"/>
      <c r="R518" s="1099">
        <v>120260</v>
      </c>
      <c r="S518" s="1099"/>
      <c r="T518" s="1099"/>
      <c r="U518" s="1099"/>
      <c r="V518" s="1099"/>
      <c r="W518" s="1099"/>
      <c r="X518" s="1099"/>
      <c r="Y518" s="1099"/>
      <c r="Z518" s="1099">
        <v>-232995</v>
      </c>
      <c r="AA518" s="1099"/>
      <c r="AB518" s="1099"/>
      <c r="AC518" s="1099"/>
      <c r="AD518" s="1144">
        <f t="shared" si="18"/>
        <v>120260</v>
      </c>
      <c r="AE518" s="1144"/>
      <c r="AF518" s="1144"/>
      <c r="AG518" s="1144"/>
      <c r="AM518" s="409">
        <f t="shared" si="17"/>
        <v>0</v>
      </c>
      <c r="AO518" s="410">
        <f>AD518-BS!$E$102</f>
        <v>0</v>
      </c>
    </row>
    <row r="519" spans="4:41" ht="14.25" customHeight="1" x14ac:dyDescent="0.2">
      <c r="D519" s="1092" t="s">
        <v>403</v>
      </c>
      <c r="E519" s="1092"/>
      <c r="F519" s="1092"/>
      <c r="G519" s="1092"/>
      <c r="H519" s="1092"/>
      <c r="I519" s="1092"/>
      <c r="J519" s="1092"/>
      <c r="K519" s="1092"/>
      <c r="L519" s="1092"/>
      <c r="M519" s="1092"/>
      <c r="N519" s="1032"/>
      <c r="O519" s="1032"/>
      <c r="P519" s="1032"/>
      <c r="Q519" s="1032"/>
      <c r="R519" s="1032"/>
      <c r="S519" s="1032"/>
      <c r="T519" s="1032"/>
      <c r="U519" s="1032"/>
      <c r="V519" s="1032"/>
      <c r="W519" s="1032"/>
      <c r="X519" s="1032"/>
      <c r="Y519" s="1032"/>
      <c r="Z519" s="1032"/>
      <c r="AA519" s="1032"/>
      <c r="AB519" s="1032"/>
      <c r="AC519" s="1032"/>
      <c r="AD519" s="1144">
        <f t="shared" si="18"/>
        <v>0</v>
      </c>
      <c r="AE519" s="1144"/>
      <c r="AF519" s="1144"/>
      <c r="AG519" s="1144"/>
      <c r="AM519" s="409">
        <f>SUM(N519:AC519)-AD519</f>
        <v>0</v>
      </c>
      <c r="AO519" s="411"/>
    </row>
    <row r="520" spans="4:41" ht="14.25" customHeight="1" x14ac:dyDescent="0.2">
      <c r="D520" s="1092" t="s">
        <v>404</v>
      </c>
      <c r="E520" s="1092"/>
      <c r="F520" s="1092"/>
      <c r="G520" s="1092"/>
      <c r="H520" s="1092"/>
      <c r="I520" s="1092"/>
      <c r="J520" s="1092"/>
      <c r="K520" s="1092"/>
      <c r="L520" s="1092"/>
      <c r="M520" s="1092"/>
      <c r="N520" s="1032"/>
      <c r="O520" s="1032"/>
      <c r="P520" s="1032"/>
      <c r="Q520" s="1032"/>
      <c r="R520" s="1032"/>
      <c r="S520" s="1032"/>
      <c r="T520" s="1032"/>
      <c r="U520" s="1032"/>
      <c r="V520" s="1032"/>
      <c r="W520" s="1032"/>
      <c r="X520" s="1032"/>
      <c r="Y520" s="1032"/>
      <c r="Z520" s="1032"/>
      <c r="AA520" s="1032"/>
      <c r="AB520" s="1032"/>
      <c r="AC520" s="1032"/>
      <c r="AD520" s="1144">
        <f t="shared" si="18"/>
        <v>0</v>
      </c>
      <c r="AE520" s="1144"/>
      <c r="AF520" s="1144"/>
      <c r="AG520" s="1144"/>
      <c r="AM520" s="409">
        <f t="shared" ref="AM520:AM521" si="19">SUM(N520:AC520)-AD520</f>
        <v>0</v>
      </c>
      <c r="AO520" s="411"/>
    </row>
    <row r="521" spans="4:41" ht="21.75" customHeight="1" thickBot="1" x14ac:dyDescent="0.25">
      <c r="D521" s="1247" t="s">
        <v>471</v>
      </c>
      <c r="E521" s="1247"/>
      <c r="F521" s="1247"/>
      <c r="G521" s="1247"/>
      <c r="H521" s="1247"/>
      <c r="I521" s="1247"/>
      <c r="J521" s="1247"/>
      <c r="K521" s="1247"/>
      <c r="L521" s="1247"/>
      <c r="M521" s="1247"/>
      <c r="N521" s="1248"/>
      <c r="O521" s="1248"/>
      <c r="P521" s="1248"/>
      <c r="Q521" s="1248"/>
      <c r="R521" s="1248"/>
      <c r="S521" s="1248"/>
      <c r="T521" s="1248"/>
      <c r="U521" s="1248"/>
      <c r="V521" s="1248"/>
      <c r="W521" s="1248"/>
      <c r="X521" s="1248"/>
      <c r="Y521" s="1248"/>
      <c r="Z521" s="1248"/>
      <c r="AA521" s="1248"/>
      <c r="AB521" s="1248"/>
      <c r="AC521" s="1248"/>
      <c r="AD521" s="1042">
        <f t="shared" si="18"/>
        <v>0</v>
      </c>
      <c r="AE521" s="1042"/>
      <c r="AF521" s="1042"/>
      <c r="AG521" s="1042"/>
      <c r="AM521" s="683">
        <f t="shared" si="19"/>
        <v>0</v>
      </c>
      <c r="AO521" s="685"/>
    </row>
    <row r="523" spans="4:41" ht="14.25" customHeight="1" x14ac:dyDescent="0.2">
      <c r="D523" s="1020" t="s">
        <v>1969</v>
      </c>
      <c r="E523" s="1021"/>
      <c r="F523" s="1021"/>
      <c r="G523" s="1021"/>
      <c r="H523" s="1021"/>
      <c r="I523" s="1021"/>
      <c r="J523" s="1021"/>
      <c r="K523" s="1021"/>
      <c r="L523" s="1021"/>
      <c r="M523" s="1021"/>
      <c r="N523" s="1021"/>
      <c r="O523" s="1021"/>
      <c r="P523" s="1021"/>
      <c r="Q523" s="1021"/>
      <c r="R523" s="1021"/>
      <c r="S523" s="1021"/>
      <c r="T523" s="1021"/>
      <c r="U523" s="1021"/>
      <c r="V523" s="1021"/>
      <c r="W523" s="1021"/>
      <c r="X523" s="1021"/>
      <c r="Y523" s="1021"/>
      <c r="Z523" s="1021"/>
      <c r="AA523" s="1021"/>
      <c r="AB523" s="1021"/>
      <c r="AC523" s="1021"/>
      <c r="AD523" s="1021"/>
      <c r="AE523" s="1021"/>
      <c r="AF523" s="1021"/>
      <c r="AG523" s="1021"/>
    </row>
    <row r="524" spans="4:41" ht="14.25" customHeight="1" x14ac:dyDescent="0.2">
      <c r="D524" s="1021"/>
      <c r="E524" s="1021"/>
      <c r="F524" s="1021"/>
      <c r="G524" s="1021"/>
      <c r="H524" s="1021"/>
      <c r="I524" s="1021"/>
      <c r="J524" s="1021"/>
      <c r="K524" s="1021"/>
      <c r="L524" s="1021"/>
      <c r="M524" s="1021"/>
      <c r="N524" s="1021"/>
      <c r="O524" s="1021"/>
      <c r="P524" s="1021"/>
      <c r="Q524" s="1021"/>
      <c r="R524" s="1021"/>
      <c r="S524" s="1021"/>
      <c r="T524" s="1021"/>
      <c r="U524" s="1021"/>
      <c r="V524" s="1021"/>
      <c r="W524" s="1021"/>
      <c r="X524" s="1021"/>
      <c r="Y524" s="1021"/>
      <c r="Z524" s="1021"/>
      <c r="AA524" s="1021"/>
      <c r="AB524" s="1021"/>
      <c r="AC524" s="1021"/>
      <c r="AD524" s="1021"/>
      <c r="AE524" s="1021"/>
      <c r="AF524" s="1021"/>
      <c r="AG524" s="1021"/>
    </row>
    <row r="525" spans="4:41" ht="14.25" customHeight="1" x14ac:dyDescent="0.2">
      <c r="D525" s="1020" t="s">
        <v>1971</v>
      </c>
      <c r="E525" s="1021"/>
      <c r="F525" s="1021"/>
      <c r="G525" s="1021"/>
      <c r="H525" s="1021"/>
      <c r="I525" s="1021"/>
      <c r="J525" s="1021"/>
      <c r="K525" s="1021"/>
      <c r="L525" s="1021"/>
      <c r="M525" s="1021"/>
      <c r="N525" s="1021"/>
      <c r="O525" s="1021"/>
      <c r="P525" s="1021"/>
      <c r="Q525" s="1021"/>
      <c r="R525" s="1021"/>
      <c r="S525" s="1021"/>
      <c r="T525" s="1021"/>
      <c r="U525" s="1021"/>
      <c r="V525" s="1021"/>
      <c r="W525" s="1021"/>
      <c r="X525" s="1021"/>
      <c r="Y525" s="1021"/>
      <c r="Z525" s="1021"/>
      <c r="AA525" s="1021"/>
      <c r="AB525" s="1021"/>
      <c r="AC525" s="1021"/>
      <c r="AD525" s="1021"/>
      <c r="AE525" s="1021"/>
      <c r="AF525" s="1021"/>
      <c r="AG525" s="1021"/>
    </row>
    <row r="526" spans="4:41" ht="23.25" customHeight="1" x14ac:dyDescent="0.2">
      <c r="D526" s="1021"/>
      <c r="E526" s="1021"/>
      <c r="F526" s="1021"/>
      <c r="G526" s="1021"/>
      <c r="H526" s="1021"/>
      <c r="I526" s="1021"/>
      <c r="J526" s="1021"/>
      <c r="K526" s="1021"/>
      <c r="L526" s="1021"/>
      <c r="M526" s="1021"/>
      <c r="N526" s="1021"/>
      <c r="O526" s="1021"/>
      <c r="P526" s="1021"/>
      <c r="Q526" s="1021"/>
      <c r="R526" s="1021"/>
      <c r="S526" s="1021"/>
      <c r="T526" s="1021"/>
      <c r="U526" s="1021"/>
      <c r="V526" s="1021"/>
      <c r="W526" s="1021"/>
      <c r="X526" s="1021"/>
      <c r="Y526" s="1021"/>
      <c r="Z526" s="1021"/>
      <c r="AA526" s="1021"/>
      <c r="AB526" s="1021"/>
      <c r="AC526" s="1021"/>
      <c r="AD526" s="1021"/>
      <c r="AE526" s="1021"/>
      <c r="AF526" s="1021"/>
      <c r="AG526" s="1021"/>
    </row>
    <row r="527" spans="4:41" ht="0.75" customHeight="1" x14ac:dyDescent="0.2">
      <c r="D527" s="1021"/>
      <c r="E527" s="1021"/>
      <c r="F527" s="1021"/>
      <c r="G527" s="1021"/>
      <c r="H527" s="1021"/>
      <c r="I527" s="1021"/>
      <c r="J527" s="1021"/>
      <c r="K527" s="1021"/>
      <c r="L527" s="1021"/>
      <c r="M527" s="1021"/>
      <c r="N527" s="1021"/>
      <c r="O527" s="1021"/>
      <c r="P527" s="1021"/>
      <c r="Q527" s="1021"/>
      <c r="R527" s="1021"/>
      <c r="S527" s="1021"/>
      <c r="T527" s="1021"/>
      <c r="U527" s="1021"/>
      <c r="V527" s="1021"/>
      <c r="W527" s="1021"/>
      <c r="X527" s="1021"/>
      <c r="Y527" s="1021"/>
      <c r="Z527" s="1021"/>
      <c r="AA527" s="1021"/>
      <c r="AB527" s="1021"/>
      <c r="AC527" s="1021"/>
      <c r="AD527" s="1021"/>
      <c r="AE527" s="1021"/>
      <c r="AF527" s="1021"/>
      <c r="AG527" s="1021"/>
    </row>
    <row r="528" spans="4:41" ht="0.75" customHeight="1" x14ac:dyDescent="0.2">
      <c r="D528" s="1021"/>
      <c r="E528" s="1021"/>
      <c r="F528" s="1021"/>
      <c r="G528" s="1021"/>
      <c r="H528" s="1021"/>
      <c r="I528" s="1021"/>
      <c r="J528" s="1021"/>
      <c r="K528" s="1021"/>
      <c r="L528" s="1021"/>
      <c r="M528" s="1021"/>
      <c r="N528" s="1021"/>
      <c r="O528" s="1021"/>
      <c r="P528" s="1021"/>
      <c r="Q528" s="1021"/>
      <c r="R528" s="1021"/>
      <c r="S528" s="1021"/>
      <c r="T528" s="1021"/>
      <c r="U528" s="1021"/>
      <c r="V528" s="1021"/>
      <c r="W528" s="1021"/>
      <c r="X528" s="1021"/>
      <c r="Y528" s="1021"/>
      <c r="Z528" s="1021"/>
      <c r="AA528" s="1021"/>
      <c r="AB528" s="1021"/>
      <c r="AC528" s="1021"/>
      <c r="AD528" s="1021"/>
      <c r="AE528" s="1021"/>
      <c r="AF528" s="1021"/>
      <c r="AG528" s="1021"/>
    </row>
    <row r="529" spans="4:33" ht="14.25" hidden="1" customHeight="1" x14ac:dyDescent="0.2">
      <c r="D529" s="1021"/>
      <c r="E529" s="1021"/>
      <c r="F529" s="1021"/>
      <c r="G529" s="1021"/>
      <c r="H529" s="1021"/>
      <c r="I529" s="1021"/>
      <c r="J529" s="1021"/>
      <c r="K529" s="1021"/>
      <c r="L529" s="1021"/>
      <c r="M529" s="1021"/>
      <c r="N529" s="1021"/>
      <c r="O529" s="1021"/>
      <c r="P529" s="1021"/>
      <c r="Q529" s="1021"/>
      <c r="R529" s="1021"/>
      <c r="S529" s="1021"/>
      <c r="T529" s="1021"/>
      <c r="U529" s="1021"/>
      <c r="V529" s="1021"/>
      <c r="W529" s="1021"/>
      <c r="X529" s="1021"/>
      <c r="Y529" s="1021"/>
      <c r="Z529" s="1021"/>
      <c r="AA529" s="1021"/>
      <c r="AB529" s="1021"/>
      <c r="AC529" s="1021"/>
      <c r="AD529" s="1021"/>
      <c r="AE529" s="1021"/>
      <c r="AF529" s="1021"/>
      <c r="AG529" s="1021"/>
    </row>
    <row r="530" spans="4:33" ht="14.25" customHeight="1" x14ac:dyDescent="0.2">
      <c r="D530" s="1108" t="s">
        <v>1892</v>
      </c>
      <c r="E530" s="1140"/>
      <c r="F530" s="1140"/>
      <c r="G530" s="1140"/>
      <c r="H530" s="1140"/>
      <c r="I530" s="1140"/>
      <c r="J530" s="1140"/>
      <c r="K530" s="1140"/>
      <c r="L530" s="1140"/>
      <c r="M530" s="1140"/>
      <c r="N530" s="1140"/>
      <c r="O530" s="1140"/>
      <c r="P530" s="1140"/>
      <c r="Q530" s="1140"/>
      <c r="R530" s="1140"/>
      <c r="S530" s="1140"/>
      <c r="T530" s="1140"/>
      <c r="U530" s="1140"/>
      <c r="V530" s="1140"/>
      <c r="W530" s="1140"/>
      <c r="X530" s="1140"/>
      <c r="Y530" s="1140"/>
      <c r="Z530" s="1140"/>
      <c r="AA530" s="1140"/>
      <c r="AB530" s="1140"/>
      <c r="AC530" s="1140"/>
      <c r="AD530" s="1140"/>
      <c r="AE530" s="1140"/>
      <c r="AF530" s="1140"/>
      <c r="AG530" s="1140"/>
    </row>
    <row r="531" spans="4:33" ht="14.25" customHeight="1" x14ac:dyDescent="0.2">
      <c r="D531" s="977" t="s">
        <v>1915</v>
      </c>
    </row>
    <row r="532" spans="4:33" ht="14.25" customHeight="1" x14ac:dyDescent="0.2">
      <c r="D532" s="977"/>
    </row>
    <row r="533" spans="4:33" ht="14.25" customHeight="1" x14ac:dyDescent="0.2">
      <c r="D533" s="1108" t="s">
        <v>1970</v>
      </c>
      <c r="E533" s="1108"/>
      <c r="F533" s="1108"/>
      <c r="G533" s="1108"/>
      <c r="H533" s="1108"/>
      <c r="I533" s="1108"/>
      <c r="J533" s="1108"/>
      <c r="K533" s="1108"/>
      <c r="L533" s="1108"/>
      <c r="M533" s="1108"/>
      <c r="N533" s="1108"/>
      <c r="O533" s="1108"/>
      <c r="P533" s="1108"/>
      <c r="Q533" s="1108"/>
      <c r="R533" s="1108"/>
      <c r="S533" s="1108"/>
      <c r="T533" s="1108"/>
      <c r="U533" s="1108"/>
      <c r="V533" s="1108"/>
      <c r="W533" s="1108"/>
      <c r="X533" s="1108"/>
      <c r="Y533" s="1108"/>
      <c r="Z533" s="1108"/>
      <c r="AA533" s="1108"/>
      <c r="AB533" s="1108"/>
      <c r="AC533" s="1108"/>
      <c r="AD533" s="1108"/>
      <c r="AE533" s="1108"/>
      <c r="AF533" s="1108"/>
      <c r="AG533" s="1108"/>
    </row>
    <row r="535" spans="4:33" ht="14.25" customHeight="1" x14ac:dyDescent="0.2">
      <c r="D535" s="634" t="s">
        <v>1965</v>
      </c>
    </row>
    <row r="537" spans="4:33" ht="14.25" customHeight="1" x14ac:dyDescent="0.2">
      <c r="D537" s="1261" t="s">
        <v>1924</v>
      </c>
      <c r="E537" s="1048"/>
      <c r="F537" s="1048"/>
      <c r="G537" s="1048"/>
      <c r="H537" s="1048"/>
      <c r="I537" s="1048"/>
      <c r="J537" s="1048"/>
      <c r="K537" s="1048"/>
      <c r="L537" s="1048"/>
      <c r="M537" s="1048"/>
      <c r="N537" s="1048"/>
      <c r="O537" s="1048"/>
      <c r="P537" s="1048"/>
      <c r="Q537" s="1048"/>
      <c r="R537" s="1048"/>
      <c r="S537" s="1048"/>
      <c r="T537" s="1048"/>
      <c r="U537" s="1048"/>
      <c r="V537" s="1048"/>
      <c r="W537" s="1048"/>
      <c r="X537" s="1048"/>
      <c r="Y537" s="1048"/>
      <c r="Z537" s="1048"/>
      <c r="AA537" s="1048"/>
      <c r="AB537" s="1048"/>
      <c r="AC537" s="1048"/>
      <c r="AD537" s="1048"/>
      <c r="AE537" s="1048"/>
      <c r="AF537" s="1048"/>
      <c r="AG537" s="1048"/>
    </row>
    <row r="540" spans="4:33" ht="14.25" customHeight="1" x14ac:dyDescent="0.2">
      <c r="D540" s="634" t="s">
        <v>1966</v>
      </c>
    </row>
    <row r="542" spans="4:33" ht="14.25" customHeight="1" x14ac:dyDescent="0.2">
      <c r="D542" s="1020" t="s">
        <v>1893</v>
      </c>
      <c r="E542" s="1021"/>
      <c r="F542" s="1021"/>
      <c r="G542" s="1021"/>
      <c r="H542" s="1021"/>
      <c r="I542" s="1021"/>
      <c r="J542" s="1021"/>
      <c r="K542" s="1021"/>
      <c r="L542" s="1021"/>
      <c r="M542" s="1021"/>
      <c r="N542" s="1021"/>
      <c r="O542" s="1021"/>
      <c r="P542" s="1021"/>
      <c r="Q542" s="1021"/>
      <c r="R542" s="1021"/>
      <c r="S542" s="1021"/>
      <c r="T542" s="1021"/>
      <c r="U542" s="1021"/>
      <c r="V542" s="1021"/>
      <c r="W542" s="1021"/>
      <c r="X542" s="1021"/>
      <c r="Y542" s="1021"/>
      <c r="Z542" s="1021"/>
      <c r="AA542" s="1021"/>
      <c r="AB542" s="1021"/>
      <c r="AC542" s="1021"/>
      <c r="AD542" s="1021"/>
      <c r="AE542" s="1021"/>
      <c r="AF542" s="1021"/>
      <c r="AG542" s="1021"/>
    </row>
    <row r="543" spans="4:33" ht="14.25" customHeight="1" x14ac:dyDescent="0.2">
      <c r="D543" s="1021"/>
      <c r="E543" s="1021"/>
      <c r="F543" s="1021"/>
      <c r="G543" s="1021"/>
      <c r="H543" s="1021"/>
      <c r="I543" s="1021"/>
      <c r="J543" s="1021"/>
      <c r="K543" s="1021"/>
      <c r="L543" s="1021"/>
      <c r="M543" s="1021"/>
      <c r="N543" s="1021"/>
      <c r="O543" s="1021"/>
      <c r="P543" s="1021"/>
      <c r="Q543" s="1021"/>
      <c r="R543" s="1021"/>
      <c r="S543" s="1021"/>
      <c r="T543" s="1021"/>
      <c r="U543" s="1021"/>
      <c r="V543" s="1021"/>
      <c r="W543" s="1021"/>
      <c r="X543" s="1021"/>
      <c r="Y543" s="1021"/>
      <c r="Z543" s="1021"/>
      <c r="AA543" s="1021"/>
      <c r="AB543" s="1021"/>
      <c r="AC543" s="1021"/>
      <c r="AD543" s="1021"/>
      <c r="AE543" s="1021"/>
      <c r="AF543" s="1021"/>
      <c r="AG543" s="1021"/>
    </row>
    <row r="545" spans="4:33" ht="14.25" customHeight="1" x14ac:dyDescent="0.2">
      <c r="D545" s="1298"/>
      <c r="E545" s="1048"/>
      <c r="F545" s="1048"/>
      <c r="G545" s="1048"/>
      <c r="H545" s="1048"/>
      <c r="I545" s="1048"/>
      <c r="J545" s="1048"/>
      <c r="K545" s="1048"/>
      <c r="L545" s="1048"/>
      <c r="M545" s="1048"/>
      <c r="N545" s="1048"/>
      <c r="O545" s="1048"/>
      <c r="P545" s="1048"/>
      <c r="Q545" s="1048"/>
      <c r="R545" s="1048"/>
      <c r="S545" s="1048"/>
      <c r="T545" s="1048"/>
      <c r="U545" s="1048"/>
      <c r="V545" s="1048"/>
      <c r="W545" s="1048"/>
      <c r="X545" s="1048"/>
      <c r="Y545" s="1048"/>
      <c r="Z545" s="1048"/>
      <c r="AA545" s="1048"/>
      <c r="AB545" s="1048"/>
      <c r="AC545" s="1048"/>
      <c r="AD545" s="1048"/>
      <c r="AE545" s="1048"/>
      <c r="AF545" s="1048"/>
      <c r="AG545" s="1048"/>
    </row>
  </sheetData>
  <mergeCells count="1118">
    <mergeCell ref="D403:M403"/>
    <mergeCell ref="N403:W403"/>
    <mergeCell ref="X403:AG403"/>
    <mergeCell ref="I266:M266"/>
    <mergeCell ref="R348:U348"/>
    <mergeCell ref="R349:U349"/>
    <mergeCell ref="D352:AG352"/>
    <mergeCell ref="D406:M406"/>
    <mergeCell ref="N406:W406"/>
    <mergeCell ref="X406:AG406"/>
    <mergeCell ref="Z439:AC439"/>
    <mergeCell ref="AD439:AG439"/>
    <mergeCell ref="D440:I440"/>
    <mergeCell ref="J440:M440"/>
    <mergeCell ref="N440:Q440"/>
    <mergeCell ref="R440:U440"/>
    <mergeCell ref="V440:Y440"/>
    <mergeCell ref="Z440:AC440"/>
    <mergeCell ref="AD440:AG440"/>
    <mergeCell ref="N350:Q350"/>
    <mergeCell ref="X266:AB266"/>
    <mergeCell ref="D268:H268"/>
    <mergeCell ref="I268:M268"/>
    <mergeCell ref="N268:R268"/>
    <mergeCell ref="S268:W268"/>
    <mergeCell ref="D354:AG355"/>
    <mergeCell ref="D357:M358"/>
    <mergeCell ref="N357:W358"/>
    <mergeCell ref="X357:AG358"/>
    <mergeCell ref="D359:M359"/>
    <mergeCell ref="N359:W359"/>
    <mergeCell ref="X359:AG359"/>
    <mergeCell ref="D441:I441"/>
    <mergeCell ref="J441:M441"/>
    <mergeCell ref="N441:Q441"/>
    <mergeCell ref="R441:U441"/>
    <mergeCell ref="V441:Y441"/>
    <mergeCell ref="Z441:AC441"/>
    <mergeCell ref="D277:H277"/>
    <mergeCell ref="I278:M278"/>
    <mergeCell ref="N277:R277"/>
    <mergeCell ref="N278:R278"/>
    <mergeCell ref="S277:W277"/>
    <mergeCell ref="S278:W278"/>
    <mergeCell ref="AC277:AG277"/>
    <mergeCell ref="AC278:AG278"/>
    <mergeCell ref="X278:AB278"/>
    <mergeCell ref="X277:AB277"/>
    <mergeCell ref="I265:M265"/>
    <mergeCell ref="D362:M362"/>
    <mergeCell ref="N362:W362"/>
    <mergeCell ref="X362:AG362"/>
    <mergeCell ref="D282:H282"/>
    <mergeCell ref="I282:M282"/>
    <mergeCell ref="N282:R282"/>
    <mergeCell ref="AC282:AG282"/>
    <mergeCell ref="S282:W282"/>
    <mergeCell ref="X282:AB282"/>
    <mergeCell ref="AC266:AG266"/>
    <mergeCell ref="N265:R265"/>
    <mergeCell ref="N266:R266"/>
    <mergeCell ref="S265:W265"/>
    <mergeCell ref="S266:W266"/>
    <mergeCell ref="X265:AB265"/>
    <mergeCell ref="D542:AG543"/>
    <mergeCell ref="D545:AG545"/>
    <mergeCell ref="B1:AH1"/>
    <mergeCell ref="D390:AG390"/>
    <mergeCell ref="D369:AG369"/>
    <mergeCell ref="D371:M372"/>
    <mergeCell ref="N371:W372"/>
    <mergeCell ref="X371:AG372"/>
    <mergeCell ref="D373:M373"/>
    <mergeCell ref="N373:W373"/>
    <mergeCell ref="X373:AG373"/>
    <mergeCell ref="D374:M374"/>
    <mergeCell ref="N374:W374"/>
    <mergeCell ref="X374:AG374"/>
    <mergeCell ref="D375:M375"/>
    <mergeCell ref="N375:W375"/>
    <mergeCell ref="X375:AG375"/>
    <mergeCell ref="D376:M376"/>
    <mergeCell ref="N376:W376"/>
    <mergeCell ref="X376:AG376"/>
    <mergeCell ref="D379:M379"/>
    <mergeCell ref="D537:AG537"/>
    <mergeCell ref="N377:W377"/>
    <mergeCell ref="X377:AG377"/>
    <mergeCell ref="D378:M378"/>
    <mergeCell ref="N378:W378"/>
    <mergeCell ref="X378:AG378"/>
    <mergeCell ref="N379:W379"/>
    <mergeCell ref="X379:AG379"/>
    <mergeCell ref="D388:AG388"/>
    <mergeCell ref="D530:AG530"/>
    <mergeCell ref="D533:AG533"/>
    <mergeCell ref="D332:M332"/>
    <mergeCell ref="N367:W367"/>
    <mergeCell ref="X367:AG367"/>
    <mergeCell ref="D377:M377"/>
    <mergeCell ref="D363:M363"/>
    <mergeCell ref="N363:W363"/>
    <mergeCell ref="X363:AG363"/>
    <mergeCell ref="N364:W364"/>
    <mergeCell ref="X364:AG364"/>
    <mergeCell ref="N365:W365"/>
    <mergeCell ref="X365:AG365"/>
    <mergeCell ref="N366:W366"/>
    <mergeCell ref="X366:AG366"/>
    <mergeCell ref="D360:M360"/>
    <mergeCell ref="N360:W360"/>
    <mergeCell ref="X360:AG360"/>
    <mergeCell ref="D361:M361"/>
    <mergeCell ref="N361:W361"/>
    <mergeCell ref="X361:AG361"/>
    <mergeCell ref="D366:M366"/>
    <mergeCell ref="D367:M367"/>
    <mergeCell ref="D365:M365"/>
    <mergeCell ref="D364:M364"/>
    <mergeCell ref="R350:U350"/>
    <mergeCell ref="AD347:AG347"/>
    <mergeCell ref="J346:Q346"/>
    <mergeCell ref="R346:Y346"/>
    <mergeCell ref="Z346:AG346"/>
    <mergeCell ref="V348:Y348"/>
    <mergeCell ref="V349:Y349"/>
    <mergeCell ref="D342:AG342"/>
    <mergeCell ref="D344:AG344"/>
    <mergeCell ref="D346:I347"/>
    <mergeCell ref="N347:Q347"/>
    <mergeCell ref="J347:M347"/>
    <mergeCell ref="R347:U347"/>
    <mergeCell ref="V347:Y347"/>
    <mergeCell ref="Z347:AC347"/>
    <mergeCell ref="V350:Y350"/>
    <mergeCell ref="Z348:AC348"/>
    <mergeCell ref="Z349:AC349"/>
    <mergeCell ref="Z350:AC350"/>
    <mergeCell ref="AD348:AG348"/>
    <mergeCell ref="AD349:AG349"/>
    <mergeCell ref="AD350:AG350"/>
    <mergeCell ref="D350:I350"/>
    <mergeCell ref="D349:I349"/>
    <mergeCell ref="D348:I348"/>
    <mergeCell ref="J350:M350"/>
    <mergeCell ref="J349:M349"/>
    <mergeCell ref="J348:M348"/>
    <mergeCell ref="N348:Q348"/>
    <mergeCell ref="N349:Q349"/>
    <mergeCell ref="N306:W306"/>
    <mergeCell ref="N307:W307"/>
    <mergeCell ref="N308:W308"/>
    <mergeCell ref="N309:W309"/>
    <mergeCell ref="N310:W310"/>
    <mergeCell ref="N311:W311"/>
    <mergeCell ref="N312:W312"/>
    <mergeCell ref="N313:W313"/>
    <mergeCell ref="N314:W314"/>
    <mergeCell ref="X322:AG322"/>
    <mergeCell ref="D317:M317"/>
    <mergeCell ref="D316:M316"/>
    <mergeCell ref="D315:M315"/>
    <mergeCell ref="D314:M314"/>
    <mergeCell ref="X306:AG306"/>
    <mergeCell ref="X307:AG307"/>
    <mergeCell ref="X308:AG308"/>
    <mergeCell ref="X309:AG309"/>
    <mergeCell ref="X310:AG310"/>
    <mergeCell ref="X311:AG311"/>
    <mergeCell ref="X312:AG312"/>
    <mergeCell ref="X313:AG313"/>
    <mergeCell ref="X314:AG314"/>
    <mergeCell ref="X315:AG315"/>
    <mergeCell ref="N315:W315"/>
    <mergeCell ref="N316:W316"/>
    <mergeCell ref="N317:W317"/>
    <mergeCell ref="N318:W318"/>
    <mergeCell ref="N319:W319"/>
    <mergeCell ref="N320:W320"/>
    <mergeCell ref="N321:W321"/>
    <mergeCell ref="N322:W322"/>
    <mergeCell ref="D327:M327"/>
    <mergeCell ref="N327:W327"/>
    <mergeCell ref="X327:AG327"/>
    <mergeCell ref="D321:M321"/>
    <mergeCell ref="D322:M322"/>
    <mergeCell ref="D320:M320"/>
    <mergeCell ref="D319:M319"/>
    <mergeCell ref="D318:M318"/>
    <mergeCell ref="D328:M328"/>
    <mergeCell ref="N328:W328"/>
    <mergeCell ref="X328:AG328"/>
    <mergeCell ref="D331:M331"/>
    <mergeCell ref="N331:W331"/>
    <mergeCell ref="X331:AG331"/>
    <mergeCell ref="D330:M330"/>
    <mergeCell ref="N330:W330"/>
    <mergeCell ref="X330:AG330"/>
    <mergeCell ref="D329:M329"/>
    <mergeCell ref="N329:W329"/>
    <mergeCell ref="X329:AG329"/>
    <mergeCell ref="X321:AG321"/>
    <mergeCell ref="D313:M313"/>
    <mergeCell ref="D312:M312"/>
    <mergeCell ref="D311:M311"/>
    <mergeCell ref="D310:M310"/>
    <mergeCell ref="D309:M309"/>
    <mergeCell ref="D308:M308"/>
    <mergeCell ref="D307:M307"/>
    <mergeCell ref="D306:M306"/>
    <mergeCell ref="D292:M292"/>
    <mergeCell ref="N292:W292"/>
    <mergeCell ref="X292:AG292"/>
    <mergeCell ref="D294:M294"/>
    <mergeCell ref="N294:W294"/>
    <mergeCell ref="X294:AG294"/>
    <mergeCell ref="N332:W332"/>
    <mergeCell ref="X332:AG332"/>
    <mergeCell ref="D333:M333"/>
    <mergeCell ref="N333:W333"/>
    <mergeCell ref="X333:AG333"/>
    <mergeCell ref="X316:AG316"/>
    <mergeCell ref="X317:AG317"/>
    <mergeCell ref="X318:AG318"/>
    <mergeCell ref="D303:AG303"/>
    <mergeCell ref="D305:M305"/>
    <mergeCell ref="N305:W305"/>
    <mergeCell ref="X305:AG305"/>
    <mergeCell ref="X319:AG319"/>
    <mergeCell ref="X320:AG320"/>
    <mergeCell ref="D299:AG299"/>
    <mergeCell ref="D326:M326"/>
    <mergeCell ref="N326:W326"/>
    <mergeCell ref="X326:AG326"/>
    <mergeCell ref="D284:AG284"/>
    <mergeCell ref="D289:AG289"/>
    <mergeCell ref="D291:M291"/>
    <mergeCell ref="N291:W291"/>
    <mergeCell ref="X291:AG291"/>
    <mergeCell ref="D297:M297"/>
    <mergeCell ref="N297:W297"/>
    <mergeCell ref="X297:AG297"/>
    <mergeCell ref="D296:M296"/>
    <mergeCell ref="N296:W296"/>
    <mergeCell ref="X296:AG296"/>
    <mergeCell ref="D280:H280"/>
    <mergeCell ref="I280:M280"/>
    <mergeCell ref="N280:R280"/>
    <mergeCell ref="S280:W280"/>
    <mergeCell ref="X280:AB280"/>
    <mergeCell ref="AC280:AG280"/>
    <mergeCell ref="D281:H281"/>
    <mergeCell ref="I281:M281"/>
    <mergeCell ref="N281:R281"/>
    <mergeCell ref="S281:W281"/>
    <mergeCell ref="X281:AB281"/>
    <mergeCell ref="AC281:AG281"/>
    <mergeCell ref="D295:M295"/>
    <mergeCell ref="N295:W295"/>
    <mergeCell ref="X295:AG295"/>
    <mergeCell ref="D293:M293"/>
    <mergeCell ref="N293:W293"/>
    <mergeCell ref="X293:AG293"/>
    <mergeCell ref="D275:H275"/>
    <mergeCell ref="I275:M275"/>
    <mergeCell ref="N275:R275"/>
    <mergeCell ref="S275:W275"/>
    <mergeCell ref="X275:AB275"/>
    <mergeCell ref="AC275:AG275"/>
    <mergeCell ref="D279:H279"/>
    <mergeCell ref="I279:M279"/>
    <mergeCell ref="N279:R279"/>
    <mergeCell ref="S279:W279"/>
    <mergeCell ref="X279:AB279"/>
    <mergeCell ref="AC279:AG279"/>
    <mergeCell ref="D276:H276"/>
    <mergeCell ref="I276:M276"/>
    <mergeCell ref="N276:R276"/>
    <mergeCell ref="S276:W276"/>
    <mergeCell ref="X276:AB276"/>
    <mergeCell ref="AC276:AG276"/>
    <mergeCell ref="D278:H278"/>
    <mergeCell ref="I277:M277"/>
    <mergeCell ref="D273:H273"/>
    <mergeCell ref="I273:M273"/>
    <mergeCell ref="N273:R273"/>
    <mergeCell ref="S273:W273"/>
    <mergeCell ref="X273:AB273"/>
    <mergeCell ref="AC273:AG273"/>
    <mergeCell ref="D274:H274"/>
    <mergeCell ref="I274:M274"/>
    <mergeCell ref="N274:R274"/>
    <mergeCell ref="S274:W274"/>
    <mergeCell ref="X274:AB274"/>
    <mergeCell ref="AC274:AG274"/>
    <mergeCell ref="D272:H272"/>
    <mergeCell ref="I272:M272"/>
    <mergeCell ref="N272:R272"/>
    <mergeCell ref="S272:W272"/>
    <mergeCell ref="X272:AB272"/>
    <mergeCell ref="AC272:AG272"/>
    <mergeCell ref="D270:H271"/>
    <mergeCell ref="I270:AG270"/>
    <mergeCell ref="I271:M271"/>
    <mergeCell ref="N271:R271"/>
    <mergeCell ref="S271:W271"/>
    <mergeCell ref="X271:AB271"/>
    <mergeCell ref="AC271:AG271"/>
    <mergeCell ref="D262:H262"/>
    <mergeCell ref="I262:M262"/>
    <mergeCell ref="N262:R262"/>
    <mergeCell ref="S262:W262"/>
    <mergeCell ref="X262:AB262"/>
    <mergeCell ref="AC262:AG262"/>
    <mergeCell ref="D264:H264"/>
    <mergeCell ref="I264:M264"/>
    <mergeCell ref="N264:R264"/>
    <mergeCell ref="S264:W264"/>
    <mergeCell ref="X264:AB264"/>
    <mergeCell ref="AC264:AG264"/>
    <mergeCell ref="D267:H267"/>
    <mergeCell ref="I267:M267"/>
    <mergeCell ref="N267:R267"/>
    <mergeCell ref="S267:W267"/>
    <mergeCell ref="X267:AB267"/>
    <mergeCell ref="AC267:AG267"/>
    <mergeCell ref="AC265:AG265"/>
    <mergeCell ref="D265:H265"/>
    <mergeCell ref="D266:H266"/>
    <mergeCell ref="X268:AB268"/>
    <mergeCell ref="AC268:AG268"/>
    <mergeCell ref="D263:H263"/>
    <mergeCell ref="I263:M263"/>
    <mergeCell ref="N263:R263"/>
    <mergeCell ref="S263:W263"/>
    <mergeCell ref="X263:AB263"/>
    <mergeCell ref="AC263:AG263"/>
    <mergeCell ref="D261:H261"/>
    <mergeCell ref="I261:M261"/>
    <mergeCell ref="N261:R261"/>
    <mergeCell ref="S261:W261"/>
    <mergeCell ref="X261:AB261"/>
    <mergeCell ref="AC261:AG261"/>
    <mergeCell ref="D259:H259"/>
    <mergeCell ref="I259:M259"/>
    <mergeCell ref="N259:R259"/>
    <mergeCell ref="S259:W259"/>
    <mergeCell ref="X259:AB259"/>
    <mergeCell ref="AC259:AG259"/>
    <mergeCell ref="D260:H260"/>
    <mergeCell ref="D523:AG524"/>
    <mergeCell ref="R520:U520"/>
    <mergeCell ref="V520:Y520"/>
    <mergeCell ref="Z520:AC520"/>
    <mergeCell ref="AD520:AG520"/>
    <mergeCell ref="D517:M517"/>
    <mergeCell ref="N517:Q517"/>
    <mergeCell ref="R517:U517"/>
    <mergeCell ref="V517:Y517"/>
    <mergeCell ref="Z517:AC517"/>
    <mergeCell ref="AD517:AG517"/>
    <mergeCell ref="D518:M518"/>
    <mergeCell ref="N518:Q518"/>
    <mergeCell ref="R518:U518"/>
    <mergeCell ref="V518:Y518"/>
    <mergeCell ref="Z518:AC518"/>
    <mergeCell ref="Z515:AC515"/>
    <mergeCell ref="AD515:AG515"/>
    <mergeCell ref="D516:M516"/>
    <mergeCell ref="N516:Q516"/>
    <mergeCell ref="R516:U516"/>
    <mergeCell ref="V516:Y516"/>
    <mergeCell ref="Z516:AC516"/>
    <mergeCell ref="AD516:AG516"/>
    <mergeCell ref="D439:I439"/>
    <mergeCell ref="J439:M439"/>
    <mergeCell ref="N439:Q439"/>
    <mergeCell ref="R439:U439"/>
    <mergeCell ref="V439:Y439"/>
    <mergeCell ref="D521:M521"/>
    <mergeCell ref="N521:Q521"/>
    <mergeCell ref="R521:U521"/>
    <mergeCell ref="V521:Y521"/>
    <mergeCell ref="Z521:AC521"/>
    <mergeCell ref="AD521:AG521"/>
    <mergeCell ref="D519:M519"/>
    <mergeCell ref="N519:Q519"/>
    <mergeCell ref="R519:U519"/>
    <mergeCell ref="V519:Y519"/>
    <mergeCell ref="Z519:AC519"/>
    <mergeCell ref="AD519:AG519"/>
    <mergeCell ref="D520:M520"/>
    <mergeCell ref="N520:Q520"/>
    <mergeCell ref="AD518:AG518"/>
    <mergeCell ref="D515:M515"/>
    <mergeCell ref="N515:Q515"/>
    <mergeCell ref="R515:U515"/>
    <mergeCell ref="V515:Y515"/>
    <mergeCell ref="D513:M513"/>
    <mergeCell ref="N513:Q513"/>
    <mergeCell ref="R513:U513"/>
    <mergeCell ref="V513:Y513"/>
    <mergeCell ref="Z513:AC513"/>
    <mergeCell ref="AD513:AG513"/>
    <mergeCell ref="D514:M514"/>
    <mergeCell ref="AD441:AG441"/>
    <mergeCell ref="N514:Q514"/>
    <mergeCell ref="R514:U514"/>
    <mergeCell ref="V514:Y514"/>
    <mergeCell ref="Z514:AC514"/>
    <mergeCell ref="AD514:AG514"/>
    <mergeCell ref="D511:M511"/>
    <mergeCell ref="N511:Q511"/>
    <mergeCell ref="R511:U511"/>
    <mergeCell ref="V511:Y511"/>
    <mergeCell ref="Z511:AC511"/>
    <mergeCell ref="AD511:AG511"/>
    <mergeCell ref="D512:M512"/>
    <mergeCell ref="N512:Q512"/>
    <mergeCell ref="R512:U512"/>
    <mergeCell ref="V512:Y512"/>
    <mergeCell ref="Z512:AC512"/>
    <mergeCell ref="AD512:AG512"/>
    <mergeCell ref="D509:M509"/>
    <mergeCell ref="N509:Q509"/>
    <mergeCell ref="R509:U509"/>
    <mergeCell ref="V509:Y509"/>
    <mergeCell ref="Z509:AC509"/>
    <mergeCell ref="AD509:AG509"/>
    <mergeCell ref="D510:M510"/>
    <mergeCell ref="N510:Q510"/>
    <mergeCell ref="R510:U510"/>
    <mergeCell ref="V510:Y510"/>
    <mergeCell ref="Z510:AC510"/>
    <mergeCell ref="AD510:AG510"/>
    <mergeCell ref="D507:M507"/>
    <mergeCell ref="N507:Q507"/>
    <mergeCell ref="R507:U507"/>
    <mergeCell ref="V507:Y507"/>
    <mergeCell ref="Z507:AC507"/>
    <mergeCell ref="AD507:AG507"/>
    <mergeCell ref="D508:M508"/>
    <mergeCell ref="N508:Q508"/>
    <mergeCell ref="R508:U508"/>
    <mergeCell ref="V508:Y508"/>
    <mergeCell ref="Z508:AC508"/>
    <mergeCell ref="AD508:AG508"/>
    <mergeCell ref="D506:M506"/>
    <mergeCell ref="N506:Q506"/>
    <mergeCell ref="R506:U506"/>
    <mergeCell ref="V506:Y506"/>
    <mergeCell ref="Z506:AC506"/>
    <mergeCell ref="AD506:AG506"/>
    <mergeCell ref="D502:M503"/>
    <mergeCell ref="N502:AG502"/>
    <mergeCell ref="N503:Q503"/>
    <mergeCell ref="R503:U503"/>
    <mergeCell ref="V503:Y503"/>
    <mergeCell ref="Z503:AC503"/>
    <mergeCell ref="AD503:AG503"/>
    <mergeCell ref="D504:M504"/>
    <mergeCell ref="N504:Q504"/>
    <mergeCell ref="R504:U504"/>
    <mergeCell ref="V504:Y504"/>
    <mergeCell ref="Z504:AC504"/>
    <mergeCell ref="AD504:AG504"/>
    <mergeCell ref="D505:M505"/>
    <mergeCell ref="N505:Q505"/>
    <mergeCell ref="R505:U505"/>
    <mergeCell ref="V505:Y505"/>
    <mergeCell ref="Z505:AC505"/>
    <mergeCell ref="AD505:AG505"/>
    <mergeCell ref="Z494:AC494"/>
    <mergeCell ref="Z495:AC495"/>
    <mergeCell ref="Z496:AC496"/>
    <mergeCell ref="V491:Y491"/>
    <mergeCell ref="V492:Y492"/>
    <mergeCell ref="AD491:AG491"/>
    <mergeCell ref="AD492:AG492"/>
    <mergeCell ref="AD493:AG493"/>
    <mergeCell ref="AD494:AG494"/>
    <mergeCell ref="AD495:AG495"/>
    <mergeCell ref="AD496:AG496"/>
    <mergeCell ref="AD497:AG497"/>
    <mergeCell ref="AD498:AG498"/>
    <mergeCell ref="AD499:AG499"/>
    <mergeCell ref="Z497:AC497"/>
    <mergeCell ref="AD482:AG482"/>
    <mergeCell ref="AD483:AG483"/>
    <mergeCell ref="AD484:AG484"/>
    <mergeCell ref="AD485:AG485"/>
    <mergeCell ref="AD486:AG486"/>
    <mergeCell ref="AD487:AG487"/>
    <mergeCell ref="AD488:AG488"/>
    <mergeCell ref="AD489:AG489"/>
    <mergeCell ref="AD490:AG490"/>
    <mergeCell ref="R498:U498"/>
    <mergeCell ref="R499:U499"/>
    <mergeCell ref="V494:Y494"/>
    <mergeCell ref="V495:Y495"/>
    <mergeCell ref="V496:Y496"/>
    <mergeCell ref="V497:Y497"/>
    <mergeCell ref="V498:Y498"/>
    <mergeCell ref="V499:Y499"/>
    <mergeCell ref="Z482:AC482"/>
    <mergeCell ref="Z483:AC483"/>
    <mergeCell ref="Z484:AC484"/>
    <mergeCell ref="Z485:AC485"/>
    <mergeCell ref="Z486:AC486"/>
    <mergeCell ref="Z487:AC487"/>
    <mergeCell ref="Z488:AC488"/>
    <mergeCell ref="Z489:AC489"/>
    <mergeCell ref="Z490:AC490"/>
    <mergeCell ref="R491:U491"/>
    <mergeCell ref="R492:U492"/>
    <mergeCell ref="R493:U493"/>
    <mergeCell ref="R494:U494"/>
    <mergeCell ref="R495:U495"/>
    <mergeCell ref="R496:U496"/>
    <mergeCell ref="Z491:AC491"/>
    <mergeCell ref="Z492:AC492"/>
    <mergeCell ref="Z493:AC493"/>
    <mergeCell ref="Z498:AC498"/>
    <mergeCell ref="Z499:AC499"/>
    <mergeCell ref="V493:Y493"/>
    <mergeCell ref="R488:U488"/>
    <mergeCell ref="R489:U489"/>
    <mergeCell ref="R490:U490"/>
    <mergeCell ref="D499:M499"/>
    <mergeCell ref="D498:M498"/>
    <mergeCell ref="D497:M497"/>
    <mergeCell ref="D496:M496"/>
    <mergeCell ref="D495:M495"/>
    <mergeCell ref="D494:M494"/>
    <mergeCell ref="D493:M493"/>
    <mergeCell ref="D492:M492"/>
    <mergeCell ref="D491:M491"/>
    <mergeCell ref="D490:M490"/>
    <mergeCell ref="D489:M489"/>
    <mergeCell ref="D488:M488"/>
    <mergeCell ref="D487:M487"/>
    <mergeCell ref="D486:M486"/>
    <mergeCell ref="N494:Q494"/>
    <mergeCell ref="N493:Q493"/>
    <mergeCell ref="N492:Q492"/>
    <mergeCell ref="N491:Q491"/>
    <mergeCell ref="N499:Q499"/>
    <mergeCell ref="N498:Q498"/>
    <mergeCell ref="N497:Q497"/>
    <mergeCell ref="N496:Q496"/>
    <mergeCell ref="R497:U497"/>
    <mergeCell ref="D485:M485"/>
    <mergeCell ref="D484:M484"/>
    <mergeCell ref="V485:Y485"/>
    <mergeCell ref="V486:Y486"/>
    <mergeCell ref="V487:Y487"/>
    <mergeCell ref="V488:Y488"/>
    <mergeCell ref="V489:Y489"/>
    <mergeCell ref="V490:Y490"/>
    <mergeCell ref="N489:Q489"/>
    <mergeCell ref="N488:Q488"/>
    <mergeCell ref="N487:Q487"/>
    <mergeCell ref="N486:Q486"/>
    <mergeCell ref="N485:Q485"/>
    <mergeCell ref="N484:Q484"/>
    <mergeCell ref="V484:Y484"/>
    <mergeCell ref="R484:U484"/>
    <mergeCell ref="R485:U485"/>
    <mergeCell ref="R486:U486"/>
    <mergeCell ref="N490:Q490"/>
    <mergeCell ref="D250:Q250"/>
    <mergeCell ref="D249:Q249"/>
    <mergeCell ref="D248:Q248"/>
    <mergeCell ref="D247:Q247"/>
    <mergeCell ref="D246:Q246"/>
    <mergeCell ref="D394:M394"/>
    <mergeCell ref="N394:W394"/>
    <mergeCell ref="X394:AG394"/>
    <mergeCell ref="D395:M395"/>
    <mergeCell ref="N395:W395"/>
    <mergeCell ref="X395:AG395"/>
    <mergeCell ref="D396:M396"/>
    <mergeCell ref="N396:W396"/>
    <mergeCell ref="X396:AG396"/>
    <mergeCell ref="D397:M397"/>
    <mergeCell ref="N397:W397"/>
    <mergeCell ref="X397:AG397"/>
    <mergeCell ref="N257:R257"/>
    <mergeCell ref="S257:W257"/>
    <mergeCell ref="X257:AB257"/>
    <mergeCell ref="AC257:AG257"/>
    <mergeCell ref="D258:H258"/>
    <mergeCell ref="I258:M258"/>
    <mergeCell ref="N258:R258"/>
    <mergeCell ref="S258:W258"/>
    <mergeCell ref="X258:AB258"/>
    <mergeCell ref="AC258:AG258"/>
    <mergeCell ref="I260:M260"/>
    <mergeCell ref="N260:R260"/>
    <mergeCell ref="S260:W260"/>
    <mergeCell ref="X260:AB260"/>
    <mergeCell ref="AC260:AG260"/>
    <mergeCell ref="D483:M483"/>
    <mergeCell ref="D482:M482"/>
    <mergeCell ref="D480:M481"/>
    <mergeCell ref="N483:Q483"/>
    <mergeCell ref="N482:Q482"/>
    <mergeCell ref="V482:Y482"/>
    <mergeCell ref="V483:Y483"/>
    <mergeCell ref="R482:U482"/>
    <mergeCell ref="R483:U483"/>
    <mergeCell ref="R487:U487"/>
    <mergeCell ref="D245:Q245"/>
    <mergeCell ref="D244:Q244"/>
    <mergeCell ref="D243:Q243"/>
    <mergeCell ref="D242:Q242"/>
    <mergeCell ref="D241:Q241"/>
    <mergeCell ref="R250:AG250"/>
    <mergeCell ref="R241:AG241"/>
    <mergeCell ref="R242:AG242"/>
    <mergeCell ref="R243:AG243"/>
    <mergeCell ref="R244:AG244"/>
    <mergeCell ref="R245:AG245"/>
    <mergeCell ref="R246:AG246"/>
    <mergeCell ref="R247:AG247"/>
    <mergeCell ref="R248:AG248"/>
    <mergeCell ref="R249:AG249"/>
    <mergeCell ref="D392:M393"/>
    <mergeCell ref="N392:W393"/>
    <mergeCell ref="X392:AG393"/>
    <mergeCell ref="D254:AG254"/>
    <mergeCell ref="D256:H257"/>
    <mergeCell ref="I256:AG256"/>
    <mergeCell ref="I257:M257"/>
    <mergeCell ref="D226:AG226"/>
    <mergeCell ref="D239:Q239"/>
    <mergeCell ref="D238:Q238"/>
    <mergeCell ref="D237:Q237"/>
    <mergeCell ref="D236:Q236"/>
    <mergeCell ref="D235:Q235"/>
    <mergeCell ref="D234:Q234"/>
    <mergeCell ref="D233:Q233"/>
    <mergeCell ref="D232:Q232"/>
    <mergeCell ref="D231:Q231"/>
    <mergeCell ref="D230:Q230"/>
    <mergeCell ref="D229:Q229"/>
    <mergeCell ref="D228:Q228"/>
    <mergeCell ref="R238:AG238"/>
    <mergeCell ref="R237:AG237"/>
    <mergeCell ref="R235:AG235"/>
    <mergeCell ref="R234:AG234"/>
    <mergeCell ref="R233:AG233"/>
    <mergeCell ref="R232:AG232"/>
    <mergeCell ref="R231:AG231"/>
    <mergeCell ref="R230:AG230"/>
    <mergeCell ref="R229:AG229"/>
    <mergeCell ref="R228:AG228"/>
    <mergeCell ref="R239:AG239"/>
    <mergeCell ref="R236:AG236"/>
    <mergeCell ref="D223:AG224"/>
    <mergeCell ref="D215:O215"/>
    <mergeCell ref="P215:X215"/>
    <mergeCell ref="Y215:AG215"/>
    <mergeCell ref="D216:O216"/>
    <mergeCell ref="P216:X216"/>
    <mergeCell ref="Y216:AG216"/>
    <mergeCell ref="D212:O212"/>
    <mergeCell ref="P212:X212"/>
    <mergeCell ref="Y212:AG212"/>
    <mergeCell ref="D213:O213"/>
    <mergeCell ref="P213:X213"/>
    <mergeCell ref="Y213:AG213"/>
    <mergeCell ref="D214:O214"/>
    <mergeCell ref="P214:X214"/>
    <mergeCell ref="Y214:AG214"/>
    <mergeCell ref="D220:AG220"/>
    <mergeCell ref="D221:AG221"/>
    <mergeCell ref="D209:O209"/>
    <mergeCell ref="P209:X209"/>
    <mergeCell ref="Y209:AG209"/>
    <mergeCell ref="D210:O210"/>
    <mergeCell ref="P210:X210"/>
    <mergeCell ref="Y210:AG210"/>
    <mergeCell ref="D211:O211"/>
    <mergeCell ref="P211:X211"/>
    <mergeCell ref="Y211:AG211"/>
    <mergeCell ref="D206:O206"/>
    <mergeCell ref="P206:X206"/>
    <mergeCell ref="Y206:AG206"/>
    <mergeCell ref="D207:O207"/>
    <mergeCell ref="P207:X207"/>
    <mergeCell ref="Y207:AG207"/>
    <mergeCell ref="D208:O208"/>
    <mergeCell ref="P208:X208"/>
    <mergeCell ref="Y208:AG208"/>
    <mergeCell ref="D205:O205"/>
    <mergeCell ref="P205:X205"/>
    <mergeCell ref="Y205:AG205"/>
    <mergeCell ref="D202:AG202"/>
    <mergeCell ref="D204:O204"/>
    <mergeCell ref="P204:X204"/>
    <mergeCell ref="Y204:AG204"/>
    <mergeCell ref="D192:M192"/>
    <mergeCell ref="N192:W192"/>
    <mergeCell ref="X192:AG192"/>
    <mergeCell ref="D191:M191"/>
    <mergeCell ref="Y179:AG179"/>
    <mergeCell ref="Y180:AG180"/>
    <mergeCell ref="Y181:AG181"/>
    <mergeCell ref="Y182:AG182"/>
    <mergeCell ref="Y183:AG183"/>
    <mergeCell ref="N191:W191"/>
    <mergeCell ref="X191:AG191"/>
    <mergeCell ref="D197:AG199"/>
    <mergeCell ref="D187:AG187"/>
    <mergeCell ref="D189:M189"/>
    <mergeCell ref="N189:W189"/>
    <mergeCell ref="X189:AG189"/>
    <mergeCell ref="D193:M193"/>
    <mergeCell ref="N193:W193"/>
    <mergeCell ref="X193:AG193"/>
    <mergeCell ref="D194:M194"/>
    <mergeCell ref="N194:W194"/>
    <mergeCell ref="X194:AG194"/>
    <mergeCell ref="D190:M190"/>
    <mergeCell ref="N190:W190"/>
    <mergeCell ref="X190:AG190"/>
    <mergeCell ref="T171:Z171"/>
    <mergeCell ref="AA171:AG171"/>
    <mergeCell ref="M172:S172"/>
    <mergeCell ref="T172:Z172"/>
    <mergeCell ref="AA172:AG172"/>
    <mergeCell ref="Y184:AG184"/>
    <mergeCell ref="M176:S176"/>
    <mergeCell ref="T176:Z176"/>
    <mergeCell ref="AA176:AG176"/>
    <mergeCell ref="D178:O178"/>
    <mergeCell ref="Y178:AG178"/>
    <mergeCell ref="P178:X178"/>
    <mergeCell ref="D184:O184"/>
    <mergeCell ref="D183:O183"/>
    <mergeCell ref="D182:O182"/>
    <mergeCell ref="D181:O181"/>
    <mergeCell ref="D180:O180"/>
    <mergeCell ref="D179:O179"/>
    <mergeCell ref="P184:X184"/>
    <mergeCell ref="P183:X183"/>
    <mergeCell ref="P182:X182"/>
    <mergeCell ref="P181:X181"/>
    <mergeCell ref="P180:X180"/>
    <mergeCell ref="P179:X179"/>
    <mergeCell ref="D170:L170"/>
    <mergeCell ref="D171:L171"/>
    <mergeCell ref="D172:L172"/>
    <mergeCell ref="D173:L173"/>
    <mergeCell ref="D174:L174"/>
    <mergeCell ref="D175:L175"/>
    <mergeCell ref="D176:L176"/>
    <mergeCell ref="M162:S162"/>
    <mergeCell ref="AA167:AG167"/>
    <mergeCell ref="AA166:AG166"/>
    <mergeCell ref="AA165:AG165"/>
    <mergeCell ref="AA164:AG164"/>
    <mergeCell ref="AA163:AG163"/>
    <mergeCell ref="AA162:AG162"/>
    <mergeCell ref="D168:AG168"/>
    <mergeCell ref="D169:L169"/>
    <mergeCell ref="M169:S169"/>
    <mergeCell ref="T169:Z169"/>
    <mergeCell ref="AA169:AG169"/>
    <mergeCell ref="M173:S173"/>
    <mergeCell ref="T173:Z173"/>
    <mergeCell ref="AA173:AG173"/>
    <mergeCell ref="M174:S174"/>
    <mergeCell ref="T174:Z174"/>
    <mergeCell ref="AA174:AG174"/>
    <mergeCell ref="M175:S175"/>
    <mergeCell ref="T175:Z175"/>
    <mergeCell ref="AA175:AG175"/>
    <mergeCell ref="M170:S170"/>
    <mergeCell ref="T170:Z170"/>
    <mergeCell ref="AA170:AG170"/>
    <mergeCell ref="M171:S171"/>
    <mergeCell ref="D161:AG161"/>
    <mergeCell ref="D167:L167"/>
    <mergeCell ref="D166:L166"/>
    <mergeCell ref="D165:L165"/>
    <mergeCell ref="D164:L164"/>
    <mergeCell ref="D163:L163"/>
    <mergeCell ref="D162:L162"/>
    <mergeCell ref="T167:Z167"/>
    <mergeCell ref="T166:Z166"/>
    <mergeCell ref="T165:Z165"/>
    <mergeCell ref="T164:Z164"/>
    <mergeCell ref="T163:Z163"/>
    <mergeCell ref="T162:Z162"/>
    <mergeCell ref="M167:S167"/>
    <mergeCell ref="M166:S166"/>
    <mergeCell ref="M165:S165"/>
    <mergeCell ref="M164:S164"/>
    <mergeCell ref="M163:S163"/>
    <mergeCell ref="D155:AG155"/>
    <mergeCell ref="D151:H151"/>
    <mergeCell ref="I151:M151"/>
    <mergeCell ref="N151:R151"/>
    <mergeCell ref="S151:W151"/>
    <mergeCell ref="X151:AB151"/>
    <mergeCell ref="AC151:AG151"/>
    <mergeCell ref="D152:H152"/>
    <mergeCell ref="I152:M152"/>
    <mergeCell ref="N152:R152"/>
    <mergeCell ref="S152:W152"/>
    <mergeCell ref="X152:AB152"/>
    <mergeCell ref="AC152:AG152"/>
    <mergeCell ref="D156:AG156"/>
    <mergeCell ref="D158:AG158"/>
    <mergeCell ref="AA160:AG160"/>
    <mergeCell ref="T160:Z160"/>
    <mergeCell ref="M160:S160"/>
    <mergeCell ref="D160:L160"/>
    <mergeCell ref="I147:M147"/>
    <mergeCell ref="N147:R147"/>
    <mergeCell ref="S147:W147"/>
    <mergeCell ref="X147:AB147"/>
    <mergeCell ref="AC147:AG147"/>
    <mergeCell ref="D148:H148"/>
    <mergeCell ref="I148:M148"/>
    <mergeCell ref="N148:R148"/>
    <mergeCell ref="S148:W148"/>
    <mergeCell ref="X148:AB148"/>
    <mergeCell ref="AC148:AG148"/>
    <mergeCell ref="D153:H153"/>
    <mergeCell ref="I153:M153"/>
    <mergeCell ref="N153:R153"/>
    <mergeCell ref="S153:W153"/>
    <mergeCell ref="X153:AB153"/>
    <mergeCell ref="AC153:AG153"/>
    <mergeCell ref="AC30:AG30"/>
    <mergeCell ref="X31:AB31"/>
    <mergeCell ref="X30:AB30"/>
    <mergeCell ref="S31:W31"/>
    <mergeCell ref="S30:W30"/>
    <mergeCell ref="AC31:AG31"/>
    <mergeCell ref="N30:R30"/>
    <mergeCell ref="D5:AG8"/>
    <mergeCell ref="D10:AG11"/>
    <mergeCell ref="AI1:AM1"/>
    <mergeCell ref="D25:AG26"/>
    <mergeCell ref="D30:M30"/>
    <mergeCell ref="D28:M29"/>
    <mergeCell ref="Y22:AG22"/>
    <mergeCell ref="Y21:AG21"/>
    <mergeCell ref="Y20:AG20"/>
    <mergeCell ref="Y19:AG19"/>
    <mergeCell ref="P19:X19"/>
    <mergeCell ref="P22:X22"/>
    <mergeCell ref="P21:X21"/>
    <mergeCell ref="P20:X20"/>
    <mergeCell ref="D19:O19"/>
    <mergeCell ref="D22:O22"/>
    <mergeCell ref="D21:O21"/>
    <mergeCell ref="D20:O20"/>
    <mergeCell ref="X28:AB29"/>
    <mergeCell ref="AC28:AG29"/>
    <mergeCell ref="N28:W28"/>
    <mergeCell ref="N29:R29"/>
    <mergeCell ref="S29:W29"/>
    <mergeCell ref="D89:AG90"/>
    <mergeCell ref="D94:AG95"/>
    <mergeCell ref="D97:AG99"/>
    <mergeCell ref="D100:AG100"/>
    <mergeCell ref="D104:AG105"/>
    <mergeCell ref="D107:AG108"/>
    <mergeCell ref="D75:AG76"/>
    <mergeCell ref="D80:AG81"/>
    <mergeCell ref="D84:AG85"/>
    <mergeCell ref="D65:AG66"/>
    <mergeCell ref="D69:AG71"/>
    <mergeCell ref="D31:M31"/>
    <mergeCell ref="D51:AG52"/>
    <mergeCell ref="D54:AG55"/>
    <mergeCell ref="D57:AG58"/>
    <mergeCell ref="D61:AG62"/>
    <mergeCell ref="D43:O43"/>
    <mergeCell ref="D33:AG37"/>
    <mergeCell ref="D38:AG39"/>
    <mergeCell ref="D47:AG47"/>
    <mergeCell ref="N31:R31"/>
    <mergeCell ref="D410:M410"/>
    <mergeCell ref="N410:W410"/>
    <mergeCell ref="X410:AG410"/>
    <mergeCell ref="D411:M411"/>
    <mergeCell ref="N411:W411"/>
    <mergeCell ref="X411:AG411"/>
    <mergeCell ref="D412:M412"/>
    <mergeCell ref="N412:W412"/>
    <mergeCell ref="X412:AG412"/>
    <mergeCell ref="D413:M413"/>
    <mergeCell ref="D110:AG110"/>
    <mergeCell ref="D114:AG115"/>
    <mergeCell ref="D119:AG121"/>
    <mergeCell ref="E123:AG124"/>
    <mergeCell ref="E126:AG127"/>
    <mergeCell ref="E129:AG129"/>
    <mergeCell ref="D131:AG131"/>
    <mergeCell ref="D149:H149"/>
    <mergeCell ref="I149:M149"/>
    <mergeCell ref="N149:R149"/>
    <mergeCell ref="S149:W149"/>
    <mergeCell ref="X149:AB149"/>
    <mergeCell ref="AC149:AG149"/>
    <mergeCell ref="D150:H150"/>
    <mergeCell ref="I150:M150"/>
    <mergeCell ref="N150:R150"/>
    <mergeCell ref="S150:W150"/>
    <mergeCell ref="X150:AB150"/>
    <mergeCell ref="AC150:AG150"/>
    <mergeCell ref="D144:AG144"/>
    <mergeCell ref="D146:H147"/>
    <mergeCell ref="I146:AG146"/>
    <mergeCell ref="X401:AG401"/>
    <mergeCell ref="D402:M402"/>
    <mergeCell ref="N402:W402"/>
    <mergeCell ref="X402:AG402"/>
    <mergeCell ref="D404:M404"/>
    <mergeCell ref="N404:W404"/>
    <mergeCell ref="X404:AG404"/>
    <mergeCell ref="D405:M405"/>
    <mergeCell ref="N405:W405"/>
    <mergeCell ref="X405:AG405"/>
    <mergeCell ref="D407:M407"/>
    <mergeCell ref="N407:W407"/>
    <mergeCell ref="X407:AG407"/>
    <mergeCell ref="D414:M414"/>
    <mergeCell ref="N414:W414"/>
    <mergeCell ref="D398:M398"/>
    <mergeCell ref="N398:W398"/>
    <mergeCell ref="X398:AG398"/>
    <mergeCell ref="D399:M399"/>
    <mergeCell ref="N399:W399"/>
    <mergeCell ref="X399:AG399"/>
    <mergeCell ref="D400:M400"/>
    <mergeCell ref="N400:W400"/>
    <mergeCell ref="X400:AG400"/>
    <mergeCell ref="D401:M401"/>
    <mergeCell ref="N401:W401"/>
    <mergeCell ref="D408:M408"/>
    <mergeCell ref="N408:W408"/>
    <mergeCell ref="X408:AG408"/>
    <mergeCell ref="D409:M409"/>
    <mergeCell ref="N409:W409"/>
    <mergeCell ref="X409:AG409"/>
    <mergeCell ref="D419:AG419"/>
    <mergeCell ref="D421:O421"/>
    <mergeCell ref="P421:X421"/>
    <mergeCell ref="Y421:AG421"/>
    <mergeCell ref="D427:O427"/>
    <mergeCell ref="D426:O426"/>
    <mergeCell ref="D425:O425"/>
    <mergeCell ref="D424:O424"/>
    <mergeCell ref="D423:O423"/>
    <mergeCell ref="D422:O422"/>
    <mergeCell ref="P424:X424"/>
    <mergeCell ref="P423:X423"/>
    <mergeCell ref="P422:X422"/>
    <mergeCell ref="P425:X425"/>
    <mergeCell ref="N413:W413"/>
    <mergeCell ref="X413:AG413"/>
    <mergeCell ref="Y422:AG422"/>
    <mergeCell ref="Y423:AG423"/>
    <mergeCell ref="Y424:AG424"/>
    <mergeCell ref="Y425:AG425"/>
    <mergeCell ref="Y426:AG426"/>
    <mergeCell ref="Y427:AG427"/>
    <mergeCell ref="D436:I436"/>
    <mergeCell ref="J436:M436"/>
    <mergeCell ref="N436:Q436"/>
    <mergeCell ref="R436:U436"/>
    <mergeCell ref="V436:Y436"/>
    <mergeCell ref="Z436:AC436"/>
    <mergeCell ref="AD436:AG436"/>
    <mergeCell ref="V432:AG433"/>
    <mergeCell ref="J432:U433"/>
    <mergeCell ref="D437:I437"/>
    <mergeCell ref="D438:I438"/>
    <mergeCell ref="D442:I442"/>
    <mergeCell ref="D443:I443"/>
    <mergeCell ref="D444:I444"/>
    <mergeCell ref="D445:I445"/>
    <mergeCell ref="X414:AG414"/>
    <mergeCell ref="D430:AG430"/>
    <mergeCell ref="D432:I434"/>
    <mergeCell ref="J434:M434"/>
    <mergeCell ref="N434:Q434"/>
    <mergeCell ref="R434:U434"/>
    <mergeCell ref="V434:Y434"/>
    <mergeCell ref="Z434:AC434"/>
    <mergeCell ref="AD434:AG434"/>
    <mergeCell ref="D435:I435"/>
    <mergeCell ref="J435:M435"/>
    <mergeCell ref="N435:Q435"/>
    <mergeCell ref="R435:U435"/>
    <mergeCell ref="V435:Y435"/>
    <mergeCell ref="Z435:AC435"/>
    <mergeCell ref="AD435:AG435"/>
    <mergeCell ref="D417:AG417"/>
    <mergeCell ref="J437:M437"/>
    <mergeCell ref="N437:Q437"/>
    <mergeCell ref="R437:U437"/>
    <mergeCell ref="V437:Y437"/>
    <mergeCell ref="Z437:AC437"/>
    <mergeCell ref="AD437:AG437"/>
    <mergeCell ref="J438:M438"/>
    <mergeCell ref="N438:Q438"/>
    <mergeCell ref="R438:U438"/>
    <mergeCell ref="V438:Y438"/>
    <mergeCell ref="Z438:AC438"/>
    <mergeCell ref="AD438:AG438"/>
    <mergeCell ref="J442:M442"/>
    <mergeCell ref="N442:Q442"/>
    <mergeCell ref="R442:U442"/>
    <mergeCell ref="V442:Y442"/>
    <mergeCell ref="P426:X426"/>
    <mergeCell ref="P427:X427"/>
    <mergeCell ref="Z461:AG461"/>
    <mergeCell ref="J446:M446"/>
    <mergeCell ref="N446:Q446"/>
    <mergeCell ref="R446:U446"/>
    <mergeCell ref="V446:Y446"/>
    <mergeCell ref="Z446:AC446"/>
    <mergeCell ref="AD446:AG446"/>
    <mergeCell ref="D449:AG449"/>
    <mergeCell ref="D451:AG451"/>
    <mergeCell ref="Z442:AC442"/>
    <mergeCell ref="AD442:AG442"/>
    <mergeCell ref="J443:M443"/>
    <mergeCell ref="N443:Q443"/>
    <mergeCell ref="R443:U443"/>
    <mergeCell ref="V443:Y443"/>
    <mergeCell ref="Z443:AC443"/>
    <mergeCell ref="AD443:AG443"/>
    <mergeCell ref="J444:M444"/>
    <mergeCell ref="N444:Q444"/>
    <mergeCell ref="R444:U444"/>
    <mergeCell ref="V444:Y444"/>
    <mergeCell ref="Z444:AC444"/>
    <mergeCell ref="AD444:AG444"/>
    <mergeCell ref="J445:M445"/>
    <mergeCell ref="N445:Q445"/>
    <mergeCell ref="R445:U445"/>
    <mergeCell ref="V445:Y445"/>
    <mergeCell ref="Z445:AC445"/>
    <mergeCell ref="AD445:AG445"/>
    <mergeCell ref="D446:I446"/>
    <mergeCell ref="N480:AG480"/>
    <mergeCell ref="N481:Q481"/>
    <mergeCell ref="R481:U481"/>
    <mergeCell ref="V481:Y481"/>
    <mergeCell ref="Z481:AC481"/>
    <mergeCell ref="AD481:AG481"/>
    <mergeCell ref="N495:Q495"/>
    <mergeCell ref="D462:L462"/>
    <mergeCell ref="M462:Q462"/>
    <mergeCell ref="R462:Y462"/>
    <mergeCell ref="Z462:AG462"/>
    <mergeCell ref="D463:L463"/>
    <mergeCell ref="M463:Q463"/>
    <mergeCell ref="R463:Y463"/>
    <mergeCell ref="Z463:AG463"/>
    <mergeCell ref="D455:AG455"/>
    <mergeCell ref="D457:L458"/>
    <mergeCell ref="M457:Q458"/>
    <mergeCell ref="R457:AG457"/>
    <mergeCell ref="R458:Y458"/>
    <mergeCell ref="Z458:AG458"/>
    <mergeCell ref="D459:L459"/>
    <mergeCell ref="M459:Q459"/>
    <mergeCell ref="R459:Y459"/>
    <mergeCell ref="Z459:AG459"/>
    <mergeCell ref="D460:L460"/>
    <mergeCell ref="M460:Q460"/>
    <mergeCell ref="R460:Y460"/>
    <mergeCell ref="Z460:AG460"/>
    <mergeCell ref="D461:L461"/>
    <mergeCell ref="M461:Q461"/>
    <mergeCell ref="R461:Y461"/>
    <mergeCell ref="D476:Y476"/>
    <mergeCell ref="Z476:AG476"/>
    <mergeCell ref="D470:AG470"/>
    <mergeCell ref="D472:Y472"/>
    <mergeCell ref="Z472:AG472"/>
    <mergeCell ref="D473:Y473"/>
    <mergeCell ref="Z473:AG473"/>
    <mergeCell ref="D474:Y474"/>
    <mergeCell ref="Z474:AG474"/>
    <mergeCell ref="D475:Y475"/>
    <mergeCell ref="Z475:AG475"/>
    <mergeCell ref="D525:AG529"/>
    <mergeCell ref="D464:L464"/>
    <mergeCell ref="M464:Q464"/>
    <mergeCell ref="R464:Y464"/>
    <mergeCell ref="Z464:AG464"/>
    <mergeCell ref="D465:L465"/>
    <mergeCell ref="M465:Q465"/>
    <mergeCell ref="R465:Y465"/>
    <mergeCell ref="Z465:AG465"/>
    <mergeCell ref="D466:L466"/>
    <mergeCell ref="M466:Q466"/>
    <mergeCell ref="R466:Y466"/>
    <mergeCell ref="Z466:AG466"/>
    <mergeCell ref="D467:L467"/>
    <mergeCell ref="M467:Q467"/>
    <mergeCell ref="R467:Y467"/>
    <mergeCell ref="Z467:AG467"/>
    <mergeCell ref="D468:L468"/>
    <mergeCell ref="M468:Q468"/>
    <mergeCell ref="R468:Y468"/>
    <mergeCell ref="Z468:AG468"/>
  </mergeCells>
  <conditionalFormatting sqref="AM148:AM153 AI153:AM153">
    <cfRule type="cellIs" dxfId="277" priority="349" operator="lessThan">
      <formula>0</formula>
    </cfRule>
    <cfRule type="cellIs" dxfId="276" priority="350" operator="greaterThan">
      <formula>0</formula>
    </cfRule>
    <cfRule type="cellIs" dxfId="275" priority="351" operator="lessThan">
      <formula>0</formula>
    </cfRule>
    <cfRule type="cellIs" dxfId="274" priority="352" operator="greaterThan">
      <formula>0</formula>
    </cfRule>
  </conditionalFormatting>
  <conditionalFormatting sqref="AO161:AO167 AO169:AO176 AL394:AM414">
    <cfRule type="cellIs" dxfId="273" priority="335" operator="lessThan">
      <formula>0</formula>
    </cfRule>
    <cfRule type="cellIs" dxfId="272" priority="336" operator="greaterThan">
      <formula>0</formula>
    </cfRule>
  </conditionalFormatting>
  <conditionalFormatting sqref="AK162:AM167 AM169:AM170 AK171:AM176 AL181:AM184 AL192:AM194 AO194:AP194 AL205:AM214 AO205:AP214 AM239:AM250 AO482:AO496 AL482:AM499 AM504:AM521 AO504:AO518 AL331:AM333 AO333:AP333 AL379:AM379 AO373:AP379 AO394:AP401 AL400:AM400 AO435:AP446 AL292:AM297 AO292:AP297 AL258:AL272 AM258:AM267 AO258:AO260 AM272:AM282 AO272:AO274 AO362:AP367 AM394:AM414">
    <cfRule type="cellIs" dxfId="271" priority="272" operator="lessThan">
      <formula>0</formula>
    </cfRule>
    <cfRule type="cellIs" dxfId="270" priority="273" operator="greaterThan">
      <formula>0</formula>
    </cfRule>
  </conditionalFormatting>
  <conditionalFormatting sqref="AO181:AP184">
    <cfRule type="cellIs" dxfId="269" priority="274" operator="greaterThan">
      <formula>0</formula>
    </cfRule>
    <cfRule type="cellIs" dxfId="268" priority="275" operator="lessThan">
      <formula>0</formula>
    </cfRule>
    <cfRule type="cellIs" dxfId="267" priority="276" operator="greaterThan">
      <formula>0</formula>
    </cfRule>
    <cfRule type="cellIs" dxfId="266" priority="353" operator="lessThan">
      <formula>0</formula>
    </cfRule>
  </conditionalFormatting>
  <conditionalFormatting sqref="AO181:AP184 AL394:AM414">
    <cfRule type="cellIs" priority="354" stopIfTrue="1" operator="greaterThan">
      <formula>0</formula>
    </cfRule>
  </conditionalFormatting>
  <conditionalFormatting sqref="AO190:AP194 AM258:AM268 AM272:AM282">
    <cfRule type="cellIs" dxfId="265" priority="263" operator="lessThan">
      <formula>0</formula>
    </cfRule>
    <cfRule type="cellIs" dxfId="264" priority="264" operator="greaterThan">
      <formula>0</formula>
    </cfRule>
    <cfRule type="cellIs" priority="265" stopIfTrue="1" operator="greaterThan">
      <formula>0</formula>
    </cfRule>
    <cfRule type="cellIs" priority="266" stopIfTrue="1" operator="greaterThan">
      <formula>0</formula>
    </cfRule>
    <cfRule type="cellIs" priority="267" stopIfTrue="1" operator="greaterThan">
      <formula>0</formula>
    </cfRule>
  </conditionalFormatting>
  <conditionalFormatting sqref="AO394:AP414">
    <cfRule type="cellIs" dxfId="263" priority="154" operator="lessThan">
      <formula>0</formula>
    </cfRule>
    <cfRule type="cellIs" dxfId="262" priority="155" operator="greaterThan">
      <formula>0</formula>
    </cfRule>
    <cfRule type="cellIs" priority="156" stopIfTrue="1" operator="greaterThan">
      <formula>0</formula>
    </cfRule>
  </conditionalFormatting>
  <pageMargins left="0.70866141732283472" right="0.23622047244094491" top="0.70866141732283472" bottom="0.70866141732283472" header="0.31496062992125984" footer="0.35433070866141736"/>
  <pageSetup paperSize="9" scale="80" orientation="portrait" blackAndWhite="1" r:id="rId1"/>
  <headerFooter>
    <oddHeader xml:space="preserve">&amp;L&amp;"Arial,Tučné"&amp;10Vizeum Slovakia, s.r.o. 
Poznámky individuálnej účtovnej závierky zostavenej k 31. decembru 2013&amp;C
</oddHeader>
    <oddFooter>&amp;C&amp;P
Neoddeliteľnou súčasťou účtovnej závierky je súvaha, výkaz ziskov a strát a poznámky.</oddFooter>
  </headerFooter>
  <rowBreaks count="6" manualBreakCount="6">
    <brk id="58" min="1" max="33" man="1"/>
    <brk id="167" min="1" max="33" man="1"/>
    <brk id="224" min="1" max="33" man="1"/>
    <brk id="284" min="1" max="33" man="1"/>
    <brk id="416" min="1" max="33" man="1"/>
    <brk id="501" min="1" max="33" man="1"/>
  </row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zoomScaleNormal="10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386" customWidth="1"/>
    <col min="6" max="6" width="27.85546875" style="391" customWidth="1"/>
    <col min="7" max="7" width="10.42578125" customWidth="1"/>
    <col min="8" max="8" width="23.140625" style="386" customWidth="1"/>
    <col min="9" max="9" width="23.140625" style="391" customWidth="1"/>
  </cols>
  <sheetData>
    <row r="1" spans="1:9" ht="17.25" thickBot="1" x14ac:dyDescent="0.35">
      <c r="A1" s="1" t="s">
        <v>478</v>
      </c>
      <c r="E1" s="1376" t="s">
        <v>1138</v>
      </c>
      <c r="F1" s="1378"/>
      <c r="H1" s="1376" t="s">
        <v>1140</v>
      </c>
      <c r="I1" s="1378"/>
    </row>
    <row r="2" spans="1:9" ht="21.7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1.75" customHeight="1" thickTop="1" thickBot="1" x14ac:dyDescent="0.3">
      <c r="A3" s="103" t="s">
        <v>234</v>
      </c>
      <c r="B3" s="79"/>
      <c r="C3" s="80"/>
    </row>
    <row r="4" spans="1:9" ht="21.75" customHeight="1" thickBot="1" x14ac:dyDescent="0.3">
      <c r="A4" s="71" t="s">
        <v>235</v>
      </c>
      <c r="B4" s="79"/>
      <c r="C4" s="80"/>
    </row>
    <row r="5" spans="1:9" ht="21.75" customHeight="1" thickBot="1" x14ac:dyDescent="0.3">
      <c r="A5" s="71" t="s">
        <v>236</v>
      </c>
      <c r="B5" s="79"/>
      <c r="C5" s="80"/>
    </row>
    <row r="6" spans="1:9" ht="21.75" customHeight="1" thickBot="1" x14ac:dyDescent="0.3">
      <c r="A6" s="71" t="s">
        <v>237</v>
      </c>
      <c r="B6" s="79"/>
      <c r="C6" s="80"/>
    </row>
    <row r="7" spans="1:9" ht="21.75" customHeight="1" thickBot="1" x14ac:dyDescent="0.3">
      <c r="A7" s="103" t="s">
        <v>238</v>
      </c>
      <c r="B7" s="79">
        <f>SUM(B4:B6)</f>
        <v>0</v>
      </c>
      <c r="C7" s="80">
        <f>SUM(C4:C6)</f>
        <v>0</v>
      </c>
      <c r="E7" s="389">
        <f>SUM(B4:B6)-B7</f>
        <v>0</v>
      </c>
      <c r="F7" s="392">
        <f>SUM(C4:C6)-C7</f>
        <v>0</v>
      </c>
    </row>
    <row r="8" spans="1:9" ht="21.75" customHeight="1" thickBot="1" x14ac:dyDescent="0.3">
      <c r="A8" s="103" t="s">
        <v>239</v>
      </c>
      <c r="B8" s="79"/>
      <c r="C8" s="80"/>
    </row>
    <row r="9" spans="1:9" ht="21.75" customHeight="1" thickBot="1" x14ac:dyDescent="0.3">
      <c r="A9" s="72" t="s">
        <v>240</v>
      </c>
      <c r="B9" s="85">
        <f>B3+B7+B8</f>
        <v>0</v>
      </c>
      <c r="C9" s="78">
        <f>C3+C7+C8</f>
        <v>0</v>
      </c>
      <c r="E9" s="389">
        <f>B3+B7+B8-B9</f>
        <v>0</v>
      </c>
      <c r="F9" s="392">
        <f>C3+C7+C8-C9</f>
        <v>0</v>
      </c>
      <c r="H9" s="389">
        <f>B9-BS!$D$118</f>
        <v>0</v>
      </c>
      <c r="I9" s="392">
        <f>C9-BS!$E$118</f>
        <v>0</v>
      </c>
    </row>
    <row r="10" spans="1:9" ht="17.25" thickTop="1" x14ac:dyDescent="0.3">
      <c r="A10" s="2"/>
    </row>
  </sheetData>
  <mergeCells count="2">
    <mergeCell ref="E1:F1"/>
    <mergeCell ref="H1:I1"/>
  </mergeCells>
  <conditionalFormatting sqref="E7:F9">
    <cfRule type="cellIs" dxfId="41" priority="4" operator="lessThan">
      <formula>0</formula>
    </cfRule>
    <cfRule type="cellIs" dxfId="40" priority="5" operator="greaterThan">
      <formula>0</formula>
    </cfRule>
  </conditionalFormatting>
  <conditionalFormatting sqref="H1">
    <cfRule type="cellIs" priority="3" stopIfTrue="1" operator="greaterThan">
      <formula>0</formula>
    </cfRule>
  </conditionalFormatting>
  <conditionalFormatting sqref="H9:I9">
    <cfRule type="cellIs" dxfId="39" priority="1" operator="lessThan">
      <formula>0</formula>
    </cfRule>
    <cfRule type="cellIs" dxfId="3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zoomScaleNormal="10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479</v>
      </c>
    </row>
    <row r="2" spans="1:6" s="4" customFormat="1" ht="21.75" customHeight="1" thickTop="1" thickBot="1" x14ac:dyDescent="0.3">
      <c r="A2" s="59" t="s">
        <v>241</v>
      </c>
      <c r="B2" s="38" t="s">
        <v>242</v>
      </c>
      <c r="C2" s="38" t="s">
        <v>243</v>
      </c>
      <c r="D2" s="38" t="s">
        <v>244</v>
      </c>
      <c r="E2" s="38" t="s">
        <v>245</v>
      </c>
      <c r="F2" s="38" t="s">
        <v>184</v>
      </c>
    </row>
    <row r="3" spans="1:6" ht="21.75" customHeight="1" thickTop="1" thickBot="1" x14ac:dyDescent="0.3">
      <c r="A3" s="108"/>
      <c r="B3" s="106"/>
      <c r="C3" s="79"/>
      <c r="D3" s="79"/>
      <c r="E3" s="79"/>
      <c r="F3" s="80"/>
    </row>
    <row r="4" spans="1:6" ht="21.75" customHeight="1" thickBot="1" x14ac:dyDescent="0.3">
      <c r="A4" s="108"/>
      <c r="B4" s="106"/>
      <c r="C4" s="79"/>
      <c r="D4" s="79"/>
      <c r="E4" s="79"/>
      <c r="F4" s="80"/>
    </row>
    <row r="5" spans="1:6" ht="21.75" customHeight="1" thickBot="1" x14ac:dyDescent="0.3">
      <c r="A5" s="108"/>
      <c r="B5" s="106"/>
      <c r="C5" s="79"/>
      <c r="D5" s="79"/>
      <c r="E5" s="79"/>
      <c r="F5" s="80"/>
    </row>
    <row r="6" spans="1:6" ht="21.75" customHeight="1" thickBot="1" x14ac:dyDescent="0.3">
      <c r="A6" s="109"/>
      <c r="B6" s="107"/>
      <c r="C6" s="85"/>
      <c r="D6" s="85"/>
      <c r="E6" s="85"/>
      <c r="F6" s="78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zoomScaleNormal="100" workbookViewId="0">
      <selection activeCell="H19" sqref="H19:I19"/>
    </sheetView>
  </sheetViews>
  <sheetFormatPr defaultRowHeight="11.25" x14ac:dyDescent="0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8" width="18.28515625" style="408" customWidth="1"/>
    <col min="9" max="9" width="18.28515625" style="407" customWidth="1"/>
    <col min="10" max="16384" width="9.140625" style="20"/>
  </cols>
  <sheetData>
    <row r="1" spans="1:9" ht="15" x14ac:dyDescent="0.25">
      <c r="A1" s="99" t="s">
        <v>480</v>
      </c>
      <c r="H1" s="1370" t="s">
        <v>1140</v>
      </c>
      <c r="I1" s="1372"/>
    </row>
    <row r="2" spans="1:9" ht="12" thickBot="1" x14ac:dyDescent="0.3">
      <c r="A2" s="20" t="s">
        <v>8</v>
      </c>
    </row>
    <row r="3" spans="1:9" ht="66.75" customHeight="1" thickTop="1" thickBot="1" x14ac:dyDescent="0.3">
      <c r="A3" s="19" t="s">
        <v>131</v>
      </c>
      <c r="B3" s="19" t="s">
        <v>246</v>
      </c>
      <c r="C3" s="50" t="s">
        <v>477</v>
      </c>
      <c r="D3" s="19" t="s">
        <v>247</v>
      </c>
      <c r="E3" s="19" t="s">
        <v>248</v>
      </c>
      <c r="F3" s="19" t="s">
        <v>249</v>
      </c>
      <c r="H3" s="59" t="s">
        <v>248</v>
      </c>
      <c r="I3" s="59" t="s">
        <v>249</v>
      </c>
    </row>
    <row r="4" spans="1:9" ht="21.75" customHeight="1" thickTop="1" thickBot="1" x14ac:dyDescent="0.3">
      <c r="A4" s="52" t="s">
        <v>250</v>
      </c>
      <c r="B4" s="87"/>
      <c r="C4" s="87"/>
      <c r="D4" s="87"/>
      <c r="E4" s="87"/>
      <c r="F4" s="83"/>
      <c r="H4" s="418">
        <f>SUM(E5:E7)-BS!$D$134</f>
        <v>0</v>
      </c>
      <c r="I4" s="416">
        <f>SUM(F5:F7)-BS!$E$134</f>
        <v>0</v>
      </c>
    </row>
    <row r="5" spans="1:9" ht="21.75" customHeight="1" thickTop="1" thickBot="1" x14ac:dyDescent="0.3">
      <c r="A5" s="71"/>
      <c r="B5" s="110"/>
      <c r="C5" s="113"/>
      <c r="D5" s="117"/>
      <c r="E5" s="79"/>
      <c r="F5" s="80"/>
    </row>
    <row r="6" spans="1:9" ht="21.75" customHeight="1" thickBot="1" x14ac:dyDescent="0.3">
      <c r="A6" s="71"/>
      <c r="B6" s="110"/>
      <c r="C6" s="113"/>
      <c r="D6" s="93"/>
      <c r="E6" s="79"/>
      <c r="F6" s="80"/>
    </row>
    <row r="7" spans="1:9" ht="21.75" customHeight="1" thickBot="1" x14ac:dyDescent="0.3">
      <c r="A7" s="71"/>
      <c r="B7" s="110"/>
      <c r="C7" s="113"/>
      <c r="D7" s="93"/>
      <c r="E7" s="79"/>
      <c r="F7" s="80"/>
    </row>
    <row r="8" spans="1:9" ht="21.75" customHeight="1" thickBot="1" x14ac:dyDescent="0.3">
      <c r="A8" s="100" t="s">
        <v>251</v>
      </c>
      <c r="B8" s="111"/>
      <c r="C8" s="114"/>
      <c r="D8" s="114"/>
      <c r="E8" s="114"/>
      <c r="F8" s="115"/>
      <c r="H8" s="418">
        <f>SUM(E9:E11)-BS!$D$135</f>
        <v>0</v>
      </c>
      <c r="I8" s="416">
        <f>SUM(F9:F11)-BS!$E$135</f>
        <v>0</v>
      </c>
    </row>
    <row r="9" spans="1:9" ht="21.75" customHeight="1" thickTop="1" thickBot="1" x14ac:dyDescent="0.3">
      <c r="A9" s="71"/>
      <c r="B9" s="110"/>
      <c r="C9" s="113"/>
      <c r="D9" s="93"/>
      <c r="E9" s="79"/>
      <c r="F9" s="80"/>
    </row>
    <row r="10" spans="1:9" ht="21.75" customHeight="1" thickBot="1" x14ac:dyDescent="0.3">
      <c r="A10" s="71"/>
      <c r="B10" s="110"/>
      <c r="C10" s="113"/>
      <c r="D10" s="93"/>
      <c r="E10" s="79"/>
      <c r="F10" s="80"/>
    </row>
    <row r="11" spans="1:9" ht="21.75" customHeight="1" thickBot="1" x14ac:dyDescent="0.3">
      <c r="A11" s="72"/>
      <c r="B11" s="112"/>
      <c r="C11" s="116"/>
      <c r="D11" s="95"/>
      <c r="E11" s="85"/>
      <c r="F11" s="78"/>
    </row>
    <row r="12" spans="1:9" ht="12" thickTop="1" x14ac:dyDescent="0.25">
      <c r="A12" s="99"/>
    </row>
    <row r="13" spans="1:9" ht="12" thickBot="1" x14ac:dyDescent="0.3">
      <c r="A13" s="20" t="s">
        <v>15</v>
      </c>
    </row>
    <row r="14" spans="1:9" ht="66.75" customHeight="1" thickTop="1" thickBot="1" x14ac:dyDescent="0.3">
      <c r="A14" s="19" t="s">
        <v>131</v>
      </c>
      <c r="B14" s="19" t="s">
        <v>246</v>
      </c>
      <c r="C14" s="50" t="s">
        <v>477</v>
      </c>
      <c r="D14" s="19" t="s">
        <v>247</v>
      </c>
      <c r="E14" s="19" t="s">
        <v>248</v>
      </c>
      <c r="F14" s="19" t="s">
        <v>249</v>
      </c>
    </row>
    <row r="15" spans="1:9" ht="21.75" customHeight="1" thickTop="1" thickBot="1" x14ac:dyDescent="0.3">
      <c r="A15" s="52" t="s">
        <v>474</v>
      </c>
      <c r="B15" s="87"/>
      <c r="C15" s="87"/>
      <c r="D15" s="87"/>
      <c r="E15" s="87"/>
      <c r="F15" s="83"/>
      <c r="H15" s="419"/>
      <c r="I15" s="417"/>
    </row>
    <row r="16" spans="1:9" ht="21.75" customHeight="1" thickTop="1" thickBot="1" x14ac:dyDescent="0.3">
      <c r="A16" s="71"/>
      <c r="B16" s="110"/>
      <c r="C16" s="113"/>
      <c r="D16" s="93"/>
      <c r="E16" s="79"/>
      <c r="F16" s="80"/>
    </row>
    <row r="17" spans="1:9" ht="21.75" customHeight="1" thickBot="1" x14ac:dyDescent="0.3">
      <c r="A17" s="71"/>
      <c r="B17" s="110"/>
      <c r="C17" s="113"/>
      <c r="D17" s="93"/>
      <c r="E17" s="79"/>
      <c r="F17" s="80"/>
    </row>
    <row r="18" spans="1:9" ht="21.75" customHeight="1" thickBot="1" x14ac:dyDescent="0.3">
      <c r="A18" s="71"/>
      <c r="B18" s="110"/>
      <c r="C18" s="113"/>
      <c r="D18" s="93"/>
      <c r="E18" s="79"/>
      <c r="F18" s="80"/>
    </row>
    <row r="19" spans="1:9" ht="21.75" customHeight="1" thickBot="1" x14ac:dyDescent="0.3">
      <c r="A19" s="100" t="s">
        <v>475</v>
      </c>
      <c r="B19" s="111"/>
      <c r="C19" s="114"/>
      <c r="D19" s="114"/>
      <c r="E19" s="114"/>
      <c r="F19" s="115"/>
      <c r="H19" s="418">
        <f>SUM(E20:E22,E24:E25)-BS!$D$132</f>
        <v>0</v>
      </c>
      <c r="I19" s="416">
        <f>SUM(F20:F22,F24:F25)-BS!$E$132</f>
        <v>0</v>
      </c>
    </row>
    <row r="20" spans="1:9" ht="21.75" customHeight="1" thickTop="1" thickBot="1" x14ac:dyDescent="0.3">
      <c r="A20" s="71"/>
      <c r="B20" s="110"/>
      <c r="C20" s="113"/>
      <c r="D20" s="93"/>
      <c r="E20" s="79"/>
      <c r="F20" s="80"/>
    </row>
    <row r="21" spans="1:9" ht="21.75" customHeight="1" thickBot="1" x14ac:dyDescent="0.3">
      <c r="A21" s="71"/>
      <c r="B21" s="110"/>
      <c r="C21" s="113"/>
      <c r="D21" s="93"/>
      <c r="E21" s="79"/>
      <c r="F21" s="80"/>
    </row>
    <row r="22" spans="1:9" ht="21.75" customHeight="1" thickBot="1" x14ac:dyDescent="0.3">
      <c r="A22" s="71"/>
      <c r="B22" s="110"/>
      <c r="C22" s="113"/>
      <c r="D22" s="93"/>
      <c r="E22" s="79"/>
      <c r="F22" s="80"/>
    </row>
    <row r="23" spans="1:9" ht="21.75" customHeight="1" thickBot="1" x14ac:dyDescent="0.3">
      <c r="A23" s="100" t="s">
        <v>476</v>
      </c>
      <c r="B23" s="111"/>
      <c r="C23" s="114"/>
      <c r="D23" s="114"/>
      <c r="E23" s="114"/>
      <c r="F23" s="115"/>
    </row>
    <row r="24" spans="1:9" ht="21.75" customHeight="1" thickTop="1" thickBot="1" x14ac:dyDescent="0.3">
      <c r="A24" s="71"/>
      <c r="B24" s="110"/>
      <c r="C24" s="113"/>
      <c r="D24" s="93"/>
      <c r="E24" s="79"/>
      <c r="F24" s="80"/>
    </row>
    <row r="25" spans="1:9" ht="21.75" customHeight="1" thickBot="1" x14ac:dyDescent="0.3">
      <c r="A25" s="72"/>
      <c r="B25" s="112"/>
      <c r="C25" s="116"/>
      <c r="D25" s="95"/>
      <c r="E25" s="85"/>
      <c r="F25" s="78"/>
    </row>
    <row r="26" spans="1:9" ht="12" thickTop="1" x14ac:dyDescent="0.25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H4:I8">
    <cfRule type="cellIs" dxfId="35" priority="1" operator="lessThan">
      <formula>0</formula>
    </cfRule>
    <cfRule type="cellIs" dxfId="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zoomScaleNormal="10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481</v>
      </c>
    </row>
    <row r="2" spans="1:3" ht="24" thickTop="1" thickBot="1" x14ac:dyDescent="0.3">
      <c r="A2" s="84" t="s">
        <v>131</v>
      </c>
      <c r="B2" s="38" t="s">
        <v>2</v>
      </c>
      <c r="C2" s="38" t="s">
        <v>3</v>
      </c>
    </row>
    <row r="3" spans="1:3" ht="23.25" customHeight="1" thickTop="1" thickBot="1" x14ac:dyDescent="0.3">
      <c r="A3" s="44" t="s">
        <v>220</v>
      </c>
      <c r="B3" s="79"/>
      <c r="C3" s="80"/>
    </row>
    <row r="4" spans="1:3" ht="23.25" customHeight="1" thickBot="1" x14ac:dyDescent="0.3">
      <c r="A4" s="14" t="s">
        <v>221</v>
      </c>
      <c r="B4" s="79"/>
      <c r="C4" s="80"/>
    </row>
    <row r="5" spans="1:3" ht="23.25" customHeight="1" thickBot="1" x14ac:dyDescent="0.3">
      <c r="A5" s="14" t="s">
        <v>222</v>
      </c>
      <c r="B5" s="79"/>
      <c r="C5" s="80"/>
    </row>
    <row r="6" spans="1:3" ht="23.25" customHeight="1" thickBot="1" x14ac:dyDescent="0.3">
      <c r="A6" s="44" t="s">
        <v>223</v>
      </c>
      <c r="B6" s="79"/>
      <c r="C6" s="80"/>
    </row>
    <row r="7" spans="1:3" ht="23.25" customHeight="1" thickBot="1" x14ac:dyDescent="0.3">
      <c r="A7" s="14" t="s">
        <v>221</v>
      </c>
      <c r="B7" s="79"/>
      <c r="C7" s="80"/>
    </row>
    <row r="8" spans="1:3" ht="23.25" customHeight="1" thickBot="1" x14ac:dyDescent="0.3">
      <c r="A8" s="14" t="s">
        <v>222</v>
      </c>
      <c r="B8" s="79"/>
      <c r="C8" s="80"/>
    </row>
    <row r="9" spans="1:3" ht="23.25" customHeight="1" thickBot="1" x14ac:dyDescent="0.3">
      <c r="A9" s="44" t="s">
        <v>224</v>
      </c>
      <c r="B9" s="79"/>
      <c r="C9" s="80"/>
    </row>
    <row r="10" spans="1:3" ht="23.25" customHeight="1" thickBot="1" x14ac:dyDescent="0.3">
      <c r="A10" s="44" t="s">
        <v>225</v>
      </c>
      <c r="B10" s="79"/>
      <c r="C10" s="80"/>
    </row>
    <row r="11" spans="1:3" ht="23.25" customHeight="1" thickBot="1" x14ac:dyDescent="0.3">
      <c r="A11" s="44" t="s">
        <v>226</v>
      </c>
      <c r="B11" s="113">
        <v>0.19</v>
      </c>
      <c r="C11" s="118">
        <v>0.19</v>
      </c>
    </row>
    <row r="12" spans="1:3" ht="23.25" customHeight="1" thickBot="1" x14ac:dyDescent="0.3">
      <c r="A12" s="44" t="s">
        <v>227</v>
      </c>
      <c r="B12" s="79"/>
      <c r="C12" s="80"/>
    </row>
    <row r="13" spans="1:3" ht="23.25" customHeight="1" thickBot="1" x14ac:dyDescent="0.3">
      <c r="A13" s="44" t="s">
        <v>228</v>
      </c>
      <c r="B13" s="79"/>
      <c r="C13" s="80"/>
    </row>
    <row r="14" spans="1:3" ht="23.25" customHeight="1" thickBot="1" x14ac:dyDescent="0.3">
      <c r="A14" s="14" t="s">
        <v>229</v>
      </c>
      <c r="B14" s="79"/>
      <c r="C14" s="80"/>
    </row>
    <row r="15" spans="1:3" ht="23.25" customHeight="1" thickBot="1" x14ac:dyDescent="0.3">
      <c r="A15" s="14" t="s">
        <v>230</v>
      </c>
      <c r="B15" s="79"/>
      <c r="C15" s="80"/>
    </row>
    <row r="16" spans="1:3" ht="23.25" customHeight="1" thickBot="1" x14ac:dyDescent="0.3">
      <c r="A16" s="104" t="s">
        <v>231</v>
      </c>
      <c r="B16" s="79"/>
      <c r="C16" s="80"/>
    </row>
    <row r="17" spans="1:3" ht="23.25" customHeight="1" thickBot="1" x14ac:dyDescent="0.3">
      <c r="A17" s="105" t="s">
        <v>232</v>
      </c>
      <c r="B17" s="79"/>
      <c r="C17" s="80"/>
    </row>
    <row r="18" spans="1:3" ht="23.25" customHeight="1" thickBot="1" x14ac:dyDescent="0.3">
      <c r="A18" s="14" t="s">
        <v>233</v>
      </c>
      <c r="B18" s="79"/>
      <c r="C18" s="80"/>
    </row>
    <row r="19" spans="1:3" ht="23.25" customHeight="1" thickBot="1" x14ac:dyDescent="0.3">
      <c r="A19" s="16" t="s">
        <v>230</v>
      </c>
      <c r="B19" s="85"/>
      <c r="C19" s="78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zoomScaleNormal="10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386" customWidth="1"/>
    <col min="6" max="6" width="26" style="391" customWidth="1"/>
    <col min="7" max="7" width="5.140625" customWidth="1"/>
    <col min="8" max="8" width="22.5703125" style="422" customWidth="1"/>
    <col min="9" max="9" width="22.5703125" style="421" customWidth="1"/>
  </cols>
  <sheetData>
    <row r="1" spans="1:9" ht="17.25" thickBot="1" x14ac:dyDescent="0.3">
      <c r="A1" s="420" t="s">
        <v>252</v>
      </c>
      <c r="E1" s="1376" t="s">
        <v>1138</v>
      </c>
      <c r="F1" s="1378"/>
      <c r="G1" s="396"/>
      <c r="H1" s="1389" t="s">
        <v>1140</v>
      </c>
      <c r="I1" s="1390"/>
    </row>
    <row r="2" spans="1:9" ht="23.25" customHeight="1" thickTop="1" thickBot="1" x14ac:dyDescent="0.3">
      <c r="A2" s="84" t="s">
        <v>1</v>
      </c>
      <c r="B2" s="38" t="s">
        <v>2</v>
      </c>
      <c r="C2" s="38" t="s">
        <v>3</v>
      </c>
      <c r="E2" s="59" t="s">
        <v>2</v>
      </c>
      <c r="F2" s="59" t="s">
        <v>3</v>
      </c>
      <c r="H2" s="423" t="s">
        <v>2</v>
      </c>
      <c r="I2" s="423" t="s">
        <v>3</v>
      </c>
    </row>
    <row r="3" spans="1:9" ht="23.25" customHeight="1" thickTop="1" thickBot="1" x14ac:dyDescent="0.3">
      <c r="A3" s="73" t="s">
        <v>253</v>
      </c>
      <c r="B3" s="85">
        <f>SUM(B4:B5)</f>
        <v>0</v>
      </c>
      <c r="C3" s="78">
        <f>SUM(C4:C5)</f>
        <v>0</v>
      </c>
      <c r="E3" s="389">
        <f>SUM(B4:B5)-B3</f>
        <v>0</v>
      </c>
      <c r="F3" s="392">
        <f>SUM(C4:C5)-C3</f>
        <v>0</v>
      </c>
      <c r="H3" s="693">
        <f>B3-BS!$D$137</f>
        <v>0</v>
      </c>
      <c r="I3" s="694">
        <f>C3-BS!$E$137</f>
        <v>0</v>
      </c>
    </row>
    <row r="4" spans="1:9" ht="23.25" customHeight="1" thickTop="1" thickBot="1" x14ac:dyDescent="0.3">
      <c r="A4" s="14"/>
      <c r="B4" s="79"/>
      <c r="C4" s="80"/>
      <c r="H4" s="424"/>
      <c r="I4" s="425"/>
    </row>
    <row r="5" spans="1:9" ht="23.25" customHeight="1" thickBot="1" x14ac:dyDescent="0.3">
      <c r="A5" s="16"/>
      <c r="B5" s="85"/>
      <c r="C5" s="78"/>
      <c r="H5" s="424"/>
      <c r="I5" s="425"/>
    </row>
    <row r="6" spans="1:9" ht="23.25" customHeight="1" thickTop="1" thickBot="1" x14ac:dyDescent="0.3">
      <c r="A6" s="25" t="s">
        <v>254</v>
      </c>
      <c r="B6" s="85">
        <f>SUM(B7:B8)</f>
        <v>0</v>
      </c>
      <c r="C6" s="78">
        <f>SUM(C7:C8)</f>
        <v>0</v>
      </c>
      <c r="E6" s="389">
        <f>SUM(B7:B8)-B6</f>
        <v>0</v>
      </c>
      <c r="F6" s="392">
        <f>SUM(C7:C8)-C6</f>
        <v>0</v>
      </c>
      <c r="H6" s="693">
        <f>B6-BS!$D$138</f>
        <v>0</v>
      </c>
      <c r="I6" s="694">
        <f>C6-BS!$E$138</f>
        <v>0</v>
      </c>
    </row>
    <row r="7" spans="1:9" ht="23.25" customHeight="1" thickTop="1" thickBot="1" x14ac:dyDescent="0.3">
      <c r="A7" s="14"/>
      <c r="B7" s="79"/>
      <c r="C7" s="80"/>
      <c r="H7" s="424"/>
      <c r="I7" s="425"/>
    </row>
    <row r="8" spans="1:9" ht="23.25" customHeight="1" thickBot="1" x14ac:dyDescent="0.3">
      <c r="A8" s="16"/>
      <c r="B8" s="85"/>
      <c r="C8" s="78"/>
      <c r="H8" s="424"/>
      <c r="I8" s="425"/>
    </row>
    <row r="9" spans="1:9" ht="23.25" customHeight="1" thickTop="1" thickBot="1" x14ac:dyDescent="0.3">
      <c r="A9" s="25" t="s">
        <v>482</v>
      </c>
      <c r="B9" s="85">
        <f>SUM(B10:B12)</f>
        <v>0</v>
      </c>
      <c r="C9" s="78">
        <f>SUM(C10:C12)</f>
        <v>0</v>
      </c>
      <c r="E9" s="389">
        <f>SUM(B10:B12)-B9</f>
        <v>0</v>
      </c>
      <c r="F9" s="392">
        <f>SUM(C10:C12)-C9</f>
        <v>0</v>
      </c>
      <c r="H9" s="693">
        <f>B9-BS!$D$139</f>
        <v>0</v>
      </c>
      <c r="I9" s="694">
        <f>C9-BS!$E$139</f>
        <v>0</v>
      </c>
    </row>
    <row r="10" spans="1:9" ht="23.25" customHeight="1" thickTop="1" thickBot="1" x14ac:dyDescent="0.3">
      <c r="A10" s="14"/>
      <c r="B10" s="79"/>
      <c r="C10" s="80"/>
      <c r="H10" s="424"/>
      <c r="I10" s="425"/>
    </row>
    <row r="11" spans="1:9" ht="23.25" customHeight="1" thickBot="1" x14ac:dyDescent="0.3">
      <c r="A11" s="14"/>
      <c r="B11" s="79"/>
      <c r="C11" s="80"/>
      <c r="H11" s="424"/>
      <c r="I11" s="425"/>
    </row>
    <row r="12" spans="1:9" ht="23.25" customHeight="1" thickBot="1" x14ac:dyDescent="0.3">
      <c r="A12" s="16"/>
      <c r="B12" s="85"/>
      <c r="C12" s="78"/>
      <c r="H12" s="424"/>
      <c r="I12" s="425"/>
    </row>
    <row r="13" spans="1:9" ht="23.25" customHeight="1" thickTop="1" thickBot="1" x14ac:dyDescent="0.3">
      <c r="A13" s="25" t="s">
        <v>483</v>
      </c>
      <c r="B13" s="85">
        <f>SUM(B14:B16)</f>
        <v>0</v>
      </c>
      <c r="C13" s="78">
        <f>SUM(C14:C16)</f>
        <v>0</v>
      </c>
      <c r="E13" s="389">
        <f>SUM(B14:B16)-B13</f>
        <v>0</v>
      </c>
      <c r="F13" s="392">
        <f>SUM(C14:C16)-C13</f>
        <v>0</v>
      </c>
      <c r="H13" s="693">
        <f>B13-BS!$D$140</f>
        <v>0</v>
      </c>
      <c r="I13" s="694">
        <f>C13-BS!$E$140</f>
        <v>0</v>
      </c>
    </row>
    <row r="14" spans="1:9" ht="23.25" customHeight="1" thickTop="1" thickBot="1" x14ac:dyDescent="0.3">
      <c r="A14" s="14"/>
      <c r="B14" s="79"/>
      <c r="C14" s="80"/>
    </row>
    <row r="15" spans="1:9" ht="23.25" customHeight="1" thickBot="1" x14ac:dyDescent="0.3">
      <c r="A15" s="119"/>
      <c r="B15" s="120"/>
      <c r="C15" s="121"/>
    </row>
    <row r="16" spans="1:9" ht="23.25" customHeight="1" thickBot="1" x14ac:dyDescent="0.3">
      <c r="A16" s="16"/>
      <c r="B16" s="85"/>
      <c r="C16" s="78"/>
    </row>
    <row r="17" ht="15.75" thickTop="1" x14ac:dyDescent="0.25"/>
  </sheetData>
  <mergeCells count="2">
    <mergeCell ref="E1:F1"/>
    <mergeCell ref="H1:I1"/>
  </mergeCells>
  <conditionalFormatting sqref="E3:F13">
    <cfRule type="cellIs" dxfId="33" priority="4" operator="lessThan">
      <formula>0</formula>
    </cfRule>
    <cfRule type="cellIs" dxfId="32" priority="5" operator="greaterThan">
      <formula>0</formula>
    </cfRule>
  </conditionalFormatting>
  <conditionalFormatting sqref="H3:I13">
    <cfRule type="cellIs" dxfId="31" priority="1" operator="lessThan">
      <formula>0</formula>
    </cfRule>
    <cfRule type="cellIs" dxfId="3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255</v>
      </c>
    </row>
    <row r="2" spans="1:5" ht="15.75" thickBot="1" x14ac:dyDescent="0.3">
      <c r="A2" s="20" t="s">
        <v>8</v>
      </c>
      <c r="B2" s="20"/>
      <c r="C2" s="20"/>
      <c r="D2" s="20"/>
      <c r="E2" s="20"/>
    </row>
    <row r="3" spans="1:5" ht="16.5" thickTop="1" thickBot="1" x14ac:dyDescent="0.3">
      <c r="A3" s="1381" t="s">
        <v>131</v>
      </c>
      <c r="B3" s="1360" t="s">
        <v>256</v>
      </c>
      <c r="C3" s="1366"/>
      <c r="D3" s="1358" t="s">
        <v>257</v>
      </c>
      <c r="E3" s="20"/>
    </row>
    <row r="4" spans="1:5" ht="16.5" thickTop="1" thickBot="1" x14ac:dyDescent="0.3">
      <c r="A4" s="1383"/>
      <c r="B4" s="21" t="s">
        <v>258</v>
      </c>
      <c r="C4" s="69" t="s">
        <v>259</v>
      </c>
      <c r="D4" s="1359"/>
      <c r="E4" s="20"/>
    </row>
    <row r="5" spans="1:5" ht="18.75" customHeight="1" thickTop="1" thickBot="1" x14ac:dyDescent="0.3">
      <c r="A5" s="25" t="s">
        <v>260</v>
      </c>
      <c r="B5" s="58"/>
      <c r="C5" s="58"/>
      <c r="D5" s="60"/>
      <c r="E5" s="20"/>
    </row>
    <row r="6" spans="1:5" ht="18.75" customHeight="1" thickTop="1" thickBot="1" x14ac:dyDescent="0.3">
      <c r="A6" s="14"/>
      <c r="B6" s="79"/>
      <c r="C6" s="79"/>
      <c r="D6" s="80"/>
      <c r="E6" s="20"/>
    </row>
    <row r="7" spans="1:5" ht="18.75" customHeight="1" thickBot="1" x14ac:dyDescent="0.3">
      <c r="A7" s="14"/>
      <c r="B7" s="79"/>
      <c r="C7" s="79"/>
      <c r="D7" s="80"/>
      <c r="E7" s="20"/>
    </row>
    <row r="8" spans="1:5" ht="18.75" customHeight="1" thickBot="1" x14ac:dyDescent="0.3">
      <c r="A8" s="14"/>
      <c r="B8" s="79"/>
      <c r="C8" s="79"/>
      <c r="D8" s="80"/>
      <c r="E8" s="20"/>
    </row>
    <row r="9" spans="1:5" ht="18.75" customHeight="1" thickBot="1" x14ac:dyDescent="0.3">
      <c r="A9" s="16"/>
      <c r="B9" s="85"/>
      <c r="C9" s="153"/>
      <c r="D9" s="78"/>
      <c r="E9" s="20"/>
    </row>
    <row r="10" spans="1:5" ht="18.75" customHeight="1" thickTop="1" thickBot="1" x14ac:dyDescent="0.3">
      <c r="A10" s="25" t="s">
        <v>261</v>
      </c>
      <c r="B10" s="85"/>
      <c r="C10" s="154"/>
      <c r="D10" s="78"/>
      <c r="E10" s="20"/>
    </row>
    <row r="11" spans="1:5" ht="18.75" customHeight="1" thickTop="1" thickBot="1" x14ac:dyDescent="0.3">
      <c r="A11" s="14"/>
      <c r="B11" s="79"/>
      <c r="C11" s="79"/>
      <c r="D11" s="80"/>
      <c r="E11" s="20"/>
    </row>
    <row r="12" spans="1:5" ht="18.75" customHeight="1" thickBot="1" x14ac:dyDescent="0.3">
      <c r="A12" s="14"/>
      <c r="B12" s="79"/>
      <c r="C12" s="79"/>
      <c r="D12" s="80"/>
      <c r="E12" s="20"/>
    </row>
    <row r="13" spans="1:5" ht="18.75" customHeight="1" thickBot="1" x14ac:dyDescent="0.3">
      <c r="A13" s="14"/>
      <c r="B13" s="79"/>
      <c r="C13" s="79"/>
      <c r="D13" s="80"/>
      <c r="E13" s="20"/>
    </row>
    <row r="14" spans="1:5" ht="18.75" customHeight="1" thickBot="1" x14ac:dyDescent="0.3">
      <c r="A14" s="25"/>
      <c r="B14" s="85"/>
      <c r="C14" s="85"/>
      <c r="D14" s="78"/>
      <c r="E14" s="20"/>
    </row>
    <row r="15" spans="1:5" ht="15.75" thickTop="1" x14ac:dyDescent="0.25">
      <c r="A15" s="20"/>
      <c r="B15" s="20"/>
      <c r="C15" s="20"/>
      <c r="D15" s="20"/>
      <c r="E15" s="20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255</v>
      </c>
    </row>
    <row r="2" spans="1:5" x14ac:dyDescent="0.25">
      <c r="A2" s="20"/>
      <c r="B2" s="20"/>
      <c r="C2" s="20"/>
      <c r="D2" s="20"/>
      <c r="E2" s="20"/>
    </row>
    <row r="3" spans="1:5" ht="15.75" thickBot="1" x14ac:dyDescent="0.3">
      <c r="A3" s="20" t="s">
        <v>15</v>
      </c>
      <c r="B3" s="20"/>
      <c r="C3" s="20"/>
      <c r="D3" s="20"/>
      <c r="E3" s="20"/>
    </row>
    <row r="4" spans="1:5" ht="28.5" customHeight="1" thickTop="1" thickBot="1" x14ac:dyDescent="0.3">
      <c r="A4" s="1381" t="s">
        <v>131</v>
      </c>
      <c r="B4" s="1360" t="s">
        <v>2</v>
      </c>
      <c r="C4" s="1361"/>
      <c r="D4" s="1360" t="s">
        <v>3</v>
      </c>
      <c r="E4" s="1361"/>
    </row>
    <row r="5" spans="1:5" ht="17.25" customHeight="1" thickTop="1" thickBot="1" x14ac:dyDescent="0.3">
      <c r="A5" s="1382"/>
      <c r="B5" s="1360" t="s">
        <v>262</v>
      </c>
      <c r="C5" s="1361"/>
      <c r="D5" s="1360" t="s">
        <v>262</v>
      </c>
      <c r="E5" s="1361"/>
    </row>
    <row r="6" spans="1:5" ht="24" thickTop="1" thickBot="1" x14ac:dyDescent="0.3">
      <c r="A6" s="1383"/>
      <c r="B6" s="21" t="s">
        <v>263</v>
      </c>
      <c r="C6" s="21" t="s">
        <v>264</v>
      </c>
      <c r="D6" s="21" t="s">
        <v>263</v>
      </c>
      <c r="E6" s="21" t="s">
        <v>264</v>
      </c>
    </row>
    <row r="7" spans="1:5" ht="35.25" thickTop="1" thickBot="1" x14ac:dyDescent="0.3">
      <c r="A7" s="25" t="s">
        <v>260</v>
      </c>
      <c r="B7" s="58"/>
      <c r="C7" s="58"/>
      <c r="D7" s="60"/>
      <c r="E7" s="60"/>
    </row>
    <row r="8" spans="1:5" ht="18.75" customHeight="1" thickTop="1" thickBot="1" x14ac:dyDescent="0.3">
      <c r="A8" s="14"/>
      <c r="B8" s="79"/>
      <c r="C8" s="79"/>
      <c r="D8" s="80"/>
      <c r="E8" s="80"/>
    </row>
    <row r="9" spans="1:5" ht="18.75" customHeight="1" thickBot="1" x14ac:dyDescent="0.3">
      <c r="A9" s="14"/>
      <c r="B9" s="79"/>
      <c r="C9" s="79"/>
      <c r="D9" s="80"/>
      <c r="E9" s="80"/>
    </row>
    <row r="10" spans="1:5" ht="18.75" customHeight="1" thickBot="1" x14ac:dyDescent="0.3">
      <c r="A10" s="14"/>
      <c r="B10" s="79"/>
      <c r="C10" s="79"/>
      <c r="D10" s="80"/>
      <c r="E10" s="80"/>
    </row>
    <row r="11" spans="1:5" ht="18.75" customHeight="1" thickBot="1" x14ac:dyDescent="0.3">
      <c r="A11" s="16"/>
      <c r="B11" s="85"/>
      <c r="C11" s="153"/>
      <c r="D11" s="78"/>
      <c r="E11" s="78"/>
    </row>
    <row r="12" spans="1:5" ht="24" thickTop="1" thickBot="1" x14ac:dyDescent="0.3">
      <c r="A12" s="25" t="s">
        <v>261</v>
      </c>
      <c r="B12" s="85"/>
      <c r="C12" s="154"/>
      <c r="D12" s="78"/>
      <c r="E12" s="78"/>
    </row>
    <row r="13" spans="1:5" ht="18.75" customHeight="1" thickTop="1" thickBot="1" x14ac:dyDescent="0.3">
      <c r="A13" s="14"/>
      <c r="B13" s="79"/>
      <c r="C13" s="79"/>
      <c r="D13" s="80"/>
      <c r="E13" s="80"/>
    </row>
    <row r="14" spans="1:5" ht="18.75" customHeight="1" thickBot="1" x14ac:dyDescent="0.3">
      <c r="A14" s="14"/>
      <c r="B14" s="79"/>
      <c r="C14" s="79"/>
      <c r="D14" s="80"/>
      <c r="E14" s="80"/>
    </row>
    <row r="15" spans="1:5" ht="18.75" customHeight="1" thickBot="1" x14ac:dyDescent="0.3">
      <c r="A15" s="14"/>
      <c r="B15" s="79"/>
      <c r="C15" s="79"/>
      <c r="D15" s="80"/>
      <c r="E15" s="80"/>
    </row>
    <row r="16" spans="1:5" ht="18.75" customHeight="1" thickBot="1" x14ac:dyDescent="0.3">
      <c r="A16" s="25"/>
      <c r="B16" s="85"/>
      <c r="C16" s="85"/>
      <c r="D16" s="78"/>
      <c r="E16" s="78"/>
    </row>
    <row r="17" spans="1:5" ht="15.75" thickTop="1" x14ac:dyDescent="0.25">
      <c r="A17" s="20"/>
      <c r="B17" s="20"/>
      <c r="C17" s="20"/>
      <c r="D17" s="20"/>
      <c r="E17" s="20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zoomScaleNormal="10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265</v>
      </c>
    </row>
    <row r="2" spans="1:3" ht="16.5" thickTop="1" thickBot="1" x14ac:dyDescent="0.3">
      <c r="A2" s="1381" t="s">
        <v>266</v>
      </c>
      <c r="B2" s="1360" t="s">
        <v>267</v>
      </c>
      <c r="C2" s="1361"/>
    </row>
    <row r="3" spans="1:3" ht="24" thickTop="1" thickBot="1" x14ac:dyDescent="0.3">
      <c r="A3" s="1383"/>
      <c r="B3" s="70" t="s">
        <v>2</v>
      </c>
      <c r="C3" s="70" t="s">
        <v>3</v>
      </c>
    </row>
    <row r="4" spans="1:3" ht="20.25" customHeight="1" thickTop="1" thickBot="1" x14ac:dyDescent="0.3">
      <c r="A4" s="14" t="s">
        <v>268</v>
      </c>
      <c r="B4" s="79"/>
      <c r="C4" s="80"/>
    </row>
    <row r="5" spans="1:3" ht="20.25" customHeight="1" thickBot="1" x14ac:dyDescent="0.3">
      <c r="A5" s="14" t="s">
        <v>269</v>
      </c>
      <c r="B5" s="79"/>
      <c r="C5" s="80"/>
    </row>
    <row r="6" spans="1:3" ht="20.25" customHeight="1" thickBot="1" x14ac:dyDescent="0.3">
      <c r="A6" s="14" t="s">
        <v>270</v>
      </c>
      <c r="B6" s="79"/>
      <c r="C6" s="80"/>
    </row>
    <row r="7" spans="1:3" ht="20.25" customHeight="1" thickBot="1" x14ac:dyDescent="0.3">
      <c r="A7" s="14" t="s">
        <v>271</v>
      </c>
      <c r="B7" s="79"/>
      <c r="C7" s="80"/>
    </row>
    <row r="8" spans="1:3" ht="20.25" customHeight="1" thickBot="1" x14ac:dyDescent="0.3">
      <c r="A8" s="25" t="s">
        <v>14</v>
      </c>
      <c r="B8" s="85">
        <f>SUM(B4:B7)</f>
        <v>0</v>
      </c>
      <c r="C8" s="78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386"/>
    <col min="11" max="14" width="9.140625" style="387"/>
    <col min="15" max="15" width="9.140625" style="391"/>
  </cols>
  <sheetData>
    <row r="1" spans="1:15" ht="17.25" thickBot="1" x14ac:dyDescent="0.35">
      <c r="A1" s="1" t="s">
        <v>272</v>
      </c>
      <c r="J1" s="1376" t="s">
        <v>1138</v>
      </c>
      <c r="K1" s="1377"/>
      <c r="L1" s="1377"/>
      <c r="M1" s="1377"/>
      <c r="N1" s="1377"/>
      <c r="O1" s="1378"/>
    </row>
    <row r="2" spans="1:15" ht="24.75" customHeight="1" thickTop="1" thickBot="1" x14ac:dyDescent="0.3">
      <c r="A2" s="1381" t="s">
        <v>1</v>
      </c>
      <c r="B2" s="1367" t="s">
        <v>2</v>
      </c>
      <c r="C2" s="1368"/>
      <c r="D2" s="1369"/>
      <c r="E2" s="1360" t="s">
        <v>3</v>
      </c>
      <c r="F2" s="1366"/>
      <c r="G2" s="1361"/>
      <c r="J2" s="1367" t="s">
        <v>2</v>
      </c>
      <c r="K2" s="1368"/>
      <c r="L2" s="1369"/>
      <c r="M2" s="1360" t="s">
        <v>492</v>
      </c>
      <c r="N2" s="1366"/>
      <c r="O2" s="1361"/>
    </row>
    <row r="3" spans="1:15" ht="16.5" customHeight="1" thickTop="1" thickBot="1" x14ac:dyDescent="0.3">
      <c r="A3" s="1382"/>
      <c r="B3" s="1367" t="s">
        <v>184</v>
      </c>
      <c r="C3" s="1368"/>
      <c r="D3" s="1369"/>
      <c r="E3" s="1367" t="s">
        <v>184</v>
      </c>
      <c r="F3" s="1368"/>
      <c r="G3" s="1369"/>
      <c r="J3" s="1367" t="s">
        <v>184</v>
      </c>
      <c r="K3" s="1368"/>
      <c r="L3" s="1369"/>
      <c r="M3" s="1367" t="s">
        <v>184</v>
      </c>
      <c r="N3" s="1368"/>
      <c r="O3" s="1369"/>
    </row>
    <row r="4" spans="1:15" s="4" customFormat="1" ht="45" customHeight="1" thickTop="1" thickBot="1" x14ac:dyDescent="0.3">
      <c r="A4" s="1383"/>
      <c r="B4" s="21" t="s">
        <v>185</v>
      </c>
      <c r="C4" s="21" t="s">
        <v>186</v>
      </c>
      <c r="D4" s="21" t="s">
        <v>187</v>
      </c>
      <c r="E4" s="21" t="s">
        <v>185</v>
      </c>
      <c r="F4" s="21" t="s">
        <v>186</v>
      </c>
      <c r="G4" s="21" t="s">
        <v>187</v>
      </c>
      <c r="J4" s="59" t="s">
        <v>185</v>
      </c>
      <c r="K4" s="21" t="s">
        <v>186</v>
      </c>
      <c r="L4" s="21" t="s">
        <v>187</v>
      </c>
      <c r="M4" s="21" t="s">
        <v>185</v>
      </c>
      <c r="N4" s="21" t="s">
        <v>186</v>
      </c>
      <c r="O4" s="21" t="s">
        <v>187</v>
      </c>
    </row>
    <row r="5" spans="1:15" ht="18.75" customHeight="1" thickTop="1" thickBot="1" x14ac:dyDescent="0.3">
      <c r="A5" s="74" t="s">
        <v>188</v>
      </c>
      <c r="B5" s="144"/>
      <c r="C5" s="144"/>
      <c r="D5" s="144"/>
      <c r="E5" s="144"/>
      <c r="F5" s="144"/>
      <c r="G5" s="77"/>
    </row>
    <row r="6" spans="1:15" ht="18.75" customHeight="1" thickBot="1" x14ac:dyDescent="0.3">
      <c r="A6" s="71" t="s">
        <v>273</v>
      </c>
      <c r="B6" s="79"/>
      <c r="C6" s="79"/>
      <c r="D6" s="79"/>
      <c r="E6" s="79"/>
      <c r="F6" s="79"/>
      <c r="G6" s="80"/>
    </row>
    <row r="7" spans="1:15" ht="18.75" customHeight="1" thickBot="1" x14ac:dyDescent="0.3">
      <c r="A7" s="72" t="s">
        <v>14</v>
      </c>
      <c r="B7" s="85">
        <f>B5+B6</f>
        <v>0</v>
      </c>
      <c r="C7" s="85">
        <f t="shared" ref="C7:G7" si="0">C5+C6</f>
        <v>0</v>
      </c>
      <c r="D7" s="85">
        <f t="shared" si="0"/>
        <v>0</v>
      </c>
      <c r="E7" s="85">
        <f t="shared" si="0"/>
        <v>0</v>
      </c>
      <c r="F7" s="85">
        <f t="shared" si="0"/>
        <v>0</v>
      </c>
      <c r="G7" s="78">
        <f t="shared" si="0"/>
        <v>0</v>
      </c>
      <c r="J7" s="389">
        <f>SUM(B5:B6)-B7</f>
        <v>0</v>
      </c>
      <c r="K7" s="388">
        <f t="shared" ref="K7:O7" si="1">SUM(C5:C6)-C7</f>
        <v>0</v>
      </c>
      <c r="L7" s="388">
        <f t="shared" si="1"/>
        <v>0</v>
      </c>
      <c r="M7" s="388">
        <f t="shared" si="1"/>
        <v>0</v>
      </c>
      <c r="N7" s="388">
        <f t="shared" si="1"/>
        <v>0</v>
      </c>
      <c r="O7" s="392">
        <f t="shared" si="1"/>
        <v>0</v>
      </c>
    </row>
    <row r="8" spans="1:15" ht="15.75" thickTop="1" x14ac:dyDescent="0.25"/>
  </sheetData>
  <mergeCells count="10">
    <mergeCell ref="J1:O1"/>
    <mergeCell ref="J2:L2"/>
    <mergeCell ref="M2:O2"/>
    <mergeCell ref="J3:L3"/>
    <mergeCell ref="M3:O3"/>
    <mergeCell ref="B2:D2"/>
    <mergeCell ref="E2:G2"/>
    <mergeCell ref="B3:D3"/>
    <mergeCell ref="E3:G3"/>
    <mergeCell ref="A2:A4"/>
  </mergeCells>
  <conditionalFormatting sqref="J5:O7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J7:O7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zoomScaleNormal="10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338</v>
      </c>
    </row>
    <row r="2" spans="1:3" ht="33" customHeight="1" thickTop="1" thickBot="1" x14ac:dyDescent="0.3">
      <c r="A2" s="84" t="s">
        <v>131</v>
      </c>
      <c r="B2" s="70" t="s">
        <v>2</v>
      </c>
      <c r="C2" s="70" t="s">
        <v>3</v>
      </c>
    </row>
    <row r="3" spans="1:3" ht="18.75" customHeight="1" thickTop="1" thickBot="1" x14ac:dyDescent="0.3">
      <c r="A3" s="155" t="s">
        <v>339</v>
      </c>
      <c r="B3" s="80"/>
      <c r="C3" s="80"/>
    </row>
    <row r="4" spans="1:3" ht="18.75" customHeight="1" thickBot="1" x14ac:dyDescent="0.3">
      <c r="A4" s="156" t="s">
        <v>340</v>
      </c>
      <c r="B4" s="80"/>
      <c r="C4" s="80"/>
    </row>
    <row r="5" spans="1:3" ht="18.75" customHeight="1" thickBot="1" x14ac:dyDescent="0.3">
      <c r="A5" s="71" t="s">
        <v>341</v>
      </c>
      <c r="B5" s="80"/>
      <c r="C5" s="80"/>
    </row>
    <row r="6" spans="1:3" ht="18.75" customHeight="1" thickBot="1" x14ac:dyDescent="0.3">
      <c r="A6" s="155" t="s">
        <v>342</v>
      </c>
      <c r="B6" s="80"/>
      <c r="C6" s="80"/>
    </row>
    <row r="7" spans="1:3" ht="18.75" customHeight="1" thickBot="1" x14ac:dyDescent="0.3">
      <c r="A7" s="157" t="s">
        <v>343</v>
      </c>
      <c r="B7" s="80"/>
      <c r="C7" s="80"/>
    </row>
    <row r="8" spans="1:3" ht="18.75" customHeight="1" thickBot="1" x14ac:dyDescent="0.3">
      <c r="A8" s="129" t="s">
        <v>344</v>
      </c>
      <c r="B8" s="80"/>
      <c r="C8" s="80"/>
    </row>
    <row r="9" spans="1:3" ht="18.75" customHeight="1" thickBot="1" x14ac:dyDescent="0.3">
      <c r="A9" s="156" t="s">
        <v>345</v>
      </c>
      <c r="B9" s="80"/>
      <c r="C9" s="80"/>
    </row>
    <row r="10" spans="1:3" ht="18.75" customHeight="1" thickBot="1" x14ac:dyDescent="0.3">
      <c r="A10" s="155" t="s">
        <v>346</v>
      </c>
      <c r="B10" s="126"/>
      <c r="C10" s="126"/>
    </row>
    <row r="11" spans="1:3" ht="18.75" customHeight="1" thickBot="1" x14ac:dyDescent="0.3">
      <c r="A11" s="158" t="s">
        <v>347</v>
      </c>
      <c r="B11" s="127"/>
      <c r="C11" s="127"/>
    </row>
    <row r="12" spans="1:3" ht="17.25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</sheetPr>
  <dimension ref="A1:Q143"/>
  <sheetViews>
    <sheetView showGridLines="0" showZeros="0" topLeftCell="A97" zoomScaleNormal="100" workbookViewId="0">
      <selection activeCell="E131" sqref="E131"/>
    </sheetView>
  </sheetViews>
  <sheetFormatPr defaultRowHeight="11.25" x14ac:dyDescent="0.2"/>
  <cols>
    <col min="1" max="1" width="6.85546875" style="178" customWidth="1"/>
    <col min="2" max="2" width="53.5703125" style="178" customWidth="1"/>
    <col min="3" max="3" width="5.85546875" style="178" customWidth="1"/>
    <col min="4" max="4" width="13.42578125" style="178" bestFit="1" customWidth="1"/>
    <col min="5" max="5" width="14.28515625" style="178" bestFit="1" customWidth="1"/>
    <col min="6" max="6" width="13.42578125" style="178" customWidth="1"/>
    <col min="7" max="7" width="15.140625" style="178" customWidth="1"/>
    <col min="8" max="8" width="10" style="178" bestFit="1" customWidth="1"/>
    <col min="9" max="11" width="9.140625" style="178"/>
    <col min="12" max="12" width="9.140625" style="178" customWidth="1"/>
    <col min="13" max="17" width="9.140625" style="178" hidden="1" customWidth="1"/>
    <col min="18" max="16384" width="9.140625" style="178"/>
  </cols>
  <sheetData>
    <row r="1" spans="1:17" ht="12.75" hidden="1" x14ac:dyDescent="0.2">
      <c r="M1" s="179" t="s">
        <v>496</v>
      </c>
    </row>
    <row r="2" spans="1:17" s="186" customFormat="1" ht="12" customHeight="1" x14ac:dyDescent="0.2">
      <c r="A2" s="180" t="s">
        <v>497</v>
      </c>
      <c r="B2" s="181">
        <v>0</v>
      </c>
      <c r="C2" s="182"/>
      <c r="D2" s="183"/>
      <c r="E2" s="184"/>
      <c r="F2" s="184"/>
      <c r="G2" s="185"/>
      <c r="K2" s="179"/>
      <c r="L2" s="179"/>
      <c r="M2" s="179" t="s">
        <v>499</v>
      </c>
      <c r="N2" s="179"/>
      <c r="O2" s="179"/>
      <c r="P2" s="179"/>
      <c r="Q2" s="179"/>
    </row>
    <row r="3" spans="1:17" ht="12" customHeight="1" x14ac:dyDescent="0.2">
      <c r="A3" s="180" t="s">
        <v>500</v>
      </c>
      <c r="B3" s="181" t="s">
        <v>501</v>
      </c>
      <c r="D3" s="183"/>
      <c r="E3" s="184"/>
      <c r="F3" s="184"/>
      <c r="K3" s="179"/>
      <c r="L3" s="187" t="s">
        <v>502</v>
      </c>
      <c r="M3" s="188" t="s">
        <v>498</v>
      </c>
      <c r="N3" s="188" t="s">
        <v>503</v>
      </c>
      <c r="O3" s="188" t="s">
        <v>504</v>
      </c>
      <c r="P3" s="188" t="s">
        <v>505</v>
      </c>
      <c r="Q3" s="188" t="s">
        <v>506</v>
      </c>
    </row>
    <row r="4" spans="1:17" ht="12" customHeight="1" x14ac:dyDescent="0.2">
      <c r="C4" s="426" t="s">
        <v>501</v>
      </c>
      <c r="D4" s="183"/>
      <c r="E4" s="184"/>
      <c r="F4" s="184"/>
      <c r="K4" s="179"/>
      <c r="L4" s="187"/>
      <c r="M4" s="179"/>
      <c r="N4" s="179"/>
      <c r="O4" s="179"/>
      <c r="P4" s="179"/>
      <c r="Q4" s="187" t="s">
        <v>502</v>
      </c>
    </row>
    <row r="5" spans="1:17" ht="13.5" customHeight="1" x14ac:dyDescent="0.2">
      <c r="A5" s="189"/>
      <c r="B5" s="190"/>
      <c r="C5" s="190"/>
      <c r="D5" s="190"/>
      <c r="E5" s="190"/>
      <c r="F5" s="190"/>
      <c r="G5" s="190"/>
      <c r="K5" s="179"/>
      <c r="L5" s="179"/>
      <c r="M5" s="191">
        <v>0.1</v>
      </c>
      <c r="N5" s="192">
        <v>0.01</v>
      </c>
      <c r="O5" s="191">
        <v>0.05</v>
      </c>
      <c r="P5" s="193">
        <v>5.0000000000000001E-3</v>
      </c>
      <c r="Q5" s="194" t="e">
        <f>IF(#REF!=$M$3,M5,IF(#REF!=$N$3,N5,IF(#REF!=$O$3,O5,IF(#REF!=$P$3,P5,""))))</f>
        <v>#REF!</v>
      </c>
    </row>
    <row r="6" spans="1:17" ht="12" customHeight="1" x14ac:dyDescent="0.2">
      <c r="C6" s="195" t="s">
        <v>507</v>
      </c>
      <c r="D6" s="196"/>
      <c r="E6" s="182"/>
      <c r="K6" s="179"/>
      <c r="L6" s="179"/>
      <c r="M6" s="191">
        <v>0.09</v>
      </c>
      <c r="N6" s="192">
        <v>8.9999999999999993E-3</v>
      </c>
      <c r="O6" s="191">
        <v>0.04</v>
      </c>
      <c r="P6" s="193">
        <v>4.0000000000000001E-3</v>
      </c>
      <c r="Q6" s="194" t="e">
        <f>IF(#REF!=$M$3,M6,IF(#REF!=$N$3,N6,IF(#REF!=$O$3,O6,IF(#REF!=$P$3,P6,""))))</f>
        <v>#REF!</v>
      </c>
    </row>
    <row r="7" spans="1:17" s="201" customFormat="1" ht="12" customHeight="1" x14ac:dyDescent="0.2">
      <c r="A7" s="197" t="s">
        <v>508</v>
      </c>
      <c r="B7" s="198" t="s">
        <v>509</v>
      </c>
      <c r="C7" s="197" t="s">
        <v>510</v>
      </c>
      <c r="D7" s="199" t="s">
        <v>511</v>
      </c>
      <c r="E7" s="199"/>
      <c r="F7" s="199"/>
      <c r="G7" s="200" t="s">
        <v>512</v>
      </c>
      <c r="K7" s="179"/>
      <c r="L7" s="179"/>
      <c r="M7" s="191">
        <v>0.08</v>
      </c>
      <c r="N7" s="192">
        <v>8.0000000000000002E-3</v>
      </c>
      <c r="O7" s="191">
        <v>0.03</v>
      </c>
      <c r="P7" s="193">
        <v>3.0000000000000001E-3</v>
      </c>
      <c r="Q7" s="194" t="e">
        <f>IF(#REF!=$M$3,M7,IF(#REF!=$N$3,N7,IF(#REF!=$O$3,O7,IF(#REF!=$P$3,P7,""))))</f>
        <v>#REF!</v>
      </c>
    </row>
    <row r="8" spans="1:17" s="204" customFormat="1" ht="12" customHeight="1" x14ac:dyDescent="0.2">
      <c r="A8" s="202" t="s">
        <v>513</v>
      </c>
      <c r="B8" s="203"/>
      <c r="C8" s="202" t="s">
        <v>514</v>
      </c>
      <c r="D8" s="197" t="s">
        <v>515</v>
      </c>
      <c r="E8" s="197" t="s">
        <v>516</v>
      </c>
      <c r="F8" s="197" t="s">
        <v>517</v>
      </c>
      <c r="G8" s="197" t="s">
        <v>517</v>
      </c>
      <c r="K8" s="179"/>
      <c r="L8" s="179"/>
      <c r="M8" s="191">
        <v>7.0000000000000007E-2</v>
      </c>
      <c r="N8" s="192">
        <v>7.0000000000000001E-3</v>
      </c>
      <c r="O8" s="191">
        <v>0.02</v>
      </c>
      <c r="P8" s="193">
        <v>2.5000000000000001E-3</v>
      </c>
      <c r="Q8" s="194" t="e">
        <f>IF(#REF!=$M$3,M8,IF(#REF!=$N$3,N8,IF(#REF!=$O$3,O8,IF(#REF!=$P$3,P8,""))))</f>
        <v>#REF!</v>
      </c>
    </row>
    <row r="9" spans="1:17" s="201" customFormat="1" ht="12" customHeight="1" x14ac:dyDescent="0.2">
      <c r="A9" s="205" t="s">
        <v>518</v>
      </c>
      <c r="B9" s="206" t="s">
        <v>519</v>
      </c>
      <c r="C9" s="205" t="s">
        <v>520</v>
      </c>
      <c r="D9" s="205">
        <v>1</v>
      </c>
      <c r="E9" s="205">
        <v>2</v>
      </c>
      <c r="F9" s="205">
        <v>3</v>
      </c>
      <c r="G9" s="205">
        <v>4</v>
      </c>
      <c r="K9" s="179"/>
      <c r="L9" s="179"/>
      <c r="M9" s="191">
        <v>0.06</v>
      </c>
      <c r="N9" s="192">
        <v>6.0000000000000001E-3</v>
      </c>
      <c r="O9" s="191">
        <v>0.01</v>
      </c>
      <c r="P9" s="179"/>
      <c r="Q9" s="194" t="e">
        <f>IF(#REF!=$M$3,M9,IF(#REF!=$N$3,N9,IF(#REF!=$O$3,O9,IF(#REF!=$P$3,P9,""))))</f>
        <v>#REF!</v>
      </c>
    </row>
    <row r="10" spans="1:17" s="211" customFormat="1" ht="12" customHeight="1" x14ac:dyDescent="0.2">
      <c r="A10" s="207"/>
      <c r="B10" s="208" t="s">
        <v>521</v>
      </c>
      <c r="C10" s="209" t="s">
        <v>522</v>
      </c>
      <c r="D10" s="937">
        <v>911119</v>
      </c>
      <c r="E10" s="937"/>
      <c r="F10" s="937">
        <v>911119</v>
      </c>
      <c r="G10" s="937">
        <v>744558</v>
      </c>
      <c r="K10" s="179"/>
      <c r="L10" s="179"/>
      <c r="M10" s="191">
        <v>0.05</v>
      </c>
      <c r="N10" s="192">
        <v>5.0000000000000001E-3</v>
      </c>
      <c r="O10" s="179"/>
      <c r="P10" s="179"/>
      <c r="Q10" s="194" t="e">
        <f>IF(#REF!=$M$3,M10,IF(#REF!=$N$3,N10,IF(#REF!=$O$3,O10,IF(#REF!=$P$3,P10,""))))</f>
        <v>#REF!</v>
      </c>
    </row>
    <row r="11" spans="1:17" s="211" customFormat="1" ht="12" customHeight="1" x14ac:dyDescent="0.25">
      <c r="A11" s="212" t="s">
        <v>523</v>
      </c>
      <c r="B11" s="213" t="s">
        <v>524</v>
      </c>
      <c r="C11" s="209" t="s">
        <v>525</v>
      </c>
      <c r="D11" s="937"/>
      <c r="E11" s="937"/>
      <c r="F11" s="937"/>
      <c r="G11" s="937"/>
    </row>
    <row r="12" spans="1:17" s="211" customFormat="1" ht="12" customHeight="1" x14ac:dyDescent="0.25">
      <c r="A12" s="214" t="s">
        <v>526</v>
      </c>
      <c r="B12" s="214" t="s">
        <v>527</v>
      </c>
      <c r="C12" s="209" t="s">
        <v>528</v>
      </c>
      <c r="D12" s="937"/>
      <c r="E12" s="937"/>
      <c r="F12" s="937"/>
      <c r="G12" s="937"/>
    </row>
    <row r="13" spans="1:17" s="186" customFormat="1" ht="12" customHeight="1" x14ac:dyDescent="0.25">
      <c r="A13" s="215" t="s">
        <v>529</v>
      </c>
      <c r="B13" s="216" t="s">
        <v>530</v>
      </c>
      <c r="C13" s="217" t="s">
        <v>531</v>
      </c>
      <c r="D13" s="938"/>
      <c r="E13" s="938"/>
      <c r="F13" s="938"/>
      <c r="G13" s="938"/>
      <c r="H13" s="218"/>
    </row>
    <row r="14" spans="1:17" s="186" customFormat="1" ht="12" customHeight="1" x14ac:dyDescent="0.25">
      <c r="A14" s="215" t="s">
        <v>532</v>
      </c>
      <c r="B14" s="216" t="s">
        <v>533</v>
      </c>
      <c r="C14" s="217" t="s">
        <v>534</v>
      </c>
      <c r="D14" s="938"/>
      <c r="E14" s="938"/>
      <c r="F14" s="938"/>
      <c r="G14" s="939"/>
    </row>
    <row r="15" spans="1:17" s="186" customFormat="1" ht="12" customHeight="1" x14ac:dyDescent="0.25">
      <c r="A15" s="215" t="s">
        <v>535</v>
      </c>
      <c r="B15" s="216" t="s">
        <v>536</v>
      </c>
      <c r="C15" s="217" t="s">
        <v>537</v>
      </c>
      <c r="D15" s="938"/>
      <c r="E15" s="938"/>
      <c r="F15" s="938"/>
      <c r="G15" s="938"/>
    </row>
    <row r="16" spans="1:17" s="186" customFormat="1" ht="12" customHeight="1" x14ac:dyDescent="0.25">
      <c r="A16" s="215" t="s">
        <v>538</v>
      </c>
      <c r="B16" s="216" t="s">
        <v>539</v>
      </c>
      <c r="C16" s="217" t="s">
        <v>540</v>
      </c>
      <c r="D16" s="938"/>
      <c r="E16" s="938"/>
      <c r="F16" s="938"/>
      <c r="G16" s="938"/>
    </row>
    <row r="17" spans="1:7" s="186" customFormat="1" ht="12" customHeight="1" x14ac:dyDescent="0.25">
      <c r="A17" s="215" t="s">
        <v>541</v>
      </c>
      <c r="B17" s="219" t="s">
        <v>542</v>
      </c>
      <c r="C17" s="217" t="s">
        <v>543</v>
      </c>
      <c r="D17" s="938"/>
      <c r="E17" s="938"/>
      <c r="F17" s="938"/>
      <c r="G17" s="938"/>
    </row>
    <row r="18" spans="1:7" s="186" customFormat="1" ht="12" customHeight="1" x14ac:dyDescent="0.25">
      <c r="A18" s="215" t="s">
        <v>544</v>
      </c>
      <c r="B18" s="216" t="s">
        <v>545</v>
      </c>
      <c r="C18" s="217" t="s">
        <v>546</v>
      </c>
      <c r="D18" s="938"/>
      <c r="E18" s="938"/>
      <c r="F18" s="938"/>
      <c r="G18" s="938"/>
    </row>
    <row r="19" spans="1:7" s="186" customFormat="1" ht="12" customHeight="1" x14ac:dyDescent="0.25">
      <c r="A19" s="215" t="s">
        <v>547</v>
      </c>
      <c r="B19" s="216" t="s">
        <v>548</v>
      </c>
      <c r="C19" s="217" t="s">
        <v>549</v>
      </c>
      <c r="D19" s="938"/>
      <c r="E19" s="938"/>
      <c r="F19" s="938"/>
      <c r="G19" s="938"/>
    </row>
    <row r="20" spans="1:7" s="211" customFormat="1" ht="12" customHeight="1" x14ac:dyDescent="0.25">
      <c r="A20" s="220" t="s">
        <v>550</v>
      </c>
      <c r="B20" s="214" t="s">
        <v>551</v>
      </c>
      <c r="C20" s="209" t="s">
        <v>552</v>
      </c>
      <c r="D20" s="937"/>
      <c r="E20" s="937"/>
      <c r="F20" s="937"/>
      <c r="G20" s="937"/>
    </row>
    <row r="21" spans="1:7" s="186" customFormat="1" ht="12" customHeight="1" x14ac:dyDescent="0.25">
      <c r="A21" s="221" t="s">
        <v>553</v>
      </c>
      <c r="B21" s="216" t="s">
        <v>554</v>
      </c>
      <c r="C21" s="217" t="s">
        <v>555</v>
      </c>
      <c r="D21" s="938"/>
      <c r="E21" s="938"/>
      <c r="F21" s="938"/>
      <c r="G21" s="938"/>
    </row>
    <row r="22" spans="1:7" s="186" customFormat="1" ht="12" customHeight="1" x14ac:dyDescent="0.25">
      <c r="A22" s="215" t="s">
        <v>532</v>
      </c>
      <c r="B22" s="216" t="s">
        <v>556</v>
      </c>
      <c r="C22" s="217" t="s">
        <v>557</v>
      </c>
      <c r="D22" s="938"/>
      <c r="E22" s="938"/>
      <c r="F22" s="938"/>
      <c r="G22" s="938"/>
    </row>
    <row r="23" spans="1:7" s="186" customFormat="1" ht="12" customHeight="1" x14ac:dyDescent="0.25">
      <c r="A23" s="215" t="s">
        <v>535</v>
      </c>
      <c r="B23" s="216" t="s">
        <v>558</v>
      </c>
      <c r="C23" s="217" t="s">
        <v>559</v>
      </c>
      <c r="D23" s="938"/>
      <c r="E23" s="940"/>
      <c r="F23" s="938"/>
      <c r="G23" s="938"/>
    </row>
    <row r="24" spans="1:7" s="186" customFormat="1" ht="12" customHeight="1" x14ac:dyDescent="0.25">
      <c r="A24" s="215" t="s">
        <v>538</v>
      </c>
      <c r="B24" s="216" t="s">
        <v>560</v>
      </c>
      <c r="C24" s="217" t="s">
        <v>561</v>
      </c>
      <c r="D24" s="938"/>
      <c r="E24" s="938"/>
      <c r="F24" s="938"/>
      <c r="G24" s="940"/>
    </row>
    <row r="25" spans="1:7" s="186" customFormat="1" ht="12" customHeight="1" x14ac:dyDescent="0.25">
      <c r="A25" s="215" t="s">
        <v>541</v>
      </c>
      <c r="B25" s="216" t="s">
        <v>562</v>
      </c>
      <c r="C25" s="217" t="s">
        <v>563</v>
      </c>
      <c r="D25" s="938"/>
      <c r="E25" s="938"/>
      <c r="F25" s="938"/>
      <c r="G25" s="940"/>
    </row>
    <row r="26" spans="1:7" s="186" customFormat="1" ht="12" customHeight="1" x14ac:dyDescent="0.25">
      <c r="A26" s="215" t="s">
        <v>544</v>
      </c>
      <c r="B26" s="219" t="s">
        <v>564</v>
      </c>
      <c r="C26" s="217" t="s">
        <v>565</v>
      </c>
      <c r="D26" s="940"/>
      <c r="E26" s="940"/>
      <c r="F26" s="938"/>
      <c r="G26" s="940"/>
    </row>
    <row r="27" spans="1:7" s="186" customFormat="1" ht="12" customHeight="1" x14ac:dyDescent="0.25">
      <c r="A27" s="215" t="s">
        <v>547</v>
      </c>
      <c r="B27" s="216" t="s">
        <v>566</v>
      </c>
      <c r="C27" s="217" t="s">
        <v>567</v>
      </c>
      <c r="D27" s="938"/>
      <c r="E27" s="938"/>
      <c r="F27" s="938"/>
      <c r="G27" s="938"/>
    </row>
    <row r="28" spans="1:7" s="186" customFormat="1" ht="12" customHeight="1" x14ac:dyDescent="0.25">
      <c r="A28" s="215" t="s">
        <v>568</v>
      </c>
      <c r="B28" s="216" t="s">
        <v>569</v>
      </c>
      <c r="C28" s="217" t="s">
        <v>570</v>
      </c>
      <c r="D28" s="938"/>
      <c r="E28" s="938"/>
      <c r="F28" s="938"/>
      <c r="G28" s="938"/>
    </row>
    <row r="29" spans="1:7" s="186" customFormat="1" ht="12" customHeight="1" x14ac:dyDescent="0.25">
      <c r="A29" s="215" t="s">
        <v>571</v>
      </c>
      <c r="B29" s="216" t="s">
        <v>572</v>
      </c>
      <c r="C29" s="217" t="s">
        <v>573</v>
      </c>
      <c r="D29" s="938"/>
      <c r="E29" s="938"/>
      <c r="F29" s="938"/>
      <c r="G29" s="938"/>
    </row>
    <row r="30" spans="1:7" s="211" customFormat="1" ht="12" customHeight="1" x14ac:dyDescent="0.25">
      <c r="A30" s="220" t="s">
        <v>574</v>
      </c>
      <c r="B30" s="214" t="s">
        <v>575</v>
      </c>
      <c r="C30" s="209" t="s">
        <v>576</v>
      </c>
      <c r="D30" s="937"/>
      <c r="E30" s="937"/>
      <c r="F30" s="937"/>
      <c r="G30" s="937"/>
    </row>
    <row r="31" spans="1:7" s="186" customFormat="1" ht="12" customHeight="1" x14ac:dyDescent="0.25">
      <c r="A31" s="221" t="s">
        <v>577</v>
      </c>
      <c r="B31" s="216" t="s">
        <v>578</v>
      </c>
      <c r="C31" s="217" t="s">
        <v>579</v>
      </c>
      <c r="D31" s="938"/>
      <c r="E31" s="938"/>
      <c r="F31" s="938"/>
      <c r="G31" s="938"/>
    </row>
    <row r="32" spans="1:7" s="186" customFormat="1" ht="12" customHeight="1" x14ac:dyDescent="0.25">
      <c r="A32" s="215" t="s">
        <v>532</v>
      </c>
      <c r="B32" s="216" t="s">
        <v>580</v>
      </c>
      <c r="C32" s="217" t="s">
        <v>581</v>
      </c>
      <c r="D32" s="938"/>
      <c r="E32" s="938"/>
      <c r="F32" s="938"/>
      <c r="G32" s="938"/>
    </row>
    <row r="33" spans="1:7" s="186" customFormat="1" ht="12" customHeight="1" x14ac:dyDescent="0.25">
      <c r="A33" s="215" t="s">
        <v>535</v>
      </c>
      <c r="B33" s="216" t="s">
        <v>582</v>
      </c>
      <c r="C33" s="217" t="s">
        <v>583</v>
      </c>
      <c r="D33" s="938"/>
      <c r="E33" s="938"/>
      <c r="F33" s="938"/>
      <c r="G33" s="938"/>
    </row>
    <row r="34" spans="1:7" s="186" customFormat="1" ht="12" customHeight="1" x14ac:dyDescent="0.25">
      <c r="A34" s="215" t="s">
        <v>538</v>
      </c>
      <c r="B34" s="216" t="s">
        <v>584</v>
      </c>
      <c r="C34" s="217" t="s">
        <v>585</v>
      </c>
      <c r="D34" s="938"/>
      <c r="E34" s="938"/>
      <c r="F34" s="938"/>
      <c r="G34" s="938"/>
    </row>
    <row r="35" spans="1:7" s="186" customFormat="1" ht="12" customHeight="1" x14ac:dyDescent="0.25">
      <c r="A35" s="215" t="s">
        <v>541</v>
      </c>
      <c r="B35" s="219" t="s">
        <v>586</v>
      </c>
      <c r="C35" s="217" t="s">
        <v>587</v>
      </c>
      <c r="D35" s="938"/>
      <c r="E35" s="938"/>
      <c r="F35" s="938"/>
      <c r="G35" s="938"/>
    </row>
    <row r="36" spans="1:7" s="186" customFormat="1" ht="12" customHeight="1" x14ac:dyDescent="0.25">
      <c r="A36" s="215" t="s">
        <v>544</v>
      </c>
      <c r="B36" s="219" t="s">
        <v>588</v>
      </c>
      <c r="C36" s="217" t="s">
        <v>589</v>
      </c>
      <c r="D36" s="938"/>
      <c r="E36" s="938"/>
      <c r="F36" s="938"/>
      <c r="G36" s="938"/>
    </row>
    <row r="37" spans="1:7" s="186" customFormat="1" ht="12" customHeight="1" x14ac:dyDescent="0.25">
      <c r="A37" s="215" t="s">
        <v>547</v>
      </c>
      <c r="B37" s="216" t="s">
        <v>590</v>
      </c>
      <c r="C37" s="217" t="s">
        <v>591</v>
      </c>
      <c r="D37" s="938"/>
      <c r="E37" s="938"/>
      <c r="F37" s="938"/>
      <c r="G37" s="938"/>
    </row>
    <row r="38" spans="1:7" s="186" customFormat="1" ht="12" customHeight="1" x14ac:dyDescent="0.25">
      <c r="A38" s="215" t="s">
        <v>568</v>
      </c>
      <c r="B38" s="216" t="s">
        <v>592</v>
      </c>
      <c r="C38" s="217" t="s">
        <v>593</v>
      </c>
      <c r="D38" s="938"/>
      <c r="E38" s="938"/>
      <c r="F38" s="938"/>
      <c r="G38" s="938"/>
    </row>
    <row r="39" spans="1:7" s="211" customFormat="1" ht="12" customHeight="1" x14ac:dyDescent="0.25">
      <c r="A39" s="220" t="s">
        <v>594</v>
      </c>
      <c r="B39" s="213" t="s">
        <v>595</v>
      </c>
      <c r="C39" s="209" t="s">
        <v>596</v>
      </c>
      <c r="D39" s="937">
        <v>911113</v>
      </c>
      <c r="E39" s="937"/>
      <c r="F39" s="937">
        <v>911113</v>
      </c>
      <c r="G39" s="937">
        <v>744553</v>
      </c>
    </row>
    <row r="40" spans="1:7" s="211" customFormat="1" ht="12" customHeight="1" x14ac:dyDescent="0.25">
      <c r="A40" s="214" t="s">
        <v>597</v>
      </c>
      <c r="B40" s="214" t="s">
        <v>598</v>
      </c>
      <c r="C40" s="209" t="s">
        <v>599</v>
      </c>
      <c r="D40" s="937"/>
      <c r="E40" s="937"/>
      <c r="F40" s="937"/>
      <c r="G40" s="937"/>
    </row>
    <row r="41" spans="1:7" s="186" customFormat="1" ht="12" customHeight="1" x14ac:dyDescent="0.25">
      <c r="A41" s="221" t="s">
        <v>600</v>
      </c>
      <c r="B41" s="216" t="s">
        <v>601</v>
      </c>
      <c r="C41" s="217" t="s">
        <v>602</v>
      </c>
      <c r="D41" s="938"/>
      <c r="E41" s="938"/>
      <c r="F41" s="938"/>
      <c r="G41" s="938"/>
    </row>
    <row r="42" spans="1:7" s="186" customFormat="1" ht="12" customHeight="1" x14ac:dyDescent="0.25">
      <c r="A42" s="215" t="s">
        <v>532</v>
      </c>
      <c r="B42" s="219" t="s">
        <v>603</v>
      </c>
      <c r="C42" s="217" t="s">
        <v>604</v>
      </c>
      <c r="D42" s="938"/>
      <c r="E42" s="938"/>
      <c r="F42" s="938"/>
      <c r="G42" s="938"/>
    </row>
    <row r="43" spans="1:7" s="186" customFormat="1" ht="12" customHeight="1" x14ac:dyDescent="0.25">
      <c r="A43" s="215" t="s">
        <v>535</v>
      </c>
      <c r="B43" s="216" t="s">
        <v>605</v>
      </c>
      <c r="C43" s="217" t="s">
        <v>606</v>
      </c>
      <c r="D43" s="938"/>
      <c r="E43" s="938"/>
      <c r="F43" s="938"/>
      <c r="G43" s="938"/>
    </row>
    <row r="44" spans="1:7" s="186" customFormat="1" ht="12" customHeight="1" x14ac:dyDescent="0.25">
      <c r="A44" s="215" t="s">
        <v>538</v>
      </c>
      <c r="B44" s="216" t="s">
        <v>607</v>
      </c>
      <c r="C44" s="217" t="s">
        <v>608</v>
      </c>
      <c r="D44" s="938"/>
      <c r="E44" s="938"/>
      <c r="F44" s="938"/>
      <c r="G44" s="938"/>
    </row>
    <row r="45" spans="1:7" s="186" customFormat="1" ht="12" customHeight="1" x14ac:dyDescent="0.25">
      <c r="A45" s="215" t="s">
        <v>541</v>
      </c>
      <c r="B45" s="219" t="s">
        <v>609</v>
      </c>
      <c r="C45" s="217" t="s">
        <v>610</v>
      </c>
      <c r="D45" s="938"/>
      <c r="E45" s="938"/>
      <c r="F45" s="938"/>
      <c r="G45" s="938"/>
    </row>
    <row r="46" spans="1:7" s="186" customFormat="1" ht="12" customHeight="1" x14ac:dyDescent="0.25">
      <c r="A46" s="215" t="s">
        <v>544</v>
      </c>
      <c r="B46" s="216" t="s">
        <v>611</v>
      </c>
      <c r="C46" s="217" t="s">
        <v>612</v>
      </c>
      <c r="D46" s="941"/>
      <c r="E46" s="941"/>
      <c r="F46" s="941"/>
      <c r="G46" s="938"/>
    </row>
    <row r="47" spans="1:7" s="211" customFormat="1" ht="12" customHeight="1" x14ac:dyDescent="0.25">
      <c r="A47" s="220" t="s">
        <v>613</v>
      </c>
      <c r="B47" s="214" t="s">
        <v>614</v>
      </c>
      <c r="C47" s="209" t="s">
        <v>615</v>
      </c>
      <c r="D47" s="937">
        <v>50197</v>
      </c>
      <c r="E47" s="937"/>
      <c r="F47" s="937">
        <v>50197</v>
      </c>
      <c r="G47" s="937">
        <v>7916</v>
      </c>
    </row>
    <row r="48" spans="1:7" s="186" customFormat="1" ht="12" customHeight="1" x14ac:dyDescent="0.25">
      <c r="A48" s="221" t="s">
        <v>616</v>
      </c>
      <c r="B48" s="219" t="s">
        <v>617</v>
      </c>
      <c r="C48" s="217" t="s">
        <v>618</v>
      </c>
      <c r="D48" s="942"/>
      <c r="E48" s="942"/>
      <c r="F48" s="942"/>
      <c r="G48" s="942"/>
    </row>
    <row r="49" spans="1:7" s="186" customFormat="1" ht="12" customHeight="1" x14ac:dyDescent="0.25">
      <c r="A49" s="224" t="s">
        <v>532</v>
      </c>
      <c r="B49" s="225" t="s">
        <v>619</v>
      </c>
      <c r="C49" s="226" t="s">
        <v>620</v>
      </c>
      <c r="D49" s="942"/>
      <c r="E49" s="940"/>
      <c r="F49" s="940"/>
      <c r="G49" s="942"/>
    </row>
    <row r="50" spans="1:7" s="186" customFormat="1" ht="12" customHeight="1" x14ac:dyDescent="0.25">
      <c r="A50" s="215" t="s">
        <v>535</v>
      </c>
      <c r="B50" s="216" t="s">
        <v>621</v>
      </c>
      <c r="C50" s="217" t="s">
        <v>622</v>
      </c>
      <c r="D50" s="942"/>
      <c r="E50" s="942"/>
      <c r="F50" s="942"/>
      <c r="G50" s="942"/>
    </row>
    <row r="51" spans="1:7" s="186" customFormat="1" ht="12" customHeight="1" x14ac:dyDescent="0.25">
      <c r="A51" s="215" t="s">
        <v>538</v>
      </c>
      <c r="B51" s="216" t="s">
        <v>623</v>
      </c>
      <c r="C51" s="217" t="s">
        <v>624</v>
      </c>
      <c r="D51" s="942"/>
      <c r="E51" s="942"/>
      <c r="F51" s="942"/>
      <c r="G51" s="942"/>
    </row>
    <row r="52" spans="1:7" s="186" customFormat="1" ht="12" customHeight="1" x14ac:dyDescent="0.25">
      <c r="A52" s="215" t="s">
        <v>541</v>
      </c>
      <c r="B52" s="219" t="s">
        <v>625</v>
      </c>
      <c r="C52" s="217" t="s">
        <v>626</v>
      </c>
      <c r="D52" s="942"/>
      <c r="E52" s="942"/>
      <c r="F52" s="942"/>
      <c r="G52" s="942"/>
    </row>
    <row r="53" spans="1:7" s="186" customFormat="1" ht="12" customHeight="1" x14ac:dyDescent="0.25">
      <c r="A53" s="215" t="s">
        <v>544</v>
      </c>
      <c r="B53" s="219" t="s">
        <v>627</v>
      </c>
      <c r="C53" s="217" t="s">
        <v>628</v>
      </c>
      <c r="D53" s="942"/>
      <c r="E53" s="943"/>
      <c r="F53" s="943"/>
      <c r="G53" s="942"/>
    </row>
    <row r="54" spans="1:7" s="186" customFormat="1" ht="12" customHeight="1" x14ac:dyDescent="0.25">
      <c r="A54" s="215" t="s">
        <v>547</v>
      </c>
      <c r="B54" s="216" t="s">
        <v>629</v>
      </c>
      <c r="C54" s="217" t="s">
        <v>630</v>
      </c>
      <c r="D54" s="942">
        <v>50197</v>
      </c>
      <c r="E54" s="943"/>
      <c r="F54" s="943">
        <v>50197</v>
      </c>
      <c r="G54" s="942">
        <v>7916</v>
      </c>
    </row>
    <row r="55" spans="1:7" s="211" customFormat="1" ht="12" customHeight="1" x14ac:dyDescent="0.25">
      <c r="A55" s="220" t="s">
        <v>631</v>
      </c>
      <c r="B55" s="214" t="s">
        <v>632</v>
      </c>
      <c r="C55" s="209" t="s">
        <v>633</v>
      </c>
      <c r="D55" s="937">
        <v>860706</v>
      </c>
      <c r="E55" s="937"/>
      <c r="F55" s="937">
        <v>860706</v>
      </c>
      <c r="G55" s="937">
        <v>735953</v>
      </c>
    </row>
    <row r="56" spans="1:7" s="186" customFormat="1" ht="12" customHeight="1" x14ac:dyDescent="0.25">
      <c r="A56" s="221" t="s">
        <v>634</v>
      </c>
      <c r="B56" s="219" t="s">
        <v>635</v>
      </c>
      <c r="C56" s="217" t="s">
        <v>636</v>
      </c>
      <c r="D56" s="942">
        <v>860706</v>
      </c>
      <c r="E56" s="942"/>
      <c r="F56" s="942">
        <v>860706</v>
      </c>
      <c r="G56" s="942">
        <v>735953</v>
      </c>
    </row>
    <row r="57" spans="1:7" s="186" customFormat="1" ht="12" customHeight="1" x14ac:dyDescent="0.25">
      <c r="A57" s="224" t="s">
        <v>532</v>
      </c>
      <c r="B57" s="225" t="s">
        <v>619</v>
      </c>
      <c r="C57" s="226" t="s">
        <v>637</v>
      </c>
      <c r="D57" s="942"/>
      <c r="E57" s="940"/>
      <c r="F57" s="940"/>
      <c r="G57" s="942"/>
    </row>
    <row r="58" spans="1:7" s="186" customFormat="1" ht="12" customHeight="1" x14ac:dyDescent="0.25">
      <c r="A58" s="215" t="s">
        <v>535</v>
      </c>
      <c r="B58" s="216" t="s">
        <v>638</v>
      </c>
      <c r="C58" s="217" t="s">
        <v>639</v>
      </c>
      <c r="D58" s="942"/>
      <c r="E58" s="942"/>
      <c r="F58" s="942"/>
      <c r="G58" s="942"/>
    </row>
    <row r="59" spans="1:7" s="186" customFormat="1" ht="12" customHeight="1" x14ac:dyDescent="0.25">
      <c r="A59" s="215" t="s">
        <v>538</v>
      </c>
      <c r="B59" s="216" t="s">
        <v>623</v>
      </c>
      <c r="C59" s="217" t="s">
        <v>640</v>
      </c>
      <c r="D59" s="942"/>
      <c r="E59" s="942"/>
      <c r="F59" s="942"/>
      <c r="G59" s="942"/>
    </row>
    <row r="60" spans="1:7" s="186" customFormat="1" ht="12" customHeight="1" x14ac:dyDescent="0.25">
      <c r="A60" s="215" t="s">
        <v>541</v>
      </c>
      <c r="B60" s="219" t="s">
        <v>641</v>
      </c>
      <c r="C60" s="217" t="s">
        <v>642</v>
      </c>
      <c r="D60" s="942"/>
      <c r="E60" s="942"/>
      <c r="F60" s="942"/>
      <c r="G60" s="942"/>
    </row>
    <row r="61" spans="1:7" s="186" customFormat="1" ht="12" customHeight="1" x14ac:dyDescent="0.25">
      <c r="A61" s="215" t="s">
        <v>544</v>
      </c>
      <c r="B61" s="216" t="s">
        <v>643</v>
      </c>
      <c r="C61" s="217" t="s">
        <v>644</v>
      </c>
      <c r="D61" s="942"/>
      <c r="E61" s="942"/>
      <c r="F61" s="942"/>
      <c r="G61" s="942"/>
    </row>
    <row r="62" spans="1:7" s="186" customFormat="1" ht="12" customHeight="1" x14ac:dyDescent="0.25">
      <c r="A62" s="215" t="s">
        <v>547</v>
      </c>
      <c r="B62" s="216" t="s">
        <v>645</v>
      </c>
      <c r="C62" s="217" t="s">
        <v>646</v>
      </c>
      <c r="D62" s="942"/>
      <c r="E62" s="942"/>
      <c r="F62" s="942"/>
      <c r="G62" s="942"/>
    </row>
    <row r="63" spans="1:7" s="186" customFormat="1" ht="12" customHeight="1" x14ac:dyDescent="0.25">
      <c r="A63" s="215" t="s">
        <v>568</v>
      </c>
      <c r="B63" s="215" t="s">
        <v>647</v>
      </c>
      <c r="C63" s="217" t="s">
        <v>648</v>
      </c>
      <c r="D63" s="942"/>
      <c r="E63" s="942"/>
      <c r="F63" s="942"/>
      <c r="G63" s="942"/>
    </row>
    <row r="64" spans="1:7" s="211" customFormat="1" ht="12" customHeight="1" x14ac:dyDescent="0.25">
      <c r="A64" s="220" t="s">
        <v>649</v>
      </c>
      <c r="B64" s="214" t="s">
        <v>650</v>
      </c>
      <c r="C64" s="209" t="s">
        <v>651</v>
      </c>
      <c r="D64" s="937">
        <v>210</v>
      </c>
      <c r="E64" s="937"/>
      <c r="F64" s="937">
        <v>210</v>
      </c>
      <c r="G64" s="937">
        <v>684</v>
      </c>
    </row>
    <row r="65" spans="1:7" s="211" customFormat="1" ht="12" customHeight="1" x14ac:dyDescent="0.25">
      <c r="A65" s="221" t="s">
        <v>652</v>
      </c>
      <c r="B65" s="216" t="s">
        <v>653</v>
      </c>
      <c r="C65" s="217" t="s">
        <v>654</v>
      </c>
      <c r="D65" s="938">
        <v>210</v>
      </c>
      <c r="E65" s="938"/>
      <c r="F65" s="940">
        <v>210</v>
      </c>
      <c r="G65" s="938">
        <v>684</v>
      </c>
    </row>
    <row r="66" spans="1:7" s="186" customFormat="1" ht="12" customHeight="1" x14ac:dyDescent="0.25">
      <c r="A66" s="215" t="s">
        <v>532</v>
      </c>
      <c r="B66" s="216" t="s">
        <v>655</v>
      </c>
      <c r="C66" s="217" t="s">
        <v>656</v>
      </c>
      <c r="D66" s="938"/>
      <c r="E66" s="938"/>
      <c r="F66" s="938"/>
      <c r="G66" s="938"/>
    </row>
    <row r="67" spans="1:7" s="186" customFormat="1" ht="12" customHeight="1" x14ac:dyDescent="0.25">
      <c r="A67" s="215" t="s">
        <v>535</v>
      </c>
      <c r="B67" s="216" t="s">
        <v>657</v>
      </c>
      <c r="C67" s="217" t="s">
        <v>658</v>
      </c>
      <c r="D67" s="938"/>
      <c r="E67" s="938"/>
      <c r="F67" s="938"/>
      <c r="G67" s="938"/>
    </row>
    <row r="68" spans="1:7" s="186" customFormat="1" ht="12" customHeight="1" x14ac:dyDescent="0.25">
      <c r="A68" s="215" t="s">
        <v>538</v>
      </c>
      <c r="B68" s="216" t="s">
        <v>659</v>
      </c>
      <c r="C68" s="217" t="s">
        <v>660</v>
      </c>
      <c r="D68" s="938"/>
      <c r="E68" s="938"/>
      <c r="F68" s="938"/>
      <c r="G68" s="938"/>
    </row>
    <row r="69" spans="1:7" s="186" customFormat="1" ht="12" customHeight="1" x14ac:dyDescent="0.25">
      <c r="A69" s="215" t="s">
        <v>541</v>
      </c>
      <c r="B69" s="216" t="s">
        <v>661</v>
      </c>
      <c r="C69" s="217" t="s">
        <v>662</v>
      </c>
      <c r="D69" s="938"/>
      <c r="E69" s="938"/>
      <c r="F69" s="938"/>
      <c r="G69" s="938"/>
    </row>
    <row r="70" spans="1:7" s="211" customFormat="1" ht="12" customHeight="1" x14ac:dyDescent="0.25">
      <c r="A70" s="220" t="s">
        <v>663</v>
      </c>
      <c r="B70" s="214" t="s">
        <v>664</v>
      </c>
      <c r="C70" s="209" t="s">
        <v>665</v>
      </c>
      <c r="D70" s="937">
        <v>6</v>
      </c>
      <c r="E70" s="937"/>
      <c r="F70" s="937">
        <v>6</v>
      </c>
      <c r="G70" s="937">
        <v>5</v>
      </c>
    </row>
    <row r="71" spans="1:7" s="186" customFormat="1" ht="12" customHeight="1" x14ac:dyDescent="0.25">
      <c r="A71" s="221" t="s">
        <v>666</v>
      </c>
      <c r="B71" s="216" t="s">
        <v>667</v>
      </c>
      <c r="C71" s="217" t="s">
        <v>668</v>
      </c>
      <c r="D71" s="944"/>
      <c r="E71" s="945"/>
      <c r="F71" s="940"/>
      <c r="G71" s="945"/>
    </row>
    <row r="72" spans="1:7" s="186" customFormat="1" ht="12" customHeight="1" x14ac:dyDescent="0.25">
      <c r="A72" s="215" t="s">
        <v>532</v>
      </c>
      <c r="B72" s="219" t="s">
        <v>669</v>
      </c>
      <c r="C72" s="217" t="s">
        <v>670</v>
      </c>
      <c r="D72" s="940">
        <v>5</v>
      </c>
      <c r="E72" s="940"/>
      <c r="F72" s="940">
        <v>5</v>
      </c>
      <c r="G72" s="940">
        <v>5</v>
      </c>
    </row>
    <row r="73" spans="1:7" s="186" customFormat="1" ht="12" customHeight="1" x14ac:dyDescent="0.25">
      <c r="A73" s="215" t="s">
        <v>535</v>
      </c>
      <c r="B73" s="216" t="s">
        <v>671</v>
      </c>
      <c r="C73" s="217" t="s">
        <v>672</v>
      </c>
      <c r="D73" s="940"/>
      <c r="E73" s="940"/>
      <c r="F73" s="940"/>
      <c r="G73" s="940"/>
    </row>
    <row r="74" spans="1:7" s="186" customFormat="1" ht="12" customHeight="1" x14ac:dyDescent="0.25">
      <c r="A74" s="215" t="s">
        <v>538</v>
      </c>
      <c r="B74" s="216" t="s">
        <v>673</v>
      </c>
      <c r="C74" s="217" t="s">
        <v>674</v>
      </c>
      <c r="D74" s="938">
        <v>1</v>
      </c>
      <c r="E74" s="938"/>
      <c r="F74" s="938">
        <v>1</v>
      </c>
      <c r="G74" s="938"/>
    </row>
    <row r="75" spans="1:7" s="186" customFormat="1" ht="12" customHeight="1" x14ac:dyDescent="0.25">
      <c r="A75" s="227"/>
      <c r="B75" s="227" t="s">
        <v>675</v>
      </c>
      <c r="C75" s="228">
        <v>888</v>
      </c>
      <c r="D75" s="946"/>
      <c r="E75" s="946"/>
      <c r="F75" s="946"/>
      <c r="G75" s="946"/>
    </row>
    <row r="76" spans="1:7" s="186" customFormat="1" ht="12" customHeight="1" x14ac:dyDescent="0.25">
      <c r="A76" s="229"/>
      <c r="D76" s="230"/>
      <c r="E76" s="230"/>
      <c r="F76" s="230"/>
      <c r="G76" s="230"/>
    </row>
    <row r="77" spans="1:7" s="186" customFormat="1" ht="12" customHeight="1" x14ac:dyDescent="0.25">
      <c r="A77" s="229"/>
      <c r="D77" s="230"/>
      <c r="E77" s="230"/>
      <c r="F77" s="230"/>
      <c r="G77" s="230"/>
    </row>
    <row r="78" spans="1:7" s="186" customFormat="1" ht="12" customHeight="1" x14ac:dyDescent="0.25">
      <c r="A78" s="231" t="s">
        <v>508</v>
      </c>
      <c r="B78" s="231" t="s">
        <v>676</v>
      </c>
      <c r="C78" s="231" t="s">
        <v>510</v>
      </c>
      <c r="D78" s="232" t="s">
        <v>677</v>
      </c>
      <c r="E78" s="232" t="s">
        <v>678</v>
      </c>
      <c r="F78" s="233"/>
      <c r="G78" s="233"/>
    </row>
    <row r="79" spans="1:7" s="186" customFormat="1" ht="12" customHeight="1" x14ac:dyDescent="0.25">
      <c r="A79" s="234" t="s">
        <v>513</v>
      </c>
      <c r="B79" s="234"/>
      <c r="C79" s="234" t="s">
        <v>514</v>
      </c>
      <c r="D79" s="235" t="s">
        <v>679</v>
      </c>
      <c r="E79" s="235" t="s">
        <v>679</v>
      </c>
      <c r="F79" s="233"/>
      <c r="G79" s="233"/>
    </row>
    <row r="80" spans="1:7" s="238" customFormat="1" ht="12" customHeight="1" x14ac:dyDescent="0.25">
      <c r="A80" s="236" t="s">
        <v>518</v>
      </c>
      <c r="B80" s="236" t="s">
        <v>519</v>
      </c>
      <c r="C80" s="236" t="s">
        <v>520</v>
      </c>
      <c r="D80" s="237">
        <v>5</v>
      </c>
      <c r="E80" s="237">
        <v>6</v>
      </c>
      <c r="F80" s="233"/>
      <c r="G80" s="233"/>
    </row>
    <row r="81" spans="1:7" s="211" customFormat="1" ht="12" customHeight="1" x14ac:dyDescent="0.25">
      <c r="A81" s="239"/>
      <c r="B81" s="239" t="s">
        <v>680</v>
      </c>
      <c r="C81" s="240" t="s">
        <v>681</v>
      </c>
      <c r="D81" s="937">
        <v>911119</v>
      </c>
      <c r="E81" s="937">
        <v>744558</v>
      </c>
      <c r="F81" s="241"/>
      <c r="G81" s="241"/>
    </row>
    <row r="82" spans="1:7" s="211" customFormat="1" ht="12" customHeight="1" x14ac:dyDescent="0.25">
      <c r="A82" s="239" t="s">
        <v>523</v>
      </c>
      <c r="B82" s="239" t="s">
        <v>682</v>
      </c>
      <c r="C82" s="240" t="s">
        <v>683</v>
      </c>
      <c r="D82" s="937">
        <v>57986</v>
      </c>
      <c r="E82" s="937">
        <v>114495</v>
      </c>
      <c r="F82" s="1352"/>
      <c r="G82" s="1352"/>
    </row>
    <row r="83" spans="1:7" s="211" customFormat="1" ht="12" customHeight="1" x14ac:dyDescent="0.25">
      <c r="A83" s="239" t="s">
        <v>526</v>
      </c>
      <c r="B83" s="239" t="s">
        <v>684</v>
      </c>
      <c r="C83" s="240" t="s">
        <v>685</v>
      </c>
      <c r="D83" s="937">
        <v>6639</v>
      </c>
      <c r="E83" s="937">
        <v>6639</v>
      </c>
      <c r="F83" s="222"/>
      <c r="G83" s="222"/>
    </row>
    <row r="84" spans="1:7" s="186" customFormat="1" ht="12" customHeight="1" x14ac:dyDescent="0.25">
      <c r="A84" s="242" t="s">
        <v>529</v>
      </c>
      <c r="B84" s="243" t="s">
        <v>686</v>
      </c>
      <c r="C84" s="244" t="s">
        <v>687</v>
      </c>
      <c r="D84" s="938">
        <v>6639</v>
      </c>
      <c r="E84" s="938">
        <v>6639</v>
      </c>
      <c r="F84" s="222"/>
      <c r="G84" s="222"/>
    </row>
    <row r="85" spans="1:7" s="186" customFormat="1" ht="12" customHeight="1" x14ac:dyDescent="0.25">
      <c r="A85" s="242" t="s">
        <v>532</v>
      </c>
      <c r="B85" s="243" t="s">
        <v>688</v>
      </c>
      <c r="C85" s="244" t="s">
        <v>689</v>
      </c>
      <c r="D85" s="938"/>
      <c r="E85" s="938"/>
      <c r="F85" s="233"/>
      <c r="G85" s="210"/>
    </row>
    <row r="86" spans="1:7" s="186" customFormat="1" ht="12" customHeight="1" x14ac:dyDescent="0.25">
      <c r="A86" s="242" t="s">
        <v>535</v>
      </c>
      <c r="B86" s="243" t="s">
        <v>690</v>
      </c>
      <c r="C86" s="244" t="s">
        <v>691</v>
      </c>
      <c r="D86" s="938"/>
      <c r="E86" s="938"/>
      <c r="F86" s="233"/>
      <c r="G86" s="210"/>
    </row>
    <row r="87" spans="1:7" s="186" customFormat="1" ht="12" customHeight="1" x14ac:dyDescent="0.25">
      <c r="A87" s="215" t="s">
        <v>538</v>
      </c>
      <c r="B87" s="216" t="s">
        <v>692</v>
      </c>
      <c r="C87" s="217" t="s">
        <v>693</v>
      </c>
      <c r="D87" s="947"/>
      <c r="E87" s="938"/>
      <c r="F87" s="233"/>
      <c r="G87" s="223"/>
    </row>
    <row r="88" spans="1:7" s="211" customFormat="1" ht="12" customHeight="1" x14ac:dyDescent="0.25">
      <c r="A88" s="239" t="s">
        <v>550</v>
      </c>
      <c r="B88" s="239" t="s">
        <v>694</v>
      </c>
      <c r="C88" s="240" t="s">
        <v>695</v>
      </c>
      <c r="D88" s="937"/>
      <c r="E88" s="937"/>
      <c r="F88" s="241"/>
      <c r="G88" s="210"/>
    </row>
    <row r="89" spans="1:7" s="186" customFormat="1" ht="12" customHeight="1" x14ac:dyDescent="0.25">
      <c r="A89" s="242" t="s">
        <v>553</v>
      </c>
      <c r="B89" s="243" t="s">
        <v>696</v>
      </c>
      <c r="C89" s="244" t="s">
        <v>697</v>
      </c>
      <c r="D89" s="938"/>
      <c r="E89" s="938"/>
      <c r="F89" s="233"/>
      <c r="G89" s="210"/>
    </row>
    <row r="90" spans="1:7" s="186" customFormat="1" ht="12" customHeight="1" x14ac:dyDescent="0.25">
      <c r="A90" s="242" t="s">
        <v>532</v>
      </c>
      <c r="B90" s="243" t="s">
        <v>698</v>
      </c>
      <c r="C90" s="244" t="s">
        <v>699</v>
      </c>
      <c r="D90" s="938"/>
      <c r="E90" s="938"/>
      <c r="F90" s="233"/>
      <c r="G90" s="210"/>
    </row>
    <row r="91" spans="1:7" s="186" customFormat="1" ht="12" customHeight="1" x14ac:dyDescent="0.25">
      <c r="A91" s="242" t="s">
        <v>535</v>
      </c>
      <c r="B91" s="243" t="s">
        <v>700</v>
      </c>
      <c r="C91" s="244" t="s">
        <v>701</v>
      </c>
      <c r="D91" s="938"/>
      <c r="E91" s="938"/>
      <c r="F91" s="233"/>
      <c r="G91" s="210"/>
    </row>
    <row r="92" spans="1:7" s="186" customFormat="1" ht="12" customHeight="1" x14ac:dyDescent="0.25">
      <c r="A92" s="242" t="s">
        <v>538</v>
      </c>
      <c r="B92" s="243" t="s">
        <v>702</v>
      </c>
      <c r="C92" s="244" t="s">
        <v>703</v>
      </c>
      <c r="D92" s="938"/>
      <c r="E92" s="938"/>
      <c r="F92" s="233"/>
      <c r="G92" s="210"/>
    </row>
    <row r="93" spans="1:7" s="186" customFormat="1" ht="12" customHeight="1" x14ac:dyDescent="0.25">
      <c r="A93" s="242" t="s">
        <v>541</v>
      </c>
      <c r="B93" s="243" t="s">
        <v>704</v>
      </c>
      <c r="C93" s="244" t="s">
        <v>705</v>
      </c>
      <c r="D93" s="938"/>
      <c r="E93" s="938"/>
      <c r="F93" s="233"/>
      <c r="G93" s="210"/>
    </row>
    <row r="94" spans="1:7" s="186" customFormat="1" ht="12" customHeight="1" x14ac:dyDescent="0.25">
      <c r="A94" s="242" t="s">
        <v>544</v>
      </c>
      <c r="B94" s="243" t="s">
        <v>706</v>
      </c>
      <c r="C94" s="244" t="s">
        <v>707</v>
      </c>
      <c r="D94" s="938"/>
      <c r="E94" s="938"/>
      <c r="F94" s="233"/>
      <c r="G94" s="210"/>
    </row>
    <row r="95" spans="1:7" s="211" customFormat="1" ht="12" customHeight="1" x14ac:dyDescent="0.25">
      <c r="A95" s="239" t="s">
        <v>574</v>
      </c>
      <c r="B95" s="239" t="s">
        <v>708</v>
      </c>
      <c r="C95" s="240" t="s">
        <v>709</v>
      </c>
      <c r="D95" s="937">
        <v>664</v>
      </c>
      <c r="E95" s="937">
        <v>332</v>
      </c>
      <c r="F95" s="241"/>
      <c r="G95" s="210"/>
    </row>
    <row r="96" spans="1:7" s="186" customFormat="1" ht="12" customHeight="1" x14ac:dyDescent="0.25">
      <c r="A96" s="242" t="s">
        <v>577</v>
      </c>
      <c r="B96" s="243" t="s">
        <v>710</v>
      </c>
      <c r="C96" s="244" t="s">
        <v>711</v>
      </c>
      <c r="D96" s="938">
        <v>664</v>
      </c>
      <c r="E96" s="938">
        <v>332</v>
      </c>
      <c r="F96" s="233"/>
      <c r="G96" s="210"/>
    </row>
    <row r="97" spans="1:7" s="186" customFormat="1" ht="12" customHeight="1" x14ac:dyDescent="0.25">
      <c r="A97" s="242" t="s">
        <v>532</v>
      </c>
      <c r="B97" s="243" t="s">
        <v>712</v>
      </c>
      <c r="C97" s="244" t="s">
        <v>713</v>
      </c>
      <c r="D97" s="938"/>
      <c r="E97" s="938"/>
      <c r="F97" s="233"/>
      <c r="G97" s="210"/>
    </row>
    <row r="98" spans="1:7" s="186" customFormat="1" ht="12" customHeight="1" x14ac:dyDescent="0.25">
      <c r="A98" s="242" t="s">
        <v>535</v>
      </c>
      <c r="B98" s="243" t="s">
        <v>714</v>
      </c>
      <c r="C98" s="244" t="s">
        <v>715</v>
      </c>
      <c r="D98" s="938"/>
      <c r="E98" s="938"/>
      <c r="F98" s="233"/>
      <c r="G98" s="210"/>
    </row>
    <row r="99" spans="1:7" s="211" customFormat="1" ht="12" customHeight="1" x14ac:dyDescent="0.25">
      <c r="A99" s="239" t="s">
        <v>716</v>
      </c>
      <c r="B99" s="239" t="s">
        <v>717</v>
      </c>
      <c r="C99" s="240" t="s">
        <v>718</v>
      </c>
      <c r="D99" s="937"/>
      <c r="E99" s="937">
        <v>-12736</v>
      </c>
      <c r="F99" s="241"/>
      <c r="G99" s="210"/>
    </row>
    <row r="100" spans="1:7" s="186" customFormat="1" ht="12" customHeight="1" x14ac:dyDescent="0.25">
      <c r="A100" s="242" t="s">
        <v>719</v>
      </c>
      <c r="B100" s="243" t="s">
        <v>720</v>
      </c>
      <c r="C100" s="244" t="s">
        <v>721</v>
      </c>
      <c r="D100" s="938"/>
      <c r="E100" s="938">
        <v>296198</v>
      </c>
      <c r="F100" s="233"/>
      <c r="G100" s="210"/>
    </row>
    <row r="101" spans="1:7" s="186" customFormat="1" ht="12" customHeight="1" x14ac:dyDescent="0.25">
      <c r="A101" s="242" t="s">
        <v>532</v>
      </c>
      <c r="B101" s="243" t="s">
        <v>722</v>
      </c>
      <c r="C101" s="244" t="s">
        <v>723</v>
      </c>
      <c r="D101" s="938"/>
      <c r="E101" s="938">
        <v>-308934</v>
      </c>
      <c r="F101" s="233"/>
      <c r="G101" s="210"/>
    </row>
    <row r="102" spans="1:7" s="247" customFormat="1" x14ac:dyDescent="0.25">
      <c r="A102" s="245" t="s">
        <v>724</v>
      </c>
      <c r="B102" s="245" t="s">
        <v>725</v>
      </c>
      <c r="C102" s="246" t="s">
        <v>726</v>
      </c>
      <c r="D102" s="948">
        <v>50683</v>
      </c>
      <c r="E102" s="948">
        <v>120260</v>
      </c>
      <c r="F102" s="241"/>
    </row>
    <row r="103" spans="1:7" s="211" customFormat="1" ht="12" customHeight="1" x14ac:dyDescent="0.25">
      <c r="A103" s="239" t="s">
        <v>594</v>
      </c>
      <c r="B103" s="239" t="s">
        <v>727</v>
      </c>
      <c r="C103" s="240" t="s">
        <v>728</v>
      </c>
      <c r="D103" s="937">
        <v>853133</v>
      </c>
      <c r="E103" s="937">
        <v>630063</v>
      </c>
      <c r="F103" s="248"/>
      <c r="G103" s="210"/>
    </row>
    <row r="104" spans="1:7" s="211" customFormat="1" ht="12" customHeight="1" x14ac:dyDescent="0.25">
      <c r="A104" s="239" t="s">
        <v>597</v>
      </c>
      <c r="B104" s="239" t="s">
        <v>729</v>
      </c>
      <c r="C104" s="240" t="s">
        <v>730</v>
      </c>
      <c r="D104" s="937">
        <v>213482</v>
      </c>
      <c r="E104" s="937">
        <v>37964</v>
      </c>
      <c r="F104" s="1351"/>
      <c r="G104" s="1351"/>
    </row>
    <row r="105" spans="1:7" s="186" customFormat="1" ht="12" customHeight="1" x14ac:dyDescent="0.25">
      <c r="A105" s="242" t="s">
        <v>600</v>
      </c>
      <c r="B105" s="243" t="s">
        <v>731</v>
      </c>
      <c r="C105" s="244" t="s">
        <v>732</v>
      </c>
      <c r="D105" s="938"/>
      <c r="E105" s="938"/>
      <c r="F105" s="222"/>
      <c r="G105" s="222"/>
    </row>
    <row r="106" spans="1:7" s="186" customFormat="1" ht="12" customHeight="1" x14ac:dyDescent="0.25">
      <c r="A106" s="242" t="s">
        <v>532</v>
      </c>
      <c r="B106" s="243" t="s">
        <v>733</v>
      </c>
      <c r="C106" s="244" t="s">
        <v>734</v>
      </c>
      <c r="D106" s="938">
        <v>4591</v>
      </c>
      <c r="E106" s="938">
        <v>6549</v>
      </c>
      <c r="F106" s="222"/>
      <c r="G106" s="222"/>
    </row>
    <row r="107" spans="1:7" s="186" customFormat="1" ht="12" customHeight="1" x14ac:dyDescent="0.25">
      <c r="A107" s="242" t="s">
        <v>535</v>
      </c>
      <c r="B107" s="243" t="s">
        <v>735</v>
      </c>
      <c r="C107" s="244" t="s">
        <v>736</v>
      </c>
      <c r="D107" s="938"/>
      <c r="E107" s="938"/>
      <c r="F107" s="222"/>
      <c r="G107" s="222"/>
    </row>
    <row r="108" spans="1:7" s="186" customFormat="1" ht="12" customHeight="1" x14ac:dyDescent="0.25">
      <c r="A108" s="242" t="s">
        <v>538</v>
      </c>
      <c r="B108" s="243" t="s">
        <v>737</v>
      </c>
      <c r="C108" s="244" t="s">
        <v>738</v>
      </c>
      <c r="D108" s="938">
        <v>208891</v>
      </c>
      <c r="E108" s="938">
        <v>31415</v>
      </c>
      <c r="F108" s="233"/>
      <c r="G108" s="210"/>
    </row>
    <row r="109" spans="1:7" s="211" customFormat="1" ht="12" customHeight="1" x14ac:dyDescent="0.25">
      <c r="A109" s="239" t="s">
        <v>613</v>
      </c>
      <c r="B109" s="239" t="s">
        <v>739</v>
      </c>
      <c r="C109" s="240" t="s">
        <v>740</v>
      </c>
      <c r="D109" s="937"/>
      <c r="E109" s="937"/>
      <c r="F109" s="1351"/>
      <c r="G109" s="1351"/>
    </row>
    <row r="110" spans="1:7" s="186" customFormat="1" ht="12" customHeight="1" x14ac:dyDescent="0.25">
      <c r="A110" s="249" t="s">
        <v>616</v>
      </c>
      <c r="B110" s="249" t="s">
        <v>741</v>
      </c>
      <c r="C110" s="250" t="s">
        <v>742</v>
      </c>
      <c r="D110" s="940"/>
      <c r="E110" s="942"/>
      <c r="F110" s="222"/>
      <c r="G110" s="222"/>
    </row>
    <row r="111" spans="1:7" s="186" customFormat="1" ht="12" customHeight="1" x14ac:dyDescent="0.25">
      <c r="A111" s="249" t="s">
        <v>532</v>
      </c>
      <c r="B111" s="249" t="s">
        <v>619</v>
      </c>
      <c r="C111" s="250" t="s">
        <v>743</v>
      </c>
      <c r="D111" s="940"/>
      <c r="E111" s="942"/>
      <c r="F111" s="222"/>
      <c r="G111" s="222"/>
    </row>
    <row r="112" spans="1:7" s="186" customFormat="1" ht="12" customHeight="1" x14ac:dyDescent="0.25">
      <c r="A112" s="249" t="s">
        <v>535</v>
      </c>
      <c r="B112" s="249" t="s">
        <v>744</v>
      </c>
      <c r="C112" s="250" t="s">
        <v>745</v>
      </c>
      <c r="D112" s="940"/>
      <c r="E112" s="942"/>
      <c r="F112" s="222"/>
      <c r="G112" s="222"/>
    </row>
    <row r="113" spans="1:7" s="186" customFormat="1" ht="12" customHeight="1" x14ac:dyDescent="0.25">
      <c r="A113" s="249" t="s">
        <v>538</v>
      </c>
      <c r="B113" s="249" t="s">
        <v>746</v>
      </c>
      <c r="C113" s="250" t="s">
        <v>747</v>
      </c>
      <c r="D113" s="940"/>
      <c r="E113" s="942"/>
      <c r="F113" s="233"/>
      <c r="G113" s="210"/>
    </row>
    <row r="114" spans="1:7" s="186" customFormat="1" ht="12" customHeight="1" x14ac:dyDescent="0.25">
      <c r="A114" s="249" t="s">
        <v>541</v>
      </c>
      <c r="B114" s="249" t="s">
        <v>748</v>
      </c>
      <c r="C114" s="250" t="s">
        <v>749</v>
      </c>
      <c r="D114" s="940"/>
      <c r="E114" s="942"/>
      <c r="F114" s="233"/>
      <c r="G114" s="210"/>
    </row>
    <row r="115" spans="1:7" s="186" customFormat="1" ht="12" customHeight="1" x14ac:dyDescent="0.25">
      <c r="A115" s="249" t="s">
        <v>544</v>
      </c>
      <c r="B115" s="249" t="s">
        <v>750</v>
      </c>
      <c r="C115" s="250" t="s">
        <v>751</v>
      </c>
      <c r="D115" s="940"/>
      <c r="E115" s="942"/>
      <c r="F115" s="233"/>
      <c r="G115" s="210"/>
    </row>
    <row r="116" spans="1:7" s="186" customFormat="1" ht="12" customHeight="1" x14ac:dyDescent="0.25">
      <c r="A116" s="249" t="s">
        <v>547</v>
      </c>
      <c r="B116" s="249" t="s">
        <v>752</v>
      </c>
      <c r="C116" s="250" t="s">
        <v>753</v>
      </c>
      <c r="D116" s="942"/>
      <c r="E116" s="942"/>
      <c r="F116" s="233"/>
      <c r="G116" s="210"/>
    </row>
    <row r="117" spans="1:7" s="186" customFormat="1" ht="12" customHeight="1" x14ac:dyDescent="0.25">
      <c r="A117" s="249" t="s">
        <v>568</v>
      </c>
      <c r="B117" s="249" t="s">
        <v>754</v>
      </c>
      <c r="C117" s="250" t="s">
        <v>755</v>
      </c>
      <c r="D117" s="942"/>
      <c r="E117" s="942"/>
      <c r="F117" s="233"/>
      <c r="G117" s="210"/>
    </row>
    <row r="118" spans="1:7" s="186" customFormat="1" ht="12" customHeight="1" x14ac:dyDescent="0.25">
      <c r="A118" s="249" t="s">
        <v>571</v>
      </c>
      <c r="B118" s="249" t="s">
        <v>756</v>
      </c>
      <c r="C118" s="250" t="s">
        <v>757</v>
      </c>
      <c r="D118" s="942"/>
      <c r="E118" s="942"/>
      <c r="F118" s="233"/>
      <c r="G118" s="210"/>
    </row>
    <row r="119" spans="1:7" s="186" customFormat="1" ht="12" customHeight="1" x14ac:dyDescent="0.25">
      <c r="A119" s="249" t="s">
        <v>758</v>
      </c>
      <c r="B119" s="249" t="s">
        <v>759</v>
      </c>
      <c r="C119" s="250" t="s">
        <v>760</v>
      </c>
      <c r="D119" s="942"/>
      <c r="E119" s="942"/>
      <c r="F119" s="233"/>
      <c r="G119" s="210"/>
    </row>
    <row r="120" spans="1:7" s="186" customFormat="1" ht="12" customHeight="1" x14ac:dyDescent="0.25">
      <c r="A120" s="249" t="s">
        <v>761</v>
      </c>
      <c r="B120" s="251" t="s">
        <v>762</v>
      </c>
      <c r="C120" s="250" t="s">
        <v>763</v>
      </c>
      <c r="D120" s="942"/>
      <c r="E120" s="942"/>
      <c r="F120" s="233"/>
      <c r="G120" s="210"/>
    </row>
    <row r="121" spans="1:7" s="211" customFormat="1" ht="12" customHeight="1" x14ac:dyDescent="0.25">
      <c r="A121" s="239" t="s">
        <v>631</v>
      </c>
      <c r="B121" s="239" t="s">
        <v>764</v>
      </c>
      <c r="C121" s="240" t="s">
        <v>765</v>
      </c>
      <c r="D121" s="937">
        <v>639651</v>
      </c>
      <c r="E121" s="937">
        <v>592099</v>
      </c>
      <c r="F121" s="1351"/>
      <c r="G121" s="1351"/>
    </row>
    <row r="122" spans="1:7" s="186" customFormat="1" ht="12" customHeight="1" x14ac:dyDescent="0.25">
      <c r="A122" s="242" t="s">
        <v>634</v>
      </c>
      <c r="B122" s="243" t="s">
        <v>766</v>
      </c>
      <c r="C122" s="244" t="s">
        <v>767</v>
      </c>
      <c r="D122" s="940">
        <v>558575</v>
      </c>
      <c r="E122" s="942">
        <v>578296</v>
      </c>
      <c r="F122" s="222"/>
      <c r="G122" s="222"/>
    </row>
    <row r="123" spans="1:7" s="186" customFormat="1" ht="12" customHeight="1" x14ac:dyDescent="0.25">
      <c r="A123" s="249" t="s">
        <v>532</v>
      </c>
      <c r="B123" s="249" t="s">
        <v>619</v>
      </c>
      <c r="C123" s="250" t="s">
        <v>768</v>
      </c>
      <c r="D123" s="940"/>
      <c r="E123" s="942"/>
      <c r="F123" s="222"/>
      <c r="G123" s="222"/>
    </row>
    <row r="124" spans="1:7" s="186" customFormat="1" ht="12" customHeight="1" x14ac:dyDescent="0.25">
      <c r="A124" s="242" t="s">
        <v>535</v>
      </c>
      <c r="B124" s="243" t="s">
        <v>769</v>
      </c>
      <c r="C124" s="244" t="s">
        <v>770</v>
      </c>
      <c r="D124" s="940">
        <v>22440</v>
      </c>
      <c r="E124" s="942">
        <v>84</v>
      </c>
      <c r="F124" s="222"/>
      <c r="G124" s="222"/>
    </row>
    <row r="125" spans="1:7" s="186" customFormat="1" ht="12" customHeight="1" x14ac:dyDescent="0.25">
      <c r="A125" s="242" t="s">
        <v>538</v>
      </c>
      <c r="B125" s="243" t="s">
        <v>771</v>
      </c>
      <c r="C125" s="244" t="s">
        <v>772</v>
      </c>
      <c r="D125" s="940"/>
      <c r="E125" s="942"/>
      <c r="F125" s="222"/>
      <c r="G125" s="222"/>
    </row>
    <row r="126" spans="1:7" s="186" customFormat="1" ht="12" customHeight="1" x14ac:dyDescent="0.25">
      <c r="A126" s="242" t="s">
        <v>541</v>
      </c>
      <c r="B126" s="243" t="s">
        <v>773</v>
      </c>
      <c r="C126" s="244" t="s">
        <v>774</v>
      </c>
      <c r="D126" s="940"/>
      <c r="E126" s="942"/>
      <c r="F126" s="1352"/>
      <c r="G126" s="1352"/>
    </row>
    <row r="127" spans="1:7" s="186" customFormat="1" ht="12" customHeight="1" x14ac:dyDescent="0.25">
      <c r="A127" s="242" t="s">
        <v>544</v>
      </c>
      <c r="B127" s="243" t="s">
        <v>775</v>
      </c>
      <c r="C127" s="244" t="s">
        <v>776</v>
      </c>
      <c r="D127" s="940"/>
      <c r="E127" s="942"/>
      <c r="F127" s="1352"/>
      <c r="G127" s="1352"/>
    </row>
    <row r="128" spans="1:7" s="186" customFormat="1" ht="12" customHeight="1" x14ac:dyDescent="0.25">
      <c r="A128" s="242" t="s">
        <v>547</v>
      </c>
      <c r="B128" s="243" t="s">
        <v>777</v>
      </c>
      <c r="C128" s="244" t="s">
        <v>778</v>
      </c>
      <c r="D128" s="942">
        <v>3651</v>
      </c>
      <c r="E128" s="942">
        <v>5429</v>
      </c>
      <c r="F128" s="1352"/>
      <c r="G128" s="1352"/>
    </row>
    <row r="129" spans="1:7" s="186" customFormat="1" ht="12" customHeight="1" x14ac:dyDescent="0.25">
      <c r="A129" s="242" t="s">
        <v>568</v>
      </c>
      <c r="B129" s="243" t="s">
        <v>779</v>
      </c>
      <c r="C129" s="244" t="s">
        <v>780</v>
      </c>
      <c r="D129" s="942">
        <v>2403</v>
      </c>
      <c r="E129" s="942">
        <v>2196</v>
      </c>
      <c r="F129" s="233"/>
      <c r="G129" s="210"/>
    </row>
    <row r="130" spans="1:7" s="186" customFormat="1" ht="12" customHeight="1" x14ac:dyDescent="0.25">
      <c r="A130" s="242" t="s">
        <v>571</v>
      </c>
      <c r="B130" s="243" t="s">
        <v>781</v>
      </c>
      <c r="C130" s="244" t="s">
        <v>782</v>
      </c>
      <c r="D130" s="942">
        <v>52352</v>
      </c>
      <c r="E130" s="942">
        <v>6094</v>
      </c>
      <c r="F130" s="233"/>
      <c r="G130" s="210"/>
    </row>
    <row r="131" spans="1:7" s="186" customFormat="1" ht="12" customHeight="1" x14ac:dyDescent="0.25">
      <c r="A131" s="242" t="s">
        <v>758</v>
      </c>
      <c r="B131" s="242" t="s">
        <v>783</v>
      </c>
      <c r="C131" s="244" t="s">
        <v>784</v>
      </c>
      <c r="D131" s="942">
        <v>230</v>
      </c>
      <c r="E131" s="942"/>
      <c r="F131" s="233"/>
      <c r="G131" s="210"/>
    </row>
    <row r="132" spans="1:7" s="186" customFormat="1" ht="12" customHeight="1" x14ac:dyDescent="0.25">
      <c r="A132" s="252" t="s">
        <v>649</v>
      </c>
      <c r="B132" s="252" t="s">
        <v>785</v>
      </c>
      <c r="C132" s="253" t="s">
        <v>786</v>
      </c>
      <c r="D132" s="949"/>
      <c r="E132" s="949"/>
      <c r="F132" s="1351"/>
      <c r="G132" s="1351"/>
    </row>
    <row r="133" spans="1:7" s="211" customFormat="1" ht="12" customHeight="1" x14ac:dyDescent="0.25">
      <c r="A133" s="239" t="s">
        <v>787</v>
      </c>
      <c r="B133" s="239" t="s">
        <v>788</v>
      </c>
      <c r="C133" s="240" t="s">
        <v>789</v>
      </c>
      <c r="D133" s="937"/>
      <c r="E133" s="937"/>
      <c r="F133" s="1351"/>
      <c r="G133" s="1351"/>
    </row>
    <row r="134" spans="1:7" s="186" customFormat="1" ht="12" customHeight="1" x14ac:dyDescent="0.25">
      <c r="A134" s="242" t="s">
        <v>790</v>
      </c>
      <c r="B134" s="243" t="s">
        <v>791</v>
      </c>
      <c r="C134" s="244" t="s">
        <v>792</v>
      </c>
      <c r="D134" s="942"/>
      <c r="E134" s="942"/>
      <c r="F134" s="222"/>
      <c r="G134" s="222"/>
    </row>
    <row r="135" spans="1:7" s="186" customFormat="1" ht="12" customHeight="1" x14ac:dyDescent="0.25">
      <c r="A135" s="242" t="s">
        <v>532</v>
      </c>
      <c r="B135" s="243" t="s">
        <v>793</v>
      </c>
      <c r="C135" s="244" t="s">
        <v>794</v>
      </c>
      <c r="D135" s="942"/>
      <c r="E135" s="942"/>
      <c r="F135" s="222"/>
      <c r="G135" s="222"/>
    </row>
    <row r="136" spans="1:7" s="211" customFormat="1" ht="12" customHeight="1" x14ac:dyDescent="0.25">
      <c r="A136" s="239" t="s">
        <v>663</v>
      </c>
      <c r="B136" s="239" t="s">
        <v>795</v>
      </c>
      <c r="C136" s="240" t="s">
        <v>796</v>
      </c>
      <c r="D136" s="937"/>
      <c r="E136" s="937"/>
      <c r="F136" s="1351"/>
      <c r="G136" s="1351"/>
    </row>
    <row r="137" spans="1:7" s="186" customFormat="1" ht="12" customHeight="1" x14ac:dyDescent="0.25">
      <c r="A137" s="242" t="s">
        <v>666</v>
      </c>
      <c r="B137" s="243" t="s">
        <v>797</v>
      </c>
      <c r="C137" s="244" t="s">
        <v>798</v>
      </c>
      <c r="D137" s="938"/>
      <c r="E137" s="938"/>
      <c r="F137" s="222"/>
      <c r="G137" s="222"/>
    </row>
    <row r="138" spans="1:7" s="186" customFormat="1" ht="12" customHeight="1" x14ac:dyDescent="0.25">
      <c r="A138" s="242" t="s">
        <v>532</v>
      </c>
      <c r="B138" s="243" t="s">
        <v>799</v>
      </c>
      <c r="C138" s="244" t="s">
        <v>800</v>
      </c>
      <c r="D138" s="940"/>
      <c r="E138" s="940"/>
      <c r="F138" s="222"/>
      <c r="G138" s="222"/>
    </row>
    <row r="139" spans="1:7" s="186" customFormat="1" ht="12" customHeight="1" x14ac:dyDescent="0.25">
      <c r="A139" s="242" t="s">
        <v>535</v>
      </c>
      <c r="B139" s="243" t="s">
        <v>801</v>
      </c>
      <c r="C139" s="244" t="s">
        <v>802</v>
      </c>
      <c r="D139" s="940"/>
      <c r="E139" s="940"/>
      <c r="F139" s="1352"/>
      <c r="G139" s="1352"/>
    </row>
    <row r="140" spans="1:7" s="186" customFormat="1" ht="12" customHeight="1" x14ac:dyDescent="0.25">
      <c r="A140" s="242" t="s">
        <v>538</v>
      </c>
      <c r="B140" s="243" t="s">
        <v>803</v>
      </c>
      <c r="C140" s="244" t="s">
        <v>804</v>
      </c>
      <c r="D140" s="938"/>
      <c r="E140" s="938"/>
      <c r="F140" s="233"/>
      <c r="G140" s="210"/>
    </row>
    <row r="141" spans="1:7" ht="12" customHeight="1" x14ac:dyDescent="0.2">
      <c r="A141" s="254"/>
      <c r="B141" s="254" t="s">
        <v>805</v>
      </c>
      <c r="C141" s="255" t="s">
        <v>806</v>
      </c>
      <c r="D141" s="946"/>
      <c r="E141" s="946"/>
      <c r="F141" s="233"/>
      <c r="G141" s="210"/>
    </row>
    <row r="142" spans="1:7" ht="15" customHeight="1" x14ac:dyDescent="0.2">
      <c r="A142" s="256"/>
      <c r="B142" s="256"/>
      <c r="C142" s="257"/>
      <c r="D142" s="258"/>
      <c r="E142" s="258"/>
    </row>
    <row r="143" spans="1:7" ht="15" customHeight="1" x14ac:dyDescent="0.2">
      <c r="A143" s="256"/>
      <c r="B143" s="256"/>
      <c r="C143" s="257"/>
      <c r="D143" s="258"/>
      <c r="E143" s="258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76" max="7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zoomScaleNormal="10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348</v>
      </c>
    </row>
    <row r="2" spans="1:4" ht="15.75" thickBot="1" x14ac:dyDescent="0.3">
      <c r="A2" s="49" t="s">
        <v>8</v>
      </c>
      <c r="B2" s="20"/>
      <c r="C2" s="20"/>
      <c r="D2" s="20"/>
    </row>
    <row r="3" spans="1:4" ht="16.5" thickTop="1" thickBot="1" x14ac:dyDescent="0.3">
      <c r="A3" s="1381" t="s">
        <v>349</v>
      </c>
      <c r="B3" s="1360" t="s">
        <v>350</v>
      </c>
      <c r="C3" s="1361"/>
      <c r="D3" s="20"/>
    </row>
    <row r="4" spans="1:4" ht="16.5" thickTop="1" thickBot="1" x14ac:dyDescent="0.3">
      <c r="A4" s="1383"/>
      <c r="B4" s="21" t="s">
        <v>351</v>
      </c>
      <c r="C4" s="159" t="s">
        <v>352</v>
      </c>
      <c r="D4" s="20"/>
    </row>
    <row r="5" spans="1:4" ht="20.25" customHeight="1" thickTop="1" thickBot="1" x14ac:dyDescent="0.3">
      <c r="A5" s="14" t="s">
        <v>353</v>
      </c>
      <c r="B5" s="80"/>
      <c r="C5" s="80"/>
      <c r="D5" s="20"/>
    </row>
    <row r="6" spans="1:4" ht="20.25" customHeight="1" thickBot="1" x14ac:dyDescent="0.3">
      <c r="A6" s="14" t="s">
        <v>354</v>
      </c>
      <c r="B6" s="80"/>
      <c r="C6" s="80"/>
      <c r="D6" s="20"/>
    </row>
    <row r="7" spans="1:4" ht="20.25" customHeight="1" thickBot="1" x14ac:dyDescent="0.3">
      <c r="A7" s="14" t="s">
        <v>355</v>
      </c>
      <c r="B7" s="80"/>
      <c r="C7" s="80"/>
      <c r="D7" s="20"/>
    </row>
    <row r="8" spans="1:4" ht="20.25" customHeight="1" thickBot="1" x14ac:dyDescent="0.3">
      <c r="A8" s="14" t="s">
        <v>356</v>
      </c>
      <c r="B8" s="80"/>
      <c r="C8" s="80"/>
      <c r="D8" s="20"/>
    </row>
    <row r="9" spans="1:4" ht="20.25" customHeight="1" thickBot="1" x14ac:dyDescent="0.3">
      <c r="A9" s="14" t="s">
        <v>357</v>
      </c>
      <c r="B9" s="80"/>
      <c r="C9" s="80"/>
      <c r="D9" s="20"/>
    </row>
    <row r="10" spans="1:4" ht="20.25" customHeight="1" thickBot="1" x14ac:dyDescent="0.3">
      <c r="A10" s="16" t="s">
        <v>358</v>
      </c>
      <c r="B10" s="78"/>
      <c r="C10" s="78"/>
      <c r="D10" s="20"/>
    </row>
    <row r="11" spans="1:4" ht="16.5" thickTop="1" thickBot="1" x14ac:dyDescent="0.3">
      <c r="A11" s="160" t="s">
        <v>15</v>
      </c>
      <c r="B11" s="20"/>
      <c r="C11" s="20"/>
      <c r="D11" s="20"/>
    </row>
    <row r="12" spans="1:4" ht="16.5" thickTop="1" thickBot="1" x14ac:dyDescent="0.3">
      <c r="A12" s="1358" t="s">
        <v>349</v>
      </c>
      <c r="B12" s="1360" t="s">
        <v>359</v>
      </c>
      <c r="C12" s="1361"/>
      <c r="D12" s="20"/>
    </row>
    <row r="13" spans="1:4" ht="16.5" thickTop="1" thickBot="1" x14ac:dyDescent="0.3">
      <c r="A13" s="1359"/>
      <c r="B13" s="21" t="s">
        <v>351</v>
      </c>
      <c r="C13" s="159" t="s">
        <v>352</v>
      </c>
      <c r="D13" s="20"/>
    </row>
    <row r="14" spans="1:4" ht="20.25" customHeight="1" thickTop="1" thickBot="1" x14ac:dyDescent="0.3">
      <c r="A14" s="14" t="s">
        <v>353</v>
      </c>
      <c r="B14" s="80"/>
      <c r="C14" s="80"/>
      <c r="D14" s="20"/>
    </row>
    <row r="15" spans="1:4" ht="20.25" customHeight="1" thickBot="1" x14ac:dyDescent="0.3">
      <c r="A15" s="14" t="s">
        <v>354</v>
      </c>
      <c r="B15" s="80"/>
      <c r="C15" s="80"/>
      <c r="D15" s="20"/>
    </row>
    <row r="16" spans="1:4" ht="20.25" customHeight="1" thickBot="1" x14ac:dyDescent="0.3">
      <c r="A16" s="14" t="s">
        <v>355</v>
      </c>
      <c r="B16" s="80"/>
      <c r="C16" s="80"/>
      <c r="D16" s="20"/>
    </row>
    <row r="17" spans="1:4" ht="20.25" customHeight="1" thickBot="1" x14ac:dyDescent="0.3">
      <c r="A17" s="14" t="s">
        <v>356</v>
      </c>
      <c r="B17" s="80"/>
      <c r="C17" s="80"/>
      <c r="D17" s="20"/>
    </row>
    <row r="18" spans="1:4" ht="20.25" customHeight="1" thickBot="1" x14ac:dyDescent="0.3">
      <c r="A18" s="14" t="s">
        <v>357</v>
      </c>
      <c r="B18" s="80"/>
      <c r="C18" s="80"/>
      <c r="D18" s="20"/>
    </row>
    <row r="19" spans="1:4" ht="20.25" customHeight="1" thickBot="1" x14ac:dyDescent="0.3">
      <c r="A19" s="142" t="s">
        <v>358</v>
      </c>
      <c r="B19" s="78"/>
      <c r="C19" s="78"/>
      <c r="D19" s="20"/>
    </row>
    <row r="20" spans="1:4" ht="15.75" thickTop="1" x14ac:dyDescent="0.25">
      <c r="A20" s="20"/>
      <c r="B20" s="20"/>
      <c r="C20" s="20"/>
      <c r="D20" s="20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zoomScaleNormal="10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360</v>
      </c>
    </row>
    <row r="2" spans="1:3" ht="24" thickTop="1" thickBot="1" x14ac:dyDescent="0.3">
      <c r="A2" s="84" t="s">
        <v>361</v>
      </c>
      <c r="B2" s="70" t="s">
        <v>362</v>
      </c>
      <c r="C2" s="70" t="s">
        <v>363</v>
      </c>
    </row>
    <row r="3" spans="1:3" ht="20.25" customHeight="1" thickTop="1" thickBot="1" x14ac:dyDescent="0.3">
      <c r="A3" s="122" t="s">
        <v>364</v>
      </c>
      <c r="B3" s="80"/>
      <c r="C3" s="80"/>
    </row>
    <row r="4" spans="1:3" ht="20.25" customHeight="1" thickBot="1" x14ac:dyDescent="0.3">
      <c r="A4" s="129" t="s">
        <v>365</v>
      </c>
      <c r="B4" s="80"/>
      <c r="C4" s="80"/>
    </row>
    <row r="5" spans="1:3" ht="20.25" customHeight="1" thickBot="1" x14ac:dyDescent="0.3">
      <c r="A5" s="129" t="s">
        <v>366</v>
      </c>
      <c r="B5" s="80"/>
      <c r="C5" s="80"/>
    </row>
    <row r="6" spans="1:3" ht="20.25" customHeight="1" thickBot="1" x14ac:dyDescent="0.3">
      <c r="A6" s="129" t="s">
        <v>367</v>
      </c>
      <c r="B6" s="80"/>
      <c r="C6" s="80"/>
    </row>
    <row r="7" spans="1:3" ht="21" customHeight="1" thickBot="1" x14ac:dyDescent="0.3">
      <c r="A7" s="129" t="s">
        <v>493</v>
      </c>
      <c r="B7" s="80"/>
      <c r="C7" s="80"/>
    </row>
    <row r="8" spans="1:3" ht="20.25" customHeight="1" thickBot="1" x14ac:dyDescent="0.3">
      <c r="A8" s="119" t="s">
        <v>368</v>
      </c>
      <c r="B8" s="80"/>
      <c r="C8" s="80"/>
    </row>
    <row r="9" spans="1:3" ht="20.25" customHeight="1" thickBot="1" x14ac:dyDescent="0.3">
      <c r="A9" s="122" t="s">
        <v>369</v>
      </c>
      <c r="B9" s="80"/>
      <c r="C9" s="126"/>
    </row>
    <row r="10" spans="1:3" ht="20.25" customHeight="1" thickBot="1" x14ac:dyDescent="0.3">
      <c r="A10" s="130" t="s">
        <v>370</v>
      </c>
      <c r="B10" s="78"/>
      <c r="C10" s="127"/>
    </row>
    <row r="11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274</v>
      </c>
    </row>
    <row r="2" spans="1:7" ht="44.25" customHeight="1" thickTop="1" thickBot="1" x14ac:dyDescent="0.3">
      <c r="A2" s="1381" t="s">
        <v>275</v>
      </c>
      <c r="B2" s="1360" t="s">
        <v>276</v>
      </c>
      <c r="C2" s="1361"/>
      <c r="D2" s="1360" t="s">
        <v>277</v>
      </c>
      <c r="E2" s="1361"/>
      <c r="F2" s="1360" t="s">
        <v>278</v>
      </c>
      <c r="G2" s="1361"/>
    </row>
    <row r="3" spans="1:7" s="387" customFormat="1" ht="57.75" thickTop="1" thickBot="1" x14ac:dyDescent="0.3">
      <c r="A3" s="1383"/>
      <c r="B3" s="59" t="s">
        <v>2</v>
      </c>
      <c r="C3" s="177" t="s">
        <v>484</v>
      </c>
      <c r="D3" s="177" t="s">
        <v>2</v>
      </c>
      <c r="E3" s="177" t="s">
        <v>484</v>
      </c>
      <c r="F3" s="177" t="s">
        <v>2</v>
      </c>
      <c r="G3" s="177" t="s">
        <v>484</v>
      </c>
    </row>
    <row r="4" spans="1:7" ht="18.75" customHeight="1" thickTop="1" thickBot="1" x14ac:dyDescent="0.3">
      <c r="A4" s="108"/>
      <c r="B4" s="80"/>
      <c r="C4" s="80"/>
      <c r="D4" s="80"/>
      <c r="E4" s="80"/>
      <c r="F4" s="80"/>
      <c r="G4" s="80"/>
    </row>
    <row r="5" spans="1:7" ht="18.75" customHeight="1" thickBot="1" x14ac:dyDescent="0.3">
      <c r="A5" s="108"/>
      <c r="B5" s="80"/>
      <c r="C5" s="80"/>
      <c r="D5" s="80"/>
      <c r="E5" s="80"/>
      <c r="F5" s="80"/>
      <c r="G5" s="80"/>
    </row>
    <row r="6" spans="1:7" ht="18.75" customHeight="1" thickBot="1" x14ac:dyDescent="0.3">
      <c r="A6" s="108"/>
      <c r="B6" s="80"/>
      <c r="C6" s="80"/>
      <c r="D6" s="80"/>
      <c r="E6" s="80"/>
      <c r="F6" s="80"/>
      <c r="G6" s="80"/>
    </row>
    <row r="7" spans="1:7" ht="18.75" customHeight="1" thickBot="1" x14ac:dyDescent="0.3">
      <c r="A7" s="108"/>
      <c r="B7" s="80"/>
      <c r="C7" s="80"/>
      <c r="D7" s="80"/>
      <c r="E7" s="80"/>
      <c r="F7" s="80"/>
      <c r="G7" s="80"/>
    </row>
    <row r="8" spans="1:7" ht="18.75" customHeight="1" thickBot="1" x14ac:dyDescent="0.3">
      <c r="A8" s="72" t="s">
        <v>14</v>
      </c>
      <c r="B8" s="78">
        <f t="shared" ref="B8:G8" si="0">SUM(B4:B7)</f>
        <v>0</v>
      </c>
      <c r="C8" s="78">
        <f t="shared" si="0"/>
        <v>0</v>
      </c>
      <c r="D8" s="78">
        <f t="shared" si="0"/>
        <v>0</v>
      </c>
      <c r="E8" s="78">
        <f t="shared" si="0"/>
        <v>0</v>
      </c>
      <c r="F8" s="78">
        <f t="shared" si="0"/>
        <v>0</v>
      </c>
      <c r="G8" s="78">
        <f t="shared" si="0"/>
        <v>0</v>
      </c>
    </row>
    <row r="9" spans="1:7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zoomScaleNormal="10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386" customWidth="1"/>
    <col min="9" max="10" width="15.7109375" style="387" customWidth="1"/>
    <col min="11" max="11" width="14.85546875" style="387" customWidth="1"/>
    <col min="12" max="12" width="14.85546875" style="391" customWidth="1"/>
    <col min="13" max="13" width="6.5703125" customWidth="1"/>
    <col min="14" max="14" width="15.5703125" style="386" customWidth="1"/>
    <col min="15" max="17" width="15.5703125" style="387" customWidth="1"/>
    <col min="18" max="18" width="15.5703125" style="391" customWidth="1"/>
    <col min="19" max="19" width="19.85546875" customWidth="1"/>
  </cols>
  <sheetData>
    <row r="1" spans="1:18" ht="17.25" thickBot="1" x14ac:dyDescent="0.35">
      <c r="A1" s="1" t="s">
        <v>279</v>
      </c>
      <c r="H1" s="1376" t="s">
        <v>1138</v>
      </c>
      <c r="I1" s="1377"/>
      <c r="J1" s="1377"/>
      <c r="K1" s="1377"/>
      <c r="L1" s="1378"/>
      <c r="N1" s="1376" t="s">
        <v>1140</v>
      </c>
      <c r="O1" s="1377"/>
      <c r="P1" s="1377"/>
      <c r="Q1" s="1377"/>
      <c r="R1" s="1378"/>
    </row>
    <row r="2" spans="1:18" ht="33" customHeight="1" thickTop="1" thickBot="1" x14ac:dyDescent="0.3">
      <c r="A2" s="1381" t="s">
        <v>131</v>
      </c>
      <c r="B2" s="38" t="s">
        <v>2</v>
      </c>
      <c r="C2" s="1360" t="s">
        <v>3</v>
      </c>
      <c r="D2" s="1361"/>
      <c r="E2" s="1360" t="s">
        <v>280</v>
      </c>
      <c r="F2" s="1361"/>
      <c r="H2" s="59" t="s">
        <v>2</v>
      </c>
      <c r="I2" s="1360" t="s">
        <v>3</v>
      </c>
      <c r="J2" s="1361"/>
      <c r="K2" s="1360" t="s">
        <v>280</v>
      </c>
      <c r="L2" s="1361"/>
      <c r="N2" s="59" t="s">
        <v>2</v>
      </c>
      <c r="O2" s="1360" t="s">
        <v>3</v>
      </c>
      <c r="P2" s="1361"/>
      <c r="Q2" s="1360" t="s">
        <v>280</v>
      </c>
      <c r="R2" s="1361"/>
    </row>
    <row r="3" spans="1:18" ht="45" customHeight="1" thickTop="1" thickBot="1" x14ac:dyDescent="0.3">
      <c r="A3" s="1383"/>
      <c r="B3" s="21" t="s">
        <v>281</v>
      </c>
      <c r="C3" s="21" t="s">
        <v>281</v>
      </c>
      <c r="D3" s="21" t="s">
        <v>282</v>
      </c>
      <c r="E3" s="21" t="s">
        <v>2</v>
      </c>
      <c r="F3" s="21" t="s">
        <v>486</v>
      </c>
      <c r="H3" s="175" t="s">
        <v>281</v>
      </c>
      <c r="I3" s="21" t="s">
        <v>281</v>
      </c>
      <c r="J3" s="21" t="s">
        <v>282</v>
      </c>
      <c r="K3" s="21" t="s">
        <v>2</v>
      </c>
      <c r="L3" s="21" t="s">
        <v>486</v>
      </c>
      <c r="N3" s="175" t="s">
        <v>281</v>
      </c>
      <c r="O3" s="21" t="s">
        <v>281</v>
      </c>
      <c r="P3" s="21" t="s">
        <v>282</v>
      </c>
      <c r="Q3" s="21" t="s">
        <v>2</v>
      </c>
      <c r="R3" s="21" t="s">
        <v>486</v>
      </c>
    </row>
    <row r="4" spans="1:18" ht="19.5" customHeight="1" thickTop="1" thickBot="1" x14ac:dyDescent="0.3">
      <c r="A4" s="122" t="s">
        <v>485</v>
      </c>
      <c r="B4" s="161"/>
      <c r="C4" s="162"/>
      <c r="D4" s="163"/>
      <c r="E4" s="164"/>
      <c r="F4" s="164"/>
      <c r="K4" s="388">
        <f>B4-C4-E4</f>
        <v>0</v>
      </c>
      <c r="L4" s="392">
        <f>C4-D4-F4</f>
        <v>0</v>
      </c>
      <c r="N4" s="389">
        <f>B4-BS!$D$42</f>
        <v>0</v>
      </c>
      <c r="O4" s="388">
        <f>C4-BS!$G$42</f>
        <v>0</v>
      </c>
    </row>
    <row r="5" spans="1:18" ht="19.5" customHeight="1" thickBot="1" x14ac:dyDescent="0.3">
      <c r="A5" s="119" t="s">
        <v>91</v>
      </c>
      <c r="B5" s="165"/>
      <c r="C5" s="165"/>
      <c r="D5" s="166"/>
      <c r="E5" s="121"/>
      <c r="F5" s="121"/>
      <c r="K5" s="388">
        <f>B5-C5-E5</f>
        <v>0</v>
      </c>
      <c r="L5" s="392">
        <f t="shared" ref="L5:L7" si="0">C5-D5-F5</f>
        <v>0</v>
      </c>
      <c r="N5" s="389">
        <f>B5-BS!$D$43</f>
        <v>0</v>
      </c>
      <c r="O5" s="388">
        <f>C5-BS!$G$43</f>
        <v>0</v>
      </c>
    </row>
    <row r="6" spans="1:18" ht="19.5" customHeight="1" thickBot="1" x14ac:dyDescent="0.3">
      <c r="A6" s="14" t="s">
        <v>283</v>
      </c>
      <c r="B6" s="93"/>
      <c r="C6" s="93"/>
      <c r="D6" s="94"/>
      <c r="E6" s="80"/>
      <c r="F6" s="80"/>
      <c r="K6" s="388">
        <f>B6-C6-E6</f>
        <v>0</v>
      </c>
      <c r="L6" s="392">
        <f t="shared" si="0"/>
        <v>0</v>
      </c>
      <c r="N6" s="389">
        <f>B6-BS!$D$44</f>
        <v>0</v>
      </c>
      <c r="O6" s="388">
        <f>C6-BS!$G$44</f>
        <v>0</v>
      </c>
    </row>
    <row r="7" spans="1:18" ht="19.5" customHeight="1" thickBot="1" x14ac:dyDescent="0.3">
      <c r="A7" s="14" t="s">
        <v>14</v>
      </c>
      <c r="B7" s="79">
        <f>SUM(B4:B6)</f>
        <v>0</v>
      </c>
      <c r="C7" s="93">
        <f t="shared" ref="C7:F7" si="1">SUM(C4:C6)</f>
        <v>0</v>
      </c>
      <c r="D7" s="94">
        <f t="shared" si="1"/>
        <v>0</v>
      </c>
      <c r="E7" s="80">
        <f t="shared" si="1"/>
        <v>0</v>
      </c>
      <c r="F7" s="80">
        <f t="shared" si="1"/>
        <v>0</v>
      </c>
      <c r="H7" s="389">
        <f>SUM(B4:B6)-B7</f>
        <v>0</v>
      </c>
      <c r="I7" s="388">
        <f t="shared" ref="I7:J7" si="2">SUM(C4:C6)-C7</f>
        <v>0</v>
      </c>
      <c r="J7" s="388">
        <f t="shared" si="2"/>
        <v>0</v>
      </c>
      <c r="K7" s="388">
        <f>B7-C7-E7</f>
        <v>0</v>
      </c>
      <c r="L7" s="392">
        <f t="shared" si="0"/>
        <v>0</v>
      </c>
    </row>
    <row r="8" spans="1:18" ht="19.5" customHeight="1" thickBot="1" x14ac:dyDescent="0.3">
      <c r="A8" s="14" t="s">
        <v>284</v>
      </c>
      <c r="B8" s="110" t="s">
        <v>18</v>
      </c>
      <c r="C8" s="110" t="s">
        <v>18</v>
      </c>
      <c r="D8" s="123" t="s">
        <v>18</v>
      </c>
      <c r="E8" s="80"/>
      <c r="F8" s="80"/>
    </row>
    <row r="9" spans="1:18" ht="19.5" customHeight="1" thickBot="1" x14ac:dyDescent="0.3">
      <c r="A9" s="14" t="s">
        <v>285</v>
      </c>
      <c r="B9" s="110" t="s">
        <v>18</v>
      </c>
      <c r="C9" s="110" t="s">
        <v>18</v>
      </c>
      <c r="D9" s="123" t="s">
        <v>18</v>
      </c>
      <c r="E9" s="80"/>
      <c r="F9" s="80"/>
    </row>
    <row r="10" spans="1:18" ht="19.5" customHeight="1" thickBot="1" x14ac:dyDescent="0.3">
      <c r="A10" s="14" t="s">
        <v>286</v>
      </c>
      <c r="B10" s="110" t="s">
        <v>18</v>
      </c>
      <c r="C10" s="110" t="s">
        <v>18</v>
      </c>
      <c r="D10" s="123" t="s">
        <v>18</v>
      </c>
      <c r="E10" s="80"/>
      <c r="F10" s="80"/>
    </row>
    <row r="11" spans="1:18" ht="19.5" customHeight="1" thickBot="1" x14ac:dyDescent="0.3">
      <c r="A11" s="16" t="s">
        <v>287</v>
      </c>
      <c r="B11" s="112" t="s">
        <v>18</v>
      </c>
      <c r="C11" s="112" t="s">
        <v>18</v>
      </c>
      <c r="D11" s="124" t="s">
        <v>18</v>
      </c>
      <c r="E11" s="78"/>
      <c r="F11" s="78"/>
    </row>
    <row r="12" spans="1:18" ht="19.5" customHeight="1" thickTop="1" thickBot="1" x14ac:dyDescent="0.3">
      <c r="A12" s="25" t="s">
        <v>288</v>
      </c>
      <c r="B12" s="112" t="s">
        <v>18</v>
      </c>
      <c r="C12" s="112" t="s">
        <v>18</v>
      </c>
      <c r="D12" s="124" t="s">
        <v>18</v>
      </c>
      <c r="E12" s="78"/>
      <c r="F12" s="78"/>
      <c r="K12" s="388">
        <f>SUM(E7:E11)-E12</f>
        <v>0</v>
      </c>
      <c r="L12" s="392">
        <f>SUM(F7:F11)-F12</f>
        <v>0</v>
      </c>
      <c r="Q12" s="388">
        <f>E12-'P&amp;L'!$D$14</f>
        <v>0</v>
      </c>
      <c r="R12" s="392">
        <f>F12-'P&amp;L'!$E$14</f>
        <v>0</v>
      </c>
    </row>
    <row r="13" spans="1:18" ht="15.75" thickTop="1" x14ac:dyDescent="0.25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25" priority="4" operator="lessThan">
      <formula>0</formula>
    </cfRule>
    <cfRule type="cellIs" dxfId="24" priority="5" operator="greaterThan">
      <formula>0</formula>
    </cfRule>
  </conditionalFormatting>
  <conditionalFormatting sqref="N1">
    <cfRule type="cellIs" priority="3" stopIfTrue="1" operator="greaterThan">
      <formula>0</formula>
    </cfRule>
  </conditionalFormatting>
  <conditionalFormatting sqref="N4:R12">
    <cfRule type="cellIs" dxfId="23" priority="1" operator="lessThan">
      <formula>0</formula>
    </cfRule>
    <cfRule type="cellIs" dxfId="2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zoomScaleNormal="100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386" customWidth="1"/>
    <col min="6" max="6" width="30.28515625" style="391" customWidth="1"/>
  </cols>
  <sheetData>
    <row r="1" spans="1:6" ht="116.25" thickBot="1" x14ac:dyDescent="0.35">
      <c r="A1" s="428" t="s">
        <v>289</v>
      </c>
      <c r="E1" s="1376" t="s">
        <v>1140</v>
      </c>
      <c r="F1" s="1378"/>
    </row>
    <row r="2" spans="1:6" ht="21" customHeight="1" thickTop="1" thickBot="1" x14ac:dyDescent="0.3">
      <c r="A2" s="59" t="s">
        <v>131</v>
      </c>
      <c r="B2" s="695" t="s">
        <v>2</v>
      </c>
      <c r="C2" s="695" t="s">
        <v>3</v>
      </c>
      <c r="E2" s="397" t="s">
        <v>2</v>
      </c>
      <c r="F2" s="398" t="s">
        <v>3</v>
      </c>
    </row>
    <row r="3" spans="1:6" ht="18.75" customHeight="1" thickTop="1" thickBot="1" x14ac:dyDescent="0.3">
      <c r="A3" s="44" t="s">
        <v>487</v>
      </c>
      <c r="B3" s="80"/>
      <c r="C3" s="80"/>
      <c r="E3" s="429"/>
      <c r="F3" s="430"/>
    </row>
    <row r="4" spans="1:6" ht="18.75" customHeight="1" thickBot="1" x14ac:dyDescent="0.3">
      <c r="A4" s="14"/>
      <c r="B4" s="80"/>
      <c r="C4" s="80"/>
      <c r="E4" s="429"/>
      <c r="F4" s="430"/>
    </row>
    <row r="5" spans="1:6" ht="18.75" customHeight="1" thickBot="1" x14ac:dyDescent="0.3">
      <c r="A5" s="14"/>
      <c r="B5" s="80"/>
      <c r="C5" s="80"/>
      <c r="E5" s="429"/>
      <c r="F5" s="430"/>
    </row>
    <row r="6" spans="1:6" ht="18.75" customHeight="1" thickBot="1" x14ac:dyDescent="0.3">
      <c r="A6" s="44" t="s">
        <v>290</v>
      </c>
      <c r="B6" s="80"/>
      <c r="C6" s="80"/>
      <c r="E6" s="429"/>
      <c r="F6" s="430"/>
    </row>
    <row r="7" spans="1:6" ht="18.75" customHeight="1" thickBot="1" x14ac:dyDescent="0.3">
      <c r="A7" s="14"/>
      <c r="B7" s="80"/>
      <c r="C7" s="80"/>
      <c r="E7" s="429"/>
      <c r="F7" s="430"/>
    </row>
    <row r="8" spans="1:6" ht="18.75" customHeight="1" thickBot="1" x14ac:dyDescent="0.3">
      <c r="A8" s="14"/>
      <c r="B8" s="80"/>
      <c r="C8" s="80"/>
      <c r="E8" s="429"/>
      <c r="F8" s="430"/>
    </row>
    <row r="9" spans="1:6" ht="18.75" customHeight="1" thickBot="1" x14ac:dyDescent="0.3">
      <c r="A9" s="14"/>
      <c r="B9" s="80"/>
      <c r="C9" s="80"/>
      <c r="E9" s="429"/>
      <c r="F9" s="430"/>
    </row>
    <row r="10" spans="1:6" ht="18.75" customHeight="1" thickBot="1" x14ac:dyDescent="0.3">
      <c r="A10" s="44" t="s">
        <v>291</v>
      </c>
      <c r="B10" s="80"/>
      <c r="C10" s="80"/>
      <c r="E10" s="389">
        <f>B10-SUM('P&amp;L'!$D$35,'P&amp;L'!$D$37,'P&amp;L'!$D$41,'P&amp;L'!$D$43,'P&amp;L'!$D$46,'P&amp;L'!$D$48,'P&amp;L'!$D$50,'P&amp;L'!$D$52)</f>
        <v>-4</v>
      </c>
      <c r="F10" s="392">
        <f>C10-SUM('P&amp;L'!$E$35,'P&amp;L'!$E$37,'P&amp;L'!$E$41,'P&amp;L'!$E$43,'P&amp;L'!$E$46,'P&amp;L'!$E$48,'P&amp;L'!$E$50,'P&amp;L'!$E$52)</f>
        <v>-38</v>
      </c>
    </row>
    <row r="11" spans="1:6" ht="18.75" customHeight="1" thickBot="1" x14ac:dyDescent="0.3">
      <c r="A11" s="128" t="s">
        <v>292</v>
      </c>
      <c r="B11" s="125"/>
      <c r="C11" s="125"/>
      <c r="E11" s="389">
        <f>B11-'P&amp;L'!$D$48</f>
        <v>0</v>
      </c>
      <c r="F11" s="392">
        <f>C11-'P&amp;L'!$E$48</f>
        <v>-3</v>
      </c>
    </row>
    <row r="12" spans="1:6" ht="18.75" customHeight="1" thickBot="1" x14ac:dyDescent="0.3">
      <c r="A12" s="14" t="s">
        <v>293</v>
      </c>
      <c r="B12" s="80"/>
      <c r="C12" s="80"/>
    </row>
    <row r="13" spans="1:6" ht="18.75" customHeight="1" thickBot="1" x14ac:dyDescent="0.3">
      <c r="A13" s="128" t="s">
        <v>294</v>
      </c>
      <c r="B13" s="125"/>
      <c r="C13" s="125"/>
    </row>
    <row r="14" spans="1:6" ht="18.75" customHeight="1" thickBot="1" x14ac:dyDescent="0.3">
      <c r="A14" s="14"/>
      <c r="B14" s="80"/>
      <c r="C14" s="80"/>
    </row>
    <row r="15" spans="1:6" ht="18.75" customHeight="1" thickBot="1" x14ac:dyDescent="0.3">
      <c r="A15" s="14"/>
      <c r="B15" s="80"/>
      <c r="C15" s="80"/>
    </row>
    <row r="16" spans="1:6" ht="18.75" customHeight="1" thickBot="1" x14ac:dyDescent="0.3">
      <c r="A16" s="14"/>
      <c r="B16" s="80"/>
      <c r="C16" s="80"/>
    </row>
    <row r="17" spans="1:6" ht="18.75" customHeight="1" thickBot="1" x14ac:dyDescent="0.3">
      <c r="A17" s="44" t="s">
        <v>295</v>
      </c>
      <c r="B17" s="80"/>
      <c r="C17" s="80"/>
      <c r="E17" s="389">
        <f>B17-'P&amp;L'!$D$60</f>
        <v>0</v>
      </c>
      <c r="F17" s="392">
        <f>C17-'P&amp;L'!$E$60</f>
        <v>0</v>
      </c>
    </row>
    <row r="18" spans="1:6" ht="18.75" customHeight="1" thickBot="1" x14ac:dyDescent="0.3">
      <c r="A18" s="122"/>
      <c r="B18" s="126"/>
      <c r="C18" s="126"/>
    </row>
    <row r="19" spans="1:6" ht="18.75" customHeight="1" thickBot="1" x14ac:dyDescent="0.3">
      <c r="A19" s="101"/>
      <c r="B19" s="127"/>
      <c r="C19" s="127"/>
    </row>
    <row r="20" spans="1:6" ht="15.75" thickTop="1" x14ac:dyDescent="0.25">
      <c r="A20" s="99"/>
      <c r="B20" s="20"/>
      <c r="C20" s="20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21" priority="1" operator="lessThan">
      <formula>0</formula>
    </cfRule>
    <cfRule type="cellIs" dxfId="2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zoomScaleNormal="100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386" customWidth="1"/>
    <col min="6" max="6" width="29.7109375" style="391" customWidth="1"/>
    <col min="7" max="7" width="4.7109375" customWidth="1"/>
    <col min="8" max="8" width="26.5703125" style="386" customWidth="1"/>
    <col min="9" max="9" width="30.28515625" style="391" customWidth="1"/>
    <col min="10" max="10" width="13" customWidth="1"/>
  </cols>
  <sheetData>
    <row r="1" spans="1:9" ht="17.25" thickBot="1" x14ac:dyDescent="0.35">
      <c r="A1" s="1" t="s">
        <v>296</v>
      </c>
      <c r="E1" s="1391" t="s">
        <v>1138</v>
      </c>
      <c r="F1" s="1392"/>
      <c r="G1" s="390"/>
      <c r="H1" s="1376" t="s">
        <v>1140</v>
      </c>
      <c r="I1" s="1378"/>
    </row>
    <row r="2" spans="1:9" ht="26.2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18.75" customHeight="1" thickTop="1" thickBot="1" x14ac:dyDescent="0.3">
      <c r="A3" s="71" t="s">
        <v>297</v>
      </c>
      <c r="B3" s="80"/>
      <c r="C3" s="80"/>
      <c r="H3" s="389">
        <f>B3+B4-'P&amp;L'!$D$13</f>
        <v>0</v>
      </c>
      <c r="I3" s="406">
        <f>C3+C4-'P&amp;L'!$E$13</f>
        <v>0</v>
      </c>
    </row>
    <row r="4" spans="1:9" ht="18.75" customHeight="1" thickBot="1" x14ac:dyDescent="0.3">
      <c r="A4" s="71" t="s">
        <v>298</v>
      </c>
      <c r="B4" s="80"/>
      <c r="C4" s="80"/>
      <c r="H4" s="389">
        <f>H3</f>
        <v>0</v>
      </c>
      <c r="I4" s="392">
        <f>I3</f>
        <v>0</v>
      </c>
    </row>
    <row r="5" spans="1:9" ht="18.75" customHeight="1" thickBot="1" x14ac:dyDescent="0.3">
      <c r="A5" s="71" t="s">
        <v>299</v>
      </c>
      <c r="B5" s="80"/>
      <c r="C5" s="80"/>
      <c r="H5" s="389">
        <f>B5-'P&amp;L'!$D$9</f>
        <v>0</v>
      </c>
      <c r="I5" s="392">
        <f>C5-'P&amp;L'!$E$9</f>
        <v>0</v>
      </c>
    </row>
    <row r="6" spans="1:9" ht="18.75" customHeight="1" thickBot="1" x14ac:dyDescent="0.3">
      <c r="A6" s="71" t="s">
        <v>300</v>
      </c>
      <c r="B6" s="80"/>
      <c r="C6" s="80"/>
      <c r="H6" s="429"/>
      <c r="I6" s="430"/>
    </row>
    <row r="7" spans="1:9" ht="18.75" customHeight="1" thickBot="1" x14ac:dyDescent="0.3">
      <c r="A7" s="71" t="s">
        <v>301</v>
      </c>
      <c r="B7" s="80"/>
      <c r="C7" s="80"/>
      <c r="H7" s="389">
        <f>B7-'P&amp;L'!$D$27</f>
        <v>0</v>
      </c>
      <c r="I7" s="392">
        <f>C7-'P&amp;L'!$E$27</f>
        <v>0</v>
      </c>
    </row>
    <row r="8" spans="1:9" ht="18.75" customHeight="1" thickBot="1" x14ac:dyDescent="0.3">
      <c r="A8" s="14" t="s">
        <v>302</v>
      </c>
      <c r="B8" s="80"/>
      <c r="C8" s="80"/>
      <c r="H8" s="429"/>
      <c r="I8" s="430"/>
    </row>
    <row r="9" spans="1:9" ht="18.75" customHeight="1" thickBot="1" x14ac:dyDescent="0.3">
      <c r="A9" s="72" t="s">
        <v>303</v>
      </c>
      <c r="B9" s="78">
        <f>SUM(B3:B8)</f>
        <v>0</v>
      </c>
      <c r="C9" s="78">
        <f>SUM(C3:C8)</f>
        <v>0</v>
      </c>
      <c r="E9" s="389">
        <f>SUM(B3:B8)-B9</f>
        <v>0</v>
      </c>
      <c r="F9" s="391">
        <f>SUM(C3:C8)-C9</f>
        <v>0</v>
      </c>
      <c r="H9" s="429"/>
      <c r="I9" s="430"/>
    </row>
    <row r="10" spans="1:9" ht="15.75" thickTop="1" x14ac:dyDescent="0.25">
      <c r="H10" s="389"/>
      <c r="I10" s="392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9:F9">
    <cfRule type="cellIs" dxfId="17" priority="1" operator="lessThan">
      <formula>0</formula>
    </cfRule>
    <cfRule type="cellIs" dxfId="1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zoomScaleNormal="100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386" customWidth="1"/>
    <col min="6" max="6" width="29.7109375" style="391" customWidth="1"/>
    <col min="7" max="7" width="4.7109375" customWidth="1"/>
    <col min="8" max="8" width="26.5703125" style="386" customWidth="1"/>
    <col min="9" max="9" width="30.28515625" style="391" customWidth="1"/>
  </cols>
  <sheetData>
    <row r="1" spans="1:9" ht="17.25" thickBot="1" x14ac:dyDescent="0.35">
      <c r="A1" s="1" t="s">
        <v>304</v>
      </c>
      <c r="E1" s="1391" t="s">
        <v>1138</v>
      </c>
      <c r="F1" s="1392"/>
      <c r="G1" s="390"/>
      <c r="H1" s="1376" t="s">
        <v>1140</v>
      </c>
      <c r="I1" s="1378"/>
    </row>
    <row r="2" spans="1:9" ht="26.25" customHeight="1" thickTop="1" thickBot="1" x14ac:dyDescent="0.3">
      <c r="A2" s="59" t="s">
        <v>131</v>
      </c>
      <c r="B2" s="38" t="s">
        <v>2</v>
      </c>
      <c r="C2" s="38" t="s">
        <v>3</v>
      </c>
      <c r="E2" s="59" t="s">
        <v>2</v>
      </c>
      <c r="F2" s="177" t="s">
        <v>3</v>
      </c>
      <c r="H2" s="59" t="s">
        <v>2</v>
      </c>
      <c r="I2" s="177" t="s">
        <v>3</v>
      </c>
    </row>
    <row r="3" spans="1:9" ht="20.25" customHeight="1" thickTop="1" thickBot="1" x14ac:dyDescent="0.3">
      <c r="A3" s="44" t="s">
        <v>305</v>
      </c>
      <c r="B3" s="80"/>
      <c r="C3" s="80"/>
      <c r="E3" s="389">
        <f>SUM(B4,B10)-B3</f>
        <v>0</v>
      </c>
      <c r="F3" s="392">
        <f>SUM(C4,C10)-C3</f>
        <v>0</v>
      </c>
      <c r="H3" s="389">
        <f>B3-'P&amp;L'!$D$18</f>
        <v>-3179413</v>
      </c>
      <c r="I3" s="392">
        <f>C3-'P&amp;L'!$E$18</f>
        <v>-1740405</v>
      </c>
    </row>
    <row r="4" spans="1:9" ht="20.25" customHeight="1" thickBot="1" x14ac:dyDescent="0.3">
      <c r="A4" s="128" t="s">
        <v>306</v>
      </c>
      <c r="B4" s="125"/>
      <c r="C4" s="125"/>
      <c r="E4" s="389">
        <f>SUM(B5:B9)-B4</f>
        <v>0</v>
      </c>
      <c r="F4" s="392">
        <f>SUM(C5:C9)-C4</f>
        <v>0</v>
      </c>
      <c r="H4" s="389"/>
      <c r="I4" s="392"/>
    </row>
    <row r="5" spans="1:9" ht="20.25" customHeight="1" thickBot="1" x14ac:dyDescent="0.3">
      <c r="A5" s="14" t="s">
        <v>307</v>
      </c>
      <c r="B5" s="80"/>
      <c r="C5" s="80"/>
      <c r="F5" s="392"/>
      <c r="H5" s="431"/>
      <c r="I5" s="432"/>
    </row>
    <row r="6" spans="1:9" ht="20.25" customHeight="1" thickBot="1" x14ac:dyDescent="0.3">
      <c r="A6" s="14" t="s">
        <v>308</v>
      </c>
      <c r="B6" s="80"/>
      <c r="C6" s="80"/>
      <c r="F6" s="392"/>
      <c r="H6" s="433"/>
      <c r="I6" s="434"/>
    </row>
    <row r="7" spans="1:9" ht="20.25" customHeight="1" thickBot="1" x14ac:dyDescent="0.3">
      <c r="A7" s="14" t="s">
        <v>309</v>
      </c>
      <c r="B7" s="80"/>
      <c r="C7" s="80"/>
      <c r="F7" s="392"/>
      <c r="H7" s="431"/>
      <c r="I7" s="432"/>
    </row>
    <row r="8" spans="1:9" ht="20.25" customHeight="1" thickBot="1" x14ac:dyDescent="0.3">
      <c r="A8" s="14" t="s">
        <v>310</v>
      </c>
      <c r="B8" s="80"/>
      <c r="C8" s="80"/>
      <c r="F8" s="392"/>
      <c r="H8" s="433"/>
      <c r="I8" s="434"/>
    </row>
    <row r="9" spans="1:9" ht="20.25" customHeight="1" thickBot="1" x14ac:dyDescent="0.3">
      <c r="A9" s="14" t="s">
        <v>311</v>
      </c>
      <c r="B9" s="80"/>
      <c r="C9" s="80"/>
      <c r="E9" s="389"/>
      <c r="F9" s="392"/>
      <c r="H9" s="433"/>
      <c r="I9" s="434"/>
    </row>
    <row r="10" spans="1:9" ht="20.25" customHeight="1" thickBot="1" x14ac:dyDescent="0.3">
      <c r="A10" s="128" t="s">
        <v>312</v>
      </c>
      <c r="B10" s="125"/>
      <c r="C10" s="125"/>
      <c r="E10" s="389">
        <f>SUM(B11:B13)-B10</f>
        <v>0</v>
      </c>
      <c r="F10" s="392">
        <f>SUM(C11:C13)-C10</f>
        <v>0</v>
      </c>
      <c r="H10" s="431"/>
      <c r="I10" s="432"/>
    </row>
    <row r="11" spans="1:9" ht="20.25" customHeight="1" thickBot="1" x14ac:dyDescent="0.3">
      <c r="A11" s="14"/>
      <c r="B11" s="80"/>
      <c r="C11" s="80"/>
      <c r="F11" s="392"/>
    </row>
    <row r="12" spans="1:9" ht="20.25" customHeight="1" thickBot="1" x14ac:dyDescent="0.3">
      <c r="A12" s="14"/>
      <c r="B12" s="80"/>
      <c r="C12" s="80"/>
      <c r="F12" s="392"/>
    </row>
    <row r="13" spans="1:9" ht="20.25" customHeight="1" thickBot="1" x14ac:dyDescent="0.3">
      <c r="A13" s="14"/>
      <c r="B13" s="80"/>
      <c r="C13" s="80"/>
      <c r="F13" s="392"/>
    </row>
    <row r="14" spans="1:9" ht="20.25" customHeight="1" thickBot="1" x14ac:dyDescent="0.3">
      <c r="A14" s="44" t="s">
        <v>313</v>
      </c>
      <c r="B14" s="80"/>
      <c r="C14" s="80"/>
      <c r="E14" s="389">
        <f>SUM(B15:B18)-B14</f>
        <v>0</v>
      </c>
      <c r="F14" s="392">
        <f>SUM(C15:C18)-C14</f>
        <v>0</v>
      </c>
    </row>
    <row r="15" spans="1:9" ht="20.25" customHeight="1" thickBot="1" x14ac:dyDescent="0.3">
      <c r="A15" s="14"/>
      <c r="B15" s="80"/>
      <c r="C15" s="80"/>
      <c r="F15" s="392"/>
    </row>
    <row r="16" spans="1:9" ht="20.25" customHeight="1" thickBot="1" x14ac:dyDescent="0.3">
      <c r="A16" s="14"/>
      <c r="B16" s="80"/>
      <c r="C16" s="80"/>
      <c r="F16" s="392"/>
    </row>
    <row r="17" spans="1:9" ht="20.25" customHeight="1" thickBot="1" x14ac:dyDescent="0.3">
      <c r="A17" s="14"/>
      <c r="B17" s="80"/>
      <c r="C17" s="80"/>
      <c r="F17" s="392"/>
    </row>
    <row r="18" spans="1:9" ht="20.25" customHeight="1" thickBot="1" x14ac:dyDescent="0.3">
      <c r="A18" s="14"/>
      <c r="B18" s="80"/>
      <c r="C18" s="80"/>
      <c r="F18" s="392"/>
    </row>
    <row r="19" spans="1:9" ht="20.25" customHeight="1" thickBot="1" x14ac:dyDescent="0.3">
      <c r="A19" s="44" t="s">
        <v>314</v>
      </c>
      <c r="B19" s="80"/>
      <c r="C19" s="80"/>
      <c r="E19" s="389">
        <f>SUM(B20,B22)-B19</f>
        <v>0</v>
      </c>
      <c r="F19" s="392">
        <f>SUM(C20,C22)-C19</f>
        <v>0</v>
      </c>
      <c r="H19" s="389">
        <f>B19-SUM('P&amp;L'!$D$36,'P&amp;L'!$D$42,'P&amp;L'!$D$44,'P&amp;L'!$D$45,'P&amp;L'!$D$47,'P&amp;L'!$D$49,'P&amp;L'!$D$51,'P&amp;L'!$D$53)</f>
        <v>-1166</v>
      </c>
      <c r="I19" s="392">
        <f>C19-SUM('P&amp;L'!$E$36,'P&amp;L'!$E$42,'P&amp;L'!$E$44,'P&amp;L'!$E$45,'P&amp;L'!$E$47,'P&amp;L'!$E$49,'P&amp;L'!$E$51,'P&amp;L'!$E$53)</f>
        <v>-1752</v>
      </c>
    </row>
    <row r="20" spans="1:9" ht="20.25" customHeight="1" thickBot="1" x14ac:dyDescent="0.3">
      <c r="A20" s="128" t="s">
        <v>315</v>
      </c>
      <c r="B20" s="125"/>
      <c r="C20" s="125"/>
      <c r="E20" s="389"/>
      <c r="F20" s="392"/>
      <c r="H20" s="389">
        <f>B20-'P&amp;L'!$D$49</f>
        <v>-16</v>
      </c>
      <c r="I20" s="392">
        <f>C20-'P&amp;L'!$E$49</f>
        <v>-18</v>
      </c>
    </row>
    <row r="21" spans="1:9" ht="20.25" customHeight="1" thickBot="1" x14ac:dyDescent="0.3">
      <c r="A21" s="14" t="s">
        <v>316</v>
      </c>
      <c r="B21" s="80"/>
      <c r="C21" s="80"/>
      <c r="F21" s="392"/>
    </row>
    <row r="22" spans="1:9" ht="20.25" customHeight="1" thickBot="1" x14ac:dyDescent="0.3">
      <c r="A22" s="128" t="s">
        <v>317</v>
      </c>
      <c r="B22" s="125"/>
      <c r="C22" s="125"/>
      <c r="E22" s="389">
        <f>SUM(B23:B24)-B22</f>
        <v>0</v>
      </c>
      <c r="F22" s="392">
        <f>SUM(C23:C24)-C22</f>
        <v>0</v>
      </c>
    </row>
    <row r="23" spans="1:9" ht="20.25" customHeight="1" thickBot="1" x14ac:dyDescent="0.3">
      <c r="A23" s="14"/>
      <c r="B23" s="80"/>
      <c r="C23" s="80"/>
      <c r="F23" s="392"/>
    </row>
    <row r="24" spans="1:9" ht="20.25" customHeight="1" thickBot="1" x14ac:dyDescent="0.3">
      <c r="A24" s="14"/>
      <c r="B24" s="80"/>
      <c r="C24" s="80"/>
      <c r="F24" s="392"/>
    </row>
    <row r="25" spans="1:9" ht="20.25" customHeight="1" thickBot="1" x14ac:dyDescent="0.3">
      <c r="A25" s="104" t="s">
        <v>318</v>
      </c>
      <c r="B25" s="126"/>
      <c r="C25" s="126"/>
      <c r="E25" s="389">
        <f>SUM(B26:B27)-B25</f>
        <v>0</v>
      </c>
      <c r="F25" s="392">
        <f>SUM(C26:C27)-C25</f>
        <v>0</v>
      </c>
      <c r="H25" s="389">
        <f>B25-'P&amp;L'!$D$61</f>
        <v>0</v>
      </c>
      <c r="I25" s="392">
        <f>C25-'P&amp;L'!$E$61</f>
        <v>0</v>
      </c>
    </row>
    <row r="26" spans="1:9" ht="20.25" customHeight="1" thickBot="1" x14ac:dyDescent="0.3">
      <c r="A26" s="105"/>
      <c r="B26" s="121"/>
      <c r="C26" s="121"/>
      <c r="F26" s="392"/>
    </row>
    <row r="27" spans="1:9" ht="20.25" customHeight="1" thickBot="1" x14ac:dyDescent="0.3">
      <c r="A27" s="25"/>
      <c r="B27" s="78"/>
      <c r="C27" s="78"/>
      <c r="F27" s="392"/>
    </row>
    <row r="28" spans="1:9" ht="17.25" thickTop="1" x14ac:dyDescent="0.3">
      <c r="A28" s="1"/>
      <c r="F28" s="392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E9:F9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F3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F4:F28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E3:F26">
    <cfRule type="cellIs" priority="8" stopIfTrue="1" operator="greaterThan">
      <formula>0</formula>
    </cfRule>
  </conditionalFormatting>
  <conditionalFormatting sqref="E3:F29">
    <cfRule type="cellIs" dxfId="7" priority="6" operator="lessThan">
      <formula>0</formula>
    </cfRule>
    <cfRule type="cellIs" dxfId="6" priority="7" operator="greaterThan">
      <formula>0</formula>
    </cfRule>
  </conditionalFormatting>
  <conditionalFormatting sqref="F3">
    <cfRule type="cellIs" dxfId="5" priority="4" operator="lessThan">
      <formula>0</formula>
    </cfRule>
    <cfRule type="cellIs" dxfId="4" priority="5" operator="greaterThan">
      <formula>0</formula>
    </cfRule>
  </conditionalFormatting>
  <conditionalFormatting sqref="H3:I29">
    <cfRule type="cellIs" dxfId="3" priority="1" operator="lessThan">
      <formula>0</formula>
    </cfRule>
    <cfRule type="cellIs" dxfId="2" priority="2" operator="greaterThan">
      <formula>0</formula>
    </cfRule>
    <cfRule type="cellIs" priority="3" stopIfTrue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319</v>
      </c>
    </row>
    <row r="2" spans="1:3" ht="35.25" thickTop="1" thickBot="1" x14ac:dyDescent="0.3">
      <c r="A2" s="59" t="s">
        <v>131</v>
      </c>
      <c r="B2" s="38" t="s">
        <v>2</v>
      </c>
      <c r="C2" s="38" t="s">
        <v>3</v>
      </c>
    </row>
    <row r="3" spans="1:3" ht="29.25" customHeight="1" thickTop="1" thickBot="1" x14ac:dyDescent="0.3">
      <c r="A3" s="122" t="s">
        <v>320</v>
      </c>
      <c r="B3" s="15"/>
      <c r="C3" s="15"/>
    </row>
    <row r="4" spans="1:3" ht="29.25" customHeight="1" thickBot="1" x14ac:dyDescent="0.3">
      <c r="A4" s="129" t="s">
        <v>321</v>
      </c>
      <c r="B4" s="15"/>
      <c r="C4" s="15"/>
    </row>
    <row r="5" spans="1:3" ht="52.5" customHeight="1" thickBot="1" x14ac:dyDescent="0.3">
      <c r="A5" s="119" t="s">
        <v>322</v>
      </c>
      <c r="B5" s="15"/>
      <c r="C5" s="15"/>
    </row>
    <row r="6" spans="1:3" ht="52.5" customHeight="1" thickBot="1" x14ac:dyDescent="0.3">
      <c r="A6" s="14" t="s">
        <v>323</v>
      </c>
      <c r="B6" s="15"/>
      <c r="C6" s="15"/>
    </row>
    <row r="7" spans="1:3" ht="51" customHeight="1" thickBot="1" x14ac:dyDescent="0.3">
      <c r="A7" s="122" t="s">
        <v>324</v>
      </c>
      <c r="B7" s="15"/>
      <c r="C7" s="15"/>
    </row>
    <row r="8" spans="1:3" ht="30.75" customHeight="1" thickBot="1" x14ac:dyDescent="0.3">
      <c r="A8" s="130" t="s">
        <v>325</v>
      </c>
      <c r="B8" s="17"/>
      <c r="C8" s="17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zoomScaleNormal="10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386" customWidth="1"/>
    <col min="11" max="11" width="31.140625" style="391" customWidth="1"/>
  </cols>
  <sheetData>
    <row r="1" spans="1:11" ht="17.25" thickBot="1" x14ac:dyDescent="0.35">
      <c r="A1" s="1" t="s">
        <v>326</v>
      </c>
      <c r="J1" s="1376" t="s">
        <v>1140</v>
      </c>
      <c r="K1" s="1378"/>
    </row>
    <row r="2" spans="1:11" ht="35.25" customHeight="1" thickTop="1" thickBot="1" x14ac:dyDescent="0.3">
      <c r="A2" s="1358" t="s">
        <v>131</v>
      </c>
      <c r="B2" s="1360" t="s">
        <v>2</v>
      </c>
      <c r="C2" s="1366"/>
      <c r="D2" s="1361"/>
      <c r="E2" s="1360" t="s">
        <v>3</v>
      </c>
      <c r="F2" s="1366"/>
      <c r="G2" s="1361"/>
      <c r="J2" s="176" t="s">
        <v>2</v>
      </c>
      <c r="K2" s="59" t="s">
        <v>3</v>
      </c>
    </row>
    <row r="3" spans="1:11" s="131" customFormat="1" ht="16.5" thickTop="1" thickBot="1" x14ac:dyDescent="0.3">
      <c r="A3" s="1359"/>
      <c r="B3" s="21" t="s">
        <v>327</v>
      </c>
      <c r="C3" s="21" t="s">
        <v>328</v>
      </c>
      <c r="D3" s="21" t="s">
        <v>329</v>
      </c>
      <c r="E3" s="21" t="s">
        <v>327</v>
      </c>
      <c r="F3" s="21" t="s">
        <v>328</v>
      </c>
      <c r="G3" s="21" t="s">
        <v>329</v>
      </c>
      <c r="J3" s="435"/>
      <c r="K3" s="415"/>
    </row>
    <row r="4" spans="1:11" ht="20.25" customHeight="1" thickTop="1" thickBot="1" x14ac:dyDescent="0.3">
      <c r="A4" s="14" t="s">
        <v>330</v>
      </c>
      <c r="B4" s="79"/>
      <c r="C4" s="106" t="s">
        <v>18</v>
      </c>
      <c r="D4" s="168" t="s">
        <v>18</v>
      </c>
      <c r="E4" s="79"/>
      <c r="F4" s="106" t="s">
        <v>18</v>
      </c>
      <c r="G4" s="168" t="s">
        <v>18</v>
      </c>
      <c r="J4" s="389">
        <f>B4-'P&amp;L'!$D$55</f>
        <v>-76057</v>
      </c>
      <c r="K4" s="392">
        <f>E4-'P&amp;L'!$E$55</f>
        <v>-142365</v>
      </c>
    </row>
    <row r="5" spans="1:11" ht="20.25" customHeight="1" thickBot="1" x14ac:dyDescent="0.3">
      <c r="A5" s="14" t="s">
        <v>331</v>
      </c>
      <c r="B5" s="106" t="s">
        <v>18</v>
      </c>
      <c r="C5" s="79"/>
      <c r="D5" s="118"/>
      <c r="E5" s="106" t="s">
        <v>18</v>
      </c>
      <c r="F5" s="79"/>
      <c r="G5" s="118"/>
    </row>
    <row r="6" spans="1:11" ht="20.25" customHeight="1" thickBot="1" x14ac:dyDescent="0.3">
      <c r="A6" s="14" t="s">
        <v>332</v>
      </c>
      <c r="B6" s="79"/>
      <c r="C6" s="79"/>
      <c r="D6" s="118"/>
      <c r="E6" s="79"/>
      <c r="F6" s="79"/>
      <c r="G6" s="118"/>
    </row>
    <row r="7" spans="1:11" ht="20.25" customHeight="1" thickBot="1" x14ac:dyDescent="0.3">
      <c r="A7" s="14" t="s">
        <v>333</v>
      </c>
      <c r="B7" s="79"/>
      <c r="C7" s="79"/>
      <c r="D7" s="118"/>
      <c r="E7" s="79"/>
      <c r="F7" s="79"/>
      <c r="G7" s="118"/>
    </row>
    <row r="8" spans="1:11" ht="20.25" customHeight="1" thickBot="1" x14ac:dyDescent="0.3">
      <c r="A8" s="14" t="s">
        <v>334</v>
      </c>
      <c r="B8" s="79"/>
      <c r="C8" s="79"/>
      <c r="D8" s="118"/>
      <c r="E8" s="79"/>
      <c r="F8" s="79"/>
      <c r="G8" s="118"/>
    </row>
    <row r="9" spans="1:11" ht="20.25" customHeight="1" thickBot="1" x14ac:dyDescent="0.3">
      <c r="A9" s="14" t="s">
        <v>14</v>
      </c>
      <c r="B9" s="79"/>
      <c r="C9" s="79"/>
      <c r="D9" s="118"/>
      <c r="E9" s="79"/>
      <c r="F9" s="79"/>
      <c r="G9" s="118"/>
    </row>
    <row r="10" spans="1:11" ht="20.25" customHeight="1" thickBot="1" x14ac:dyDescent="0.3">
      <c r="A10" s="14" t="s">
        <v>335</v>
      </c>
      <c r="B10" s="106" t="s">
        <v>18</v>
      </c>
      <c r="C10" s="79"/>
      <c r="D10" s="118"/>
      <c r="E10" s="106" t="s">
        <v>18</v>
      </c>
      <c r="F10" s="79"/>
      <c r="G10" s="118"/>
      <c r="J10" s="389">
        <f>C10-'P&amp;L'!$D$57-'P&amp;L'!$D$64</f>
        <v>-67655</v>
      </c>
      <c r="K10" s="392">
        <f>F10-'P&amp;L'!$E$57-'P&amp;L'!$E$64</f>
        <v>-13072</v>
      </c>
    </row>
    <row r="11" spans="1:11" ht="20.25" customHeight="1" thickBot="1" x14ac:dyDescent="0.3">
      <c r="A11" s="14" t="s">
        <v>336</v>
      </c>
      <c r="B11" s="106" t="s">
        <v>18</v>
      </c>
      <c r="C11" s="79"/>
      <c r="D11" s="118"/>
      <c r="E11" s="106" t="s">
        <v>18</v>
      </c>
      <c r="F11" s="79"/>
      <c r="G11" s="118"/>
      <c r="J11" s="389">
        <f>C11-'P&amp;L'!$D$58-'P&amp;L'!$D$65</f>
        <v>42281</v>
      </c>
      <c r="K11" s="392">
        <f>F11-'P&amp;L'!$E$58-'P&amp;L'!$E$65</f>
        <v>-9033</v>
      </c>
    </row>
    <row r="12" spans="1:11" ht="20.25" customHeight="1" thickBot="1" x14ac:dyDescent="0.3">
      <c r="A12" s="16" t="s">
        <v>337</v>
      </c>
      <c r="B12" s="107" t="s">
        <v>18</v>
      </c>
      <c r="C12" s="85">
        <f>C10+C11</f>
        <v>0</v>
      </c>
      <c r="D12" s="167"/>
      <c r="E12" s="107" t="s">
        <v>18</v>
      </c>
      <c r="F12" s="85">
        <f>F10+F11</f>
        <v>0</v>
      </c>
      <c r="G12" s="167"/>
      <c r="J12" s="389">
        <f>C12-'P&amp;L'!$D$56-'P&amp;L'!$D$63</f>
        <v>-25374</v>
      </c>
      <c r="K12" s="392">
        <f>F12-'P&amp;L'!$E$56-'P&amp;L'!$E$63</f>
        <v>-22105</v>
      </c>
    </row>
    <row r="13" spans="1:11" ht="15.75" thickTop="1" x14ac:dyDescent="0.25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zoomScaleNormal="10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371</v>
      </c>
    </row>
    <row r="2" spans="1:9" ht="25.5" customHeight="1" thickTop="1" thickBot="1" x14ac:dyDescent="0.3">
      <c r="A2" s="1381" t="s">
        <v>372</v>
      </c>
      <c r="B2" s="1379" t="s">
        <v>373</v>
      </c>
      <c r="C2" s="1397"/>
      <c r="D2" s="1397"/>
      <c r="E2" s="1379" t="s">
        <v>374</v>
      </c>
      <c r="F2" s="1397"/>
      <c r="G2" s="1380"/>
      <c r="H2" s="20"/>
      <c r="I2" s="20"/>
    </row>
    <row r="3" spans="1:9" ht="20.25" customHeight="1" thickTop="1" thickBot="1" x14ac:dyDescent="0.3">
      <c r="A3" s="1382"/>
      <c r="B3" s="59" t="s">
        <v>375</v>
      </c>
      <c r="C3" s="59" t="s">
        <v>376</v>
      </c>
      <c r="D3" s="699" t="s">
        <v>377</v>
      </c>
      <c r="E3" s="59" t="s">
        <v>375</v>
      </c>
      <c r="F3" s="59" t="s">
        <v>376</v>
      </c>
      <c r="G3" s="59" t="s">
        <v>377</v>
      </c>
      <c r="H3" s="20"/>
      <c r="I3" s="20"/>
    </row>
    <row r="4" spans="1:9" ht="20.25" customHeight="1" thickTop="1" thickBot="1" x14ac:dyDescent="0.3">
      <c r="A4" s="1382"/>
      <c r="B4" s="1398" t="s">
        <v>378</v>
      </c>
      <c r="C4" s="1399"/>
      <c r="D4" s="1399"/>
      <c r="E4" s="1398" t="s">
        <v>378</v>
      </c>
      <c r="F4" s="1399"/>
      <c r="G4" s="1400"/>
      <c r="H4" s="20"/>
      <c r="I4" s="20"/>
    </row>
    <row r="5" spans="1:9" ht="24.75" customHeight="1" thickBot="1" x14ac:dyDescent="0.3">
      <c r="A5" s="1383"/>
      <c r="B5" s="1401" t="s">
        <v>379</v>
      </c>
      <c r="C5" s="1402"/>
      <c r="D5" s="1402"/>
      <c r="E5" s="1401" t="s">
        <v>379</v>
      </c>
      <c r="F5" s="1402"/>
      <c r="G5" s="1403"/>
      <c r="H5" s="20"/>
      <c r="I5" s="20"/>
    </row>
    <row r="6" spans="1:9" ht="20.25" customHeight="1" thickTop="1" thickBot="1" x14ac:dyDescent="0.3">
      <c r="A6" s="1393" t="s">
        <v>380</v>
      </c>
      <c r="B6" s="79"/>
      <c r="C6" s="169"/>
      <c r="D6" s="144"/>
      <c r="E6" s="79"/>
      <c r="F6" s="144"/>
      <c r="G6" s="77"/>
      <c r="H6" s="20"/>
      <c r="I6" s="20"/>
    </row>
    <row r="7" spans="1:9" ht="20.25" customHeight="1" thickBot="1" x14ac:dyDescent="0.3">
      <c r="A7" s="1396"/>
      <c r="B7" s="79"/>
      <c r="C7" s="170"/>
      <c r="D7" s="120"/>
      <c r="E7" s="79"/>
      <c r="F7" s="120"/>
      <c r="G7" s="121"/>
      <c r="H7" s="20"/>
      <c r="I7" s="20"/>
    </row>
    <row r="8" spans="1:9" ht="20.25" customHeight="1" thickBot="1" x14ac:dyDescent="0.3">
      <c r="A8" s="1395" t="s">
        <v>381</v>
      </c>
      <c r="B8" s="79"/>
      <c r="C8" s="170"/>
      <c r="D8" s="120"/>
      <c r="E8" s="79"/>
      <c r="F8" s="120"/>
      <c r="G8" s="121"/>
      <c r="H8" s="20"/>
      <c r="I8" s="20"/>
    </row>
    <row r="9" spans="1:9" ht="20.25" customHeight="1" thickBot="1" x14ac:dyDescent="0.3">
      <c r="A9" s="1394"/>
      <c r="B9" s="79"/>
      <c r="C9" s="170"/>
      <c r="D9" s="120"/>
      <c r="E9" s="79"/>
      <c r="F9" s="120"/>
      <c r="G9" s="121"/>
      <c r="H9" s="20"/>
      <c r="I9" s="20"/>
    </row>
    <row r="10" spans="1:9" ht="20.25" customHeight="1" thickTop="1" thickBot="1" x14ac:dyDescent="0.3">
      <c r="A10" s="1393" t="s">
        <v>382</v>
      </c>
      <c r="B10" s="79"/>
      <c r="C10" s="170"/>
      <c r="D10" s="120"/>
      <c r="E10" s="79"/>
      <c r="F10" s="120"/>
      <c r="G10" s="121"/>
      <c r="H10" s="20"/>
      <c r="I10" s="20"/>
    </row>
    <row r="11" spans="1:9" ht="20.25" customHeight="1" thickBot="1" x14ac:dyDescent="0.3">
      <c r="A11" s="1396"/>
      <c r="B11" s="79"/>
      <c r="C11" s="170"/>
      <c r="D11" s="120"/>
      <c r="E11" s="79"/>
      <c r="F11" s="120"/>
      <c r="G11" s="121"/>
      <c r="H11" s="20"/>
      <c r="I11" s="20"/>
    </row>
    <row r="12" spans="1:9" ht="20.25" customHeight="1" thickBot="1" x14ac:dyDescent="0.3">
      <c r="A12" s="1395" t="s">
        <v>383</v>
      </c>
      <c r="B12" s="79"/>
      <c r="C12" s="170"/>
      <c r="D12" s="120"/>
      <c r="E12" s="79"/>
      <c r="F12" s="120"/>
      <c r="G12" s="121"/>
      <c r="H12" s="20"/>
      <c r="I12" s="20"/>
    </row>
    <row r="13" spans="1:9" ht="20.25" customHeight="1" thickBot="1" x14ac:dyDescent="0.3">
      <c r="A13" s="1396"/>
      <c r="B13" s="79"/>
      <c r="C13" s="170"/>
      <c r="D13" s="120"/>
      <c r="E13" s="79"/>
      <c r="F13" s="120"/>
      <c r="G13" s="121"/>
      <c r="H13" s="20"/>
      <c r="I13" s="20"/>
    </row>
    <row r="14" spans="1:9" ht="20.25" customHeight="1" thickBot="1" x14ac:dyDescent="0.3">
      <c r="A14" s="1395" t="s">
        <v>384</v>
      </c>
      <c r="B14" s="79"/>
      <c r="C14" s="170"/>
      <c r="D14" s="120"/>
      <c r="E14" s="79"/>
      <c r="F14" s="120"/>
      <c r="G14" s="121"/>
      <c r="H14" s="20"/>
      <c r="I14" s="20"/>
    </row>
    <row r="15" spans="1:9" ht="20.25" customHeight="1" thickBot="1" x14ac:dyDescent="0.3">
      <c r="A15" s="1394"/>
      <c r="B15" s="79"/>
      <c r="C15" s="170"/>
      <c r="D15" s="120"/>
      <c r="E15" s="79"/>
      <c r="F15" s="120"/>
      <c r="G15" s="121"/>
      <c r="H15" s="20"/>
      <c r="I15" s="20"/>
    </row>
    <row r="16" spans="1:9" ht="20.25" customHeight="1" thickTop="1" thickBot="1" x14ac:dyDescent="0.3">
      <c r="A16" s="1393" t="s">
        <v>385</v>
      </c>
      <c r="B16" s="79"/>
      <c r="C16" s="170"/>
      <c r="D16" s="120"/>
      <c r="E16" s="79"/>
      <c r="F16" s="120"/>
      <c r="G16" s="121"/>
      <c r="H16" s="20"/>
      <c r="I16" s="20"/>
    </row>
    <row r="17" spans="1:9" ht="20.25" customHeight="1" thickBot="1" x14ac:dyDescent="0.3">
      <c r="A17" s="1394"/>
      <c r="B17" s="79"/>
      <c r="C17" s="170"/>
      <c r="D17" s="120"/>
      <c r="E17" s="79"/>
      <c r="F17" s="120"/>
      <c r="G17" s="121"/>
      <c r="H17" s="20"/>
      <c r="I17" s="20"/>
    </row>
    <row r="18" spans="1:9" ht="20.25" customHeight="1" thickTop="1" thickBot="1" x14ac:dyDescent="0.3">
      <c r="A18" s="1393" t="s">
        <v>287</v>
      </c>
      <c r="B18" s="79"/>
      <c r="C18" s="170"/>
      <c r="D18" s="120"/>
      <c r="E18" s="79"/>
      <c r="F18" s="120"/>
      <c r="G18" s="121"/>
      <c r="H18" s="20"/>
      <c r="I18" s="20"/>
    </row>
    <row r="19" spans="1:9" ht="20.25" customHeight="1" thickBot="1" x14ac:dyDescent="0.3">
      <c r="A19" s="1394"/>
      <c r="B19" s="85"/>
      <c r="C19" s="171"/>
      <c r="D19" s="146"/>
      <c r="E19" s="85"/>
      <c r="F19" s="146"/>
      <c r="G19" s="127"/>
      <c r="H19" s="20"/>
      <c r="I19" s="20"/>
    </row>
    <row r="20" spans="1:9" ht="15.75" thickTop="1" x14ac:dyDescent="0.25">
      <c r="A20" s="48"/>
      <c r="B20" s="48"/>
      <c r="C20" s="48"/>
      <c r="D20" s="48"/>
      <c r="E20" s="48"/>
      <c r="F20" s="48"/>
      <c r="G20" s="48"/>
      <c r="H20" s="20"/>
      <c r="I20" s="20"/>
    </row>
    <row r="21" spans="1:9" x14ac:dyDescent="0.25">
      <c r="A21" s="172"/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B2:D2"/>
    <mergeCell ref="E2:G2"/>
    <mergeCell ref="B4:D4"/>
    <mergeCell ref="A2:A5"/>
    <mergeCell ref="A8:A9"/>
    <mergeCell ref="E4:G4"/>
    <mergeCell ref="B5:D5"/>
    <mergeCell ref="E5:G5"/>
    <mergeCell ref="A6:A7"/>
    <mergeCell ref="A18:A19"/>
    <mergeCell ref="A16:A17"/>
    <mergeCell ref="A14:A15"/>
    <mergeCell ref="A12:A13"/>
    <mergeCell ref="A10:A11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topLeftCell="A27" zoomScaleNormal="100" workbookViewId="0">
      <selection activeCell="D65" sqref="D65"/>
    </sheetView>
  </sheetViews>
  <sheetFormatPr defaultRowHeight="11.25" x14ac:dyDescent="0.2"/>
  <cols>
    <col min="1" max="1" width="5.7109375" style="178" customWidth="1"/>
    <col min="2" max="2" width="65" style="178" customWidth="1"/>
    <col min="3" max="3" width="9.28515625" style="201" customWidth="1"/>
    <col min="4" max="4" width="15.5703125" style="300" customWidth="1"/>
    <col min="5" max="5" width="14.5703125" style="178" customWidth="1"/>
    <col min="6" max="16384" width="9.140625" style="178"/>
  </cols>
  <sheetData>
    <row r="1" spans="1:5" ht="12" customHeight="1" x14ac:dyDescent="0.2">
      <c r="A1" s="180" t="s">
        <v>497</v>
      </c>
      <c r="B1" s="259">
        <v>0</v>
      </c>
      <c r="C1" s="260"/>
      <c r="D1" s="261"/>
      <c r="E1" s="262"/>
    </row>
    <row r="2" spans="1:5" s="186" customFormat="1" ht="12" customHeight="1" x14ac:dyDescent="0.2">
      <c r="A2" s="180" t="s">
        <v>500</v>
      </c>
      <c r="B2" s="263" t="s">
        <v>807</v>
      </c>
      <c r="C2" s="260"/>
      <c r="D2" s="261"/>
      <c r="E2" s="262"/>
    </row>
    <row r="3" spans="1:5" ht="11.25" customHeight="1" x14ac:dyDescent="0.2">
      <c r="B3" s="427" t="s">
        <v>807</v>
      </c>
      <c r="C3" s="178"/>
      <c r="D3" s="178"/>
    </row>
    <row r="4" spans="1:5" ht="11.25" customHeight="1" x14ac:dyDescent="0.2">
      <c r="A4" s="189"/>
      <c r="B4" s="190"/>
      <c r="C4" s="190"/>
      <c r="D4" s="264"/>
      <c r="E4" s="265"/>
    </row>
    <row r="5" spans="1:5" ht="12" customHeight="1" x14ac:dyDescent="0.2">
      <c r="B5" s="266" t="s">
        <v>808</v>
      </c>
      <c r="C5" s="196"/>
      <c r="D5" s="267"/>
      <c r="E5" s="268"/>
    </row>
    <row r="6" spans="1:5" s="201" customFormat="1" ht="12" customHeight="1" x14ac:dyDescent="0.2">
      <c r="A6" s="269" t="s">
        <v>508</v>
      </c>
      <c r="B6" s="270" t="s">
        <v>809</v>
      </c>
      <c r="C6" s="269" t="s">
        <v>510</v>
      </c>
      <c r="D6" s="271" t="s">
        <v>810</v>
      </c>
      <c r="E6" s="272"/>
    </row>
    <row r="7" spans="1:5" s="204" customFormat="1" ht="12" customHeight="1" x14ac:dyDescent="0.25">
      <c r="A7" s="273" t="s">
        <v>513</v>
      </c>
      <c r="B7" s="274"/>
      <c r="C7" s="273" t="s">
        <v>514</v>
      </c>
      <c r="D7" s="275" t="s">
        <v>811</v>
      </c>
      <c r="E7" s="276" t="s">
        <v>812</v>
      </c>
    </row>
    <row r="8" spans="1:5" s="201" customFormat="1" ht="12" customHeight="1" x14ac:dyDescent="0.2">
      <c r="A8" s="277" t="s">
        <v>518</v>
      </c>
      <c r="B8" s="278" t="s">
        <v>519</v>
      </c>
      <c r="C8" s="277" t="s">
        <v>520</v>
      </c>
      <c r="D8" s="279">
        <v>1</v>
      </c>
      <c r="E8" s="277">
        <v>2</v>
      </c>
    </row>
    <row r="9" spans="1:5" s="186" customFormat="1" ht="12" customHeight="1" x14ac:dyDescent="0.25">
      <c r="A9" s="280" t="s">
        <v>813</v>
      </c>
      <c r="B9" s="281" t="s">
        <v>1455</v>
      </c>
      <c r="C9" s="282" t="s">
        <v>814</v>
      </c>
      <c r="D9" s="950"/>
      <c r="E9" s="951"/>
    </row>
    <row r="10" spans="1:5" s="186" customFormat="1" ht="12" customHeight="1" x14ac:dyDescent="0.2">
      <c r="A10" s="280" t="s">
        <v>815</v>
      </c>
      <c r="B10" s="281" t="s">
        <v>816</v>
      </c>
      <c r="C10" s="282" t="s">
        <v>817</v>
      </c>
      <c r="D10" s="952"/>
      <c r="E10" s="953"/>
    </row>
    <row r="11" spans="1:5" s="285" customFormat="1" ht="12" customHeight="1" x14ac:dyDescent="0.25">
      <c r="A11" s="283" t="s">
        <v>818</v>
      </c>
      <c r="B11" s="283" t="s">
        <v>819</v>
      </c>
      <c r="C11" s="284" t="s">
        <v>820</v>
      </c>
      <c r="D11" s="954">
        <v>3335719</v>
      </c>
      <c r="E11" s="954">
        <v>1864966</v>
      </c>
    </row>
    <row r="12" spans="1:5" s="211" customFormat="1" ht="12" customHeight="1" x14ac:dyDescent="0.25">
      <c r="A12" s="286" t="s">
        <v>821</v>
      </c>
      <c r="B12" s="286" t="s">
        <v>822</v>
      </c>
      <c r="C12" s="287" t="s">
        <v>823</v>
      </c>
      <c r="D12" s="955">
        <v>3335719</v>
      </c>
      <c r="E12" s="955">
        <v>1864966</v>
      </c>
    </row>
    <row r="13" spans="1:5" s="186" customFormat="1" ht="12" customHeight="1" x14ac:dyDescent="0.25">
      <c r="A13" s="280" t="s">
        <v>824</v>
      </c>
      <c r="B13" s="281" t="s">
        <v>825</v>
      </c>
      <c r="C13" s="282" t="s">
        <v>826</v>
      </c>
      <c r="D13" s="950"/>
      <c r="E13" s="951"/>
    </row>
    <row r="14" spans="1:5" s="186" customFormat="1" ht="12" customHeight="1" x14ac:dyDescent="0.25">
      <c r="A14" s="280" t="s">
        <v>532</v>
      </c>
      <c r="B14" s="281" t="s">
        <v>827</v>
      </c>
      <c r="C14" s="282" t="s">
        <v>828</v>
      </c>
      <c r="D14" s="950"/>
      <c r="E14" s="951"/>
    </row>
    <row r="15" spans="1:5" s="186" customFormat="1" ht="12" customHeight="1" x14ac:dyDescent="0.25">
      <c r="A15" s="280" t="s">
        <v>535</v>
      </c>
      <c r="B15" s="281" t="s">
        <v>829</v>
      </c>
      <c r="C15" s="282" t="s">
        <v>830</v>
      </c>
      <c r="D15" s="950"/>
      <c r="E15" s="951"/>
    </row>
    <row r="16" spans="1:5" s="186" customFormat="1" ht="12" customHeight="1" x14ac:dyDescent="0.25">
      <c r="A16" s="288" t="s">
        <v>594</v>
      </c>
      <c r="B16" s="289" t="s">
        <v>831</v>
      </c>
      <c r="C16" s="290" t="s">
        <v>832</v>
      </c>
      <c r="D16" s="956">
        <v>3179745</v>
      </c>
      <c r="E16" s="956">
        <v>1740561</v>
      </c>
    </row>
    <row r="17" spans="1:5" s="186" customFormat="1" ht="12" customHeight="1" x14ac:dyDescent="0.25">
      <c r="A17" s="280" t="s">
        <v>833</v>
      </c>
      <c r="B17" s="281" t="s">
        <v>834</v>
      </c>
      <c r="C17" s="282" t="s">
        <v>835</v>
      </c>
      <c r="D17" s="950">
        <v>332</v>
      </c>
      <c r="E17" s="951">
        <v>156</v>
      </c>
    </row>
    <row r="18" spans="1:5" s="186" customFormat="1" ht="12" customHeight="1" x14ac:dyDescent="0.25">
      <c r="A18" s="280" t="s">
        <v>836</v>
      </c>
      <c r="B18" s="281" t="s">
        <v>837</v>
      </c>
      <c r="C18" s="282" t="s">
        <v>838</v>
      </c>
      <c r="D18" s="952">
        <v>3179413</v>
      </c>
      <c r="E18" s="951">
        <v>1740405</v>
      </c>
    </row>
    <row r="19" spans="1:5" s="285" customFormat="1" ht="12" customHeight="1" x14ac:dyDescent="0.25">
      <c r="A19" s="283" t="s">
        <v>818</v>
      </c>
      <c r="B19" s="283" t="s">
        <v>839</v>
      </c>
      <c r="C19" s="284" t="s">
        <v>840</v>
      </c>
      <c r="D19" s="954">
        <v>155974</v>
      </c>
      <c r="E19" s="954">
        <v>124405</v>
      </c>
    </row>
    <row r="20" spans="1:5" s="211" customFormat="1" ht="12" customHeight="1" x14ac:dyDescent="0.25">
      <c r="A20" s="286" t="s">
        <v>663</v>
      </c>
      <c r="B20" s="286" t="s">
        <v>841</v>
      </c>
      <c r="C20" s="287" t="s">
        <v>842</v>
      </c>
      <c r="D20" s="955">
        <v>78751</v>
      </c>
      <c r="E20" s="955">
        <v>58436</v>
      </c>
    </row>
    <row r="21" spans="1:5" s="186" customFormat="1" ht="12" customHeight="1" x14ac:dyDescent="0.25">
      <c r="A21" s="280" t="s">
        <v>666</v>
      </c>
      <c r="B21" s="281" t="s">
        <v>843</v>
      </c>
      <c r="C21" s="282" t="s">
        <v>844</v>
      </c>
      <c r="D21" s="950">
        <v>60002</v>
      </c>
      <c r="E21" s="951">
        <v>43184</v>
      </c>
    </row>
    <row r="22" spans="1:5" s="186" customFormat="1" ht="12" customHeight="1" x14ac:dyDescent="0.25">
      <c r="A22" s="280" t="s">
        <v>836</v>
      </c>
      <c r="B22" s="281" t="s">
        <v>845</v>
      </c>
      <c r="C22" s="282" t="s">
        <v>846</v>
      </c>
      <c r="D22" s="950"/>
      <c r="E22" s="951"/>
    </row>
    <row r="23" spans="1:5" s="186" customFormat="1" ht="12" customHeight="1" x14ac:dyDescent="0.25">
      <c r="A23" s="280" t="s">
        <v>847</v>
      </c>
      <c r="B23" s="281" t="s">
        <v>848</v>
      </c>
      <c r="C23" s="282" t="s">
        <v>849</v>
      </c>
      <c r="D23" s="950">
        <v>17531</v>
      </c>
      <c r="E23" s="951">
        <v>14141</v>
      </c>
    </row>
    <row r="24" spans="1:5" s="186" customFormat="1" ht="12" customHeight="1" x14ac:dyDescent="0.25">
      <c r="A24" s="280" t="s">
        <v>850</v>
      </c>
      <c r="B24" s="281" t="s">
        <v>851</v>
      </c>
      <c r="C24" s="282" t="s">
        <v>852</v>
      </c>
      <c r="D24" s="950">
        <v>1218</v>
      </c>
      <c r="E24" s="951">
        <v>1111</v>
      </c>
    </row>
    <row r="25" spans="1:5" s="186" customFormat="1" ht="12" customHeight="1" x14ac:dyDescent="0.25">
      <c r="A25" s="280" t="s">
        <v>853</v>
      </c>
      <c r="B25" s="281" t="s">
        <v>854</v>
      </c>
      <c r="C25" s="282" t="s">
        <v>855</v>
      </c>
      <c r="D25" s="950"/>
      <c r="E25" s="951">
        <v>83</v>
      </c>
    </row>
    <row r="26" spans="1:5" s="186" customFormat="1" ht="12" customHeight="1" x14ac:dyDescent="0.25">
      <c r="A26" s="280" t="s">
        <v>856</v>
      </c>
      <c r="B26" s="281" t="s">
        <v>857</v>
      </c>
      <c r="C26" s="282" t="s">
        <v>858</v>
      </c>
      <c r="D26" s="950"/>
      <c r="E26" s="951"/>
    </row>
    <row r="27" spans="1:5" s="186" customFormat="1" ht="12" customHeight="1" x14ac:dyDescent="0.25">
      <c r="A27" s="280" t="s">
        <v>859</v>
      </c>
      <c r="B27" s="281" t="s">
        <v>860</v>
      </c>
      <c r="C27" s="282" t="s">
        <v>861</v>
      </c>
      <c r="D27" s="950"/>
      <c r="E27" s="951"/>
    </row>
    <row r="28" spans="1:5" s="186" customFormat="1" ht="12" customHeight="1" x14ac:dyDescent="0.25">
      <c r="A28" s="280" t="s">
        <v>862</v>
      </c>
      <c r="B28" s="281" t="s">
        <v>863</v>
      </c>
      <c r="C28" s="282" t="s">
        <v>864</v>
      </c>
      <c r="D28" s="950"/>
      <c r="E28" s="951"/>
    </row>
    <row r="29" spans="1:5" s="186" customFormat="1" ht="12" customHeight="1" x14ac:dyDescent="0.25">
      <c r="A29" s="280" t="s">
        <v>865</v>
      </c>
      <c r="B29" s="291" t="s">
        <v>866</v>
      </c>
      <c r="C29" s="282" t="s">
        <v>867</v>
      </c>
      <c r="D29" s="950"/>
      <c r="E29" s="951">
        <v>-55000</v>
      </c>
    </row>
    <row r="30" spans="1:5" s="186" customFormat="1" ht="12" customHeight="1" x14ac:dyDescent="0.25">
      <c r="A30" s="280" t="s">
        <v>868</v>
      </c>
      <c r="B30" s="291" t="s">
        <v>869</v>
      </c>
      <c r="C30" s="282" t="s">
        <v>870</v>
      </c>
      <c r="D30" s="950">
        <v>17</v>
      </c>
      <c r="E30" s="951">
        <v>23348</v>
      </c>
    </row>
    <row r="31" spans="1:5" s="186" customFormat="1" ht="12" customHeight="1" x14ac:dyDescent="0.25">
      <c r="A31" s="280" t="s">
        <v>871</v>
      </c>
      <c r="B31" s="291" t="s">
        <v>872</v>
      </c>
      <c r="C31" s="282" t="s">
        <v>873</v>
      </c>
      <c r="D31" s="950">
        <v>21</v>
      </c>
      <c r="E31" s="951">
        <v>155</v>
      </c>
    </row>
    <row r="32" spans="1:5" s="186" customFormat="1" ht="12" customHeight="1" x14ac:dyDescent="0.25">
      <c r="A32" s="280" t="s">
        <v>874</v>
      </c>
      <c r="B32" s="291" t="s">
        <v>875</v>
      </c>
      <c r="C32" s="282" t="s">
        <v>876</v>
      </c>
      <c r="D32" s="950"/>
      <c r="E32" s="951"/>
    </row>
    <row r="33" spans="1:5" s="186" customFormat="1" ht="12" customHeight="1" x14ac:dyDescent="0.25">
      <c r="A33" s="280" t="s">
        <v>877</v>
      </c>
      <c r="B33" s="291" t="s">
        <v>878</v>
      </c>
      <c r="C33" s="282" t="s">
        <v>879</v>
      </c>
      <c r="D33" s="950"/>
      <c r="E33" s="951"/>
    </row>
    <row r="34" spans="1:5" s="285" customFormat="1" ht="30.75" customHeight="1" x14ac:dyDescent="0.25">
      <c r="A34" s="283" t="s">
        <v>880</v>
      </c>
      <c r="B34" s="292" t="s">
        <v>881</v>
      </c>
      <c r="C34" s="293" t="s">
        <v>882</v>
      </c>
      <c r="D34" s="954">
        <v>77219</v>
      </c>
      <c r="E34" s="954">
        <v>144079</v>
      </c>
    </row>
    <row r="35" spans="1:5" s="186" customFormat="1" ht="12" customHeight="1" x14ac:dyDescent="0.25">
      <c r="A35" s="280" t="s">
        <v>883</v>
      </c>
      <c r="B35" s="291" t="s">
        <v>884</v>
      </c>
      <c r="C35" s="282" t="s">
        <v>885</v>
      </c>
      <c r="D35" s="950"/>
      <c r="E35" s="951"/>
    </row>
    <row r="36" spans="1:5" s="186" customFormat="1" ht="12" customHeight="1" x14ac:dyDescent="0.25">
      <c r="A36" s="280" t="s">
        <v>886</v>
      </c>
      <c r="B36" s="291" t="s">
        <v>887</v>
      </c>
      <c r="C36" s="282" t="s">
        <v>888</v>
      </c>
      <c r="D36" s="950"/>
      <c r="E36" s="951"/>
    </row>
    <row r="37" spans="1:5" s="186" customFormat="1" ht="12" customHeight="1" x14ac:dyDescent="0.25">
      <c r="A37" s="288" t="s">
        <v>889</v>
      </c>
      <c r="B37" s="288" t="s">
        <v>890</v>
      </c>
      <c r="C37" s="290" t="s">
        <v>891</v>
      </c>
      <c r="D37" s="956"/>
      <c r="E37" s="956"/>
    </row>
    <row r="38" spans="1:5" s="186" customFormat="1" ht="12" customHeight="1" x14ac:dyDescent="0.25">
      <c r="A38" s="280" t="s">
        <v>892</v>
      </c>
      <c r="B38" s="291" t="s">
        <v>893</v>
      </c>
      <c r="C38" s="282" t="s">
        <v>894</v>
      </c>
      <c r="D38" s="950"/>
      <c r="E38" s="951"/>
    </row>
    <row r="39" spans="1:5" s="186" customFormat="1" ht="12" customHeight="1" x14ac:dyDescent="0.25">
      <c r="A39" s="280" t="s">
        <v>895</v>
      </c>
      <c r="B39" s="291" t="s">
        <v>896</v>
      </c>
      <c r="C39" s="282" t="s">
        <v>897</v>
      </c>
      <c r="D39" s="950"/>
      <c r="E39" s="951"/>
    </row>
    <row r="40" spans="1:5" s="186" customFormat="1" ht="12" customHeight="1" x14ac:dyDescent="0.25">
      <c r="A40" s="280" t="s">
        <v>898</v>
      </c>
      <c r="B40" s="291" t="s">
        <v>899</v>
      </c>
      <c r="C40" s="282" t="s">
        <v>900</v>
      </c>
      <c r="D40" s="950"/>
      <c r="E40" s="951"/>
    </row>
    <row r="41" spans="1:5" s="186" customFormat="1" ht="12" customHeight="1" x14ac:dyDescent="0.25">
      <c r="A41" s="280" t="s">
        <v>901</v>
      </c>
      <c r="B41" s="291" t="s">
        <v>902</v>
      </c>
      <c r="C41" s="282" t="s">
        <v>903</v>
      </c>
      <c r="D41" s="950"/>
      <c r="E41" s="951"/>
    </row>
    <row r="42" spans="1:5" s="186" customFormat="1" ht="12" customHeight="1" x14ac:dyDescent="0.25">
      <c r="A42" s="280" t="s">
        <v>904</v>
      </c>
      <c r="B42" s="291" t="s">
        <v>905</v>
      </c>
      <c r="C42" s="282" t="s">
        <v>906</v>
      </c>
      <c r="D42" s="950"/>
      <c r="E42" s="951"/>
    </row>
    <row r="43" spans="1:5" s="186" customFormat="1" ht="12" customHeight="1" x14ac:dyDescent="0.25">
      <c r="A43" s="280" t="s">
        <v>907</v>
      </c>
      <c r="B43" s="291" t="s">
        <v>908</v>
      </c>
      <c r="C43" s="282" t="s">
        <v>909</v>
      </c>
      <c r="D43" s="950"/>
      <c r="E43" s="951"/>
    </row>
    <row r="44" spans="1:5" s="186" customFormat="1" ht="12" customHeight="1" x14ac:dyDescent="0.25">
      <c r="A44" s="280" t="s">
        <v>910</v>
      </c>
      <c r="B44" s="291" t="s">
        <v>911</v>
      </c>
      <c r="C44" s="282" t="s">
        <v>912</v>
      </c>
      <c r="D44" s="950"/>
      <c r="E44" s="951"/>
    </row>
    <row r="45" spans="1:5" s="186" customFormat="1" ht="12" customHeight="1" x14ac:dyDescent="0.25">
      <c r="A45" s="280" t="s">
        <v>913</v>
      </c>
      <c r="B45" s="291" t="s">
        <v>914</v>
      </c>
      <c r="C45" s="282" t="s">
        <v>915</v>
      </c>
      <c r="D45" s="950"/>
      <c r="E45" s="951"/>
    </row>
    <row r="46" spans="1:5" s="186" customFormat="1" ht="12" customHeight="1" x14ac:dyDescent="0.25">
      <c r="A46" s="280" t="s">
        <v>916</v>
      </c>
      <c r="B46" s="291" t="s">
        <v>917</v>
      </c>
      <c r="C46" s="282" t="s">
        <v>918</v>
      </c>
      <c r="D46" s="950">
        <v>4</v>
      </c>
      <c r="E46" s="951">
        <v>35</v>
      </c>
    </row>
    <row r="47" spans="1:5" s="186" customFormat="1" ht="12" customHeight="1" x14ac:dyDescent="0.25">
      <c r="A47" s="280" t="s">
        <v>919</v>
      </c>
      <c r="B47" s="291" t="s">
        <v>920</v>
      </c>
      <c r="C47" s="282" t="s">
        <v>921</v>
      </c>
      <c r="D47" s="950"/>
      <c r="E47" s="951"/>
    </row>
    <row r="48" spans="1:5" s="186" customFormat="1" ht="12" customHeight="1" x14ac:dyDescent="0.25">
      <c r="A48" s="280" t="s">
        <v>922</v>
      </c>
      <c r="B48" s="291" t="s">
        <v>923</v>
      </c>
      <c r="C48" s="282" t="s">
        <v>924</v>
      </c>
      <c r="D48" s="950"/>
      <c r="E48" s="951">
        <v>3</v>
      </c>
    </row>
    <row r="49" spans="1:5" s="186" customFormat="1" ht="12" customHeight="1" x14ac:dyDescent="0.25">
      <c r="A49" s="280" t="s">
        <v>925</v>
      </c>
      <c r="B49" s="291" t="s">
        <v>926</v>
      </c>
      <c r="C49" s="282" t="s">
        <v>927</v>
      </c>
      <c r="D49" s="950">
        <v>16</v>
      </c>
      <c r="E49" s="951">
        <v>18</v>
      </c>
    </row>
    <row r="50" spans="1:5" s="186" customFormat="1" ht="12" customHeight="1" x14ac:dyDescent="0.25">
      <c r="A50" s="280" t="s">
        <v>928</v>
      </c>
      <c r="B50" s="291" t="s">
        <v>929</v>
      </c>
      <c r="C50" s="282" t="s">
        <v>930</v>
      </c>
      <c r="D50" s="950"/>
      <c r="E50" s="951"/>
    </row>
    <row r="51" spans="1:5" s="186" customFormat="1" ht="12" customHeight="1" x14ac:dyDescent="0.25">
      <c r="A51" s="280" t="s">
        <v>931</v>
      </c>
      <c r="B51" s="291" t="s">
        <v>932</v>
      </c>
      <c r="C51" s="282" t="s">
        <v>933</v>
      </c>
      <c r="D51" s="950">
        <v>1150</v>
      </c>
      <c r="E51" s="951">
        <v>1734</v>
      </c>
    </row>
    <row r="52" spans="1:5" s="186" customFormat="1" ht="12" customHeight="1" x14ac:dyDescent="0.25">
      <c r="A52" s="280" t="s">
        <v>934</v>
      </c>
      <c r="B52" s="291" t="s">
        <v>935</v>
      </c>
      <c r="C52" s="282" t="s">
        <v>936</v>
      </c>
      <c r="D52" s="950"/>
      <c r="E52" s="951"/>
    </row>
    <row r="53" spans="1:5" s="186" customFormat="1" ht="12" customHeight="1" x14ac:dyDescent="0.25">
      <c r="A53" s="280" t="s">
        <v>937</v>
      </c>
      <c r="B53" s="291" t="s">
        <v>938</v>
      </c>
      <c r="C53" s="282" t="s">
        <v>939</v>
      </c>
      <c r="D53" s="950"/>
      <c r="E53" s="951"/>
    </row>
    <row r="54" spans="1:5" s="285" customFormat="1" ht="30" customHeight="1" x14ac:dyDescent="0.25">
      <c r="A54" s="286" t="s">
        <v>880</v>
      </c>
      <c r="B54" s="292" t="s">
        <v>940</v>
      </c>
      <c r="C54" s="293" t="s">
        <v>941</v>
      </c>
      <c r="D54" s="954">
        <v>-1162</v>
      </c>
      <c r="E54" s="954">
        <v>-1714</v>
      </c>
    </row>
    <row r="55" spans="1:5" s="186" customFormat="1" ht="12" customHeight="1" x14ac:dyDescent="0.25">
      <c r="A55" s="288" t="s">
        <v>942</v>
      </c>
      <c r="B55" s="288" t="s">
        <v>943</v>
      </c>
      <c r="C55" s="290" t="s">
        <v>944</v>
      </c>
      <c r="D55" s="956">
        <v>76057</v>
      </c>
      <c r="E55" s="956">
        <v>142365</v>
      </c>
    </row>
    <row r="56" spans="1:5" s="186" customFormat="1" ht="12" customHeight="1" x14ac:dyDescent="0.25">
      <c r="A56" s="288" t="s">
        <v>945</v>
      </c>
      <c r="B56" s="288" t="s">
        <v>946</v>
      </c>
      <c r="C56" s="290" t="s">
        <v>947</v>
      </c>
      <c r="D56" s="956">
        <v>25374</v>
      </c>
      <c r="E56" s="956">
        <v>22105</v>
      </c>
    </row>
    <row r="57" spans="1:5" s="186" customFormat="1" ht="12" customHeight="1" x14ac:dyDescent="0.25">
      <c r="A57" s="280" t="s">
        <v>948</v>
      </c>
      <c r="B57" s="294" t="s">
        <v>949</v>
      </c>
      <c r="C57" s="282" t="s">
        <v>950</v>
      </c>
      <c r="D57" s="951">
        <v>67655</v>
      </c>
      <c r="E57" s="951">
        <v>13072</v>
      </c>
    </row>
    <row r="58" spans="1:5" s="285" customFormat="1" ht="12" customHeight="1" x14ac:dyDescent="0.25">
      <c r="A58" s="280" t="s">
        <v>836</v>
      </c>
      <c r="B58" s="294" t="s">
        <v>951</v>
      </c>
      <c r="C58" s="282" t="s">
        <v>952</v>
      </c>
      <c r="D58" s="951">
        <v>-42281</v>
      </c>
      <c r="E58" s="951">
        <v>9033</v>
      </c>
    </row>
    <row r="59" spans="1:5" s="186" customFormat="1" ht="12" customHeight="1" x14ac:dyDescent="0.25">
      <c r="A59" s="286" t="s">
        <v>942</v>
      </c>
      <c r="B59" s="283" t="s">
        <v>953</v>
      </c>
      <c r="C59" s="293" t="s">
        <v>954</v>
      </c>
      <c r="D59" s="954">
        <v>50683</v>
      </c>
      <c r="E59" s="954">
        <v>120260</v>
      </c>
    </row>
    <row r="60" spans="1:5" s="186" customFormat="1" ht="12" customHeight="1" x14ac:dyDescent="0.25">
      <c r="A60" s="280" t="s">
        <v>955</v>
      </c>
      <c r="B60" s="291" t="s">
        <v>956</v>
      </c>
      <c r="C60" s="282" t="s">
        <v>957</v>
      </c>
      <c r="D60" s="951"/>
      <c r="E60" s="951"/>
    </row>
    <row r="61" spans="1:5" s="186" customFormat="1" ht="12" customHeight="1" x14ac:dyDescent="0.25">
      <c r="A61" s="280" t="s">
        <v>958</v>
      </c>
      <c r="B61" s="291" t="s">
        <v>959</v>
      </c>
      <c r="C61" s="282" t="s">
        <v>960</v>
      </c>
      <c r="D61" s="951"/>
      <c r="E61" s="951"/>
    </row>
    <row r="62" spans="1:5" s="186" customFormat="1" ht="12" customHeight="1" x14ac:dyDescent="0.25">
      <c r="A62" s="288" t="s">
        <v>880</v>
      </c>
      <c r="B62" s="288" t="s">
        <v>961</v>
      </c>
      <c r="C62" s="290" t="s">
        <v>962</v>
      </c>
      <c r="D62" s="956"/>
      <c r="E62" s="956"/>
    </row>
    <row r="63" spans="1:5" s="186" customFormat="1" ht="12" customHeight="1" x14ac:dyDescent="0.25">
      <c r="A63" s="288" t="s">
        <v>963</v>
      </c>
      <c r="B63" s="288" t="s">
        <v>964</v>
      </c>
      <c r="C63" s="290" t="s">
        <v>965</v>
      </c>
      <c r="D63" s="956"/>
      <c r="E63" s="956"/>
    </row>
    <row r="64" spans="1:5" s="285" customFormat="1" ht="12" customHeight="1" x14ac:dyDescent="0.25">
      <c r="A64" s="280" t="s">
        <v>966</v>
      </c>
      <c r="B64" s="294" t="s">
        <v>967</v>
      </c>
      <c r="C64" s="282" t="s">
        <v>968</v>
      </c>
      <c r="D64" s="951"/>
      <c r="E64" s="951"/>
    </row>
    <row r="65" spans="1:5" s="186" customFormat="1" ht="12" customHeight="1" x14ac:dyDescent="0.25">
      <c r="A65" s="280" t="s">
        <v>836</v>
      </c>
      <c r="B65" s="294" t="s">
        <v>969</v>
      </c>
      <c r="C65" s="282" t="s">
        <v>970</v>
      </c>
      <c r="D65" s="951"/>
      <c r="E65" s="951"/>
    </row>
    <row r="66" spans="1:5" s="295" customFormat="1" ht="12" customHeight="1" x14ac:dyDescent="0.25">
      <c r="A66" s="286" t="s">
        <v>880</v>
      </c>
      <c r="B66" s="283" t="s">
        <v>971</v>
      </c>
      <c r="C66" s="290" t="s">
        <v>972</v>
      </c>
      <c r="D66" s="954"/>
      <c r="E66" s="954"/>
    </row>
    <row r="67" spans="1:5" s="186" customFormat="1" ht="12" customHeight="1" x14ac:dyDescent="0.25">
      <c r="A67" s="288" t="s">
        <v>973</v>
      </c>
      <c r="B67" s="296" t="s">
        <v>974</v>
      </c>
      <c r="C67" s="290" t="s">
        <v>975</v>
      </c>
      <c r="D67" s="956">
        <v>76057</v>
      </c>
      <c r="E67" s="956">
        <v>142365</v>
      </c>
    </row>
    <row r="68" spans="1:5" ht="12" customHeight="1" x14ac:dyDescent="0.2">
      <c r="A68" s="280" t="s">
        <v>976</v>
      </c>
      <c r="B68" s="281" t="s">
        <v>977</v>
      </c>
      <c r="C68" s="282" t="s">
        <v>978</v>
      </c>
      <c r="D68" s="957"/>
      <c r="E68" s="951"/>
    </row>
    <row r="69" spans="1:5" ht="12" customHeight="1" x14ac:dyDescent="0.2">
      <c r="A69" s="297" t="s">
        <v>973</v>
      </c>
      <c r="B69" s="298" t="s">
        <v>979</v>
      </c>
      <c r="C69" s="299" t="s">
        <v>980</v>
      </c>
      <c r="D69" s="958">
        <v>50683</v>
      </c>
      <c r="E69" s="958">
        <v>120260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300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zoomScaleNormal="10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386</v>
      </c>
    </row>
    <row r="2" spans="1:4" ht="17.25" thickBot="1" x14ac:dyDescent="0.35">
      <c r="A2" s="5" t="s">
        <v>8</v>
      </c>
    </row>
    <row r="3" spans="1:4" ht="19.5" customHeight="1" thickTop="1" thickBot="1" x14ac:dyDescent="0.3">
      <c r="A3" s="1358" t="s">
        <v>387</v>
      </c>
      <c r="B3" s="1358" t="s">
        <v>388</v>
      </c>
      <c r="C3" s="1360" t="s">
        <v>389</v>
      </c>
      <c r="D3" s="1361"/>
    </row>
    <row r="4" spans="1:4" ht="33" customHeight="1" thickTop="1" thickBot="1" x14ac:dyDescent="0.3">
      <c r="A4" s="1359"/>
      <c r="B4" s="1359"/>
      <c r="C4" s="38" t="s">
        <v>2</v>
      </c>
      <c r="D4" s="38" t="s">
        <v>390</v>
      </c>
    </row>
    <row r="5" spans="1:4" ht="18.75" customHeight="1" thickTop="1" thickBot="1" x14ac:dyDescent="0.3">
      <c r="A5" s="132"/>
      <c r="B5" s="135"/>
      <c r="C5" s="80"/>
      <c r="D5" s="80"/>
    </row>
    <row r="6" spans="1:4" ht="18.75" customHeight="1" thickBot="1" x14ac:dyDescent="0.3">
      <c r="A6" s="132"/>
      <c r="B6" s="135"/>
      <c r="C6" s="80"/>
      <c r="D6" s="80"/>
    </row>
    <row r="7" spans="1:4" ht="18.75" customHeight="1" thickBot="1" x14ac:dyDescent="0.3">
      <c r="A7" s="133"/>
      <c r="B7" s="123"/>
      <c r="C7" s="80"/>
      <c r="D7" s="80"/>
    </row>
    <row r="8" spans="1:4" ht="18.75" customHeight="1" thickBot="1" x14ac:dyDescent="0.3">
      <c r="A8" s="133"/>
      <c r="B8" s="123"/>
      <c r="C8" s="80"/>
      <c r="D8" s="80"/>
    </row>
    <row r="9" spans="1:4" ht="18.75" customHeight="1" thickBot="1" x14ac:dyDescent="0.3">
      <c r="A9" s="133"/>
      <c r="B9" s="123"/>
      <c r="C9" s="80"/>
      <c r="D9" s="80"/>
    </row>
    <row r="10" spans="1:4" ht="18.75" customHeight="1" thickBot="1" x14ac:dyDescent="0.3">
      <c r="A10" s="133"/>
      <c r="B10" s="123"/>
      <c r="C10" s="80"/>
      <c r="D10" s="80"/>
    </row>
    <row r="11" spans="1:4" ht="18.75" customHeight="1" thickBot="1" x14ac:dyDescent="0.3">
      <c r="A11" s="133"/>
      <c r="B11" s="123"/>
      <c r="C11" s="80"/>
      <c r="D11" s="80"/>
    </row>
    <row r="12" spans="1:4" ht="18.75" customHeight="1" thickBot="1" x14ac:dyDescent="0.3">
      <c r="A12" s="133"/>
      <c r="B12" s="123"/>
      <c r="C12" s="80"/>
      <c r="D12" s="80"/>
    </row>
    <row r="13" spans="1:4" ht="18.75" customHeight="1" thickBot="1" x14ac:dyDescent="0.3">
      <c r="A13" s="132"/>
      <c r="B13" s="135"/>
      <c r="C13" s="80"/>
      <c r="D13" s="80"/>
    </row>
    <row r="14" spans="1:4" ht="18.75" customHeight="1" thickBot="1" x14ac:dyDescent="0.3">
      <c r="A14" s="134"/>
      <c r="B14" s="124"/>
      <c r="C14" s="78"/>
      <c r="D14" s="78"/>
    </row>
    <row r="15" spans="1:4" ht="15.75" thickTop="1" x14ac:dyDescent="0.25">
      <c r="A15" s="20"/>
      <c r="B15" s="20"/>
      <c r="C15" s="20"/>
      <c r="D15" s="20"/>
    </row>
    <row r="16" spans="1:4" ht="15.75" thickBot="1" x14ac:dyDescent="0.3">
      <c r="A16" s="20" t="s">
        <v>391</v>
      </c>
      <c r="B16" s="20"/>
      <c r="C16" s="20"/>
      <c r="D16" s="20"/>
    </row>
    <row r="17" spans="1:4" ht="19.5" customHeight="1" thickTop="1" thickBot="1" x14ac:dyDescent="0.3">
      <c r="A17" s="1358" t="s">
        <v>488</v>
      </c>
      <c r="B17" s="1358" t="s">
        <v>388</v>
      </c>
      <c r="C17" s="1360" t="s">
        <v>389</v>
      </c>
      <c r="D17" s="1361"/>
    </row>
    <row r="18" spans="1:4" ht="33" customHeight="1" thickTop="1" thickBot="1" x14ac:dyDescent="0.3">
      <c r="A18" s="1359"/>
      <c r="B18" s="1359"/>
      <c r="C18" s="38" t="s">
        <v>2</v>
      </c>
      <c r="D18" s="38" t="s">
        <v>390</v>
      </c>
    </row>
    <row r="19" spans="1:4" ht="18.75" customHeight="1" thickTop="1" thickBot="1" x14ac:dyDescent="0.3">
      <c r="A19" s="108"/>
      <c r="B19" s="123"/>
      <c r="C19" s="80"/>
      <c r="D19" s="80"/>
    </row>
    <row r="20" spans="1:4" ht="18.75" customHeight="1" thickBot="1" x14ac:dyDescent="0.3">
      <c r="A20" s="108"/>
      <c r="B20" s="123"/>
      <c r="C20" s="80"/>
      <c r="D20" s="80"/>
    </row>
    <row r="21" spans="1:4" ht="18.75" customHeight="1" thickBot="1" x14ac:dyDescent="0.3">
      <c r="A21" s="108"/>
      <c r="B21" s="123"/>
      <c r="C21" s="80"/>
      <c r="D21" s="80"/>
    </row>
    <row r="22" spans="1:4" ht="18.75" customHeight="1" thickBot="1" x14ac:dyDescent="0.3">
      <c r="A22" s="108"/>
      <c r="B22" s="123"/>
      <c r="C22" s="80"/>
      <c r="D22" s="80"/>
    </row>
    <row r="23" spans="1:4" ht="18.75" customHeight="1" thickBot="1" x14ac:dyDescent="0.3">
      <c r="A23" s="108"/>
      <c r="B23" s="123"/>
      <c r="C23" s="80"/>
      <c r="D23" s="80"/>
    </row>
    <row r="24" spans="1:4" ht="18.75" customHeight="1" thickBot="1" x14ac:dyDescent="0.3">
      <c r="A24" s="108"/>
      <c r="B24" s="123"/>
      <c r="C24" s="80"/>
      <c r="D24" s="80"/>
    </row>
    <row r="25" spans="1:4" ht="18.75" customHeight="1" thickBot="1" x14ac:dyDescent="0.3">
      <c r="A25" s="108"/>
      <c r="B25" s="123"/>
      <c r="C25" s="80"/>
      <c r="D25" s="80"/>
    </row>
    <row r="26" spans="1:4" ht="18.75" customHeight="1" thickBot="1" x14ac:dyDescent="0.3">
      <c r="A26" s="108"/>
      <c r="B26" s="123"/>
      <c r="C26" s="80"/>
      <c r="D26" s="80"/>
    </row>
    <row r="27" spans="1:4" ht="18.75" customHeight="1" thickBot="1" x14ac:dyDescent="0.3">
      <c r="A27" s="109"/>
      <c r="B27" s="124"/>
      <c r="C27" s="78"/>
      <c r="D27" s="78"/>
    </row>
    <row r="28" spans="1:4" ht="17.25" thickTop="1" x14ac:dyDescent="0.3">
      <c r="A28" s="2"/>
    </row>
    <row r="29" spans="1:4" ht="16.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K53"/>
  <sheetViews>
    <sheetView showGridLines="0" view="pageBreakPreview" zoomScaleNormal="100" zoomScaleSheetLayoutView="100" workbookViewId="0"/>
  </sheetViews>
  <sheetFormatPr defaultRowHeight="12.75" x14ac:dyDescent="0.25"/>
  <cols>
    <col min="1" max="45" width="2.5703125" style="441" customWidth="1"/>
    <col min="46" max="46" width="7.7109375" style="441" customWidth="1"/>
    <col min="47" max="61" width="2.5703125" style="441" customWidth="1"/>
    <col min="62" max="16384" width="9.140625" style="441"/>
  </cols>
  <sheetData>
    <row r="1" spans="1:37" s="551" customFormat="1" ht="9.75" x14ac:dyDescent="0.25">
      <c r="C1" s="552" t="s">
        <v>1143</v>
      </c>
    </row>
    <row r="2" spans="1:37" s="448" customFormat="1" ht="21" customHeight="1" x14ac:dyDescent="0.25">
      <c r="C2" s="550" t="s">
        <v>1144</v>
      </c>
      <c r="D2" s="549"/>
      <c r="E2" s="549"/>
      <c r="F2" s="549"/>
      <c r="G2" s="549"/>
      <c r="H2" s="549"/>
      <c r="I2" s="549"/>
      <c r="J2" s="548"/>
      <c r="Q2" s="547" t="s">
        <v>1145</v>
      </c>
    </row>
    <row r="3" spans="1:37" ht="13.5" thickBot="1" x14ac:dyDescent="0.3"/>
    <row r="4" spans="1:37" ht="28.5" customHeight="1" thickBot="1" x14ac:dyDescent="0.3">
      <c r="K4" s="546" t="s">
        <v>1146</v>
      </c>
      <c r="L4" s="545" t="str">
        <f>+MID('Input data'!$B$11,1,1)</f>
        <v>3</v>
      </c>
      <c r="M4" s="545" t="str">
        <f>+MID('Input data'!$B$11,2,1)</f>
        <v>1</v>
      </c>
      <c r="N4" s="545" t="s">
        <v>1147</v>
      </c>
      <c r="O4" s="545" t="str">
        <f>LEFT('Input data'!B13,1)</f>
        <v>1</v>
      </c>
      <c r="P4" s="545" t="str">
        <f>RIGHT('Input data'!B13,1)</f>
        <v>2</v>
      </c>
      <c r="Q4" s="545" t="s">
        <v>1147</v>
      </c>
      <c r="R4" s="545" t="str">
        <f>+LEFT('Input data'!$B$14,1)</f>
        <v>2</v>
      </c>
      <c r="S4" s="545" t="str">
        <f>+MID('Input data'!$B$14,2,1)</f>
        <v>0</v>
      </c>
      <c r="T4" s="545" t="str">
        <f>+MID('Input data'!$B$14,3,1)</f>
        <v>1</v>
      </c>
      <c r="U4" s="545" t="str">
        <f>+MID('Input data'!$B$14,4,1)</f>
        <v>3</v>
      </c>
      <c r="V4" s="544" t="s">
        <v>1148</v>
      </c>
      <c r="W4" s="543"/>
      <c r="X4" s="543"/>
      <c r="Y4" s="543"/>
      <c r="Z4" s="542"/>
    </row>
    <row r="5" spans="1:37" ht="7.5" customHeight="1" thickBot="1" x14ac:dyDescent="0.3"/>
    <row r="6" spans="1:37" s="538" customFormat="1" ht="14.25" customHeight="1" x14ac:dyDescent="0.25">
      <c r="A6" s="541" t="s">
        <v>1149</v>
      </c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39"/>
    </row>
    <row r="7" spans="1:37" s="442" customFormat="1" ht="15" customHeight="1" x14ac:dyDescent="0.25">
      <c r="A7" s="454" t="s">
        <v>1150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537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537"/>
    </row>
    <row r="8" spans="1:37" s="533" customFormat="1" ht="18" customHeight="1" thickBot="1" x14ac:dyDescent="0.3">
      <c r="A8" s="536" t="s">
        <v>1151</v>
      </c>
      <c r="B8" s="535"/>
      <c r="C8" s="535"/>
      <c r="D8" s="535"/>
      <c r="E8" s="536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4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4"/>
    </row>
    <row r="9" spans="1:37" s="513" customFormat="1" ht="3.75" customHeight="1" thickBot="1" x14ac:dyDescent="0.3"/>
    <row r="10" spans="1:37" s="513" customFormat="1" ht="14.25" customHeight="1" x14ac:dyDescent="0.25">
      <c r="A10" s="515" t="s">
        <v>1152</v>
      </c>
      <c r="B10" s="514"/>
      <c r="C10" s="514"/>
      <c r="D10" s="514"/>
      <c r="E10" s="514"/>
      <c r="F10" s="514"/>
      <c r="G10" s="514"/>
      <c r="H10" s="514"/>
      <c r="I10" s="458"/>
      <c r="J10" s="457"/>
      <c r="K10" s="531" t="s">
        <v>1153</v>
      </c>
      <c r="L10" s="514"/>
      <c r="M10" s="532"/>
      <c r="N10" s="532"/>
      <c r="O10" s="532"/>
      <c r="P10" s="514"/>
      <c r="Q10" s="531" t="s">
        <v>1153</v>
      </c>
      <c r="R10" s="514"/>
      <c r="S10" s="458"/>
      <c r="T10" s="514"/>
      <c r="U10" s="514"/>
      <c r="V10" s="530"/>
      <c r="W10" s="514"/>
      <c r="X10" s="514"/>
      <c r="Y10" s="514"/>
      <c r="Z10" s="514"/>
      <c r="AA10" s="514"/>
      <c r="AB10" s="514"/>
      <c r="AC10" s="514"/>
      <c r="AD10" s="531" t="s">
        <v>1154</v>
      </c>
      <c r="AE10" s="531"/>
      <c r="AF10" s="531"/>
      <c r="AG10" s="531" t="s">
        <v>1155</v>
      </c>
      <c r="AH10" s="514"/>
      <c r="AI10" s="514"/>
      <c r="AJ10" s="514"/>
      <c r="AK10" s="530"/>
    </row>
    <row r="11" spans="1:37" s="513" customFormat="1" ht="19.5" customHeight="1" x14ac:dyDescent="0.2">
      <c r="A11" s="527" t="str">
        <f>LEFT('Input data'!C24,1)</f>
        <v>2</v>
      </c>
      <c r="B11" s="492" t="str">
        <f>MID('Input data'!$C$24,2,1)</f>
        <v>0</v>
      </c>
      <c r="C11" s="492" t="str">
        <f>MID('Input data'!$C$24,3,1)</f>
        <v>2</v>
      </c>
      <c r="D11" s="492" t="str">
        <f>MID('Input data'!$C$24,4,1)</f>
        <v>1</v>
      </c>
      <c r="E11" s="492" t="str">
        <f>MID('Input data'!$C$24,5,1)</f>
        <v>8</v>
      </c>
      <c r="F11" s="492" t="str">
        <f>MID('Input data'!$C$24,6,1)</f>
        <v>7</v>
      </c>
      <c r="G11" s="492" t="str">
        <f>MID('Input data'!$C$24,7,1)</f>
        <v>0</v>
      </c>
      <c r="H11" s="492" t="str">
        <f>MID('Input data'!$C$24,8,1)</f>
        <v>2</v>
      </c>
      <c r="I11" s="492" t="str">
        <f>MID('Input data'!$C$24,9,1)</f>
        <v>9</v>
      </c>
      <c r="J11" s="499" t="str">
        <f>MID('Input data'!$C$24,10,1)</f>
        <v>0</v>
      </c>
      <c r="K11" s="450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522"/>
      <c r="W11" s="521" t="s">
        <v>1156</v>
      </c>
      <c r="X11" s="516"/>
      <c r="Y11" s="516"/>
      <c r="Z11" s="516"/>
      <c r="AA11" s="516"/>
      <c r="AB11" s="521" t="s">
        <v>1157</v>
      </c>
      <c r="AC11" s="516"/>
      <c r="AD11" s="492" t="str">
        <f>MID('Input data'!$B$8,1,1)</f>
        <v>0</v>
      </c>
      <c r="AE11" s="492" t="str">
        <f>MID('Input data'!$B$8,2,1)</f>
        <v>1</v>
      </c>
      <c r="AF11" s="492"/>
      <c r="AG11" s="492" t="str">
        <f>MID('Input data'!$B$9,1,1)</f>
        <v>2</v>
      </c>
      <c r="AH11" s="492" t="str">
        <f>MID('Input data'!$B$9,2,1)</f>
        <v>0</v>
      </c>
      <c r="AI11" s="492" t="str">
        <f>MID('Input data'!$B$9,3,1)</f>
        <v>1</v>
      </c>
      <c r="AJ11" s="492" t="str">
        <f>MID('Input data'!$B$9,4,1)</f>
        <v>3</v>
      </c>
      <c r="AK11" s="522"/>
    </row>
    <row r="12" spans="1:37" s="513" customFormat="1" ht="19.5" customHeight="1" thickBot="1" x14ac:dyDescent="0.3">
      <c r="A12" s="454" t="s">
        <v>1158</v>
      </c>
      <c r="B12" s="516"/>
      <c r="C12" s="516"/>
      <c r="D12" s="516"/>
      <c r="E12" s="516"/>
      <c r="F12" s="516"/>
      <c r="G12" s="516"/>
      <c r="H12" s="450"/>
      <c r="I12" s="450"/>
      <c r="J12" s="449"/>
      <c r="K12" s="450"/>
      <c r="L12" s="529" t="str">
        <f>IF('Input data'!D7="x","x"," ")</f>
        <v>x</v>
      </c>
      <c r="M12" s="521" t="s">
        <v>1159</v>
      </c>
      <c r="N12" s="523"/>
      <c r="O12" s="523"/>
      <c r="P12" s="523"/>
      <c r="Q12" s="523"/>
      <c r="R12" s="529" t="str">
        <f>IF('Input data'!D16="x","x"," ")</f>
        <v>x</v>
      </c>
      <c r="S12" s="521" t="s">
        <v>1160</v>
      </c>
      <c r="T12" s="516"/>
      <c r="U12" s="516"/>
      <c r="V12" s="522"/>
      <c r="W12" s="528"/>
      <c r="X12" s="518"/>
      <c r="Y12" s="518"/>
      <c r="Z12" s="518"/>
      <c r="AA12" s="518"/>
      <c r="AB12" s="517" t="s">
        <v>1161</v>
      </c>
      <c r="AC12" s="518"/>
      <c r="AD12" s="490" t="str">
        <f>MID('Input data'!$B$13,1,1)</f>
        <v>1</v>
      </c>
      <c r="AE12" s="490" t="str">
        <f>MID('Input data'!$B$13,2,1)</f>
        <v>2</v>
      </c>
      <c r="AF12" s="490"/>
      <c r="AG12" s="490" t="str">
        <f>MID('Input data'!$B$14,1,1)</f>
        <v>2</v>
      </c>
      <c r="AH12" s="490" t="str">
        <f>MID('Input data'!$B$14,2,1)</f>
        <v>0</v>
      </c>
      <c r="AI12" s="490" t="str">
        <f>MID('Input data'!$B$14,3,1)</f>
        <v>1</v>
      </c>
      <c r="AJ12" s="490" t="str">
        <f>MID('Input data'!$B$14,4,1)</f>
        <v>3</v>
      </c>
      <c r="AK12" s="519"/>
    </row>
    <row r="13" spans="1:37" s="513" customFormat="1" ht="19.5" customHeight="1" x14ac:dyDescent="0.2">
      <c r="A13" s="527" t="str">
        <f>LEFT('Input data'!C26,1)</f>
        <v>3</v>
      </c>
      <c r="B13" s="492" t="str">
        <f>MID('Input data'!$C$26,2,1)</f>
        <v>5</v>
      </c>
      <c r="C13" s="492" t="str">
        <f>MID('Input data'!$C$26,3,1)</f>
        <v>8</v>
      </c>
      <c r="D13" s="492" t="str">
        <f>MID('Input data'!$C$26,4,1)</f>
        <v>9</v>
      </c>
      <c r="E13" s="492" t="str">
        <f>MID('Input data'!$C$26,5,1)</f>
        <v>6</v>
      </c>
      <c r="F13" s="492" t="str">
        <f>MID('Input data'!$C$26,6,1)</f>
        <v>2</v>
      </c>
      <c r="G13" s="492" t="str">
        <f>MID('Input data'!$C$26,7,1)</f>
        <v>8</v>
      </c>
      <c r="H13" s="492" t="str">
        <f>MID('Input data'!$C$26,8,1)</f>
        <v>1</v>
      </c>
      <c r="I13" s="450"/>
      <c r="J13" s="449"/>
      <c r="K13" s="450"/>
      <c r="L13" s="525" t="str">
        <f>IF('Input data'!D8="x","x", "")</f>
        <v/>
      </c>
      <c r="M13" s="521" t="s">
        <v>1162</v>
      </c>
      <c r="N13" s="523"/>
      <c r="O13" s="523"/>
      <c r="P13" s="523"/>
      <c r="Q13" s="523"/>
      <c r="R13" s="526" t="str">
        <f>IF('Input data'!D17="x","x"," ")</f>
        <v xml:space="preserve"> </v>
      </c>
      <c r="S13" s="521" t="s">
        <v>1163</v>
      </c>
      <c r="T13" s="516"/>
      <c r="U13" s="516"/>
      <c r="V13" s="522"/>
      <c r="W13" s="521" t="s">
        <v>1164</v>
      </c>
      <c r="X13" s="516"/>
      <c r="Y13" s="453"/>
      <c r="Z13" s="450"/>
      <c r="AA13" s="450"/>
      <c r="AB13" s="523"/>
      <c r="AC13" s="450"/>
      <c r="AD13" s="525"/>
      <c r="AE13" s="525"/>
      <c r="AF13" s="525"/>
      <c r="AG13" s="525"/>
      <c r="AH13" s="525"/>
      <c r="AI13" s="525"/>
      <c r="AJ13" s="525"/>
      <c r="AK13" s="449"/>
    </row>
    <row r="14" spans="1:37" s="513" customFormat="1" ht="19.5" customHeight="1" x14ac:dyDescent="0.2">
      <c r="A14" s="454" t="s">
        <v>1165</v>
      </c>
      <c r="B14" s="516"/>
      <c r="C14" s="516"/>
      <c r="D14" s="516"/>
      <c r="E14" s="516"/>
      <c r="F14" s="516"/>
      <c r="G14" s="516"/>
      <c r="H14" s="516"/>
      <c r="I14" s="450"/>
      <c r="J14" s="449"/>
      <c r="K14" s="450"/>
      <c r="L14" s="450"/>
      <c r="M14" s="521"/>
      <c r="N14" s="523"/>
      <c r="O14" s="523"/>
      <c r="P14" s="523"/>
      <c r="Q14" s="523"/>
      <c r="R14" s="524" t="s">
        <v>1166</v>
      </c>
      <c r="S14" s="523"/>
      <c r="T14" s="516"/>
      <c r="U14" s="516"/>
      <c r="V14" s="522"/>
      <c r="W14" s="521" t="s">
        <v>987</v>
      </c>
      <c r="X14" s="516"/>
      <c r="Y14" s="453"/>
      <c r="Z14" s="450"/>
      <c r="AA14" s="450"/>
      <c r="AB14" s="521" t="s">
        <v>1157</v>
      </c>
      <c r="AC14" s="450"/>
      <c r="AD14" s="492" t="str">
        <f>MID('Input data'!$B$18,1,1)</f>
        <v>0</v>
      </c>
      <c r="AE14" s="492" t="str">
        <f>MID('Input data'!$B$18,2,1)</f>
        <v>1</v>
      </c>
      <c r="AF14" s="492"/>
      <c r="AG14" s="492" t="str">
        <f>MID('Input data'!$B$19,1,1)</f>
        <v>2</v>
      </c>
      <c r="AH14" s="492" t="str">
        <f>MID('Input data'!$B$19,2,1)</f>
        <v>0</v>
      </c>
      <c r="AI14" s="492" t="str">
        <f>MID('Input data'!$B$19,3,1)</f>
        <v>1</v>
      </c>
      <c r="AJ14" s="492" t="str">
        <f>MID('Input data'!$B$19,4,1)</f>
        <v>2</v>
      </c>
      <c r="AK14" s="449"/>
    </row>
    <row r="15" spans="1:37" s="513" customFormat="1" ht="19.5" customHeight="1" thickBot="1" x14ac:dyDescent="0.25">
      <c r="A15" s="520" t="str">
        <f>LEFT('Input data'!$E$12,1)</f>
        <v>7</v>
      </c>
      <c r="B15" s="445" t="str">
        <f>MID('Input data'!$E$12,2,1)</f>
        <v>3</v>
      </c>
      <c r="C15" s="518" t="s">
        <v>1147</v>
      </c>
      <c r="D15" s="445" t="str">
        <f>MID('Input data'!$E$12,3,1)</f>
        <v>1</v>
      </c>
      <c r="E15" s="445" t="str">
        <f>MID('Input data'!$E$12,4,1)</f>
        <v>1</v>
      </c>
      <c r="F15" s="469" t="s">
        <v>1147</v>
      </c>
      <c r="G15" s="445" t="str">
        <f>MID('Input data'!$E$12,5,1)</f>
        <v>0</v>
      </c>
      <c r="H15" s="445"/>
      <c r="I15" s="445"/>
      <c r="J15" s="444"/>
      <c r="K15" s="445"/>
      <c r="L15" s="445"/>
      <c r="M15" s="445"/>
      <c r="N15" s="445"/>
      <c r="O15" s="445"/>
      <c r="P15" s="445"/>
      <c r="Q15" s="445"/>
      <c r="R15" s="445"/>
      <c r="S15" s="445"/>
      <c r="T15" s="518"/>
      <c r="U15" s="518"/>
      <c r="V15" s="519"/>
      <c r="W15" s="517" t="s">
        <v>1167</v>
      </c>
      <c r="X15" s="518"/>
      <c r="Y15" s="446"/>
      <c r="Z15" s="445"/>
      <c r="AA15" s="445"/>
      <c r="AB15" s="517" t="s">
        <v>1161</v>
      </c>
      <c r="AC15" s="445"/>
      <c r="AD15" s="490" t="str">
        <f>MID('Input data'!$B$21,1,1)</f>
        <v>1</v>
      </c>
      <c r="AE15" s="490" t="str">
        <f>MID('Input data'!$B$21,2,1)</f>
        <v>2</v>
      </c>
      <c r="AF15" s="490"/>
      <c r="AG15" s="490" t="str">
        <f>MID('Input data'!$B$22,1,1)</f>
        <v>2</v>
      </c>
      <c r="AH15" s="490" t="str">
        <f>MID('Input data'!$B$22,2,1)</f>
        <v>0</v>
      </c>
      <c r="AI15" s="490" t="str">
        <f>MID('Input data'!$B$22,3,1)</f>
        <v>1</v>
      </c>
      <c r="AJ15" s="490" t="str">
        <f>MID('Input data'!$B$22,4,1)</f>
        <v>2</v>
      </c>
      <c r="AK15" s="444"/>
    </row>
    <row r="16" spans="1:37" s="513" customFormat="1" ht="4.5" customHeight="1" x14ac:dyDescent="0.25">
      <c r="A16" s="516"/>
      <c r="B16" s="516"/>
      <c r="C16" s="516"/>
      <c r="D16" s="516"/>
      <c r="E16" s="516"/>
      <c r="F16" s="514"/>
      <c r="G16" s="516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516"/>
      <c r="U16" s="516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</row>
    <row r="17" spans="1:37" s="513" customFormat="1" ht="3" customHeight="1" thickBot="1" x14ac:dyDescent="0.3"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3"/>
      <c r="AG17" s="443"/>
      <c r="AH17" s="443"/>
      <c r="AI17" s="443"/>
      <c r="AJ17" s="443"/>
      <c r="AK17" s="443"/>
    </row>
    <row r="18" spans="1:37" s="513" customFormat="1" ht="16.5" x14ac:dyDescent="0.25">
      <c r="A18" s="515" t="s">
        <v>1168</v>
      </c>
      <c r="B18" s="514"/>
      <c r="C18" s="514"/>
      <c r="D18" s="514"/>
      <c r="E18" s="514"/>
      <c r="F18" s="514"/>
      <c r="G18" s="514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514"/>
      <c r="U18" s="514"/>
      <c r="V18" s="514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7"/>
    </row>
    <row r="19" spans="1:37" s="513" customFormat="1" ht="19.5" customHeight="1" x14ac:dyDescent="0.25">
      <c r="A19" s="500" t="str">
        <f>+LEFT('Input data'!$F$3,1)</f>
        <v>V</v>
      </c>
      <c r="B19" s="492" t="str">
        <f>+MID('Input data'!$F$3,2,1)</f>
        <v>i</v>
      </c>
      <c r="C19" s="492" t="str">
        <f>+MID('Input data'!$F$3,3,1)</f>
        <v>z</v>
      </c>
      <c r="D19" s="492" t="str">
        <f>+MID('Input data'!$F$3,4,1)</f>
        <v>e</v>
      </c>
      <c r="E19" s="492" t="str">
        <f>+MID('Input data'!$F$3,5,1)</f>
        <v>u</v>
      </c>
      <c r="F19" s="492" t="str">
        <f>+MID('Input data'!$F$3,6,1)</f>
        <v>m</v>
      </c>
      <c r="G19" s="492" t="str">
        <f>+MID('Input data'!$F$3,7,1)</f>
        <v xml:space="preserve"> </v>
      </c>
      <c r="H19" s="492" t="str">
        <f>+MID('Input data'!$F$3,8,1)</f>
        <v>S</v>
      </c>
      <c r="I19" s="492" t="str">
        <f>+MID('Input data'!$F$3,9,1)</f>
        <v>l</v>
      </c>
      <c r="J19" s="492" t="str">
        <f>+MID('Input data'!$F$3,10,1)</f>
        <v>o</v>
      </c>
      <c r="K19" s="492" t="str">
        <f>+MID('Input data'!$F$3,11,1)</f>
        <v>v</v>
      </c>
      <c r="L19" s="492" t="str">
        <f>+MID('Input data'!$F$3,12,1)</f>
        <v>a</v>
      </c>
      <c r="M19" s="492" t="str">
        <f>+MID('Input data'!$F$3,13,1)</f>
        <v>k</v>
      </c>
      <c r="N19" s="492" t="str">
        <f>+MID('Input data'!$F$3,14,1)</f>
        <v>i</v>
      </c>
      <c r="O19" s="492" t="str">
        <f>+MID('Input data'!$F$3,15,1)</f>
        <v>a</v>
      </c>
      <c r="P19" s="492" t="str">
        <f>+MID('Input data'!$F$3,16,1)</f>
        <v>,</v>
      </c>
      <c r="Q19" s="492" t="str">
        <f>+MID('Input data'!$F$3,17,1)</f>
        <v xml:space="preserve"> </v>
      </c>
      <c r="R19" s="492" t="str">
        <f>+MID('Input data'!$F$3,18,1)</f>
        <v>s</v>
      </c>
      <c r="S19" s="492" t="str">
        <f>+MID('Input data'!$F$3,19,1)</f>
        <v>.</v>
      </c>
      <c r="T19" s="492" t="str">
        <f>+MID('Input data'!$F$3,20,1)</f>
        <v>r</v>
      </c>
      <c r="U19" s="492" t="str">
        <f>+MID('Input data'!$F$3,21,1)</f>
        <v>.</v>
      </c>
      <c r="V19" s="492" t="str">
        <f>+MID('Input data'!$F$3,22,1)</f>
        <v>o</v>
      </c>
      <c r="W19" s="492" t="str">
        <f>+MID('Input data'!$F$3,23,1)</f>
        <v>.</v>
      </c>
      <c r="X19" s="492" t="str">
        <f>+MID('Input data'!$F$3,24,1)</f>
        <v/>
      </c>
      <c r="Y19" s="492" t="str">
        <f>+MID('Input data'!$F$3,25,1)</f>
        <v/>
      </c>
      <c r="Z19" s="492" t="str">
        <f>+MID('Input data'!$F$3,26,1)</f>
        <v/>
      </c>
      <c r="AA19" s="492" t="str">
        <f>+MID('Input data'!$F$3,27,1)</f>
        <v/>
      </c>
      <c r="AB19" s="492" t="str">
        <f>+MID('Input data'!$F$3,28,1)</f>
        <v/>
      </c>
      <c r="AC19" s="492" t="str">
        <f>+MID('Input data'!$F$3,29,1)</f>
        <v/>
      </c>
      <c r="AD19" s="492" t="str">
        <f>+MID('Input data'!$F$3,30,1)</f>
        <v/>
      </c>
      <c r="AE19" s="492" t="str">
        <f>+MID('Input data'!$F$3,31,1)</f>
        <v/>
      </c>
      <c r="AF19" s="492" t="str">
        <f>+MID('Input data'!$F$3,32,1)</f>
        <v/>
      </c>
      <c r="AG19" s="492" t="str">
        <f>+MID('Input data'!$F$3,33,1)</f>
        <v/>
      </c>
      <c r="AH19" s="492" t="str">
        <f>+MID('Input data'!$E$3,34,1)</f>
        <v/>
      </c>
      <c r="AI19" s="492" t="str">
        <f>+MID('Input data'!$E$3,35,1)</f>
        <v/>
      </c>
      <c r="AJ19" s="492" t="str">
        <f>+MID('Input data'!$E$3,36,1)</f>
        <v/>
      </c>
      <c r="AK19" s="499" t="str">
        <f>+MID('Input data'!$E$3,37,1)</f>
        <v/>
      </c>
    </row>
    <row r="20" spans="1:37" ht="19.5" customHeight="1" x14ac:dyDescent="0.25">
      <c r="A20" s="500" t="str">
        <f>+MID('Input data'!$E$3,38,1)</f>
        <v/>
      </c>
      <c r="B20" s="492" t="str">
        <f>+MID('Input data'!$E$3,39,1)</f>
        <v/>
      </c>
      <c r="C20" s="492" t="str">
        <f>+MID('Input data'!$E$3,40,1)</f>
        <v/>
      </c>
      <c r="D20" s="492" t="str">
        <f>+MID('Input data'!$E$3,41,1)</f>
        <v/>
      </c>
      <c r="E20" s="492" t="str">
        <f>+MID('Input data'!$E$3,42,1)</f>
        <v/>
      </c>
      <c r="F20" s="492" t="str">
        <f>+MID('Input data'!$E$3,43,1)</f>
        <v/>
      </c>
      <c r="G20" s="492" t="str">
        <f>+MID('Input data'!$E$3,44,1)</f>
        <v/>
      </c>
      <c r="H20" s="492" t="str">
        <f>+MID('Input data'!$E$3,45,1)</f>
        <v/>
      </c>
      <c r="I20" s="492" t="str">
        <f>+MID('Input data'!$E$3,46,1)</f>
        <v/>
      </c>
      <c r="J20" s="492" t="str">
        <f>+MID('Input data'!$E$3,47,1)</f>
        <v/>
      </c>
      <c r="K20" s="492" t="str">
        <f>+MID('Input data'!$E$3,48,1)</f>
        <v/>
      </c>
      <c r="L20" s="492" t="str">
        <f>+MID('Input data'!$E$3,49,1)</f>
        <v/>
      </c>
      <c r="M20" s="492" t="str">
        <f>+MID('Input data'!$E$3,50,1)</f>
        <v/>
      </c>
      <c r="N20" s="492" t="str">
        <f>+MID('Input data'!$E$3,51,1)</f>
        <v/>
      </c>
      <c r="O20" s="492" t="str">
        <f>+MID('Input data'!$E$3,52,1)</f>
        <v/>
      </c>
      <c r="P20" s="492" t="str">
        <f>+MID('Input data'!$E$3,53,1)</f>
        <v/>
      </c>
      <c r="Q20" s="492" t="str">
        <f>+MID('Input data'!$E$3,54,1)</f>
        <v/>
      </c>
      <c r="R20" s="492" t="str">
        <f>+MID('Input data'!$E$3,55,1)</f>
        <v/>
      </c>
      <c r="S20" s="492" t="str">
        <f>+MID('Input data'!$E$3,56,1)</f>
        <v/>
      </c>
      <c r="T20" s="492" t="str">
        <f>+MID('Input data'!$E$3,57,1)</f>
        <v/>
      </c>
      <c r="U20" s="492" t="str">
        <f>+MID('Input data'!$E$3,58,1)</f>
        <v/>
      </c>
      <c r="V20" s="492" t="str">
        <f>+MID('Input data'!$E$3,59,1)</f>
        <v/>
      </c>
      <c r="W20" s="492" t="str">
        <f>+MID('Input data'!$E$3,60,1)</f>
        <v/>
      </c>
      <c r="X20" s="492" t="str">
        <f>+MID('Input data'!$E$3,61,1)</f>
        <v/>
      </c>
      <c r="Y20" s="492" t="str">
        <f>+MID('Input data'!$E$3,62,1)</f>
        <v/>
      </c>
      <c r="Z20" s="492" t="str">
        <f>+MID('Input data'!$E$3,63,1)</f>
        <v/>
      </c>
      <c r="AA20" s="492" t="str">
        <f>+MID('Input data'!$E$3,64,1)</f>
        <v/>
      </c>
      <c r="AB20" s="492" t="str">
        <f>+MID('Input data'!$E$3,65,1)</f>
        <v/>
      </c>
      <c r="AC20" s="492" t="str">
        <f>+MID('Input data'!$E$3,66,1)</f>
        <v/>
      </c>
      <c r="AD20" s="492" t="str">
        <f>+MID('Input data'!$E$3,67,1)</f>
        <v/>
      </c>
      <c r="AE20" s="492" t="str">
        <f>+MID('Input data'!$E$3,68,1)</f>
        <v/>
      </c>
      <c r="AF20" s="492" t="str">
        <f>+MID('Input data'!$E$3,69,1)</f>
        <v/>
      </c>
      <c r="AG20" s="492" t="str">
        <f>+MID('Input data'!$E$3,70,1)</f>
        <v/>
      </c>
      <c r="AH20" s="492" t="str">
        <f>+MID('Input data'!$E$3,71,1)</f>
        <v/>
      </c>
      <c r="AI20" s="492" t="str">
        <f>+MID('Input data'!$E$3,72,1)</f>
        <v/>
      </c>
      <c r="AJ20" s="492" t="str">
        <f>+MID('Input data'!$E$3,73,1)</f>
        <v/>
      </c>
      <c r="AK20" s="499" t="str">
        <f>+MID('Input data'!$E$3,74,1)</f>
        <v/>
      </c>
    </row>
    <row r="21" spans="1:37" ht="14.25" customHeight="1" x14ac:dyDescent="0.25">
      <c r="A21" s="512"/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09"/>
    </row>
    <row r="22" spans="1:37" ht="19.5" hidden="1" customHeight="1" x14ac:dyDescent="0.25">
      <c r="A22" s="508"/>
      <c r="B22" s="507"/>
      <c r="C22" s="507"/>
      <c r="D22" s="507"/>
      <c r="E22" s="507"/>
      <c r="F22" s="507"/>
      <c r="G22" s="507" t="e">
        <f>+MID('Input data'!#REF!,7,1)</f>
        <v>#REF!</v>
      </c>
      <c r="H22" s="507" t="e">
        <f>+MID('Input data'!#REF!,8,1)</f>
        <v>#REF!</v>
      </c>
      <c r="I22" s="507" t="e">
        <f>+MID('Input data'!#REF!,9,1)</f>
        <v>#REF!</v>
      </c>
      <c r="J22" s="507" t="e">
        <f>+MID('Input data'!#REF!,10,1)</f>
        <v>#REF!</v>
      </c>
      <c r="K22" s="507" t="e">
        <f>+MID('Input data'!#REF!,11,1)</f>
        <v>#REF!</v>
      </c>
      <c r="L22" s="507" t="e">
        <f>+MID('Input data'!#REF!,12,1)</f>
        <v>#REF!</v>
      </c>
      <c r="M22" s="507" t="e">
        <f>+MID('Input data'!#REF!,13,1)</f>
        <v>#REF!</v>
      </c>
      <c r="N22" s="507" t="e">
        <f>+MID('Input data'!#REF!,14,1)</f>
        <v>#REF!</v>
      </c>
      <c r="O22" s="507" t="e">
        <f>+MID('Input data'!#REF!,15,1)</f>
        <v>#REF!</v>
      </c>
      <c r="P22" s="507" t="e">
        <f>+MID('Input data'!#REF!,16,1)</f>
        <v>#REF!</v>
      </c>
      <c r="Q22" s="507" t="e">
        <f>+MID('Input data'!#REF!,17,1)</f>
        <v>#REF!</v>
      </c>
      <c r="R22" s="507" t="e">
        <f>+MID('Input data'!#REF!,18,1)</f>
        <v>#REF!</v>
      </c>
      <c r="S22" s="507" t="e">
        <f>+MID('Input data'!#REF!,19,1)</f>
        <v>#REF!</v>
      </c>
      <c r="T22" s="507" t="e">
        <f>+MID('Input data'!#REF!,20,1)</f>
        <v>#REF!</v>
      </c>
      <c r="U22" s="507" t="e">
        <f>+MID('Input data'!#REF!,21,1)</f>
        <v>#REF!</v>
      </c>
      <c r="V22" s="507" t="e">
        <f>+MID('Input data'!#REF!,22,1)</f>
        <v>#REF!</v>
      </c>
      <c r="W22" s="507" t="e">
        <f>+MID('Input data'!#REF!,23,1)</f>
        <v>#REF!</v>
      </c>
      <c r="X22" s="507" t="e">
        <f>+MID('Input data'!#REF!,24,1)</f>
        <v>#REF!</v>
      </c>
      <c r="Y22" s="507" t="e">
        <f>+MID('Input data'!#REF!,25,1)</f>
        <v>#REF!</v>
      </c>
      <c r="Z22" s="507" t="e">
        <f>+MID('Input data'!#REF!,26,1)</f>
        <v>#REF!</v>
      </c>
      <c r="AA22" s="507" t="e">
        <f>+MID('Input data'!#REF!,27,1)</f>
        <v>#REF!</v>
      </c>
      <c r="AB22" s="507" t="e">
        <f>+MID('Input data'!#REF!,28,1)</f>
        <v>#REF!</v>
      </c>
      <c r="AC22" s="507" t="e">
        <f>+MID('Input data'!#REF!,29,1)</f>
        <v>#REF!</v>
      </c>
      <c r="AD22" s="507" t="e">
        <f>+MID('Input data'!#REF!,30,1)</f>
        <v>#REF!</v>
      </c>
      <c r="AE22" s="507" t="e">
        <f>+MID('Input data'!#REF!,31,1)</f>
        <v>#REF!</v>
      </c>
      <c r="AF22" s="507" t="e">
        <f>+MID('Input data'!#REF!,32,1)</f>
        <v>#REF!</v>
      </c>
      <c r="AG22" s="507" t="e">
        <f>+MID('Input data'!#REF!,33,1)</f>
        <v>#REF!</v>
      </c>
      <c r="AH22" s="507" t="e">
        <f>+MID('Input data'!#REF!,34,1)</f>
        <v>#REF!</v>
      </c>
      <c r="AI22" s="507" t="e">
        <f>+MID('Input data'!#REF!,35,1)</f>
        <v>#REF!</v>
      </c>
      <c r="AJ22" s="507" t="e">
        <f>+MID('Input data'!#REF!,36,1)</f>
        <v>#REF!</v>
      </c>
      <c r="AK22" s="506" t="e">
        <f>+MID('Input data'!#REF!,37,1)</f>
        <v>#REF!</v>
      </c>
    </row>
    <row r="23" spans="1:37" s="501" customFormat="1" ht="12" customHeight="1" x14ac:dyDescent="0.25">
      <c r="A23" s="505" t="s">
        <v>1169</v>
      </c>
      <c r="B23" s="504"/>
      <c r="C23" s="504"/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3"/>
      <c r="X23" s="503"/>
      <c r="Y23" s="503"/>
      <c r="Z23" s="503"/>
      <c r="AA23" s="503"/>
      <c r="AB23" s="503"/>
      <c r="AC23" s="503"/>
      <c r="AD23" s="503"/>
      <c r="AE23" s="503"/>
      <c r="AF23" s="503"/>
      <c r="AG23" s="503"/>
      <c r="AH23" s="503"/>
      <c r="AI23" s="503"/>
      <c r="AJ23" s="503"/>
      <c r="AK23" s="502"/>
    </row>
    <row r="24" spans="1:37" x14ac:dyDescent="0.25">
      <c r="A24" s="497" t="s">
        <v>1170</v>
      </c>
      <c r="B24" s="455"/>
      <c r="C24" s="455"/>
      <c r="D24" s="455"/>
      <c r="E24" s="455"/>
      <c r="F24" s="455"/>
      <c r="G24" s="455"/>
      <c r="H24" s="455"/>
      <c r="I24" s="455"/>
      <c r="J24" s="455"/>
      <c r="K24" s="455"/>
      <c r="L24" s="455"/>
      <c r="M24" s="455"/>
      <c r="N24" s="455"/>
      <c r="O24" s="455"/>
      <c r="P24" s="455"/>
      <c r="Q24" s="455"/>
      <c r="R24" s="455"/>
      <c r="S24" s="455"/>
      <c r="T24" s="455"/>
      <c r="U24" s="455"/>
      <c r="V24" s="455"/>
      <c r="W24" s="450"/>
      <c r="X24" s="450"/>
      <c r="Y24" s="450"/>
      <c r="Z24" s="450"/>
      <c r="AA24" s="450"/>
      <c r="AB24" s="455"/>
      <c r="AC24" s="450"/>
      <c r="AD24" s="453" t="s">
        <v>1171</v>
      </c>
      <c r="AE24" s="450"/>
      <c r="AF24" s="450"/>
      <c r="AG24" s="450"/>
      <c r="AH24" s="450"/>
      <c r="AI24" s="450"/>
      <c r="AJ24" s="450"/>
      <c r="AK24" s="449"/>
    </row>
    <row r="25" spans="1:37" ht="19.5" customHeight="1" x14ac:dyDescent="0.25">
      <c r="A25" s="500" t="str">
        <f>+LEFT('Input data'!$C$28,1)</f>
        <v>T</v>
      </c>
      <c r="B25" s="492" t="str">
        <f>+MID('Input data'!$C$28,2,1)</f>
        <v>e</v>
      </c>
      <c r="C25" s="492" t="str">
        <f>+MID('Input data'!$C$28,3,1)</f>
        <v>s</v>
      </c>
      <c r="D25" s="492" t="str">
        <f>+MID('Input data'!$C$28,4,1)</f>
        <v>l</v>
      </c>
      <c r="E25" s="492" t="str">
        <f>+MID('Input data'!$C$28,5,1)</f>
        <v>o</v>
      </c>
      <c r="F25" s="492" t="str">
        <f>+MID('Input data'!$C$28,6,1)</f>
        <v>v</v>
      </c>
      <c r="G25" s="492" t="str">
        <f>+MID('Input data'!$C$28,7,1)</f>
        <v>a</v>
      </c>
      <c r="H25" s="492" t="str">
        <f>+MID('Input data'!$C$28,8,1)</f>
        <v/>
      </c>
      <c r="I25" s="492" t="str">
        <f>+MID('Input data'!$C$28,9,1)</f>
        <v/>
      </c>
      <c r="J25" s="492" t="str">
        <f>+MID('Input data'!$C$28,10,1)</f>
        <v/>
      </c>
      <c r="K25" s="492" t="str">
        <f>+MID('Input data'!$C$28,11,1)</f>
        <v/>
      </c>
      <c r="L25" s="492" t="str">
        <f>+MID('Input data'!$C$28,12,1)</f>
        <v/>
      </c>
      <c r="M25" s="492" t="str">
        <f>+MID('Input data'!$C$28,13,1)</f>
        <v/>
      </c>
      <c r="N25" s="492" t="str">
        <f>+MID('Input data'!$C$28,14,1)</f>
        <v/>
      </c>
      <c r="O25" s="492" t="str">
        <f>+MID('Input data'!$C$28,15,1)</f>
        <v/>
      </c>
      <c r="P25" s="492" t="str">
        <f>+MID('Input data'!$C$28,16,1)</f>
        <v/>
      </c>
      <c r="Q25" s="492" t="str">
        <f>+MID('Input data'!$C$28,17,1)</f>
        <v/>
      </c>
      <c r="R25" s="492" t="str">
        <f>+MID('Input data'!$C$28,18,1)</f>
        <v/>
      </c>
      <c r="S25" s="492" t="str">
        <f>+MID('Input data'!$C$28,19,1)</f>
        <v/>
      </c>
      <c r="T25" s="492" t="str">
        <f>+MID('Input data'!$C$28,20,1)</f>
        <v/>
      </c>
      <c r="U25" s="492" t="str">
        <f>+MID('Input data'!$C$28,21,1)</f>
        <v/>
      </c>
      <c r="V25" s="492" t="str">
        <f>+MID('Input data'!$C$28,22,1)</f>
        <v/>
      </c>
      <c r="W25" s="492" t="str">
        <f>+MID('Input data'!$C$28,23,1)</f>
        <v/>
      </c>
      <c r="X25" s="492" t="str">
        <f>+MID('Input data'!$C$28,24,1)</f>
        <v/>
      </c>
      <c r="Y25" s="492" t="str">
        <f>+MID('Input data'!$C$28,25,1)</f>
        <v/>
      </c>
      <c r="Z25" s="492" t="str">
        <f>+MID('Input data'!$C$28,26,1)</f>
        <v/>
      </c>
      <c r="AA25" s="492" t="str">
        <f>+MID('Input data'!$C$28,27,1)</f>
        <v/>
      </c>
      <c r="AB25" s="492" t="str">
        <f>+MID('Input data'!$C$28,28,1)</f>
        <v/>
      </c>
      <c r="AC25" s="494"/>
      <c r="AD25" s="492" t="str">
        <f>+LEFT('Input data'!$C$30,1)</f>
        <v>2</v>
      </c>
      <c r="AE25" s="492" t="str">
        <f>+MID('Input data'!$C$30,2,1)</f>
        <v>0</v>
      </c>
      <c r="AF25" s="492" t="str">
        <f>+MID('Input data'!$C$30,3,1)</f>
        <v/>
      </c>
      <c r="AG25" s="492" t="str">
        <f>+MID('Input data'!$C$30,4,1)</f>
        <v/>
      </c>
      <c r="AH25" s="492" t="str">
        <f>+MID('Input data'!$C$30,5,1)</f>
        <v/>
      </c>
      <c r="AI25" s="492" t="str">
        <f>+MID('Input data'!$C$30,6,1)</f>
        <v/>
      </c>
      <c r="AJ25" s="492" t="str">
        <f>+MID('Input data'!$C$30,7,1)</f>
        <v/>
      </c>
      <c r="AK25" s="499" t="str">
        <f>+MID('Input data'!$C$30,8,1)</f>
        <v/>
      </c>
    </row>
    <row r="26" spans="1:37" x14ac:dyDescent="0.25">
      <c r="A26" s="497" t="s">
        <v>1172</v>
      </c>
      <c r="B26" s="455"/>
      <c r="C26" s="455"/>
      <c r="D26" s="455"/>
      <c r="E26" s="455"/>
      <c r="F26" s="455"/>
      <c r="G26" s="496" t="s">
        <v>1173</v>
      </c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49"/>
    </row>
    <row r="27" spans="1:37" s="498" customFormat="1" ht="19.5" customHeight="1" x14ac:dyDescent="0.25">
      <c r="A27" s="500" t="str">
        <f>+LEFT('Input data'!$C$32,1)</f>
        <v>8</v>
      </c>
      <c r="B27" s="492" t="str">
        <f>+MID('Input data'!$C$32,2,1)</f>
        <v>2</v>
      </c>
      <c r="C27" s="492" t="str">
        <f>+MID('Input data'!$C$32,3,1)</f>
        <v>1</v>
      </c>
      <c r="D27" s="492" t="str">
        <f>+MID('Input data'!$C$32,4,1)</f>
        <v>0</v>
      </c>
      <c r="E27" s="492" t="str">
        <f>+MID('Input data'!$C$32,5,1)</f>
        <v>2</v>
      </c>
      <c r="F27" s="492"/>
      <c r="G27" s="492" t="str">
        <f>+LEFT('Input data'!$C$34,1)</f>
        <v>B</v>
      </c>
      <c r="H27" s="492" t="str">
        <f>+MID('Input data'!$C$34,2,1)</f>
        <v>r</v>
      </c>
      <c r="I27" s="492" t="str">
        <f>+MID('Input data'!$C$34,3,1)</f>
        <v>a</v>
      </c>
      <c r="J27" s="492" t="str">
        <f>+MID('Input data'!$C$34,4,1)</f>
        <v>t</v>
      </c>
      <c r="K27" s="492" t="str">
        <f>+MID('Input data'!$C$34,5,1)</f>
        <v>u</v>
      </c>
      <c r="L27" s="492" t="str">
        <f>+MID('Input data'!$C$34,6,1)</f>
        <v>s</v>
      </c>
      <c r="M27" s="492" t="str">
        <f>+MID('Input data'!$C$34,7,1)</f>
        <v>l</v>
      </c>
      <c r="N27" s="492" t="str">
        <f>+MID('Input data'!$C$34,8,1)</f>
        <v>a</v>
      </c>
      <c r="O27" s="492" t="str">
        <f>+MID('Input data'!$C$34,9,1)</f>
        <v>v</v>
      </c>
      <c r="P27" s="492" t="str">
        <f>+MID('Input data'!$C$34,10,1)</f>
        <v>a</v>
      </c>
      <c r="Q27" s="492" t="str">
        <f>+MID('Input data'!$C$34,11,1)</f>
        <v/>
      </c>
      <c r="R27" s="492" t="str">
        <f>+MID('Input data'!$C$34,12,1)</f>
        <v/>
      </c>
      <c r="S27" s="492" t="str">
        <f>+MID('Input data'!$C$34,13,1)</f>
        <v/>
      </c>
      <c r="T27" s="492" t="str">
        <f>+MID('Input data'!$C$34,14,1)</f>
        <v/>
      </c>
      <c r="U27" s="492" t="str">
        <f>+MID('Input data'!$C$34,15,1)</f>
        <v/>
      </c>
      <c r="V27" s="492" t="str">
        <f>+MID('Input data'!$C$34,16,1)</f>
        <v/>
      </c>
      <c r="W27" s="492" t="str">
        <f>+MID('Input data'!$C$34,17,1)</f>
        <v/>
      </c>
      <c r="X27" s="492" t="str">
        <f>+MID('Input data'!$C$34,18,1)</f>
        <v/>
      </c>
      <c r="Y27" s="492" t="str">
        <f>+MID('Input data'!$C$34,19,1)</f>
        <v/>
      </c>
      <c r="Z27" s="492" t="str">
        <f>+MID('Input data'!$C$34,20,1)</f>
        <v/>
      </c>
      <c r="AA27" s="492" t="str">
        <f>+MID('Input data'!$C$34,21,1)</f>
        <v/>
      </c>
      <c r="AB27" s="492" t="str">
        <f>+MID('Input data'!$C$34,22,1)</f>
        <v/>
      </c>
      <c r="AC27" s="492" t="str">
        <f>+MID('Input data'!$C$34,23,1)</f>
        <v/>
      </c>
      <c r="AD27" s="492" t="str">
        <f>+MID('Input data'!$C$34,24,1)</f>
        <v/>
      </c>
      <c r="AE27" s="492" t="str">
        <f>+MID('Input data'!$C$34,25,1)</f>
        <v/>
      </c>
      <c r="AF27" s="492" t="str">
        <f>+MID('Input data'!$C$34,26,1)</f>
        <v/>
      </c>
      <c r="AG27" s="492" t="str">
        <f>+MID('Input data'!$C$34,27,1)</f>
        <v/>
      </c>
      <c r="AH27" s="492" t="str">
        <f>+MID('Input data'!$C$34,28,1)</f>
        <v/>
      </c>
      <c r="AI27" s="492" t="str">
        <f>+MID('Input data'!$C$34,29,1)</f>
        <v/>
      </c>
      <c r="AJ27" s="492" t="str">
        <f>+MID('Input data'!$C$34,30,1)</f>
        <v/>
      </c>
      <c r="AK27" s="499" t="str">
        <f>+MID('Input data'!$C$34,31,1)</f>
        <v/>
      </c>
    </row>
    <row r="28" spans="1:37" x14ac:dyDescent="0.25">
      <c r="A28" s="497" t="s">
        <v>1174</v>
      </c>
      <c r="B28" s="455"/>
      <c r="C28" s="455"/>
      <c r="D28" s="455"/>
      <c r="E28" s="455"/>
      <c r="F28" s="455"/>
      <c r="G28" s="496"/>
      <c r="H28" s="496"/>
      <c r="I28" s="496"/>
      <c r="J28" s="496"/>
      <c r="K28" s="496"/>
      <c r="L28" s="496"/>
      <c r="M28" s="496"/>
      <c r="N28" s="455"/>
      <c r="O28" s="496" t="s">
        <v>1175</v>
      </c>
      <c r="P28" s="496"/>
      <c r="Q28" s="496"/>
      <c r="R28" s="496"/>
      <c r="S28" s="496"/>
      <c r="T28" s="496"/>
      <c r="U28" s="496"/>
      <c r="V28" s="496"/>
      <c r="W28" s="496"/>
      <c r="X28" s="496"/>
      <c r="Y28" s="496"/>
      <c r="Z28" s="496"/>
      <c r="AA28" s="496"/>
      <c r="AB28" s="496"/>
      <c r="AC28" s="496"/>
      <c r="AD28" s="496"/>
      <c r="AE28" s="450"/>
      <c r="AF28" s="450"/>
      <c r="AG28" s="450"/>
      <c r="AH28" s="450"/>
      <c r="AI28" s="450"/>
      <c r="AJ28" s="450"/>
      <c r="AK28" s="449"/>
    </row>
    <row r="29" spans="1:37" ht="19.5" customHeight="1" x14ac:dyDescent="0.25">
      <c r="A29" s="495">
        <v>0</v>
      </c>
      <c r="B29" s="492" t="str">
        <f>+LEFT('Input data'!$C$36,1)</f>
        <v>2</v>
      </c>
      <c r="C29" s="492" t="str">
        <f>+MID('Input data'!$C$36,2,1)</f>
        <v/>
      </c>
      <c r="D29" s="492" t="str">
        <f>+MID('Input data'!$C$36,3,1)</f>
        <v/>
      </c>
      <c r="E29" s="492" t="s">
        <v>1176</v>
      </c>
      <c r="F29" s="492" t="str">
        <f>+LEFT('Input data'!$C$38,1)</f>
        <v>4</v>
      </c>
      <c r="G29" s="492" t="str">
        <f>+MID('Input data'!$C$38,2,1)</f>
        <v>9</v>
      </c>
      <c r="H29" s="492" t="str">
        <f>+MID('Input data'!$C$38,3,1)</f>
        <v>3</v>
      </c>
      <c r="I29" s="492" t="str">
        <f>+MID('Input data'!$C$38,4,1)</f>
        <v>0</v>
      </c>
      <c r="J29" s="492" t="str">
        <f>+MID('Input data'!$C$38,5,1)</f>
        <v>0</v>
      </c>
      <c r="K29" s="492" t="str">
        <f>+MID('Input data'!$C$38,6,1)</f>
        <v>5</v>
      </c>
      <c r="L29" s="492" t="str">
        <f>+MID('Input data'!$C$38,7,1)</f>
        <v>1</v>
      </c>
      <c r="M29" s="492" t="str">
        <f>+MID('Input data'!$C$38,8,1)</f>
        <v>3</v>
      </c>
      <c r="N29" s="494"/>
      <c r="O29" s="493">
        <v>0</v>
      </c>
      <c r="P29" s="492" t="str">
        <f>+LEFT('Input data'!$C$36,1)</f>
        <v>2</v>
      </c>
      <c r="Q29" s="492" t="str">
        <f>+MID('Input data'!$C$36,2,1)</f>
        <v/>
      </c>
      <c r="R29" s="492" t="str">
        <f>+MID('Input data'!$C$36,3,1)</f>
        <v/>
      </c>
      <c r="S29" s="492" t="s">
        <v>1176</v>
      </c>
      <c r="T29" s="492" t="str">
        <f>+LEFT('Input data'!$C$40,1)</f>
        <v>4</v>
      </c>
      <c r="U29" s="492" t="str">
        <f>+MID('Input data'!$C$40,2,1)</f>
        <v>9</v>
      </c>
      <c r="V29" s="492" t="str">
        <f>+MID('Input data'!$C$40,3,1)</f>
        <v>3</v>
      </c>
      <c r="W29" s="492" t="str">
        <f>+MID('Input data'!$C$40,4,1)</f>
        <v>0</v>
      </c>
      <c r="X29" s="492" t="str">
        <f>+MID('Input data'!$C$40,5,1)</f>
        <v>0</v>
      </c>
      <c r="Y29" s="492" t="str">
        <f>+MID('Input data'!$C$40,6,1)</f>
        <v>5</v>
      </c>
      <c r="Z29" s="492" t="str">
        <f>+MID('Input data'!$C$40,7,1)</f>
        <v>5</v>
      </c>
      <c r="AA29" s="492" t="str">
        <f>+MID('Input data'!$C$40,8,1)</f>
        <v>0</v>
      </c>
      <c r="AB29" s="492"/>
      <c r="AC29" s="492"/>
      <c r="AD29" s="492"/>
      <c r="AE29" s="450"/>
      <c r="AF29" s="450"/>
      <c r="AG29" s="450" t="s">
        <v>1177</v>
      </c>
      <c r="AH29" s="450"/>
      <c r="AI29" s="450"/>
      <c r="AJ29" s="450"/>
      <c r="AK29" s="449"/>
    </row>
    <row r="30" spans="1:37" s="442" customFormat="1" x14ac:dyDescent="0.25">
      <c r="A30" s="454" t="s">
        <v>1178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453"/>
      <c r="S30" s="453"/>
      <c r="T30" s="453"/>
      <c r="U30" s="453"/>
      <c r="V30" s="453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49"/>
    </row>
    <row r="31" spans="1:37" ht="19.5" customHeight="1" thickBot="1" x14ac:dyDescent="0.3">
      <c r="A31" s="491" t="str">
        <f>+LEFT('Input data'!$B$42,1)</f>
        <v/>
      </c>
      <c r="B31" s="490" t="str">
        <f>+MID('Input data'!$B$42,2,1)</f>
        <v/>
      </c>
      <c r="C31" s="490" t="str">
        <f>+MID('Input data'!$B$42,3,1)</f>
        <v/>
      </c>
      <c r="D31" s="490" t="str">
        <f>+MID('Input data'!$B$42,4,1)</f>
        <v/>
      </c>
      <c r="E31" s="490" t="str">
        <f>+MID('Input data'!$B$42,5,1)</f>
        <v/>
      </c>
      <c r="F31" s="490" t="str">
        <f>+MID('Input data'!$B$42,6,1)</f>
        <v/>
      </c>
      <c r="G31" s="490" t="str">
        <f>+MID('Input data'!$B$42,7,1)</f>
        <v/>
      </c>
      <c r="H31" s="490" t="str">
        <f>+MID('Input data'!$B$42,8,1)</f>
        <v/>
      </c>
      <c r="I31" s="490" t="str">
        <f>+MID('Input data'!$B$42,9,1)</f>
        <v/>
      </c>
      <c r="J31" s="490" t="str">
        <f>+MID('Input data'!$B$42,10,1)</f>
        <v/>
      </c>
      <c r="K31" s="490" t="str">
        <f>+MID('Input data'!$B$42,11,1)</f>
        <v/>
      </c>
      <c r="L31" s="490" t="str">
        <f>+MID('Input data'!$B$42,12,1)</f>
        <v/>
      </c>
      <c r="M31" s="490" t="str">
        <f>+MID('Input data'!$B$42,13,1)</f>
        <v/>
      </c>
      <c r="N31" s="490" t="str">
        <f>+MID('Input data'!$B$42,14,1)</f>
        <v/>
      </c>
      <c r="O31" s="490" t="str">
        <f>+MID('Input data'!$B$42,15,1)</f>
        <v/>
      </c>
      <c r="P31" s="490" t="str">
        <f>+MID('Input data'!$B$42,16,1)</f>
        <v/>
      </c>
      <c r="Q31" s="490" t="str">
        <f>+MID('Input data'!$B$42,17,1)</f>
        <v/>
      </c>
      <c r="R31" s="490" t="str">
        <f>+MID('Input data'!$B$42,18,1)</f>
        <v/>
      </c>
      <c r="S31" s="490" t="str">
        <f>+MID('Input data'!$B$42,19,1)</f>
        <v/>
      </c>
      <c r="T31" s="490" t="str">
        <f>+MID('Input data'!$B$42,20,1)</f>
        <v/>
      </c>
      <c r="U31" s="490" t="str">
        <f>+MID('Input data'!$B$42,21,1)</f>
        <v/>
      </c>
      <c r="V31" s="490" t="str">
        <f>+MID('Input data'!$B$42,22,1)</f>
        <v/>
      </c>
      <c r="W31" s="490" t="str">
        <f>+MID('Input data'!$B$42,23,1)</f>
        <v/>
      </c>
      <c r="X31" s="490" t="str">
        <f>+MID('Input data'!$B$42,24,1)</f>
        <v/>
      </c>
      <c r="Y31" s="490" t="str">
        <f>+MID('Input data'!$B$42,25,1)</f>
        <v/>
      </c>
      <c r="Z31" s="490" t="str">
        <f>+MID('Input data'!$B$42,26,1)</f>
        <v/>
      </c>
      <c r="AA31" s="490" t="str">
        <f>+MID('Input data'!$B$42,27,1)</f>
        <v/>
      </c>
      <c r="AB31" s="490" t="str">
        <f>+MID('Input data'!$B$42,28,1)</f>
        <v/>
      </c>
      <c r="AC31" s="490" t="str">
        <f>+MID('Input data'!$B$42,29,1)</f>
        <v/>
      </c>
      <c r="AD31" s="490" t="str">
        <f>+MID('Input data'!$B$42,30,1)</f>
        <v/>
      </c>
      <c r="AE31" s="490" t="str">
        <f>+MID('Input data'!$B$42,31,1)</f>
        <v/>
      </c>
      <c r="AF31" s="490" t="str">
        <f>+MID('Input data'!$B$42,32,1)</f>
        <v/>
      </c>
      <c r="AG31" s="490" t="str">
        <f>+MID('Input data'!$B$42,33,1)</f>
        <v/>
      </c>
      <c r="AH31" s="490" t="str">
        <f>+MID('Input data'!$B$42,34,1)</f>
        <v/>
      </c>
      <c r="AI31" s="490" t="str">
        <f>+MID('Input data'!$B$42,35,1)</f>
        <v/>
      </c>
      <c r="AJ31" s="490" t="str">
        <f>+MID('Input data'!$B$42,36,1)</f>
        <v/>
      </c>
      <c r="AK31" s="489" t="str">
        <f>+MID('Input data'!$B$42,37,1)</f>
        <v/>
      </c>
    </row>
    <row r="32" spans="1:37" s="442" customFormat="1" ht="4.5" customHeight="1" thickBot="1" x14ac:dyDescent="0.3">
      <c r="W32" s="443"/>
      <c r="X32" s="443"/>
      <c r="Y32" s="443"/>
      <c r="Z32" s="443"/>
      <c r="AA32" s="443"/>
      <c r="AB32" s="443"/>
      <c r="AC32" s="443"/>
      <c r="AD32" s="443"/>
      <c r="AE32" s="443"/>
      <c r="AF32" s="443"/>
      <c r="AG32" s="443"/>
      <c r="AH32" s="443"/>
      <c r="AI32" s="443"/>
      <c r="AJ32" s="443"/>
      <c r="AK32" s="443"/>
    </row>
    <row r="33" spans="1:37" s="485" customFormat="1" ht="12.75" customHeight="1" x14ac:dyDescent="0.25">
      <c r="A33" s="488" t="s">
        <v>1179</v>
      </c>
      <c r="B33" s="487"/>
      <c r="C33" s="487"/>
      <c r="D33" s="487"/>
      <c r="E33" s="487"/>
      <c r="F33" s="487"/>
      <c r="G33" s="487"/>
      <c r="H33" s="487"/>
      <c r="I33" s="487"/>
      <c r="J33" s="487"/>
      <c r="K33" s="486"/>
      <c r="L33" s="1404" t="s">
        <v>1180</v>
      </c>
      <c r="M33" s="1405"/>
      <c r="N33" s="1405"/>
      <c r="O33" s="1405"/>
      <c r="P33" s="1405"/>
      <c r="Q33" s="1405"/>
      <c r="R33" s="1405"/>
      <c r="S33" s="1405"/>
      <c r="T33" s="1410"/>
      <c r="U33" s="991" t="s">
        <v>1181</v>
      </c>
      <c r="V33" s="991"/>
      <c r="W33" s="991"/>
      <c r="X33" s="991"/>
      <c r="Y33" s="991"/>
      <c r="Z33" s="991"/>
      <c r="AA33" s="991"/>
      <c r="AB33" s="992"/>
      <c r="AC33" s="1404" t="s">
        <v>1182</v>
      </c>
      <c r="AD33" s="1405"/>
      <c r="AE33" s="1405"/>
      <c r="AF33" s="1405"/>
      <c r="AG33" s="1405"/>
      <c r="AH33" s="1405"/>
      <c r="AI33" s="1405"/>
      <c r="AJ33" s="1405"/>
      <c r="AK33" s="1406"/>
    </row>
    <row r="34" spans="1:37" s="442" customFormat="1" ht="19.5" customHeight="1" x14ac:dyDescent="0.25">
      <c r="A34" s="471" t="str">
        <f>LEFT(TEXT('Input data'!F25,"dd.m.yyyy"),1)</f>
        <v>1</v>
      </c>
      <c r="B34" s="470" t="str">
        <f>MID(TEXT('Input data'!$F$25,"dd.mm.yyyy"),2,1)</f>
        <v>3</v>
      </c>
      <c r="C34" s="469" t="s">
        <v>1147</v>
      </c>
      <c r="D34" s="470" t="str">
        <f>MID(TEXT('Input data'!$F$25,"dd.mm.yyyy"),4,1)</f>
        <v>0</v>
      </c>
      <c r="E34" s="470" t="str">
        <f>MID(TEXT('Input data'!$F$25,"dd.mm.yyyy"),5,1)</f>
        <v>6</v>
      </c>
      <c r="F34" s="469" t="s">
        <v>1147</v>
      </c>
      <c r="G34" s="468" t="str">
        <f>MID(TEXT('Input data'!$F$25,"dd.mm.yyyy"),7,1)</f>
        <v>2</v>
      </c>
      <c r="H34" s="468" t="str">
        <f>MID(TEXT('Input data'!$F$25,"dd.mm.yyyy"),8,1)</f>
        <v>0</v>
      </c>
      <c r="I34" s="468" t="str">
        <f>MID(TEXT('Input data'!$F$25,"dd.mm.yyyy"),9,1)</f>
        <v>1</v>
      </c>
      <c r="J34" s="468" t="str">
        <f>MID(TEXT('Input data'!$F$25,"dd.mm.yyyy"),10,1)</f>
        <v>4</v>
      </c>
      <c r="K34" s="484"/>
      <c r="L34" s="1407"/>
      <c r="M34" s="1408"/>
      <c r="N34" s="1408"/>
      <c r="O34" s="1408"/>
      <c r="P34" s="1408"/>
      <c r="Q34" s="1408"/>
      <c r="R34" s="1408"/>
      <c r="S34" s="1408"/>
      <c r="T34" s="1411"/>
      <c r="U34" s="994"/>
      <c r="V34" s="994"/>
      <c r="W34" s="994"/>
      <c r="X34" s="994"/>
      <c r="Y34" s="994"/>
      <c r="Z34" s="994"/>
      <c r="AA34" s="994"/>
      <c r="AB34" s="995"/>
      <c r="AC34" s="1407"/>
      <c r="AD34" s="1408"/>
      <c r="AE34" s="1408"/>
      <c r="AF34" s="1408"/>
      <c r="AG34" s="1408"/>
      <c r="AH34" s="1408"/>
      <c r="AI34" s="1408"/>
      <c r="AJ34" s="1408"/>
      <c r="AK34" s="1409"/>
    </row>
    <row r="35" spans="1:37" s="442" customFormat="1" ht="13.5" customHeight="1" x14ac:dyDescent="0.25">
      <c r="A35" s="483"/>
      <c r="B35" s="482"/>
      <c r="C35" s="482"/>
      <c r="D35" s="482"/>
      <c r="E35" s="482"/>
      <c r="F35" s="482"/>
      <c r="G35" s="481"/>
      <c r="H35" s="481"/>
      <c r="I35" s="481"/>
      <c r="J35" s="481"/>
      <c r="K35" s="480"/>
      <c r="L35" s="1407"/>
      <c r="M35" s="1408"/>
      <c r="N35" s="1408"/>
      <c r="O35" s="1408"/>
      <c r="P35" s="1408"/>
      <c r="Q35" s="1408"/>
      <c r="R35" s="1408"/>
      <c r="S35" s="1408"/>
      <c r="T35" s="1411"/>
      <c r="U35" s="994"/>
      <c r="V35" s="994"/>
      <c r="W35" s="994"/>
      <c r="X35" s="994"/>
      <c r="Y35" s="994"/>
      <c r="Z35" s="994"/>
      <c r="AA35" s="994"/>
      <c r="AB35" s="995"/>
      <c r="AC35" s="1407"/>
      <c r="AD35" s="1408"/>
      <c r="AE35" s="1408"/>
      <c r="AF35" s="1408"/>
      <c r="AG35" s="1408"/>
      <c r="AH35" s="1408"/>
      <c r="AI35" s="1408"/>
      <c r="AJ35" s="1408"/>
      <c r="AK35" s="1409"/>
    </row>
    <row r="36" spans="1:37" s="442" customFormat="1" x14ac:dyDescent="0.2">
      <c r="A36" s="454" t="s">
        <v>1183</v>
      </c>
      <c r="B36" s="453"/>
      <c r="C36" s="453"/>
      <c r="D36" s="453"/>
      <c r="E36" s="453"/>
      <c r="F36" s="453"/>
      <c r="G36" s="479"/>
      <c r="H36" s="479"/>
      <c r="I36" s="479"/>
      <c r="J36" s="479"/>
      <c r="K36" s="478"/>
      <c r="L36" s="477"/>
      <c r="M36" s="477"/>
      <c r="N36" s="477"/>
      <c r="O36" s="477"/>
      <c r="P36" s="477"/>
      <c r="Q36" s="477"/>
      <c r="R36" s="477"/>
      <c r="S36" s="453"/>
      <c r="T36" s="475"/>
      <c r="U36" s="476"/>
      <c r="V36" s="476"/>
      <c r="W36" s="476"/>
      <c r="X36" s="476"/>
      <c r="Y36" s="476"/>
      <c r="Z36" s="450"/>
      <c r="AA36" s="476"/>
      <c r="AB36" s="475"/>
      <c r="AC36" s="474"/>
      <c r="AD36" s="473"/>
      <c r="AE36" s="473"/>
      <c r="AF36" s="473"/>
      <c r="AG36" s="473"/>
      <c r="AH36" s="473"/>
      <c r="AI36" s="473"/>
      <c r="AJ36" s="473"/>
      <c r="AK36" s="472"/>
    </row>
    <row r="37" spans="1:37" s="442" customFormat="1" ht="19.5" customHeight="1" x14ac:dyDescent="0.25">
      <c r="A37" s="471" t="str">
        <f>IF('Input data'!$F$27="","",LEFT(TEXT('Input data'!$F$27,"dd.mm.yyyy"),1))</f>
        <v/>
      </c>
      <c r="B37" s="470" t="str">
        <f>IF('Input data'!$F$27="","",MID(TEXT('Input data'!$F$27,"dd.mm.yyyy"),2,1))</f>
        <v/>
      </c>
      <c r="C37" s="469" t="s">
        <v>1147</v>
      </c>
      <c r="D37" s="470" t="str">
        <f>IF('Input data'!$F$27="","",MID(TEXT('Input data'!$F$27,"dd.mm.yyyy"),4,1))</f>
        <v/>
      </c>
      <c r="E37" s="470" t="str">
        <f>IF('Input data'!$F$27="","",MID(TEXT('Input data'!$F$27,"dd.mm.yyyy"),5,1))</f>
        <v/>
      </c>
      <c r="F37" s="469" t="s">
        <v>1147</v>
      </c>
      <c r="G37" s="468" t="str">
        <f>IF('Input data'!$F$27="","",MID(TEXT('Input data'!$F$27,"dd.mm.yyyy"),7,1))</f>
        <v/>
      </c>
      <c r="H37" s="468" t="str">
        <f>IF('Input data'!$F$27="","",MID(TEXT('Input data'!$F$27,"dd.mm.yyyy"),8,1))</f>
        <v/>
      </c>
      <c r="I37" s="468" t="str">
        <f>IF('Input data'!$F$27="","",MID(TEXT('Input data'!$F$27,"dd.mm.yyyy"),9,1))</f>
        <v/>
      </c>
      <c r="J37" s="468" t="str">
        <f>IF('Input data'!$F$27="","",MID(TEXT('Input data'!$F$27,"dd.mm.yyyy"),10,1))</f>
        <v/>
      </c>
      <c r="K37" s="467"/>
      <c r="L37" s="466"/>
      <c r="M37" s="465"/>
      <c r="N37" s="465"/>
      <c r="O37" s="465"/>
      <c r="P37" s="465"/>
      <c r="Q37" s="465"/>
      <c r="R37" s="465"/>
      <c r="S37" s="465"/>
      <c r="T37" s="464"/>
      <c r="U37" s="466"/>
      <c r="V37" s="465"/>
      <c r="W37" s="465"/>
      <c r="X37" s="465"/>
      <c r="Y37" s="465"/>
      <c r="Z37" s="465"/>
      <c r="AA37" s="465"/>
      <c r="AB37" s="464"/>
      <c r="AC37" s="450"/>
      <c r="AD37" s="450"/>
      <c r="AE37" s="450"/>
      <c r="AF37" s="450"/>
      <c r="AG37" s="450"/>
      <c r="AH37" s="450"/>
      <c r="AI37" s="450"/>
      <c r="AJ37" s="450"/>
      <c r="AK37" s="449"/>
    </row>
    <row r="38" spans="1:37" s="448" customFormat="1" thickBot="1" x14ac:dyDescent="0.3">
      <c r="A38" s="463"/>
      <c r="B38" s="462"/>
      <c r="C38" s="462"/>
      <c r="D38" s="462"/>
      <c r="E38" s="462"/>
      <c r="F38" s="462"/>
      <c r="G38" s="462"/>
      <c r="H38" s="462"/>
      <c r="I38" s="462"/>
      <c r="J38" s="462"/>
      <c r="K38" s="461"/>
      <c r="L38" s="998">
        <f>'Input data'!F31</f>
        <v>0</v>
      </c>
      <c r="M38" s="999"/>
      <c r="N38" s="999"/>
      <c r="O38" s="999"/>
      <c r="P38" s="999"/>
      <c r="Q38" s="999"/>
      <c r="R38" s="999"/>
      <c r="S38" s="999"/>
      <c r="T38" s="1000"/>
      <c r="U38" s="998">
        <f>'Input data'!F35</f>
        <v>0</v>
      </c>
      <c r="V38" s="999"/>
      <c r="W38" s="999"/>
      <c r="X38" s="999"/>
      <c r="Y38" s="999"/>
      <c r="Z38" s="999"/>
      <c r="AA38" s="999"/>
      <c r="AB38" s="1000"/>
      <c r="AC38" s="1001">
        <f>'Input data'!F39</f>
        <v>0</v>
      </c>
      <c r="AD38" s="999"/>
      <c r="AE38" s="999"/>
      <c r="AF38" s="999"/>
      <c r="AG38" s="999"/>
      <c r="AH38" s="999"/>
      <c r="AI38" s="999"/>
      <c r="AJ38" s="999"/>
      <c r="AK38" s="1002"/>
    </row>
    <row r="39" spans="1:37" s="448" customFormat="1" x14ac:dyDescent="0.25"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</row>
    <row r="40" spans="1:37" s="448" customFormat="1" ht="12.75" customHeight="1" x14ac:dyDescent="0.25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37" s="448" customFormat="1" x14ac:dyDescent="0.25"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</row>
    <row r="42" spans="1:37" ht="13.5" thickBot="1" x14ac:dyDescent="0.3">
      <c r="W42" s="443"/>
      <c r="X42" s="443"/>
      <c r="Y42" s="443"/>
      <c r="Z42" s="443"/>
      <c r="AA42" s="443"/>
      <c r="AB42" s="443"/>
      <c r="AC42" s="443"/>
      <c r="AD42" s="443"/>
      <c r="AE42" s="443"/>
      <c r="AF42" s="443"/>
      <c r="AG42" s="443"/>
      <c r="AH42" s="443"/>
      <c r="AI42" s="443"/>
      <c r="AJ42" s="443"/>
      <c r="AK42" s="443"/>
    </row>
    <row r="43" spans="1:37" s="448" customFormat="1" x14ac:dyDescent="0.25">
      <c r="B43" s="460" t="s">
        <v>1184</v>
      </c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8"/>
      <c r="X43" s="458"/>
      <c r="Y43" s="458"/>
      <c r="Z43" s="458"/>
      <c r="AA43" s="458"/>
      <c r="AB43" s="458"/>
      <c r="AC43" s="458"/>
      <c r="AD43" s="458"/>
      <c r="AE43" s="458"/>
      <c r="AF43" s="458"/>
      <c r="AG43" s="458"/>
      <c r="AH43" s="458"/>
      <c r="AI43" s="458"/>
      <c r="AJ43" s="457"/>
      <c r="AK43" s="443"/>
    </row>
    <row r="44" spans="1:37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7" ht="12.75" customHeight="1" x14ac:dyDescent="0.25">
      <c r="B45" s="456"/>
      <c r="C45" s="455"/>
      <c r="D45" s="455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7" s="448" customFormat="1" x14ac:dyDescent="0.25">
      <c r="B46" s="452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7" s="442" customFormat="1" x14ac:dyDescent="0.25">
      <c r="B47" s="454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7" s="442" customFormat="1" x14ac:dyDescent="0.25">
      <c r="B48" s="454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8" customFormat="1" x14ac:dyDescent="0.25">
      <c r="B51" s="452"/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0"/>
      <c r="AJ51" s="449"/>
      <c r="AK51" s="443"/>
    </row>
    <row r="52" spans="2:37" s="448" customFormat="1" x14ac:dyDescent="0.25">
      <c r="B52" s="452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1"/>
      <c r="U52" s="451"/>
      <c r="V52" s="451"/>
      <c r="W52" s="450"/>
      <c r="X52" s="450"/>
      <c r="Y52" s="450"/>
      <c r="Z52" s="450"/>
      <c r="AA52" s="450"/>
      <c r="AB52" s="450"/>
      <c r="AC52" s="450"/>
      <c r="AD52" s="450"/>
      <c r="AE52" s="450"/>
      <c r="AF52" s="450"/>
      <c r="AG52" s="450"/>
      <c r="AH52" s="450"/>
      <c r="AI52" s="450"/>
      <c r="AJ52" s="449"/>
      <c r="AK52" s="443"/>
    </row>
    <row r="53" spans="2:37" s="442" customFormat="1" ht="13.5" thickBot="1" x14ac:dyDescent="0.3">
      <c r="B53" s="447"/>
      <c r="C53" s="446"/>
      <c r="D53" s="446"/>
      <c r="E53" s="446"/>
      <c r="F53" s="446"/>
      <c r="G53" s="446" t="s">
        <v>1185</v>
      </c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 t="s">
        <v>1186</v>
      </c>
      <c r="V53" s="446"/>
      <c r="W53" s="445"/>
      <c r="X53" s="445"/>
      <c r="Y53" s="445"/>
      <c r="Z53" s="445"/>
      <c r="AA53" s="445"/>
      <c r="AB53" s="445"/>
      <c r="AC53" s="445"/>
      <c r="AD53" s="445"/>
      <c r="AE53" s="445"/>
      <c r="AF53" s="445"/>
      <c r="AG53" s="445"/>
      <c r="AH53" s="445"/>
      <c r="AI53" s="445"/>
      <c r="AJ53" s="444"/>
      <c r="AK53" s="443"/>
    </row>
  </sheetData>
  <mergeCells count="6">
    <mergeCell ref="L38:T38"/>
    <mergeCell ref="U33:AB35"/>
    <mergeCell ref="AC33:AK35"/>
    <mergeCell ref="L33:T35"/>
    <mergeCell ref="AC38:AK38"/>
    <mergeCell ref="U38:AB38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25947/1/2010&amp;RStrana 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13"/>
  <sheetViews>
    <sheetView view="pageBreakPreview" topLeftCell="A154" zoomScaleNormal="100" zoomScaleSheetLayoutView="100" workbookViewId="0">
      <selection activeCell="G2" sqref="G2"/>
    </sheetView>
  </sheetViews>
  <sheetFormatPr defaultRowHeight="11.25" x14ac:dyDescent="0.25"/>
  <cols>
    <col min="1" max="1" width="5.5703125" style="553" customWidth="1"/>
    <col min="2" max="2" width="18.7109375" style="553" customWidth="1"/>
    <col min="3" max="3" width="3.7109375" style="553" customWidth="1"/>
    <col min="4" max="4" width="3.5703125" style="553" customWidth="1"/>
    <col min="5" max="5" width="12.42578125" style="553" customWidth="1"/>
    <col min="6" max="6" width="12.140625" style="553" customWidth="1"/>
    <col min="7" max="7" width="14.7109375" style="553" customWidth="1"/>
    <col min="8" max="8" width="3.5703125" style="553" customWidth="1"/>
    <col min="9" max="9" width="10.5703125" style="553" customWidth="1"/>
    <col min="10" max="10" width="14.42578125" style="553" customWidth="1"/>
    <col min="11" max="16384" width="9.140625" style="553"/>
  </cols>
  <sheetData>
    <row r="1" spans="1:13" ht="7.5" customHeight="1" x14ac:dyDescent="0.25">
      <c r="A1" s="552"/>
      <c r="F1" s="496"/>
      <c r="G1" s="496"/>
      <c r="H1" s="496"/>
      <c r="I1" s="496"/>
    </row>
    <row r="2" spans="1:13" ht="17.25" customHeight="1" x14ac:dyDescent="0.25">
      <c r="A2" s="552"/>
      <c r="B2" s="578" t="s">
        <v>1144</v>
      </c>
      <c r="E2" s="496"/>
      <c r="F2" s="577" t="s">
        <v>1318</v>
      </c>
      <c r="G2" s="576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2  0  2  1  8  7  0  2  9  0</v>
      </c>
      <c r="H2" s="575"/>
      <c r="I2" s="574"/>
    </row>
    <row r="3" spans="1:13" ht="7.5" customHeight="1" thickBot="1" x14ac:dyDescent="0.3">
      <c r="A3" s="552"/>
    </row>
    <row r="4" spans="1:13" s="571" customFormat="1" ht="11.25" customHeight="1" x14ac:dyDescent="0.25">
      <c r="A4" s="1459" t="s">
        <v>1221</v>
      </c>
      <c r="B4" s="1461" t="s">
        <v>1265</v>
      </c>
      <c r="C4" s="1463" t="s">
        <v>1219</v>
      </c>
      <c r="D4" s="1431" t="s">
        <v>2</v>
      </c>
      <c r="E4" s="1432"/>
      <c r="F4" s="1432"/>
      <c r="G4" s="1432"/>
      <c r="H4" s="1433"/>
      <c r="I4" s="1429" t="s">
        <v>1264</v>
      </c>
      <c r="J4" s="1430"/>
    </row>
    <row r="5" spans="1:13" s="571" customFormat="1" ht="11.25" customHeight="1" x14ac:dyDescent="0.15">
      <c r="A5" s="1460"/>
      <c r="B5" s="1434"/>
      <c r="C5" s="1464"/>
      <c r="D5" s="1435">
        <v>1</v>
      </c>
      <c r="E5" s="1434" t="s">
        <v>1263</v>
      </c>
      <c r="F5" s="1434"/>
      <c r="G5" s="1424" t="s">
        <v>1262</v>
      </c>
      <c r="H5" s="1425"/>
      <c r="I5" s="1419"/>
      <c r="J5" s="1428"/>
    </row>
    <row r="6" spans="1:13" s="571" customFormat="1" ht="12" customHeight="1" x14ac:dyDescent="0.15">
      <c r="A6" s="1460"/>
      <c r="B6" s="1434"/>
      <c r="C6" s="1464"/>
      <c r="D6" s="1435"/>
      <c r="E6" s="1434" t="s">
        <v>1261</v>
      </c>
      <c r="F6" s="1434"/>
      <c r="G6" s="1424"/>
      <c r="H6" s="1425"/>
      <c r="I6" s="1417" t="s">
        <v>1260</v>
      </c>
      <c r="J6" s="1418"/>
    </row>
    <row r="7" spans="1:13" s="573" customFormat="1" ht="27.95" customHeight="1" x14ac:dyDescent="0.25">
      <c r="A7" s="1462"/>
      <c r="B7" s="1438" t="s">
        <v>1317</v>
      </c>
      <c r="C7" s="1458" t="s">
        <v>522</v>
      </c>
      <c r="D7" s="1416">
        <f>BS!D10</f>
        <v>911119</v>
      </c>
      <c r="E7" s="1416"/>
      <c r="F7" s="1416"/>
      <c r="G7" s="1412">
        <f>BS!F10</f>
        <v>911119</v>
      </c>
      <c r="H7" s="1413"/>
      <c r="I7" s="1415"/>
      <c r="J7" s="572"/>
    </row>
    <row r="8" spans="1:13" s="573" customFormat="1" ht="27.95" customHeight="1" x14ac:dyDescent="0.25">
      <c r="A8" s="1462"/>
      <c r="B8" s="1438"/>
      <c r="C8" s="1458"/>
      <c r="D8" s="1416">
        <f>BS!E10</f>
        <v>0</v>
      </c>
      <c r="E8" s="1416"/>
      <c r="F8" s="1416"/>
      <c r="G8" s="570"/>
      <c r="H8" s="1412">
        <f>BS!G10</f>
        <v>744558</v>
      </c>
      <c r="I8" s="1413"/>
      <c r="J8" s="1414"/>
      <c r="M8" s="573" t="s">
        <v>1177</v>
      </c>
    </row>
    <row r="9" spans="1:13" s="573" customFormat="1" ht="27.95" customHeight="1" x14ac:dyDescent="0.25">
      <c r="A9" s="1456" t="s">
        <v>523</v>
      </c>
      <c r="B9" s="1457" t="s">
        <v>1316</v>
      </c>
      <c r="C9" s="1458" t="s">
        <v>525</v>
      </c>
      <c r="D9" s="1416">
        <f>BS!D11</f>
        <v>0</v>
      </c>
      <c r="E9" s="1416"/>
      <c r="F9" s="1416"/>
      <c r="G9" s="1412">
        <f>BS!F11</f>
        <v>0</v>
      </c>
      <c r="H9" s="1413"/>
      <c r="I9" s="1415"/>
      <c r="J9" s="572"/>
    </row>
    <row r="10" spans="1:13" s="573" customFormat="1" ht="27.95" customHeight="1" x14ac:dyDescent="0.25">
      <c r="A10" s="1456"/>
      <c r="B10" s="1438"/>
      <c r="C10" s="1458"/>
      <c r="D10" s="1416">
        <f>BS!E11</f>
        <v>0</v>
      </c>
      <c r="E10" s="1416"/>
      <c r="F10" s="1416"/>
      <c r="G10" s="650"/>
      <c r="H10" s="1412">
        <f>BS!G11</f>
        <v>0</v>
      </c>
      <c r="I10" s="1413"/>
      <c r="J10" s="1414"/>
    </row>
    <row r="11" spans="1:13" s="573" customFormat="1" ht="27.95" customHeight="1" x14ac:dyDescent="0.25">
      <c r="A11" s="1456" t="s">
        <v>526</v>
      </c>
      <c r="B11" s="1457" t="s">
        <v>1315</v>
      </c>
      <c r="C11" s="1458" t="s">
        <v>528</v>
      </c>
      <c r="D11" s="1416">
        <f>BS!D12</f>
        <v>0</v>
      </c>
      <c r="E11" s="1416"/>
      <c r="F11" s="1416"/>
      <c r="G11" s="1412">
        <f>BS!F12</f>
        <v>0</v>
      </c>
      <c r="H11" s="1413"/>
      <c r="I11" s="1415"/>
      <c r="J11" s="572"/>
    </row>
    <row r="12" spans="1:13" s="573" customFormat="1" ht="27.95" customHeight="1" x14ac:dyDescent="0.25">
      <c r="A12" s="1456"/>
      <c r="B12" s="1438"/>
      <c r="C12" s="1458"/>
      <c r="D12" s="1416">
        <f>BS!E12</f>
        <v>0</v>
      </c>
      <c r="E12" s="1416"/>
      <c r="F12" s="1416"/>
      <c r="G12" s="650"/>
      <c r="H12" s="1412">
        <f>BS!G12</f>
        <v>0</v>
      </c>
      <c r="I12" s="1413"/>
      <c r="J12" s="1414"/>
    </row>
    <row r="13" spans="1:13" s="571" customFormat="1" ht="27.95" customHeight="1" x14ac:dyDescent="0.25">
      <c r="A13" s="1452" t="s">
        <v>529</v>
      </c>
      <c r="B13" s="1436" t="s">
        <v>1314</v>
      </c>
      <c r="C13" s="1454" t="s">
        <v>531</v>
      </c>
      <c r="D13" s="1416">
        <f>BS!D13</f>
        <v>0</v>
      </c>
      <c r="E13" s="1416"/>
      <c r="F13" s="1416"/>
      <c r="G13" s="1412">
        <f>BS!F13</f>
        <v>0</v>
      </c>
      <c r="H13" s="1413"/>
      <c r="I13" s="1415"/>
      <c r="J13" s="572"/>
    </row>
    <row r="14" spans="1:13" s="571" customFormat="1" ht="27.95" customHeight="1" x14ac:dyDescent="0.25">
      <c r="A14" s="1453"/>
      <c r="B14" s="1436"/>
      <c r="C14" s="1455"/>
      <c r="D14" s="1416">
        <f>BS!E13</f>
        <v>0</v>
      </c>
      <c r="E14" s="1416"/>
      <c r="F14" s="1416"/>
      <c r="G14" s="650"/>
      <c r="H14" s="1412">
        <f>BS!G13</f>
        <v>0</v>
      </c>
      <c r="I14" s="1413"/>
      <c r="J14" s="1414"/>
    </row>
    <row r="15" spans="1:13" s="571" customFormat="1" ht="27.95" customHeight="1" x14ac:dyDescent="0.25">
      <c r="A15" s="1451" t="s">
        <v>532</v>
      </c>
      <c r="B15" s="1436" t="s">
        <v>1313</v>
      </c>
      <c r="C15" s="1454" t="s">
        <v>534</v>
      </c>
      <c r="D15" s="1416">
        <f>BS!D14</f>
        <v>0</v>
      </c>
      <c r="E15" s="1416"/>
      <c r="F15" s="1416"/>
      <c r="G15" s="1412">
        <f>BS!F14</f>
        <v>0</v>
      </c>
      <c r="H15" s="1413"/>
      <c r="I15" s="1415"/>
      <c r="J15" s="572"/>
    </row>
    <row r="16" spans="1:13" s="571" customFormat="1" ht="27.95" customHeight="1" x14ac:dyDescent="0.25">
      <c r="A16" s="1451"/>
      <c r="B16" s="1436"/>
      <c r="C16" s="1455"/>
      <c r="D16" s="1416">
        <f>BS!E14</f>
        <v>0</v>
      </c>
      <c r="E16" s="1416"/>
      <c r="F16" s="1416"/>
      <c r="G16" s="650"/>
      <c r="H16" s="1412">
        <f>BS!G14</f>
        <v>0</v>
      </c>
      <c r="I16" s="1413"/>
      <c r="J16" s="1414"/>
    </row>
    <row r="17" spans="1:10" s="571" customFormat="1" ht="27.95" customHeight="1" x14ac:dyDescent="0.25">
      <c r="A17" s="1451" t="s">
        <v>535</v>
      </c>
      <c r="B17" s="1436" t="s">
        <v>1312</v>
      </c>
      <c r="C17" s="1454" t="s">
        <v>537</v>
      </c>
      <c r="D17" s="1416">
        <f>BS!D15</f>
        <v>0</v>
      </c>
      <c r="E17" s="1416"/>
      <c r="F17" s="1416"/>
      <c r="G17" s="1412">
        <f>BS!F15</f>
        <v>0</v>
      </c>
      <c r="H17" s="1413"/>
      <c r="I17" s="1415"/>
      <c r="J17" s="572"/>
    </row>
    <row r="18" spans="1:10" s="571" customFormat="1" ht="27.95" customHeight="1" x14ac:dyDescent="0.25">
      <c r="A18" s="1451"/>
      <c r="B18" s="1436"/>
      <c r="C18" s="1455"/>
      <c r="D18" s="1416">
        <f>BS!E15</f>
        <v>0</v>
      </c>
      <c r="E18" s="1416"/>
      <c r="F18" s="1416"/>
      <c r="G18" s="650"/>
      <c r="H18" s="1412">
        <f>BS!G15</f>
        <v>0</v>
      </c>
      <c r="I18" s="1413"/>
      <c r="J18" s="1414"/>
    </row>
    <row r="19" spans="1:10" s="571" customFormat="1" ht="27.95" customHeight="1" x14ac:dyDescent="0.25">
      <c r="A19" s="1451" t="s">
        <v>538</v>
      </c>
      <c r="B19" s="1436" t="s">
        <v>1311</v>
      </c>
      <c r="C19" s="1454" t="s">
        <v>540</v>
      </c>
      <c r="D19" s="1416">
        <f>BS!D16</f>
        <v>0</v>
      </c>
      <c r="E19" s="1416"/>
      <c r="F19" s="1416"/>
      <c r="G19" s="1412">
        <f>BS!F16</f>
        <v>0</v>
      </c>
      <c r="H19" s="1413"/>
      <c r="I19" s="1415"/>
      <c r="J19" s="572"/>
    </row>
    <row r="20" spans="1:10" s="571" customFormat="1" ht="27.95" customHeight="1" x14ac:dyDescent="0.25">
      <c r="A20" s="1451"/>
      <c r="B20" s="1436"/>
      <c r="C20" s="1455"/>
      <c r="D20" s="1416">
        <f>BS!E16</f>
        <v>0</v>
      </c>
      <c r="E20" s="1416"/>
      <c r="F20" s="1416"/>
      <c r="G20" s="650"/>
      <c r="H20" s="1412">
        <f>BS!G16</f>
        <v>0</v>
      </c>
      <c r="I20" s="1413"/>
      <c r="J20" s="1414"/>
    </row>
    <row r="21" spans="1:10" s="571" customFormat="1" ht="27.95" customHeight="1" x14ac:dyDescent="0.25">
      <c r="A21" s="1451" t="s">
        <v>541</v>
      </c>
      <c r="B21" s="1436" t="s">
        <v>1310</v>
      </c>
      <c r="C21" s="1454" t="s">
        <v>543</v>
      </c>
      <c r="D21" s="1416">
        <f>BS!D17</f>
        <v>0</v>
      </c>
      <c r="E21" s="1416"/>
      <c r="F21" s="1416"/>
      <c r="G21" s="1412">
        <f>BS!F17</f>
        <v>0</v>
      </c>
      <c r="H21" s="1413"/>
      <c r="I21" s="1415"/>
      <c r="J21" s="572"/>
    </row>
    <row r="22" spans="1:10" s="571" customFormat="1" ht="27.95" customHeight="1" x14ac:dyDescent="0.25">
      <c r="A22" s="1451"/>
      <c r="B22" s="1436"/>
      <c r="C22" s="1455"/>
      <c r="D22" s="1416">
        <f>BS!E17</f>
        <v>0</v>
      </c>
      <c r="E22" s="1416"/>
      <c r="F22" s="1416"/>
      <c r="G22" s="650"/>
      <c r="H22" s="1412">
        <f>BS!G17</f>
        <v>0</v>
      </c>
      <c r="I22" s="1413"/>
      <c r="J22" s="1414"/>
    </row>
    <row r="23" spans="1:10" s="571" customFormat="1" ht="27.95" customHeight="1" x14ac:dyDescent="0.25">
      <c r="A23" s="1451" t="s">
        <v>544</v>
      </c>
      <c r="B23" s="1436" t="s">
        <v>1309</v>
      </c>
      <c r="C23" s="1454" t="s">
        <v>546</v>
      </c>
      <c r="D23" s="1416">
        <f>BS!D18</f>
        <v>0</v>
      </c>
      <c r="E23" s="1416"/>
      <c r="F23" s="1416"/>
      <c r="G23" s="1412">
        <f>BS!F18</f>
        <v>0</v>
      </c>
      <c r="H23" s="1413"/>
      <c r="I23" s="1415"/>
      <c r="J23" s="572"/>
    </row>
    <row r="24" spans="1:10" s="571" customFormat="1" ht="27.95" customHeight="1" x14ac:dyDescent="0.25">
      <c r="A24" s="1451"/>
      <c r="B24" s="1436"/>
      <c r="C24" s="1455"/>
      <c r="D24" s="1416">
        <f>BS!E18</f>
        <v>0</v>
      </c>
      <c r="E24" s="1416"/>
      <c r="F24" s="1416"/>
      <c r="G24" s="650"/>
      <c r="H24" s="1412">
        <f>BS!G18</f>
        <v>0</v>
      </c>
      <c r="I24" s="1413"/>
      <c r="J24" s="1414"/>
    </row>
    <row r="25" spans="1:10" s="571" customFormat="1" ht="27.95" customHeight="1" x14ac:dyDescent="0.25">
      <c r="A25" s="1451" t="s">
        <v>547</v>
      </c>
      <c r="B25" s="1436" t="s">
        <v>1308</v>
      </c>
      <c r="C25" s="1454" t="s">
        <v>549</v>
      </c>
      <c r="D25" s="1416">
        <f>BS!D19</f>
        <v>0</v>
      </c>
      <c r="E25" s="1416"/>
      <c r="F25" s="1416"/>
      <c r="G25" s="1412">
        <f>BS!F19</f>
        <v>0</v>
      </c>
      <c r="H25" s="1413"/>
      <c r="I25" s="1415"/>
      <c r="J25" s="572"/>
    </row>
    <row r="26" spans="1:10" s="571" customFormat="1" ht="27.95" customHeight="1" x14ac:dyDescent="0.25">
      <c r="A26" s="1451"/>
      <c r="B26" s="1436"/>
      <c r="C26" s="1455"/>
      <c r="D26" s="1416">
        <f>BS!E19</f>
        <v>0</v>
      </c>
      <c r="E26" s="1416"/>
      <c r="F26" s="1416"/>
      <c r="G26" s="650"/>
      <c r="H26" s="1412">
        <f>BS!G19</f>
        <v>0</v>
      </c>
      <c r="I26" s="1413"/>
      <c r="J26" s="1414"/>
    </row>
    <row r="27" spans="1:10" s="573" customFormat="1" ht="27.95" customHeight="1" x14ac:dyDescent="0.25">
      <c r="A27" s="1465" t="s">
        <v>550</v>
      </c>
      <c r="B27" s="1438" t="s">
        <v>1307</v>
      </c>
      <c r="C27" s="1466" t="s">
        <v>552</v>
      </c>
      <c r="D27" s="1416">
        <f>BS!D20</f>
        <v>0</v>
      </c>
      <c r="E27" s="1416"/>
      <c r="F27" s="1416"/>
      <c r="G27" s="1412">
        <f>BS!F20</f>
        <v>0</v>
      </c>
      <c r="H27" s="1413"/>
      <c r="I27" s="1415"/>
      <c r="J27" s="572"/>
    </row>
    <row r="28" spans="1:10" s="573" customFormat="1" ht="27.95" customHeight="1" x14ac:dyDescent="0.25">
      <c r="A28" s="1456"/>
      <c r="B28" s="1438"/>
      <c r="C28" s="1467"/>
      <c r="D28" s="1416">
        <f>BS!E20</f>
        <v>0</v>
      </c>
      <c r="E28" s="1416"/>
      <c r="F28" s="1416"/>
      <c r="G28" s="650"/>
      <c r="H28" s="1412">
        <f>BS!G20</f>
        <v>0</v>
      </c>
      <c r="I28" s="1413"/>
      <c r="J28" s="1414"/>
    </row>
    <row r="29" spans="1:10" s="571" customFormat="1" ht="27.95" customHeight="1" x14ac:dyDescent="0.25">
      <c r="A29" s="1452" t="s">
        <v>553</v>
      </c>
      <c r="B29" s="1436" t="s">
        <v>1306</v>
      </c>
      <c r="C29" s="1454" t="s">
        <v>555</v>
      </c>
      <c r="D29" s="1416">
        <f>BS!D21</f>
        <v>0</v>
      </c>
      <c r="E29" s="1416"/>
      <c r="F29" s="1416"/>
      <c r="G29" s="1412">
        <f>BS!F21</f>
        <v>0</v>
      </c>
      <c r="H29" s="1413"/>
      <c r="I29" s="1415"/>
      <c r="J29" s="572"/>
    </row>
    <row r="30" spans="1:10" s="571" customFormat="1" ht="27.95" customHeight="1" x14ac:dyDescent="0.25">
      <c r="A30" s="1468"/>
      <c r="B30" s="1436"/>
      <c r="C30" s="1455"/>
      <c r="D30" s="1416">
        <f>BS!E21</f>
        <v>0</v>
      </c>
      <c r="E30" s="1416"/>
      <c r="F30" s="1416"/>
      <c r="G30" s="650"/>
      <c r="H30" s="1412">
        <f>BS!G21</f>
        <v>0</v>
      </c>
      <c r="I30" s="1413"/>
      <c r="J30" s="1414"/>
    </row>
    <row r="31" spans="1:10" s="571" customFormat="1" ht="27.95" customHeight="1" x14ac:dyDescent="0.25">
      <c r="A31" s="1451" t="s">
        <v>532</v>
      </c>
      <c r="B31" s="1436" t="s">
        <v>1305</v>
      </c>
      <c r="C31" s="1454" t="s">
        <v>557</v>
      </c>
      <c r="D31" s="1416">
        <f>BS!D22</f>
        <v>0</v>
      </c>
      <c r="E31" s="1416"/>
      <c r="F31" s="1416"/>
      <c r="G31" s="1412">
        <f>BS!F22</f>
        <v>0</v>
      </c>
      <c r="H31" s="1413"/>
      <c r="I31" s="1415"/>
      <c r="J31" s="572"/>
    </row>
    <row r="32" spans="1:10" s="571" customFormat="1" ht="27.95" customHeight="1" x14ac:dyDescent="0.25">
      <c r="A32" s="1451"/>
      <c r="B32" s="1436"/>
      <c r="C32" s="1455"/>
      <c r="D32" s="1416">
        <f>BS!E22</f>
        <v>0</v>
      </c>
      <c r="E32" s="1416"/>
      <c r="F32" s="1416"/>
      <c r="G32" s="650"/>
      <c r="H32" s="1412">
        <f>BS!G22</f>
        <v>0</v>
      </c>
      <c r="I32" s="1413"/>
      <c r="J32" s="1414"/>
    </row>
    <row r="33" spans="1:10" s="571" customFormat="1" ht="11.25" customHeight="1" x14ac:dyDescent="0.25">
      <c r="A33" s="1471" t="s">
        <v>1221</v>
      </c>
      <c r="B33" s="1470" t="s">
        <v>1265</v>
      </c>
      <c r="C33" s="1477" t="s">
        <v>1219</v>
      </c>
      <c r="D33" s="1419" t="s">
        <v>2</v>
      </c>
      <c r="E33" s="1420"/>
      <c r="F33" s="1420"/>
      <c r="G33" s="1420"/>
      <c r="H33" s="1421"/>
      <c r="I33" s="1426" t="s">
        <v>1264</v>
      </c>
      <c r="J33" s="1427"/>
    </row>
    <row r="34" spans="1:10" s="571" customFormat="1" ht="11.25" customHeight="1" x14ac:dyDescent="0.15">
      <c r="A34" s="1460"/>
      <c r="B34" s="1434"/>
      <c r="C34" s="1464"/>
      <c r="D34" s="1435">
        <v>1</v>
      </c>
      <c r="E34" s="1434" t="s">
        <v>1263</v>
      </c>
      <c r="F34" s="1434"/>
      <c r="G34" s="1424" t="s">
        <v>1262</v>
      </c>
      <c r="H34" s="1425"/>
      <c r="I34" s="1419"/>
      <c r="J34" s="1428"/>
    </row>
    <row r="35" spans="1:10" s="571" customFormat="1" ht="12" customHeight="1" x14ac:dyDescent="0.15">
      <c r="A35" s="1460"/>
      <c r="B35" s="1434"/>
      <c r="C35" s="1464"/>
      <c r="D35" s="1435"/>
      <c r="E35" s="1434" t="s">
        <v>1261</v>
      </c>
      <c r="F35" s="1434"/>
      <c r="G35" s="1422"/>
      <c r="H35" s="1423"/>
      <c r="I35" s="1417" t="s">
        <v>1260</v>
      </c>
      <c r="J35" s="1418"/>
    </row>
    <row r="36" spans="1:10" ht="27.95" customHeight="1" x14ac:dyDescent="0.25">
      <c r="A36" s="1480" t="s">
        <v>535</v>
      </c>
      <c r="B36" s="1481" t="s">
        <v>1304</v>
      </c>
      <c r="C36" s="1455" t="s">
        <v>559</v>
      </c>
      <c r="D36" s="1416">
        <f>BS!D23</f>
        <v>0</v>
      </c>
      <c r="E36" s="1416"/>
      <c r="F36" s="1416"/>
      <c r="G36" s="1412">
        <f>BS!F23</f>
        <v>0</v>
      </c>
      <c r="H36" s="1413"/>
      <c r="I36" s="1415"/>
      <c r="J36" s="572"/>
    </row>
    <row r="37" spans="1:10" ht="27.95" customHeight="1" x14ac:dyDescent="0.25">
      <c r="A37" s="1451"/>
      <c r="B37" s="1436"/>
      <c r="C37" s="1446"/>
      <c r="D37" s="1416">
        <f>BS!E23</f>
        <v>0</v>
      </c>
      <c r="E37" s="1416"/>
      <c r="F37" s="1416"/>
      <c r="G37" s="650"/>
      <c r="H37" s="1412">
        <f>BS!G23</f>
        <v>0</v>
      </c>
      <c r="I37" s="1413"/>
      <c r="J37" s="1414"/>
    </row>
    <row r="38" spans="1:10" ht="27.95" customHeight="1" x14ac:dyDescent="0.25">
      <c r="A38" s="1451" t="s">
        <v>538</v>
      </c>
      <c r="B38" s="1436" t="s">
        <v>1303</v>
      </c>
      <c r="C38" s="1446" t="s">
        <v>561</v>
      </c>
      <c r="D38" s="1416">
        <f>BS!D24</f>
        <v>0</v>
      </c>
      <c r="E38" s="1416"/>
      <c r="F38" s="1416"/>
      <c r="G38" s="1412">
        <f>BS!F24</f>
        <v>0</v>
      </c>
      <c r="H38" s="1413"/>
      <c r="I38" s="1415"/>
      <c r="J38" s="572"/>
    </row>
    <row r="39" spans="1:10" ht="27.95" customHeight="1" x14ac:dyDescent="0.25">
      <c r="A39" s="1451"/>
      <c r="B39" s="1436"/>
      <c r="C39" s="1446"/>
      <c r="D39" s="1416">
        <f>BS!E24</f>
        <v>0</v>
      </c>
      <c r="E39" s="1416"/>
      <c r="F39" s="1416"/>
      <c r="G39" s="650"/>
      <c r="H39" s="1412">
        <f>BS!G24</f>
        <v>0</v>
      </c>
      <c r="I39" s="1413"/>
      <c r="J39" s="1414"/>
    </row>
    <row r="40" spans="1:10" ht="27.95" customHeight="1" x14ac:dyDescent="0.25">
      <c r="A40" s="1451" t="s">
        <v>541</v>
      </c>
      <c r="B40" s="1436" t="s">
        <v>1302</v>
      </c>
      <c r="C40" s="1455" t="s">
        <v>563</v>
      </c>
      <c r="D40" s="1416">
        <f>BS!D25</f>
        <v>0</v>
      </c>
      <c r="E40" s="1416"/>
      <c r="F40" s="1416"/>
      <c r="G40" s="1412">
        <f>BS!F25</f>
        <v>0</v>
      </c>
      <c r="H40" s="1413"/>
      <c r="I40" s="1415"/>
      <c r="J40" s="572"/>
    </row>
    <row r="41" spans="1:10" ht="27.95" customHeight="1" x14ac:dyDescent="0.25">
      <c r="A41" s="1451"/>
      <c r="B41" s="1436"/>
      <c r="C41" s="1446"/>
      <c r="D41" s="1416">
        <f>BS!E25</f>
        <v>0</v>
      </c>
      <c r="E41" s="1416"/>
      <c r="F41" s="1416"/>
      <c r="G41" s="650"/>
      <c r="H41" s="1412">
        <f>BS!G25</f>
        <v>0</v>
      </c>
      <c r="I41" s="1413"/>
      <c r="J41" s="1414"/>
    </row>
    <row r="42" spans="1:10" ht="27.95" customHeight="1" x14ac:dyDescent="0.25">
      <c r="A42" s="1451" t="s">
        <v>544</v>
      </c>
      <c r="B42" s="1436" t="s">
        <v>1301</v>
      </c>
      <c r="C42" s="1446" t="s">
        <v>565</v>
      </c>
      <c r="D42" s="1416">
        <f>BS!D26</f>
        <v>0</v>
      </c>
      <c r="E42" s="1416"/>
      <c r="F42" s="1416"/>
      <c r="G42" s="1412">
        <f>BS!F26</f>
        <v>0</v>
      </c>
      <c r="H42" s="1413"/>
      <c r="I42" s="1415"/>
      <c r="J42" s="572"/>
    </row>
    <row r="43" spans="1:10" ht="27.95" customHeight="1" x14ac:dyDescent="0.25">
      <c r="A43" s="1451"/>
      <c r="B43" s="1436"/>
      <c r="C43" s="1446"/>
      <c r="D43" s="1416">
        <f>BS!E26</f>
        <v>0</v>
      </c>
      <c r="E43" s="1416"/>
      <c r="F43" s="1416"/>
      <c r="G43" s="650"/>
      <c r="H43" s="1412">
        <f>BS!G26</f>
        <v>0</v>
      </c>
      <c r="I43" s="1413"/>
      <c r="J43" s="1414"/>
    </row>
    <row r="44" spans="1:10" ht="27.95" customHeight="1" x14ac:dyDescent="0.25">
      <c r="A44" s="1451" t="s">
        <v>547</v>
      </c>
      <c r="B44" s="1436" t="s">
        <v>1300</v>
      </c>
      <c r="C44" s="1455" t="s">
        <v>567</v>
      </c>
      <c r="D44" s="1416">
        <f>BS!D27</f>
        <v>0</v>
      </c>
      <c r="E44" s="1416"/>
      <c r="F44" s="1416"/>
      <c r="G44" s="1412">
        <f>BS!F27</f>
        <v>0</v>
      </c>
      <c r="H44" s="1413"/>
      <c r="I44" s="1415"/>
      <c r="J44" s="572"/>
    </row>
    <row r="45" spans="1:10" ht="27.95" customHeight="1" x14ac:dyDescent="0.25">
      <c r="A45" s="1451"/>
      <c r="B45" s="1436"/>
      <c r="C45" s="1446"/>
      <c r="D45" s="1416">
        <f>BS!E27</f>
        <v>0</v>
      </c>
      <c r="E45" s="1416"/>
      <c r="F45" s="1416"/>
      <c r="G45" s="650"/>
      <c r="H45" s="1412">
        <f>BS!G27</f>
        <v>0</v>
      </c>
      <c r="I45" s="1413"/>
      <c r="J45" s="1414"/>
    </row>
    <row r="46" spans="1:10" ht="27.95" customHeight="1" x14ac:dyDescent="0.25">
      <c r="A46" s="1451" t="s">
        <v>568</v>
      </c>
      <c r="B46" s="1436" t="s">
        <v>1299</v>
      </c>
      <c r="C46" s="1446" t="s">
        <v>570</v>
      </c>
      <c r="D46" s="1416">
        <f>BS!D28</f>
        <v>0</v>
      </c>
      <c r="E46" s="1416"/>
      <c r="F46" s="1416"/>
      <c r="G46" s="1412">
        <f>BS!F28</f>
        <v>0</v>
      </c>
      <c r="H46" s="1413"/>
      <c r="I46" s="1415"/>
      <c r="J46" s="572"/>
    </row>
    <row r="47" spans="1:10" ht="27.95" customHeight="1" x14ac:dyDescent="0.25">
      <c r="A47" s="1451"/>
      <c r="B47" s="1436"/>
      <c r="C47" s="1446"/>
      <c r="D47" s="1416">
        <f>BS!E28</f>
        <v>0</v>
      </c>
      <c r="E47" s="1416"/>
      <c r="F47" s="1416"/>
      <c r="G47" s="650"/>
      <c r="H47" s="1412">
        <f>BS!G28</f>
        <v>0</v>
      </c>
      <c r="I47" s="1413"/>
      <c r="J47" s="1414"/>
    </row>
    <row r="48" spans="1:10" ht="27.95" customHeight="1" x14ac:dyDescent="0.25">
      <c r="A48" s="1451" t="s">
        <v>571</v>
      </c>
      <c r="B48" s="1436" t="s">
        <v>1298</v>
      </c>
      <c r="C48" s="1455" t="s">
        <v>573</v>
      </c>
      <c r="D48" s="1416">
        <f>BS!D29</f>
        <v>0</v>
      </c>
      <c r="E48" s="1416"/>
      <c r="F48" s="1416"/>
      <c r="G48" s="1412">
        <f>BS!F29</f>
        <v>0</v>
      </c>
      <c r="H48" s="1413"/>
      <c r="I48" s="1415"/>
      <c r="J48" s="572"/>
    </row>
    <row r="49" spans="1:10" ht="27.95" customHeight="1" x14ac:dyDescent="0.25">
      <c r="A49" s="1451"/>
      <c r="B49" s="1436"/>
      <c r="C49" s="1446"/>
      <c r="D49" s="1416">
        <f>BS!E29</f>
        <v>0</v>
      </c>
      <c r="E49" s="1416"/>
      <c r="F49" s="1416"/>
      <c r="G49" s="650"/>
      <c r="H49" s="1412">
        <f>BS!G29</f>
        <v>0</v>
      </c>
      <c r="I49" s="1413"/>
      <c r="J49" s="1414"/>
    </row>
    <row r="50" spans="1:10" ht="27.95" customHeight="1" x14ac:dyDescent="0.25">
      <c r="A50" s="1465" t="s">
        <v>574</v>
      </c>
      <c r="B50" s="1457" t="s">
        <v>1297</v>
      </c>
      <c r="C50" s="1446" t="s">
        <v>576</v>
      </c>
      <c r="D50" s="1416">
        <f>BS!D30</f>
        <v>0</v>
      </c>
      <c r="E50" s="1416"/>
      <c r="F50" s="1416"/>
      <c r="G50" s="1412">
        <f>BS!F30</f>
        <v>0</v>
      </c>
      <c r="H50" s="1413"/>
      <c r="I50" s="1415"/>
      <c r="J50" s="572"/>
    </row>
    <row r="51" spans="1:10" ht="27.95" customHeight="1" x14ac:dyDescent="0.25">
      <c r="A51" s="1465"/>
      <c r="B51" s="1457"/>
      <c r="C51" s="1446"/>
      <c r="D51" s="1416">
        <f>BS!E30</f>
        <v>0</v>
      </c>
      <c r="E51" s="1416"/>
      <c r="F51" s="1416"/>
      <c r="G51" s="650"/>
      <c r="H51" s="1412">
        <f>BS!G30</f>
        <v>0</v>
      </c>
      <c r="I51" s="1413"/>
      <c r="J51" s="1414"/>
    </row>
    <row r="52" spans="1:10" s="501" customFormat="1" ht="27.95" customHeight="1" x14ac:dyDescent="0.25">
      <c r="A52" s="1469" t="s">
        <v>577</v>
      </c>
      <c r="B52" s="1436" t="s">
        <v>1296</v>
      </c>
      <c r="C52" s="1455" t="s">
        <v>579</v>
      </c>
      <c r="D52" s="1416">
        <f>BS!D31</f>
        <v>0</v>
      </c>
      <c r="E52" s="1416"/>
      <c r="F52" s="1416"/>
      <c r="G52" s="1412">
        <f>BS!F31</f>
        <v>0</v>
      </c>
      <c r="H52" s="1413"/>
      <c r="I52" s="1415"/>
      <c r="J52" s="572"/>
    </row>
    <row r="53" spans="1:10" s="501" customFormat="1" ht="27.95" customHeight="1" x14ac:dyDescent="0.25">
      <c r="A53" s="1469"/>
      <c r="B53" s="1436"/>
      <c r="C53" s="1446"/>
      <c r="D53" s="1416">
        <f>BS!E31</f>
        <v>0</v>
      </c>
      <c r="E53" s="1416"/>
      <c r="F53" s="1416"/>
      <c r="G53" s="650"/>
      <c r="H53" s="1412">
        <f>BS!G31</f>
        <v>0</v>
      </c>
      <c r="I53" s="1413"/>
      <c r="J53" s="1414"/>
    </row>
    <row r="54" spans="1:10" ht="27.95" customHeight="1" x14ac:dyDescent="0.25">
      <c r="A54" s="1451" t="s">
        <v>532</v>
      </c>
      <c r="B54" s="1436" t="s">
        <v>1295</v>
      </c>
      <c r="C54" s="1446" t="s">
        <v>581</v>
      </c>
      <c r="D54" s="1416">
        <f>BS!D32</f>
        <v>0</v>
      </c>
      <c r="E54" s="1416"/>
      <c r="F54" s="1416"/>
      <c r="G54" s="1412">
        <f>BS!F32</f>
        <v>0</v>
      </c>
      <c r="H54" s="1413"/>
      <c r="I54" s="1415"/>
      <c r="J54" s="572"/>
    </row>
    <row r="55" spans="1:10" ht="27.95" customHeight="1" x14ac:dyDescent="0.25">
      <c r="A55" s="1451"/>
      <c r="B55" s="1436"/>
      <c r="C55" s="1446"/>
      <c r="D55" s="1416">
        <f>BS!E32</f>
        <v>0</v>
      </c>
      <c r="E55" s="1416"/>
      <c r="F55" s="1416"/>
      <c r="G55" s="650"/>
      <c r="H55" s="1412">
        <f>BS!G32</f>
        <v>0</v>
      </c>
      <c r="I55" s="1413"/>
      <c r="J55" s="1414"/>
    </row>
    <row r="56" spans="1:10" ht="27.95" customHeight="1" x14ac:dyDescent="0.25">
      <c r="A56" s="1451" t="s">
        <v>535</v>
      </c>
      <c r="B56" s="1436" t="s">
        <v>1294</v>
      </c>
      <c r="C56" s="1455" t="s">
        <v>583</v>
      </c>
      <c r="D56" s="1416">
        <f>BS!D33</f>
        <v>0</v>
      </c>
      <c r="E56" s="1416"/>
      <c r="F56" s="1416"/>
      <c r="G56" s="1412">
        <f>BS!F33</f>
        <v>0</v>
      </c>
      <c r="H56" s="1413"/>
      <c r="I56" s="1415"/>
      <c r="J56" s="572"/>
    </row>
    <row r="57" spans="1:10" ht="27.95" customHeight="1" x14ac:dyDescent="0.25">
      <c r="A57" s="1451"/>
      <c r="B57" s="1436"/>
      <c r="C57" s="1446"/>
      <c r="D57" s="1416">
        <f>BS!E33</f>
        <v>0</v>
      </c>
      <c r="E57" s="1416"/>
      <c r="F57" s="1416"/>
      <c r="G57" s="650"/>
      <c r="H57" s="1412">
        <f>BS!G33</f>
        <v>0</v>
      </c>
      <c r="I57" s="1413"/>
      <c r="J57" s="1414"/>
    </row>
    <row r="58" spans="1:10" ht="27.95" customHeight="1" x14ac:dyDescent="0.25">
      <c r="A58" s="1451" t="s">
        <v>538</v>
      </c>
      <c r="B58" s="1436" t="s">
        <v>1293</v>
      </c>
      <c r="C58" s="1446" t="s">
        <v>585</v>
      </c>
      <c r="D58" s="1416">
        <f>BS!D34</f>
        <v>0</v>
      </c>
      <c r="E58" s="1416"/>
      <c r="F58" s="1416"/>
      <c r="G58" s="1412">
        <f>BS!F34</f>
        <v>0</v>
      </c>
      <c r="H58" s="1413"/>
      <c r="I58" s="1415"/>
      <c r="J58" s="572"/>
    </row>
    <row r="59" spans="1:10" ht="27.95" customHeight="1" x14ac:dyDescent="0.25">
      <c r="A59" s="1451"/>
      <c r="B59" s="1436"/>
      <c r="C59" s="1446"/>
      <c r="D59" s="1416">
        <f>BS!E34</f>
        <v>0</v>
      </c>
      <c r="E59" s="1416"/>
      <c r="F59" s="1416"/>
      <c r="G59" s="650"/>
      <c r="H59" s="1412">
        <f>BS!G34</f>
        <v>0</v>
      </c>
      <c r="I59" s="1413"/>
      <c r="J59" s="1414"/>
    </row>
    <row r="60" spans="1:10" ht="27.95" customHeight="1" x14ac:dyDescent="0.25">
      <c r="A60" s="1451" t="s">
        <v>541</v>
      </c>
      <c r="B60" s="1436" t="s">
        <v>1292</v>
      </c>
      <c r="C60" s="1455" t="s">
        <v>587</v>
      </c>
      <c r="D60" s="1416">
        <f>BS!D35</f>
        <v>0</v>
      </c>
      <c r="E60" s="1416"/>
      <c r="F60" s="1416"/>
      <c r="G60" s="1412">
        <f>BS!F35</f>
        <v>0</v>
      </c>
      <c r="H60" s="1413"/>
      <c r="I60" s="1415"/>
      <c r="J60" s="572"/>
    </row>
    <row r="61" spans="1:10" ht="27.95" customHeight="1" x14ac:dyDescent="0.25">
      <c r="A61" s="1451"/>
      <c r="B61" s="1436"/>
      <c r="C61" s="1446"/>
      <c r="D61" s="1416">
        <f>BS!E35</f>
        <v>0</v>
      </c>
      <c r="E61" s="1416"/>
      <c r="F61" s="1416"/>
      <c r="G61" s="650"/>
      <c r="H61" s="1412">
        <f>BS!G35</f>
        <v>0</v>
      </c>
      <c r="I61" s="1413"/>
      <c r="J61" s="1414"/>
    </row>
    <row r="62" spans="1:10" ht="27.95" customHeight="1" x14ac:dyDescent="0.25">
      <c r="A62" s="1451" t="s">
        <v>544</v>
      </c>
      <c r="B62" s="1436" t="s">
        <v>1291</v>
      </c>
      <c r="C62" s="1446" t="s">
        <v>589</v>
      </c>
      <c r="D62" s="1416">
        <f>BS!D36</f>
        <v>0</v>
      </c>
      <c r="E62" s="1416"/>
      <c r="F62" s="1416"/>
      <c r="G62" s="1412">
        <f>BS!F36</f>
        <v>0</v>
      </c>
      <c r="H62" s="1413"/>
      <c r="I62" s="1415"/>
      <c r="J62" s="572"/>
    </row>
    <row r="63" spans="1:10" ht="27.95" customHeight="1" x14ac:dyDescent="0.25">
      <c r="A63" s="1451"/>
      <c r="B63" s="1436"/>
      <c r="C63" s="1446"/>
      <c r="D63" s="1416">
        <f>BS!E36</f>
        <v>0</v>
      </c>
      <c r="E63" s="1416"/>
      <c r="F63" s="1416"/>
      <c r="G63" s="650"/>
      <c r="H63" s="1412">
        <f>BS!G36</f>
        <v>0</v>
      </c>
      <c r="I63" s="1413"/>
      <c r="J63" s="1414"/>
    </row>
    <row r="64" spans="1:10" ht="11.25" customHeight="1" x14ac:dyDescent="0.25">
      <c r="A64" s="1471" t="s">
        <v>1221</v>
      </c>
      <c r="B64" s="1470" t="s">
        <v>1265</v>
      </c>
      <c r="C64" s="1477" t="s">
        <v>1219</v>
      </c>
      <c r="D64" s="1419" t="s">
        <v>2</v>
      </c>
      <c r="E64" s="1420"/>
      <c r="F64" s="1420"/>
      <c r="G64" s="1420"/>
      <c r="H64" s="1421"/>
      <c r="I64" s="1426" t="s">
        <v>1264</v>
      </c>
      <c r="J64" s="1427"/>
    </row>
    <row r="65" spans="1:10" ht="11.25" customHeight="1" x14ac:dyDescent="0.15">
      <c r="A65" s="1460"/>
      <c r="B65" s="1434"/>
      <c r="C65" s="1464"/>
      <c r="D65" s="1435">
        <v>1</v>
      </c>
      <c r="E65" s="1434" t="s">
        <v>1263</v>
      </c>
      <c r="F65" s="1434"/>
      <c r="G65" s="1424" t="s">
        <v>1262</v>
      </c>
      <c r="H65" s="1425"/>
      <c r="I65" s="1419"/>
      <c r="J65" s="1428"/>
    </row>
    <row r="66" spans="1:10" ht="11.25" customHeight="1" x14ac:dyDescent="0.15">
      <c r="A66" s="1460"/>
      <c r="B66" s="1434"/>
      <c r="C66" s="1464"/>
      <c r="D66" s="1435"/>
      <c r="E66" s="1434" t="s">
        <v>1261</v>
      </c>
      <c r="F66" s="1434"/>
      <c r="G66" s="1442"/>
      <c r="H66" s="1443"/>
      <c r="I66" s="1449" t="s">
        <v>1260</v>
      </c>
      <c r="J66" s="1418"/>
    </row>
    <row r="67" spans="1:10" ht="27.95" customHeight="1" x14ac:dyDescent="0.25">
      <c r="A67" s="1451" t="s">
        <v>547</v>
      </c>
      <c r="B67" s="1436" t="s">
        <v>1290</v>
      </c>
      <c r="C67" s="1446" t="s">
        <v>888</v>
      </c>
      <c r="D67" s="1416">
        <f>BS!D37</f>
        <v>0</v>
      </c>
      <c r="E67" s="1416"/>
      <c r="F67" s="1416"/>
      <c r="G67" s="1412">
        <f>BS!F37</f>
        <v>0</v>
      </c>
      <c r="H67" s="1413"/>
      <c r="I67" s="1415"/>
      <c r="J67" s="572"/>
    </row>
    <row r="68" spans="1:10" ht="27.95" customHeight="1" x14ac:dyDescent="0.25">
      <c r="A68" s="1451"/>
      <c r="B68" s="1436"/>
      <c r="C68" s="1446"/>
      <c r="D68" s="1416">
        <f>BS!E37</f>
        <v>0</v>
      </c>
      <c r="E68" s="1416"/>
      <c r="F68" s="1416"/>
      <c r="G68" s="650"/>
      <c r="H68" s="1412">
        <f>BS!G37</f>
        <v>0</v>
      </c>
      <c r="I68" s="1413"/>
      <c r="J68" s="1414"/>
    </row>
    <row r="69" spans="1:10" ht="27.95" customHeight="1" x14ac:dyDescent="0.25">
      <c r="A69" s="1451" t="s">
        <v>568</v>
      </c>
      <c r="B69" s="1436" t="s">
        <v>1289</v>
      </c>
      <c r="C69" s="1446" t="s">
        <v>891</v>
      </c>
      <c r="D69" s="1416">
        <f>BS!D38</f>
        <v>0</v>
      </c>
      <c r="E69" s="1416"/>
      <c r="F69" s="1416"/>
      <c r="G69" s="1412">
        <f>BS!F38</f>
        <v>0</v>
      </c>
      <c r="H69" s="1413"/>
      <c r="I69" s="1415"/>
      <c r="J69" s="572"/>
    </row>
    <row r="70" spans="1:10" ht="27.95" customHeight="1" x14ac:dyDescent="0.25">
      <c r="A70" s="1451"/>
      <c r="B70" s="1436"/>
      <c r="C70" s="1446"/>
      <c r="D70" s="1416">
        <f>BS!E38</f>
        <v>0</v>
      </c>
      <c r="E70" s="1416"/>
      <c r="F70" s="1416"/>
      <c r="G70" s="650"/>
      <c r="H70" s="1412">
        <f>BS!G38</f>
        <v>0</v>
      </c>
      <c r="I70" s="1413"/>
      <c r="J70" s="1414"/>
    </row>
    <row r="71" spans="1:10" ht="27.95" customHeight="1" x14ac:dyDescent="0.25">
      <c r="A71" s="1456" t="s">
        <v>594</v>
      </c>
      <c r="B71" s="1457" t="s">
        <v>1288</v>
      </c>
      <c r="C71" s="1446" t="s">
        <v>894</v>
      </c>
      <c r="D71" s="1416">
        <f>BS!D39</f>
        <v>911113</v>
      </c>
      <c r="E71" s="1416"/>
      <c r="F71" s="1416"/>
      <c r="G71" s="1412">
        <f>BS!F39</f>
        <v>911113</v>
      </c>
      <c r="H71" s="1413"/>
      <c r="I71" s="1415"/>
      <c r="J71" s="572"/>
    </row>
    <row r="72" spans="1:10" ht="27.95" customHeight="1" x14ac:dyDescent="0.25">
      <c r="A72" s="1456"/>
      <c r="B72" s="1438"/>
      <c r="C72" s="1446"/>
      <c r="D72" s="1416">
        <f>BS!E39</f>
        <v>0</v>
      </c>
      <c r="E72" s="1416"/>
      <c r="F72" s="1416"/>
      <c r="G72" s="650"/>
      <c r="H72" s="1412">
        <f>BS!G39</f>
        <v>744553</v>
      </c>
      <c r="I72" s="1413"/>
      <c r="J72" s="1414"/>
    </row>
    <row r="73" spans="1:10" s="501" customFormat="1" ht="27.95" customHeight="1" x14ac:dyDescent="0.25">
      <c r="A73" s="1465" t="s">
        <v>597</v>
      </c>
      <c r="B73" s="1457" t="s">
        <v>1287</v>
      </c>
      <c r="C73" s="1446" t="s">
        <v>897</v>
      </c>
      <c r="D73" s="1416">
        <f>BS!D40</f>
        <v>0</v>
      </c>
      <c r="E73" s="1416"/>
      <c r="F73" s="1416"/>
      <c r="G73" s="1412">
        <f>BS!F40</f>
        <v>0</v>
      </c>
      <c r="H73" s="1413"/>
      <c r="I73" s="1415"/>
      <c r="J73" s="572"/>
    </row>
    <row r="74" spans="1:10" s="501" customFormat="1" ht="27.95" customHeight="1" x14ac:dyDescent="0.25">
      <c r="A74" s="1456"/>
      <c r="B74" s="1438"/>
      <c r="C74" s="1446"/>
      <c r="D74" s="1416">
        <f>BS!E40</f>
        <v>0</v>
      </c>
      <c r="E74" s="1416"/>
      <c r="F74" s="1416"/>
      <c r="G74" s="650"/>
      <c r="H74" s="1412">
        <f>BS!G40</f>
        <v>0</v>
      </c>
      <c r="I74" s="1413"/>
      <c r="J74" s="1414"/>
    </row>
    <row r="75" spans="1:10" s="501" customFormat="1" ht="27.95" customHeight="1" x14ac:dyDescent="0.25">
      <c r="A75" s="1452" t="s">
        <v>600</v>
      </c>
      <c r="B75" s="1436" t="s">
        <v>1286</v>
      </c>
      <c r="C75" s="1446" t="s">
        <v>900</v>
      </c>
      <c r="D75" s="1416">
        <f>BS!D41</f>
        <v>0</v>
      </c>
      <c r="E75" s="1416"/>
      <c r="F75" s="1416"/>
      <c r="G75" s="1412">
        <f>BS!F41</f>
        <v>0</v>
      </c>
      <c r="H75" s="1413"/>
      <c r="I75" s="1415"/>
      <c r="J75" s="572"/>
    </row>
    <row r="76" spans="1:10" s="501" customFormat="1" ht="27.95" customHeight="1" x14ac:dyDescent="0.25">
      <c r="A76" s="1468"/>
      <c r="B76" s="1436"/>
      <c r="C76" s="1446"/>
      <c r="D76" s="1416">
        <f>BS!E41</f>
        <v>0</v>
      </c>
      <c r="E76" s="1416"/>
      <c r="F76" s="1416"/>
      <c r="G76" s="650"/>
      <c r="H76" s="1412">
        <f>BS!G41</f>
        <v>0</v>
      </c>
      <c r="I76" s="1413"/>
      <c r="J76" s="1414"/>
    </row>
    <row r="77" spans="1:10" ht="27.95" customHeight="1" x14ac:dyDescent="0.25">
      <c r="A77" s="1451" t="s">
        <v>532</v>
      </c>
      <c r="B77" s="1436" t="s">
        <v>1285</v>
      </c>
      <c r="C77" s="1446" t="s">
        <v>903</v>
      </c>
      <c r="D77" s="1416">
        <f>BS!D42</f>
        <v>0</v>
      </c>
      <c r="E77" s="1416"/>
      <c r="F77" s="1416"/>
      <c r="G77" s="1412">
        <f>BS!F42</f>
        <v>0</v>
      </c>
      <c r="H77" s="1413"/>
      <c r="I77" s="1415"/>
      <c r="J77" s="572"/>
    </row>
    <row r="78" spans="1:10" ht="27.95" customHeight="1" x14ac:dyDescent="0.25">
      <c r="A78" s="1451"/>
      <c r="B78" s="1436"/>
      <c r="C78" s="1446"/>
      <c r="D78" s="1416">
        <f>BS!E42</f>
        <v>0</v>
      </c>
      <c r="E78" s="1416"/>
      <c r="F78" s="1416"/>
      <c r="G78" s="650"/>
      <c r="H78" s="1412">
        <f>BS!G42</f>
        <v>0</v>
      </c>
      <c r="I78" s="1413"/>
      <c r="J78" s="1414"/>
    </row>
    <row r="79" spans="1:10" ht="27.95" customHeight="1" x14ac:dyDescent="0.25">
      <c r="A79" s="1451" t="s">
        <v>535</v>
      </c>
      <c r="B79" s="1436" t="s">
        <v>1284</v>
      </c>
      <c r="C79" s="1446" t="s">
        <v>906</v>
      </c>
      <c r="D79" s="1416">
        <f>BS!D43</f>
        <v>0</v>
      </c>
      <c r="E79" s="1416"/>
      <c r="F79" s="1416"/>
      <c r="G79" s="1412">
        <f>BS!F43</f>
        <v>0</v>
      </c>
      <c r="H79" s="1413"/>
      <c r="I79" s="1415"/>
      <c r="J79" s="572"/>
    </row>
    <row r="80" spans="1:10" ht="27.95" customHeight="1" x14ac:dyDescent="0.25">
      <c r="A80" s="1451"/>
      <c r="B80" s="1436"/>
      <c r="C80" s="1446"/>
      <c r="D80" s="1416">
        <f>BS!E43</f>
        <v>0</v>
      </c>
      <c r="E80" s="1416"/>
      <c r="F80" s="1416"/>
      <c r="G80" s="650"/>
      <c r="H80" s="1412">
        <f>BS!G43</f>
        <v>0</v>
      </c>
      <c r="I80" s="1413"/>
      <c r="J80" s="1414"/>
    </row>
    <row r="81" spans="1:10" ht="27.95" customHeight="1" x14ac:dyDescent="0.25">
      <c r="A81" s="1451" t="s">
        <v>538</v>
      </c>
      <c r="B81" s="1436" t="s">
        <v>1283</v>
      </c>
      <c r="C81" s="1446" t="s">
        <v>909</v>
      </c>
      <c r="D81" s="1416">
        <f>BS!D44</f>
        <v>0</v>
      </c>
      <c r="E81" s="1416"/>
      <c r="F81" s="1416"/>
      <c r="G81" s="1412">
        <f>BS!F44</f>
        <v>0</v>
      </c>
      <c r="H81" s="1413"/>
      <c r="I81" s="1415"/>
      <c r="J81" s="572"/>
    </row>
    <row r="82" spans="1:10" ht="27.95" customHeight="1" x14ac:dyDescent="0.25">
      <c r="A82" s="1451"/>
      <c r="B82" s="1436"/>
      <c r="C82" s="1446"/>
      <c r="D82" s="1416">
        <f>BS!E44</f>
        <v>0</v>
      </c>
      <c r="E82" s="1416"/>
      <c r="F82" s="1416"/>
      <c r="G82" s="650"/>
      <c r="H82" s="1412">
        <f>BS!G44</f>
        <v>0</v>
      </c>
      <c r="I82" s="1413"/>
      <c r="J82" s="1414"/>
    </row>
    <row r="83" spans="1:10" ht="27.95" customHeight="1" x14ac:dyDescent="0.25">
      <c r="A83" s="1451" t="s">
        <v>541</v>
      </c>
      <c r="B83" s="1436" t="s">
        <v>1282</v>
      </c>
      <c r="C83" s="1446" t="s">
        <v>912</v>
      </c>
      <c r="D83" s="1416">
        <f>BS!D45</f>
        <v>0</v>
      </c>
      <c r="E83" s="1416"/>
      <c r="F83" s="1416"/>
      <c r="G83" s="1412">
        <f>BS!F45</f>
        <v>0</v>
      </c>
      <c r="H83" s="1413"/>
      <c r="I83" s="1415"/>
      <c r="J83" s="572"/>
    </row>
    <row r="84" spans="1:10" ht="27.95" customHeight="1" x14ac:dyDescent="0.25">
      <c r="A84" s="1451"/>
      <c r="B84" s="1436"/>
      <c r="C84" s="1446"/>
      <c r="D84" s="1416">
        <f>BS!E45</f>
        <v>0</v>
      </c>
      <c r="E84" s="1416"/>
      <c r="F84" s="1416"/>
      <c r="G84" s="650"/>
      <c r="H84" s="1412">
        <f>BS!G45</f>
        <v>0</v>
      </c>
      <c r="I84" s="1413"/>
      <c r="J84" s="1414"/>
    </row>
    <row r="85" spans="1:10" ht="27.95" customHeight="1" x14ac:dyDescent="0.25">
      <c r="A85" s="1451" t="s">
        <v>544</v>
      </c>
      <c r="B85" s="1436" t="s">
        <v>1281</v>
      </c>
      <c r="C85" s="1446" t="s">
        <v>915</v>
      </c>
      <c r="D85" s="1416">
        <f>BS!D46</f>
        <v>0</v>
      </c>
      <c r="E85" s="1416"/>
      <c r="F85" s="1416"/>
      <c r="G85" s="1412">
        <f>BS!F46</f>
        <v>0</v>
      </c>
      <c r="H85" s="1413"/>
      <c r="I85" s="1415"/>
      <c r="J85" s="572"/>
    </row>
    <row r="86" spans="1:10" ht="27.95" customHeight="1" x14ac:dyDescent="0.25">
      <c r="A86" s="1451"/>
      <c r="B86" s="1436"/>
      <c r="C86" s="1446"/>
      <c r="D86" s="1416">
        <f>BS!E46</f>
        <v>0</v>
      </c>
      <c r="E86" s="1416"/>
      <c r="F86" s="1416"/>
      <c r="G86" s="650"/>
      <c r="H86" s="1412">
        <f>BS!G46</f>
        <v>0</v>
      </c>
      <c r="I86" s="1413"/>
      <c r="J86" s="1414"/>
    </row>
    <row r="87" spans="1:10" ht="27.95" customHeight="1" x14ac:dyDescent="0.25">
      <c r="A87" s="1465" t="s">
        <v>613</v>
      </c>
      <c r="B87" s="1438" t="s">
        <v>1280</v>
      </c>
      <c r="C87" s="1446" t="s">
        <v>918</v>
      </c>
      <c r="D87" s="1416">
        <f>BS!D47</f>
        <v>50197</v>
      </c>
      <c r="E87" s="1416"/>
      <c r="F87" s="1416"/>
      <c r="G87" s="1412">
        <f>BS!F47</f>
        <v>50197</v>
      </c>
      <c r="H87" s="1413"/>
      <c r="I87" s="1415"/>
      <c r="J87" s="572"/>
    </row>
    <row r="88" spans="1:10" ht="27.95" customHeight="1" x14ac:dyDescent="0.25">
      <c r="A88" s="1456"/>
      <c r="B88" s="1438"/>
      <c r="C88" s="1446"/>
      <c r="D88" s="1416">
        <f>BS!E47</f>
        <v>0</v>
      </c>
      <c r="E88" s="1416"/>
      <c r="F88" s="1416"/>
      <c r="G88" s="650"/>
      <c r="H88" s="1412">
        <f>BS!G47</f>
        <v>7916</v>
      </c>
      <c r="I88" s="1413"/>
      <c r="J88" s="1414"/>
    </row>
    <row r="89" spans="1:10" s="501" customFormat="1" ht="27.95" customHeight="1" x14ac:dyDescent="0.25">
      <c r="A89" s="1452" t="s">
        <v>616</v>
      </c>
      <c r="B89" s="1436" t="s">
        <v>1279</v>
      </c>
      <c r="C89" s="1446" t="s">
        <v>921</v>
      </c>
      <c r="D89" s="1416">
        <f>BS!D48</f>
        <v>0</v>
      </c>
      <c r="E89" s="1416"/>
      <c r="F89" s="1416"/>
      <c r="G89" s="1412">
        <f>BS!F48</f>
        <v>0</v>
      </c>
      <c r="H89" s="1413"/>
      <c r="I89" s="1415"/>
      <c r="J89" s="572"/>
    </row>
    <row r="90" spans="1:10" s="501" customFormat="1" ht="27.95" customHeight="1" x14ac:dyDescent="0.25">
      <c r="A90" s="1468"/>
      <c r="B90" s="1436"/>
      <c r="C90" s="1446"/>
      <c r="D90" s="1416">
        <f>BS!E48</f>
        <v>0</v>
      </c>
      <c r="E90" s="1416"/>
      <c r="F90" s="1416"/>
      <c r="G90" s="650"/>
      <c r="H90" s="1412">
        <f>BS!G48</f>
        <v>0</v>
      </c>
      <c r="I90" s="1413"/>
      <c r="J90" s="1414"/>
    </row>
    <row r="91" spans="1:10" s="501" customFormat="1" ht="27.95" customHeight="1" x14ac:dyDescent="0.25">
      <c r="A91" s="1451" t="s">
        <v>532</v>
      </c>
      <c r="B91" s="1436" t="s">
        <v>1274</v>
      </c>
      <c r="C91" s="1446" t="s">
        <v>924</v>
      </c>
      <c r="D91" s="1416">
        <f>BS!D49</f>
        <v>0</v>
      </c>
      <c r="E91" s="1416"/>
      <c r="F91" s="1416"/>
      <c r="G91" s="1412">
        <f>BS!F49</f>
        <v>0</v>
      </c>
      <c r="H91" s="1413"/>
      <c r="I91" s="1415"/>
      <c r="J91" s="572"/>
    </row>
    <row r="92" spans="1:10" s="501" customFormat="1" ht="27.95" customHeight="1" x14ac:dyDescent="0.25">
      <c r="A92" s="1451"/>
      <c r="B92" s="1436"/>
      <c r="C92" s="1446"/>
      <c r="D92" s="1416">
        <f>BS!E49</f>
        <v>0</v>
      </c>
      <c r="E92" s="1416"/>
      <c r="F92" s="1416"/>
      <c r="G92" s="650"/>
      <c r="H92" s="1412">
        <f>BS!G49</f>
        <v>0</v>
      </c>
      <c r="I92" s="1413"/>
      <c r="J92" s="1414"/>
    </row>
    <row r="93" spans="1:10" ht="27.95" customHeight="1" x14ac:dyDescent="0.25">
      <c r="A93" s="1451" t="s">
        <v>535</v>
      </c>
      <c r="B93" s="1436" t="s">
        <v>1273</v>
      </c>
      <c r="C93" s="1446" t="s">
        <v>927</v>
      </c>
      <c r="D93" s="1416">
        <f>BS!D50</f>
        <v>0</v>
      </c>
      <c r="E93" s="1416"/>
      <c r="F93" s="1416"/>
      <c r="G93" s="1412">
        <f>BS!F50</f>
        <v>0</v>
      </c>
      <c r="H93" s="1413"/>
      <c r="I93" s="1415"/>
      <c r="J93" s="572"/>
    </row>
    <row r="94" spans="1:10" ht="27.95" customHeight="1" x14ac:dyDescent="0.25">
      <c r="A94" s="1451"/>
      <c r="B94" s="1436"/>
      <c r="C94" s="1446"/>
      <c r="D94" s="1416">
        <f>BS!E50</f>
        <v>0</v>
      </c>
      <c r="E94" s="1416"/>
      <c r="F94" s="1416"/>
      <c r="G94" s="650"/>
      <c r="H94" s="1412">
        <f>BS!G50</f>
        <v>0</v>
      </c>
      <c r="I94" s="1413"/>
      <c r="J94" s="1414"/>
    </row>
    <row r="95" spans="1:10" ht="11.25" customHeight="1" x14ac:dyDescent="0.25">
      <c r="A95" s="1471" t="s">
        <v>1221</v>
      </c>
      <c r="B95" s="1470" t="s">
        <v>1265</v>
      </c>
      <c r="C95" s="1477" t="s">
        <v>1219</v>
      </c>
      <c r="D95" s="1419" t="s">
        <v>2</v>
      </c>
      <c r="E95" s="1420"/>
      <c r="F95" s="1420"/>
      <c r="G95" s="1420"/>
      <c r="H95" s="1421"/>
      <c r="I95" s="1426" t="s">
        <v>1264</v>
      </c>
      <c r="J95" s="1427"/>
    </row>
    <row r="96" spans="1:10" ht="11.25" customHeight="1" x14ac:dyDescent="0.15">
      <c r="A96" s="1460"/>
      <c r="B96" s="1434"/>
      <c r="C96" s="1464"/>
      <c r="D96" s="1435">
        <v>1</v>
      </c>
      <c r="E96" s="1434" t="s">
        <v>1263</v>
      </c>
      <c r="F96" s="1434"/>
      <c r="G96" s="1424" t="s">
        <v>1262</v>
      </c>
      <c r="H96" s="1425"/>
      <c r="I96" s="1419"/>
      <c r="J96" s="1428"/>
    </row>
    <row r="97" spans="1:12" ht="12" customHeight="1" x14ac:dyDescent="0.15">
      <c r="A97" s="1472"/>
      <c r="B97" s="1473"/>
      <c r="C97" s="1464"/>
      <c r="D97" s="1450"/>
      <c r="E97" s="1473" t="s">
        <v>1261</v>
      </c>
      <c r="F97" s="1473"/>
      <c r="G97" s="1442"/>
      <c r="H97" s="1443"/>
      <c r="I97" s="1449" t="s">
        <v>1260</v>
      </c>
      <c r="J97" s="1418"/>
    </row>
    <row r="98" spans="1:12" ht="27.95" customHeight="1" x14ac:dyDescent="0.25">
      <c r="A98" s="1451" t="s">
        <v>538</v>
      </c>
      <c r="B98" s="1436" t="s">
        <v>1272</v>
      </c>
      <c r="C98" s="1455" t="s">
        <v>930</v>
      </c>
      <c r="D98" s="1416">
        <f>BS!D51</f>
        <v>0</v>
      </c>
      <c r="E98" s="1416"/>
      <c r="F98" s="1416"/>
      <c r="G98" s="1412">
        <f>BS!F51</f>
        <v>0</v>
      </c>
      <c r="H98" s="1413"/>
      <c r="I98" s="1415"/>
      <c r="J98" s="572"/>
      <c r="L98" s="553" t="s">
        <v>1177</v>
      </c>
    </row>
    <row r="99" spans="1:12" ht="27.95" customHeight="1" x14ac:dyDescent="0.25">
      <c r="A99" s="1451"/>
      <c r="B99" s="1436"/>
      <c r="C99" s="1446"/>
      <c r="D99" s="1416">
        <f>BS!E51</f>
        <v>0</v>
      </c>
      <c r="E99" s="1416"/>
      <c r="F99" s="1416"/>
      <c r="G99" s="650"/>
      <c r="H99" s="1412">
        <f>BS!G51</f>
        <v>0</v>
      </c>
      <c r="I99" s="1413"/>
      <c r="J99" s="1414"/>
    </row>
    <row r="100" spans="1:12" ht="27.95" customHeight="1" x14ac:dyDescent="0.25">
      <c r="A100" s="1451" t="s">
        <v>541</v>
      </c>
      <c r="B100" s="1436" t="s">
        <v>1278</v>
      </c>
      <c r="C100" s="1446" t="s">
        <v>933</v>
      </c>
      <c r="D100" s="1416">
        <f>BS!D52</f>
        <v>0</v>
      </c>
      <c r="E100" s="1416"/>
      <c r="F100" s="1416"/>
      <c r="G100" s="1412">
        <f>BS!F52</f>
        <v>0</v>
      </c>
      <c r="H100" s="1413"/>
      <c r="I100" s="1415"/>
      <c r="J100" s="572"/>
    </row>
    <row r="101" spans="1:12" ht="27.95" customHeight="1" x14ac:dyDescent="0.25">
      <c r="A101" s="1451"/>
      <c r="B101" s="1436"/>
      <c r="C101" s="1446"/>
      <c r="D101" s="1416">
        <f>BS!E52</f>
        <v>0</v>
      </c>
      <c r="E101" s="1416"/>
      <c r="F101" s="1416"/>
      <c r="G101" s="650"/>
      <c r="H101" s="1412">
        <f>BS!G52</f>
        <v>0</v>
      </c>
      <c r="I101" s="1413"/>
      <c r="J101" s="1414"/>
    </row>
    <row r="102" spans="1:12" ht="27.95" customHeight="1" x14ac:dyDescent="0.25">
      <c r="A102" s="1451" t="s">
        <v>544</v>
      </c>
      <c r="B102" s="1436" t="s">
        <v>1268</v>
      </c>
      <c r="C102" s="1455" t="s">
        <v>936</v>
      </c>
      <c r="D102" s="1416">
        <f>BS!D53</f>
        <v>0</v>
      </c>
      <c r="E102" s="1416"/>
      <c r="F102" s="1416"/>
      <c r="G102" s="1412">
        <f>BS!F53</f>
        <v>0</v>
      </c>
      <c r="H102" s="1413"/>
      <c r="I102" s="1415"/>
      <c r="J102" s="572"/>
    </row>
    <row r="103" spans="1:12" ht="27.95" customHeight="1" x14ac:dyDescent="0.25">
      <c r="A103" s="1451"/>
      <c r="B103" s="1436"/>
      <c r="C103" s="1446"/>
      <c r="D103" s="1416">
        <f>BS!E53</f>
        <v>0</v>
      </c>
      <c r="E103" s="1416"/>
      <c r="F103" s="1416"/>
      <c r="G103" s="650"/>
      <c r="H103" s="1412">
        <f>BS!G53</f>
        <v>0</v>
      </c>
      <c r="I103" s="1413"/>
      <c r="J103" s="1414"/>
    </row>
    <row r="104" spans="1:12" ht="27.95" customHeight="1" x14ac:dyDescent="0.25">
      <c r="A104" s="1451" t="s">
        <v>547</v>
      </c>
      <c r="B104" s="1436" t="s">
        <v>1277</v>
      </c>
      <c r="C104" s="1446" t="s">
        <v>939</v>
      </c>
      <c r="D104" s="1416">
        <f>BS!D54</f>
        <v>50197</v>
      </c>
      <c r="E104" s="1416"/>
      <c r="F104" s="1416"/>
      <c r="G104" s="1412">
        <f>BS!F54</f>
        <v>50197</v>
      </c>
      <c r="H104" s="1413"/>
      <c r="I104" s="1415"/>
      <c r="J104" s="572"/>
    </row>
    <row r="105" spans="1:12" ht="27.95" customHeight="1" x14ac:dyDescent="0.25">
      <c r="A105" s="1451"/>
      <c r="B105" s="1436"/>
      <c r="C105" s="1446"/>
      <c r="D105" s="1416">
        <f>BS!E54</f>
        <v>0</v>
      </c>
      <c r="E105" s="1416"/>
      <c r="F105" s="1416"/>
      <c r="G105" s="650"/>
      <c r="H105" s="1412">
        <f>BS!G54</f>
        <v>7916</v>
      </c>
      <c r="I105" s="1413"/>
      <c r="J105" s="1414"/>
    </row>
    <row r="106" spans="1:12" ht="27.95" customHeight="1" x14ac:dyDescent="0.25">
      <c r="A106" s="1475" t="s">
        <v>631</v>
      </c>
      <c r="B106" s="1457" t="s">
        <v>1276</v>
      </c>
      <c r="C106" s="1455" t="s">
        <v>941</v>
      </c>
      <c r="D106" s="1416">
        <f>BS!D55</f>
        <v>860706</v>
      </c>
      <c r="E106" s="1416"/>
      <c r="F106" s="1416"/>
      <c r="G106" s="1412">
        <f>BS!F55</f>
        <v>860706</v>
      </c>
      <c r="H106" s="1413"/>
      <c r="I106" s="1415"/>
      <c r="J106" s="572"/>
    </row>
    <row r="107" spans="1:12" ht="27.95" customHeight="1" x14ac:dyDescent="0.25">
      <c r="A107" s="1476"/>
      <c r="B107" s="1438"/>
      <c r="C107" s="1446"/>
      <c r="D107" s="1416">
        <f>BS!E55</f>
        <v>0</v>
      </c>
      <c r="E107" s="1416"/>
      <c r="F107" s="1416"/>
      <c r="G107" s="650"/>
      <c r="H107" s="1412">
        <f>BS!G55</f>
        <v>735953</v>
      </c>
      <c r="I107" s="1413"/>
      <c r="J107" s="1414"/>
    </row>
    <row r="108" spans="1:12" s="501" customFormat="1" ht="27.95" customHeight="1" x14ac:dyDescent="0.25">
      <c r="A108" s="1474" t="s">
        <v>634</v>
      </c>
      <c r="B108" s="1436" t="s">
        <v>1275</v>
      </c>
      <c r="C108" s="1446" t="s">
        <v>944</v>
      </c>
      <c r="D108" s="1416">
        <f>BS!D56</f>
        <v>860706</v>
      </c>
      <c r="E108" s="1416"/>
      <c r="F108" s="1416"/>
      <c r="G108" s="1412">
        <f>BS!F56</f>
        <v>860706</v>
      </c>
      <c r="H108" s="1413"/>
      <c r="I108" s="1415"/>
      <c r="J108" s="572"/>
    </row>
    <row r="109" spans="1:12" s="501" customFormat="1" ht="27.95" customHeight="1" x14ac:dyDescent="0.25">
      <c r="A109" s="1474"/>
      <c r="B109" s="1436"/>
      <c r="C109" s="1446"/>
      <c r="D109" s="1416">
        <f>BS!E56</f>
        <v>0</v>
      </c>
      <c r="E109" s="1416"/>
      <c r="F109" s="1416"/>
      <c r="G109" s="650"/>
      <c r="H109" s="1412">
        <f>BS!G56</f>
        <v>735953</v>
      </c>
      <c r="I109" s="1413"/>
      <c r="J109" s="1414"/>
    </row>
    <row r="110" spans="1:12" s="501" customFormat="1" ht="27.95" customHeight="1" x14ac:dyDescent="0.25">
      <c r="A110" s="1451" t="s">
        <v>532</v>
      </c>
      <c r="B110" s="1436" t="s">
        <v>1274</v>
      </c>
      <c r="C110" s="1455" t="s">
        <v>947</v>
      </c>
      <c r="D110" s="1416">
        <f>BS!D57</f>
        <v>0</v>
      </c>
      <c r="E110" s="1416"/>
      <c r="F110" s="1416"/>
      <c r="G110" s="1412">
        <f>BS!F57</f>
        <v>0</v>
      </c>
      <c r="H110" s="1413"/>
      <c r="I110" s="1415"/>
      <c r="J110" s="572"/>
    </row>
    <row r="111" spans="1:12" s="501" customFormat="1" ht="27.95" customHeight="1" x14ac:dyDescent="0.25">
      <c r="A111" s="1451"/>
      <c r="B111" s="1436"/>
      <c r="C111" s="1446"/>
      <c r="D111" s="1416">
        <f>BS!E57</f>
        <v>0</v>
      </c>
      <c r="E111" s="1416"/>
      <c r="F111" s="1416"/>
      <c r="G111" s="650"/>
      <c r="H111" s="1412">
        <f>BS!G57</f>
        <v>0</v>
      </c>
      <c r="I111" s="1413"/>
      <c r="J111" s="1414"/>
    </row>
    <row r="112" spans="1:12" ht="27.95" customHeight="1" x14ac:dyDescent="0.25">
      <c r="A112" s="1451" t="s">
        <v>535</v>
      </c>
      <c r="B112" s="1436" t="s">
        <v>1273</v>
      </c>
      <c r="C112" s="1446" t="s">
        <v>950</v>
      </c>
      <c r="D112" s="1416">
        <f>BS!D58</f>
        <v>0</v>
      </c>
      <c r="E112" s="1416"/>
      <c r="F112" s="1416"/>
      <c r="G112" s="1412">
        <f>BS!F58</f>
        <v>0</v>
      </c>
      <c r="H112" s="1413"/>
      <c r="I112" s="1415"/>
      <c r="J112" s="572"/>
    </row>
    <row r="113" spans="1:10" ht="27.95" customHeight="1" x14ac:dyDescent="0.25">
      <c r="A113" s="1451"/>
      <c r="B113" s="1436"/>
      <c r="C113" s="1446"/>
      <c r="D113" s="1416">
        <f>BS!E58</f>
        <v>0</v>
      </c>
      <c r="E113" s="1416"/>
      <c r="F113" s="1416"/>
      <c r="G113" s="650"/>
      <c r="H113" s="1412">
        <f>BS!G58</f>
        <v>0</v>
      </c>
      <c r="I113" s="1413"/>
      <c r="J113" s="1414"/>
    </row>
    <row r="114" spans="1:10" ht="27.95" customHeight="1" x14ac:dyDescent="0.25">
      <c r="A114" s="1451" t="s">
        <v>538</v>
      </c>
      <c r="B114" s="1436" t="s">
        <v>1272</v>
      </c>
      <c r="C114" s="1455" t="s">
        <v>952</v>
      </c>
      <c r="D114" s="1416">
        <f>BS!D59</f>
        <v>0</v>
      </c>
      <c r="E114" s="1416"/>
      <c r="F114" s="1416"/>
      <c r="G114" s="1412">
        <f>BS!F59</f>
        <v>0</v>
      </c>
      <c r="H114" s="1413"/>
      <c r="I114" s="1415"/>
      <c r="J114" s="572"/>
    </row>
    <row r="115" spans="1:10" ht="27.95" customHeight="1" x14ac:dyDescent="0.25">
      <c r="A115" s="1451"/>
      <c r="B115" s="1436"/>
      <c r="C115" s="1446"/>
      <c r="D115" s="1416">
        <f>BS!E59</f>
        <v>0</v>
      </c>
      <c r="E115" s="1416"/>
      <c r="F115" s="1416"/>
      <c r="G115" s="650"/>
      <c r="H115" s="1412">
        <f>BS!G59</f>
        <v>0</v>
      </c>
      <c r="I115" s="1413"/>
      <c r="J115" s="1414"/>
    </row>
    <row r="116" spans="1:10" ht="27.95" customHeight="1" x14ac:dyDescent="0.25">
      <c r="A116" s="1451" t="s">
        <v>541</v>
      </c>
      <c r="B116" s="1436" t="s">
        <v>1271</v>
      </c>
      <c r="C116" s="1446" t="s">
        <v>954</v>
      </c>
      <c r="D116" s="1416">
        <f>BS!D60</f>
        <v>0</v>
      </c>
      <c r="E116" s="1416"/>
      <c r="F116" s="1416"/>
      <c r="G116" s="1412">
        <f>BS!F60</f>
        <v>0</v>
      </c>
      <c r="H116" s="1413"/>
      <c r="I116" s="1415"/>
      <c r="J116" s="572"/>
    </row>
    <row r="117" spans="1:10" ht="27.95" customHeight="1" x14ac:dyDescent="0.25">
      <c r="A117" s="1451"/>
      <c r="B117" s="1436"/>
      <c r="C117" s="1446"/>
      <c r="D117" s="1416">
        <f>BS!E60</f>
        <v>0</v>
      </c>
      <c r="E117" s="1416"/>
      <c r="F117" s="1416"/>
      <c r="G117" s="650"/>
      <c r="H117" s="1412">
        <f>BS!G60</f>
        <v>0</v>
      </c>
      <c r="I117" s="1413"/>
      <c r="J117" s="1414"/>
    </row>
    <row r="118" spans="1:10" ht="27.95" customHeight="1" x14ac:dyDescent="0.25">
      <c r="A118" s="1451" t="s">
        <v>544</v>
      </c>
      <c r="B118" s="1436" t="s">
        <v>1270</v>
      </c>
      <c r="C118" s="1455" t="s">
        <v>957</v>
      </c>
      <c r="D118" s="1416">
        <f>BS!D61</f>
        <v>0</v>
      </c>
      <c r="E118" s="1416"/>
      <c r="F118" s="1416"/>
      <c r="G118" s="1412">
        <f>BS!F61</f>
        <v>0</v>
      </c>
      <c r="H118" s="1413"/>
      <c r="I118" s="1415"/>
      <c r="J118" s="572"/>
    </row>
    <row r="119" spans="1:10" ht="27.95" customHeight="1" x14ac:dyDescent="0.25">
      <c r="A119" s="1451"/>
      <c r="B119" s="1436"/>
      <c r="C119" s="1446"/>
      <c r="D119" s="1416">
        <f>BS!E61</f>
        <v>0</v>
      </c>
      <c r="E119" s="1416"/>
      <c r="F119" s="1416"/>
      <c r="G119" s="650"/>
      <c r="H119" s="1412">
        <f>BS!G61</f>
        <v>0</v>
      </c>
      <c r="I119" s="1413"/>
      <c r="J119" s="1414"/>
    </row>
    <row r="120" spans="1:10" ht="27.95" customHeight="1" x14ac:dyDescent="0.25">
      <c r="A120" s="1451" t="s">
        <v>547</v>
      </c>
      <c r="B120" s="1436" t="s">
        <v>1269</v>
      </c>
      <c r="C120" s="1446" t="s">
        <v>960</v>
      </c>
      <c r="D120" s="1416">
        <f>BS!D62</f>
        <v>0</v>
      </c>
      <c r="E120" s="1416"/>
      <c r="F120" s="1416"/>
      <c r="G120" s="1412">
        <f>BS!F62</f>
        <v>0</v>
      </c>
      <c r="H120" s="1413"/>
      <c r="I120" s="1415"/>
      <c r="J120" s="572"/>
    </row>
    <row r="121" spans="1:10" ht="27.95" customHeight="1" x14ac:dyDescent="0.25">
      <c r="A121" s="1451"/>
      <c r="B121" s="1436"/>
      <c r="C121" s="1446"/>
      <c r="D121" s="1416">
        <f>BS!E62</f>
        <v>0</v>
      </c>
      <c r="E121" s="1416"/>
      <c r="F121" s="1416"/>
      <c r="G121" s="650"/>
      <c r="H121" s="1412">
        <f>BS!G62</f>
        <v>0</v>
      </c>
      <c r="I121" s="1413"/>
      <c r="J121" s="1414"/>
    </row>
    <row r="122" spans="1:10" ht="27.95" customHeight="1" x14ac:dyDescent="0.25">
      <c r="A122" s="1451" t="s">
        <v>568</v>
      </c>
      <c r="B122" s="1436" t="s">
        <v>1268</v>
      </c>
      <c r="C122" s="1455" t="s">
        <v>962</v>
      </c>
      <c r="D122" s="1416">
        <f>BS!D63</f>
        <v>0</v>
      </c>
      <c r="E122" s="1416"/>
      <c r="F122" s="1416"/>
      <c r="G122" s="1412">
        <f>BS!F63</f>
        <v>0</v>
      </c>
      <c r="H122" s="1413"/>
      <c r="I122" s="1415"/>
      <c r="J122" s="572"/>
    </row>
    <row r="123" spans="1:10" ht="27.95" customHeight="1" x14ac:dyDescent="0.25">
      <c r="A123" s="1451"/>
      <c r="B123" s="1436"/>
      <c r="C123" s="1446"/>
      <c r="D123" s="1416">
        <f>BS!E63</f>
        <v>0</v>
      </c>
      <c r="E123" s="1416"/>
      <c r="F123" s="1416"/>
      <c r="G123" s="650"/>
      <c r="H123" s="1412">
        <f>BS!G63</f>
        <v>0</v>
      </c>
      <c r="I123" s="1413"/>
      <c r="J123" s="1414"/>
    </row>
    <row r="124" spans="1:10" ht="27.95" customHeight="1" x14ac:dyDescent="0.25">
      <c r="A124" s="1479" t="s">
        <v>649</v>
      </c>
      <c r="B124" s="1478" t="s">
        <v>1267</v>
      </c>
      <c r="C124" s="1446" t="s">
        <v>965</v>
      </c>
      <c r="D124" s="1416">
        <f>BS!D64</f>
        <v>210</v>
      </c>
      <c r="E124" s="1416"/>
      <c r="F124" s="1416"/>
      <c r="G124" s="1412">
        <f>BS!F64</f>
        <v>210</v>
      </c>
      <c r="H124" s="1413"/>
      <c r="I124" s="1415"/>
      <c r="J124" s="572"/>
    </row>
    <row r="125" spans="1:10" ht="27.95" customHeight="1" x14ac:dyDescent="0.25">
      <c r="A125" s="1476"/>
      <c r="B125" s="1438"/>
      <c r="C125" s="1446"/>
      <c r="D125" s="1416">
        <f>BS!E64</f>
        <v>0</v>
      </c>
      <c r="E125" s="1416"/>
      <c r="F125" s="1416"/>
      <c r="G125" s="650"/>
      <c r="H125" s="1412">
        <f>BS!G64</f>
        <v>684</v>
      </c>
      <c r="I125" s="1413"/>
      <c r="J125" s="1414"/>
    </row>
    <row r="126" spans="1:10" s="501" customFormat="1" ht="27.95" customHeight="1" x14ac:dyDescent="0.25">
      <c r="A126" s="1468" t="s">
        <v>652</v>
      </c>
      <c r="B126" s="1436" t="s">
        <v>1266</v>
      </c>
      <c r="C126" s="1455" t="s">
        <v>968</v>
      </c>
      <c r="D126" s="1416">
        <f>BS!D65</f>
        <v>210</v>
      </c>
      <c r="E126" s="1416"/>
      <c r="F126" s="1416"/>
      <c r="G126" s="1412">
        <f>BS!F65</f>
        <v>210</v>
      </c>
      <c r="H126" s="1413"/>
      <c r="I126" s="1415"/>
      <c r="J126" s="572"/>
    </row>
    <row r="127" spans="1:10" s="501" customFormat="1" ht="27.95" customHeight="1" x14ac:dyDescent="0.25">
      <c r="A127" s="1468"/>
      <c r="B127" s="1436"/>
      <c r="C127" s="1446"/>
      <c r="D127" s="1416">
        <f>BS!E65</f>
        <v>0</v>
      </c>
      <c r="E127" s="1416"/>
      <c r="F127" s="1416"/>
      <c r="G127" s="650"/>
      <c r="H127" s="1412">
        <f>BS!G65</f>
        <v>684</v>
      </c>
      <c r="I127" s="1413"/>
      <c r="J127" s="1414"/>
    </row>
    <row r="128" spans="1:10" ht="11.25" customHeight="1" x14ac:dyDescent="0.25">
      <c r="A128" s="1471" t="s">
        <v>1221</v>
      </c>
      <c r="B128" s="1470" t="s">
        <v>1265</v>
      </c>
      <c r="C128" s="1477" t="s">
        <v>1219</v>
      </c>
      <c r="D128" s="1419" t="s">
        <v>2</v>
      </c>
      <c r="E128" s="1420"/>
      <c r="F128" s="1420"/>
      <c r="G128" s="1420"/>
      <c r="H128" s="1421"/>
      <c r="I128" s="1426" t="s">
        <v>1264</v>
      </c>
      <c r="J128" s="1427"/>
    </row>
    <row r="129" spans="1:10" ht="11.25" customHeight="1" x14ac:dyDescent="0.15">
      <c r="A129" s="1460"/>
      <c r="B129" s="1434"/>
      <c r="C129" s="1464"/>
      <c r="D129" s="1435">
        <v>1</v>
      </c>
      <c r="E129" s="1434" t="s">
        <v>1263</v>
      </c>
      <c r="F129" s="1434"/>
      <c r="G129" s="1424" t="s">
        <v>1262</v>
      </c>
      <c r="H129" s="1425"/>
      <c r="I129" s="1419"/>
      <c r="J129" s="1428"/>
    </row>
    <row r="130" spans="1:10" ht="11.25" customHeight="1" x14ac:dyDescent="0.15">
      <c r="A130" s="1460"/>
      <c r="B130" s="1434"/>
      <c r="C130" s="1464"/>
      <c r="D130" s="1435"/>
      <c r="E130" s="1434" t="s">
        <v>1261</v>
      </c>
      <c r="F130" s="1434"/>
      <c r="G130" s="1424"/>
      <c r="H130" s="1425"/>
      <c r="I130" s="1417" t="s">
        <v>1260</v>
      </c>
      <c r="J130" s="1418"/>
    </row>
    <row r="131" spans="1:10" s="571" customFormat="1" ht="27.95" customHeight="1" x14ac:dyDescent="0.25">
      <c r="A131" s="1451" t="s">
        <v>532</v>
      </c>
      <c r="B131" s="1436" t="s">
        <v>1259</v>
      </c>
      <c r="C131" s="1446" t="s">
        <v>656</v>
      </c>
      <c r="D131" s="1416">
        <f>BS!D66</f>
        <v>0</v>
      </c>
      <c r="E131" s="1416"/>
      <c r="F131" s="1416"/>
      <c r="G131" s="1412">
        <f>BS!F66</f>
        <v>0</v>
      </c>
      <c r="H131" s="1413"/>
      <c r="I131" s="1415"/>
      <c r="J131" s="572"/>
    </row>
    <row r="132" spans="1:10" s="571" customFormat="1" ht="27.95" customHeight="1" x14ac:dyDescent="0.25">
      <c r="A132" s="1451"/>
      <c r="B132" s="1436"/>
      <c r="C132" s="1446"/>
      <c r="D132" s="1416">
        <f>BS!E66</f>
        <v>0</v>
      </c>
      <c r="E132" s="1416"/>
      <c r="F132" s="1416"/>
      <c r="G132" s="650"/>
      <c r="H132" s="1412">
        <f>BS!G66</f>
        <v>0</v>
      </c>
      <c r="I132" s="1413"/>
      <c r="J132" s="1414"/>
    </row>
    <row r="133" spans="1:10" s="571" customFormat="1" ht="27.95" customHeight="1" x14ac:dyDescent="0.25">
      <c r="A133" s="1451" t="s">
        <v>535</v>
      </c>
      <c r="B133" s="1436" t="s">
        <v>1258</v>
      </c>
      <c r="C133" s="1446" t="s">
        <v>658</v>
      </c>
      <c r="D133" s="1416">
        <f>BS!D67</f>
        <v>0</v>
      </c>
      <c r="E133" s="1416"/>
      <c r="F133" s="1416"/>
      <c r="G133" s="1412">
        <f>BS!F67</f>
        <v>0</v>
      </c>
      <c r="H133" s="1413"/>
      <c r="I133" s="1415"/>
      <c r="J133" s="572"/>
    </row>
    <row r="134" spans="1:10" ht="27.95" customHeight="1" x14ac:dyDescent="0.25">
      <c r="A134" s="1451"/>
      <c r="B134" s="1436"/>
      <c r="C134" s="1446"/>
      <c r="D134" s="1416">
        <f>BS!E67</f>
        <v>0</v>
      </c>
      <c r="E134" s="1416"/>
      <c r="F134" s="1416"/>
      <c r="G134" s="650"/>
      <c r="H134" s="1412">
        <f>BS!G67</f>
        <v>0</v>
      </c>
      <c r="I134" s="1413"/>
      <c r="J134" s="1414"/>
    </row>
    <row r="135" spans="1:10" ht="27.95" customHeight="1" x14ac:dyDescent="0.25">
      <c r="A135" s="1451" t="s">
        <v>538</v>
      </c>
      <c r="B135" s="1436" t="s">
        <v>1257</v>
      </c>
      <c r="C135" s="1446" t="s">
        <v>660</v>
      </c>
      <c r="D135" s="1416">
        <f>BS!D68</f>
        <v>0</v>
      </c>
      <c r="E135" s="1416"/>
      <c r="F135" s="1416"/>
      <c r="G135" s="1412">
        <f>BS!F68</f>
        <v>0</v>
      </c>
      <c r="H135" s="1413"/>
      <c r="I135" s="1415"/>
      <c r="J135" s="572"/>
    </row>
    <row r="136" spans="1:10" ht="27.95" customHeight="1" x14ac:dyDescent="0.25">
      <c r="A136" s="1451"/>
      <c r="B136" s="1436"/>
      <c r="C136" s="1446"/>
      <c r="D136" s="1416">
        <f>BS!E68</f>
        <v>0</v>
      </c>
      <c r="E136" s="1416"/>
      <c r="F136" s="1416"/>
      <c r="G136" s="650"/>
      <c r="H136" s="1412">
        <f>BS!G68</f>
        <v>0</v>
      </c>
      <c r="I136" s="1413"/>
      <c r="J136" s="1414"/>
    </row>
    <row r="137" spans="1:10" ht="27.95" customHeight="1" x14ac:dyDescent="0.25">
      <c r="A137" s="1451" t="s">
        <v>541</v>
      </c>
      <c r="B137" s="1436" t="s">
        <v>1256</v>
      </c>
      <c r="C137" s="1446" t="s">
        <v>662</v>
      </c>
      <c r="D137" s="1416">
        <f>BS!D69</f>
        <v>0</v>
      </c>
      <c r="E137" s="1416"/>
      <c r="F137" s="1416"/>
      <c r="G137" s="1412">
        <f>BS!F69</f>
        <v>0</v>
      </c>
      <c r="H137" s="1413"/>
      <c r="I137" s="1415"/>
      <c r="J137" s="572"/>
    </row>
    <row r="138" spans="1:10" ht="27.95" customHeight="1" x14ac:dyDescent="0.25">
      <c r="A138" s="1451"/>
      <c r="B138" s="1436"/>
      <c r="C138" s="1446"/>
      <c r="D138" s="1416">
        <f>BS!E69</f>
        <v>0</v>
      </c>
      <c r="E138" s="1416"/>
      <c r="F138" s="1416"/>
      <c r="G138" s="650"/>
      <c r="H138" s="1412">
        <f>BS!G69</f>
        <v>0</v>
      </c>
      <c r="I138" s="1413"/>
      <c r="J138" s="1414"/>
    </row>
    <row r="139" spans="1:10" ht="27.95" customHeight="1" x14ac:dyDescent="0.25">
      <c r="A139" s="1456" t="s">
        <v>663</v>
      </c>
      <c r="B139" s="1438" t="s">
        <v>1255</v>
      </c>
      <c r="C139" s="1458" t="s">
        <v>665</v>
      </c>
      <c r="D139" s="1416">
        <f>BS!D70</f>
        <v>6</v>
      </c>
      <c r="E139" s="1416"/>
      <c r="F139" s="1416"/>
      <c r="G139" s="1412">
        <f>BS!F70</f>
        <v>6</v>
      </c>
      <c r="H139" s="1413"/>
      <c r="I139" s="1415"/>
      <c r="J139" s="572"/>
    </row>
    <row r="140" spans="1:10" ht="27.95" customHeight="1" x14ac:dyDescent="0.25">
      <c r="A140" s="1456"/>
      <c r="B140" s="1438"/>
      <c r="C140" s="1458"/>
      <c r="D140" s="1416">
        <f>BS!E70</f>
        <v>0</v>
      </c>
      <c r="E140" s="1416"/>
      <c r="F140" s="1416"/>
      <c r="G140" s="650"/>
      <c r="H140" s="1412">
        <f>BS!G70</f>
        <v>5</v>
      </c>
      <c r="I140" s="1413"/>
      <c r="J140" s="1414"/>
    </row>
    <row r="141" spans="1:10" ht="27.95" customHeight="1" x14ac:dyDescent="0.25">
      <c r="A141" s="1468" t="s">
        <v>666</v>
      </c>
      <c r="B141" s="1436" t="s">
        <v>1254</v>
      </c>
      <c r="C141" s="1446" t="s">
        <v>668</v>
      </c>
      <c r="D141" s="1416">
        <f>BS!D71</f>
        <v>0</v>
      </c>
      <c r="E141" s="1416"/>
      <c r="F141" s="1416"/>
      <c r="G141" s="1412">
        <f>BS!F71</f>
        <v>0</v>
      </c>
      <c r="H141" s="1413"/>
      <c r="I141" s="1415"/>
      <c r="J141" s="572"/>
    </row>
    <row r="142" spans="1:10" ht="27.95" customHeight="1" x14ac:dyDescent="0.25">
      <c r="A142" s="1468"/>
      <c r="B142" s="1436"/>
      <c r="C142" s="1446"/>
      <c r="D142" s="1416">
        <f>BS!E71</f>
        <v>0</v>
      </c>
      <c r="E142" s="1416"/>
      <c r="F142" s="1416"/>
      <c r="G142" s="650"/>
      <c r="H142" s="1412">
        <f>BS!G71</f>
        <v>0</v>
      </c>
      <c r="I142" s="1413"/>
      <c r="J142" s="1414"/>
    </row>
    <row r="143" spans="1:10" ht="27.95" customHeight="1" x14ac:dyDescent="0.25">
      <c r="A143" s="1451" t="s">
        <v>532</v>
      </c>
      <c r="B143" s="1436" t="s">
        <v>1253</v>
      </c>
      <c r="C143" s="1446" t="s">
        <v>670</v>
      </c>
      <c r="D143" s="1416">
        <f>BS!D72</f>
        <v>5</v>
      </c>
      <c r="E143" s="1416"/>
      <c r="F143" s="1416"/>
      <c r="G143" s="1412">
        <f>BS!F72</f>
        <v>5</v>
      </c>
      <c r="H143" s="1413"/>
      <c r="I143" s="1415"/>
      <c r="J143" s="572"/>
    </row>
    <row r="144" spans="1:10" s="501" customFormat="1" ht="27.95" customHeight="1" x14ac:dyDescent="0.25">
      <c r="A144" s="1451"/>
      <c r="B144" s="1436"/>
      <c r="C144" s="1446"/>
      <c r="D144" s="1416">
        <f>BS!E72</f>
        <v>0</v>
      </c>
      <c r="E144" s="1416"/>
      <c r="F144" s="1416"/>
      <c r="G144" s="650"/>
      <c r="H144" s="1412">
        <f>BS!G72</f>
        <v>5</v>
      </c>
      <c r="I144" s="1413"/>
      <c r="J144" s="1414"/>
    </row>
    <row r="145" spans="1:10" s="501" customFormat="1" ht="27.95" customHeight="1" x14ac:dyDescent="0.25">
      <c r="A145" s="1451" t="s">
        <v>535</v>
      </c>
      <c r="B145" s="1436" t="s">
        <v>1252</v>
      </c>
      <c r="C145" s="1446" t="s">
        <v>672</v>
      </c>
      <c r="D145" s="1416">
        <f>BS!D73</f>
        <v>0</v>
      </c>
      <c r="E145" s="1416"/>
      <c r="F145" s="1416"/>
      <c r="G145" s="1412">
        <f>BS!F73</f>
        <v>0</v>
      </c>
      <c r="H145" s="1413"/>
      <c r="I145" s="1415"/>
      <c r="J145" s="572"/>
    </row>
    <row r="146" spans="1:10" ht="27.95" customHeight="1" x14ac:dyDescent="0.25">
      <c r="A146" s="1451"/>
      <c r="B146" s="1436"/>
      <c r="C146" s="1446"/>
      <c r="D146" s="1416">
        <f>BS!E73</f>
        <v>0</v>
      </c>
      <c r="E146" s="1416"/>
      <c r="F146" s="1416"/>
      <c r="G146" s="650"/>
      <c r="H146" s="1412">
        <f>BS!G73</f>
        <v>0</v>
      </c>
      <c r="I146" s="1413"/>
      <c r="J146" s="1414"/>
    </row>
    <row r="147" spans="1:10" ht="27.95" customHeight="1" x14ac:dyDescent="0.25">
      <c r="A147" s="1451" t="s">
        <v>538</v>
      </c>
      <c r="B147" s="1436" t="s">
        <v>1251</v>
      </c>
      <c r="C147" s="1446" t="s">
        <v>674</v>
      </c>
      <c r="D147" s="1416">
        <f>BS!D74</f>
        <v>1</v>
      </c>
      <c r="E147" s="1416"/>
      <c r="F147" s="1416"/>
      <c r="G147" s="1412">
        <f>BS!F74</f>
        <v>1</v>
      </c>
      <c r="H147" s="1413"/>
      <c r="I147" s="1415"/>
      <c r="J147" s="572"/>
    </row>
    <row r="148" spans="1:10" s="566" customFormat="1" ht="27.95" customHeight="1" x14ac:dyDescent="0.2">
      <c r="A148" s="1451"/>
      <c r="B148" s="1436"/>
      <c r="C148" s="1446"/>
      <c r="D148" s="1416">
        <f>BS!E74</f>
        <v>0</v>
      </c>
      <c r="E148" s="1416"/>
      <c r="F148" s="1416"/>
      <c r="G148" s="650"/>
      <c r="H148" s="1412">
        <f>BS!G74</f>
        <v>0</v>
      </c>
      <c r="I148" s="1413"/>
      <c r="J148" s="1414"/>
    </row>
    <row r="149" spans="1:10" s="566" customFormat="1" ht="30" customHeight="1" x14ac:dyDescent="0.2">
      <c r="A149" s="569" t="s">
        <v>1221</v>
      </c>
      <c r="B149" s="1419" t="s">
        <v>1220</v>
      </c>
      <c r="C149" s="1420"/>
      <c r="D149" s="1420"/>
      <c r="E149" s="1421"/>
      <c r="F149" s="568" t="s">
        <v>1219</v>
      </c>
      <c r="G149" s="1419" t="s">
        <v>1218</v>
      </c>
      <c r="H149" s="1421"/>
      <c r="I149" s="1419" t="s">
        <v>1217</v>
      </c>
      <c r="J149" s="1428"/>
    </row>
    <row r="150" spans="1:10" s="566" customFormat="1" ht="27.75" customHeight="1" x14ac:dyDescent="0.2">
      <c r="A150" s="567"/>
      <c r="B150" s="1438" t="s">
        <v>1250</v>
      </c>
      <c r="C150" s="1439"/>
      <c r="D150" s="1439"/>
      <c r="E150" s="1439"/>
      <c r="F150" s="564" t="s">
        <v>681</v>
      </c>
      <c r="G150" s="1412">
        <f>BS!D81</f>
        <v>911119</v>
      </c>
      <c r="H150" s="1415"/>
      <c r="I150" s="1412">
        <f>BS!E81</f>
        <v>744558</v>
      </c>
      <c r="J150" s="1414"/>
    </row>
    <row r="151" spans="1:10" s="566" customFormat="1" ht="27.75" customHeight="1" x14ac:dyDescent="0.2">
      <c r="A151" s="558" t="s">
        <v>523</v>
      </c>
      <c r="B151" s="1438" t="s">
        <v>1249</v>
      </c>
      <c r="C151" s="1439"/>
      <c r="D151" s="1439"/>
      <c r="E151" s="1439"/>
      <c r="F151" s="564" t="s">
        <v>683</v>
      </c>
      <c r="G151" s="1412">
        <f>BS!D82</f>
        <v>57986</v>
      </c>
      <c r="H151" s="1415"/>
      <c r="I151" s="1412">
        <f>BS!E82</f>
        <v>114495</v>
      </c>
      <c r="J151" s="1414"/>
    </row>
    <row r="152" spans="1:10" ht="27.75" customHeight="1" x14ac:dyDescent="0.25">
      <c r="A152" s="558" t="s">
        <v>526</v>
      </c>
      <c r="B152" s="1438" t="s">
        <v>1248</v>
      </c>
      <c r="C152" s="1439"/>
      <c r="D152" s="1439"/>
      <c r="E152" s="1439"/>
      <c r="F152" s="564" t="s">
        <v>685</v>
      </c>
      <c r="G152" s="1412">
        <f>BS!D83</f>
        <v>6639</v>
      </c>
      <c r="H152" s="1415"/>
      <c r="I152" s="1412">
        <f>BS!E83</f>
        <v>6639</v>
      </c>
      <c r="J152" s="1414"/>
    </row>
    <row r="153" spans="1:10" s="501" customFormat="1" ht="27.75" customHeight="1" x14ac:dyDescent="0.25">
      <c r="A153" s="557" t="s">
        <v>529</v>
      </c>
      <c r="B153" s="1436" t="s">
        <v>1247</v>
      </c>
      <c r="C153" s="1437"/>
      <c r="D153" s="1437"/>
      <c r="E153" s="1437"/>
      <c r="F153" s="554" t="s">
        <v>687</v>
      </c>
      <c r="G153" s="1412">
        <f>BS!D84</f>
        <v>6639</v>
      </c>
      <c r="H153" s="1415"/>
      <c r="I153" s="1412">
        <f>BS!E84</f>
        <v>6639</v>
      </c>
      <c r="J153" s="1414"/>
    </row>
    <row r="154" spans="1:10" s="501" customFormat="1" ht="27.75" customHeight="1" x14ac:dyDescent="0.25">
      <c r="A154" s="556" t="s">
        <v>532</v>
      </c>
      <c r="B154" s="1436" t="s">
        <v>1246</v>
      </c>
      <c r="C154" s="1437"/>
      <c r="D154" s="1437"/>
      <c r="E154" s="1437"/>
      <c r="F154" s="554" t="s">
        <v>689</v>
      </c>
      <c r="G154" s="1412">
        <f>BS!D85</f>
        <v>0</v>
      </c>
      <c r="H154" s="1415"/>
      <c r="I154" s="1412">
        <f>BS!E85</f>
        <v>0</v>
      </c>
      <c r="J154" s="1414"/>
    </row>
    <row r="155" spans="1:10" s="501" customFormat="1" ht="27.75" customHeight="1" x14ac:dyDescent="0.25">
      <c r="A155" s="556" t="s">
        <v>535</v>
      </c>
      <c r="B155" s="1436" t="s">
        <v>1245</v>
      </c>
      <c r="C155" s="1437"/>
      <c r="D155" s="1437"/>
      <c r="E155" s="1437"/>
      <c r="F155" s="554" t="s">
        <v>691</v>
      </c>
      <c r="G155" s="1412">
        <f>BS!D86</f>
        <v>0</v>
      </c>
      <c r="H155" s="1415"/>
      <c r="I155" s="1412">
        <f>BS!E86</f>
        <v>0</v>
      </c>
      <c r="J155" s="1414"/>
    </row>
    <row r="156" spans="1:10" ht="27.75" customHeight="1" x14ac:dyDescent="0.25">
      <c r="A156" s="556" t="s">
        <v>538</v>
      </c>
      <c r="B156" s="1436" t="s">
        <v>1244</v>
      </c>
      <c r="C156" s="1437"/>
      <c r="D156" s="1437"/>
      <c r="E156" s="1437"/>
      <c r="F156" s="554" t="s">
        <v>693</v>
      </c>
      <c r="G156" s="1412">
        <f>BS!D87</f>
        <v>0</v>
      </c>
      <c r="H156" s="1415"/>
      <c r="I156" s="1412">
        <f>BS!E87</f>
        <v>0</v>
      </c>
      <c r="J156" s="1414"/>
    </row>
    <row r="157" spans="1:10" ht="27.75" customHeight="1" x14ac:dyDescent="0.25">
      <c r="A157" s="558" t="s">
        <v>550</v>
      </c>
      <c r="B157" s="1438" t="s">
        <v>1243</v>
      </c>
      <c r="C157" s="1439"/>
      <c r="D157" s="1439"/>
      <c r="E157" s="1439"/>
      <c r="F157" s="564" t="s">
        <v>695</v>
      </c>
      <c r="G157" s="1412">
        <f>BS!D88</f>
        <v>0</v>
      </c>
      <c r="H157" s="1415"/>
      <c r="I157" s="1412">
        <f>BS!E88</f>
        <v>0</v>
      </c>
      <c r="J157" s="1414"/>
    </row>
    <row r="158" spans="1:10" ht="27.75" customHeight="1" x14ac:dyDescent="0.25">
      <c r="A158" s="557" t="s">
        <v>553</v>
      </c>
      <c r="B158" s="1436" t="s">
        <v>1242</v>
      </c>
      <c r="C158" s="1437"/>
      <c r="D158" s="1437"/>
      <c r="E158" s="1437"/>
      <c r="F158" s="554" t="s">
        <v>697</v>
      </c>
      <c r="G158" s="1412">
        <f>BS!D89</f>
        <v>0</v>
      </c>
      <c r="H158" s="1415"/>
      <c r="I158" s="1412">
        <f>BS!E89</f>
        <v>0</v>
      </c>
      <c r="J158" s="1414"/>
    </row>
    <row r="159" spans="1:10" ht="27.75" customHeight="1" x14ac:dyDescent="0.25">
      <c r="A159" s="556" t="s">
        <v>532</v>
      </c>
      <c r="B159" s="1436" t="s">
        <v>1241</v>
      </c>
      <c r="C159" s="1437"/>
      <c r="D159" s="1437"/>
      <c r="E159" s="1437"/>
      <c r="F159" s="554" t="s">
        <v>699</v>
      </c>
      <c r="G159" s="1412">
        <f>BS!D90</f>
        <v>0</v>
      </c>
      <c r="H159" s="1415"/>
      <c r="I159" s="1412">
        <f>BS!E90</f>
        <v>0</v>
      </c>
      <c r="J159" s="1414"/>
    </row>
    <row r="160" spans="1:10" s="501" customFormat="1" ht="27.75" customHeight="1" x14ac:dyDescent="0.25">
      <c r="A160" s="556" t="s">
        <v>535</v>
      </c>
      <c r="B160" s="1436" t="s">
        <v>1240</v>
      </c>
      <c r="C160" s="1437"/>
      <c r="D160" s="1437"/>
      <c r="E160" s="1437"/>
      <c r="F160" s="554" t="s">
        <v>701</v>
      </c>
      <c r="G160" s="1412">
        <f>BS!D91</f>
        <v>0</v>
      </c>
      <c r="H160" s="1415"/>
      <c r="I160" s="1412">
        <f>BS!E91</f>
        <v>0</v>
      </c>
      <c r="J160" s="1414"/>
    </row>
    <row r="161" spans="1:10" ht="27.75" customHeight="1" x14ac:dyDescent="0.25">
      <c r="A161" s="556" t="s">
        <v>538</v>
      </c>
      <c r="B161" s="1436" t="s">
        <v>1239</v>
      </c>
      <c r="C161" s="1437"/>
      <c r="D161" s="1437"/>
      <c r="E161" s="1437"/>
      <c r="F161" s="554" t="s">
        <v>703</v>
      </c>
      <c r="G161" s="1412">
        <f>BS!D92</f>
        <v>0</v>
      </c>
      <c r="H161" s="1415"/>
      <c r="I161" s="1412">
        <f>BS!E92</f>
        <v>0</v>
      </c>
      <c r="J161" s="1414"/>
    </row>
    <row r="162" spans="1:10" ht="27.75" customHeight="1" x14ac:dyDescent="0.25">
      <c r="A162" s="556" t="s">
        <v>541</v>
      </c>
      <c r="B162" s="1436" t="s">
        <v>1238</v>
      </c>
      <c r="C162" s="1437"/>
      <c r="D162" s="1437"/>
      <c r="E162" s="1437"/>
      <c r="F162" s="554" t="s">
        <v>705</v>
      </c>
      <c r="G162" s="1412">
        <f>BS!D93</f>
        <v>0</v>
      </c>
      <c r="H162" s="1415"/>
      <c r="I162" s="1412">
        <f>BS!E93</f>
        <v>0</v>
      </c>
      <c r="J162" s="1414"/>
    </row>
    <row r="163" spans="1:10" ht="27.75" customHeight="1" x14ac:dyDescent="0.25">
      <c r="A163" s="556" t="s">
        <v>544</v>
      </c>
      <c r="B163" s="1436" t="s">
        <v>1237</v>
      </c>
      <c r="C163" s="1437"/>
      <c r="D163" s="1437"/>
      <c r="E163" s="1437"/>
      <c r="F163" s="554" t="s">
        <v>707</v>
      </c>
      <c r="G163" s="1412">
        <f>BS!D94</f>
        <v>0</v>
      </c>
      <c r="H163" s="1415"/>
      <c r="I163" s="1412">
        <f>BS!E94</f>
        <v>0</v>
      </c>
      <c r="J163" s="1414"/>
    </row>
    <row r="164" spans="1:10" ht="27.75" customHeight="1" x14ac:dyDescent="0.25">
      <c r="A164" s="558" t="s">
        <v>574</v>
      </c>
      <c r="B164" s="1438" t="s">
        <v>1236</v>
      </c>
      <c r="C164" s="1439"/>
      <c r="D164" s="1439"/>
      <c r="E164" s="1439"/>
      <c r="F164" s="564" t="s">
        <v>709</v>
      </c>
      <c r="G164" s="1412">
        <f>BS!D95</f>
        <v>664</v>
      </c>
      <c r="H164" s="1415"/>
      <c r="I164" s="1412">
        <f>BS!E95</f>
        <v>332</v>
      </c>
      <c r="J164" s="1414"/>
    </row>
    <row r="165" spans="1:10" ht="27.75" customHeight="1" x14ac:dyDescent="0.25">
      <c r="A165" s="556" t="s">
        <v>577</v>
      </c>
      <c r="B165" s="1436" t="s">
        <v>1235</v>
      </c>
      <c r="C165" s="1437"/>
      <c r="D165" s="1437"/>
      <c r="E165" s="1437"/>
      <c r="F165" s="554" t="s">
        <v>711</v>
      </c>
      <c r="G165" s="1412">
        <f>BS!D96</f>
        <v>664</v>
      </c>
      <c r="H165" s="1415"/>
      <c r="I165" s="1412">
        <f>BS!E96</f>
        <v>332</v>
      </c>
      <c r="J165" s="1414"/>
    </row>
    <row r="166" spans="1:10" ht="27.75" customHeight="1" x14ac:dyDescent="0.25">
      <c r="A166" s="556" t="s">
        <v>532</v>
      </c>
      <c r="B166" s="1436" t="s">
        <v>1234</v>
      </c>
      <c r="C166" s="1437"/>
      <c r="D166" s="1437"/>
      <c r="E166" s="1437"/>
      <c r="F166" s="554" t="s">
        <v>713</v>
      </c>
      <c r="G166" s="1412">
        <f>BS!D97</f>
        <v>0</v>
      </c>
      <c r="H166" s="1415"/>
      <c r="I166" s="1412">
        <f>BS!E97</f>
        <v>0</v>
      </c>
      <c r="J166" s="1414"/>
    </row>
    <row r="167" spans="1:10" s="501" customFormat="1" ht="27.75" customHeight="1" x14ac:dyDescent="0.25">
      <c r="A167" s="556" t="s">
        <v>535</v>
      </c>
      <c r="B167" s="1436" t="s">
        <v>1233</v>
      </c>
      <c r="C167" s="1437"/>
      <c r="D167" s="1437"/>
      <c r="E167" s="1437"/>
      <c r="F167" s="554" t="s">
        <v>715</v>
      </c>
      <c r="G167" s="1412">
        <f>BS!D98</f>
        <v>0</v>
      </c>
      <c r="H167" s="1415"/>
      <c r="I167" s="1412">
        <f>BS!E98</f>
        <v>0</v>
      </c>
      <c r="J167" s="1414"/>
    </row>
    <row r="168" spans="1:10" ht="27.75" customHeight="1" x14ac:dyDescent="0.25">
      <c r="A168" s="558" t="s">
        <v>716</v>
      </c>
      <c r="B168" s="1438" t="s">
        <v>1232</v>
      </c>
      <c r="C168" s="1439"/>
      <c r="D168" s="1439"/>
      <c r="E168" s="1439"/>
      <c r="F168" s="564" t="s">
        <v>718</v>
      </c>
      <c r="G168" s="1412">
        <f>BS!D99</f>
        <v>0</v>
      </c>
      <c r="H168" s="1415"/>
      <c r="I168" s="1412">
        <f>BS!E99</f>
        <v>-12736</v>
      </c>
      <c r="J168" s="1414"/>
    </row>
    <row r="169" spans="1:10" ht="27.75" customHeight="1" x14ac:dyDescent="0.25">
      <c r="A169" s="565" t="s">
        <v>719</v>
      </c>
      <c r="B169" s="1436" t="s">
        <v>1231</v>
      </c>
      <c r="C169" s="1437"/>
      <c r="D169" s="1437"/>
      <c r="E169" s="1437"/>
      <c r="F169" s="554" t="s">
        <v>721</v>
      </c>
      <c r="G169" s="1412">
        <f>BS!D100</f>
        <v>0</v>
      </c>
      <c r="H169" s="1415"/>
      <c r="I169" s="1412">
        <f>BS!E100</f>
        <v>296198</v>
      </c>
      <c r="J169" s="1414"/>
    </row>
    <row r="170" spans="1:10" ht="27.75" customHeight="1" x14ac:dyDescent="0.25">
      <c r="A170" s="556" t="s">
        <v>532</v>
      </c>
      <c r="B170" s="1436" t="s">
        <v>1230</v>
      </c>
      <c r="C170" s="1437"/>
      <c r="D170" s="1437"/>
      <c r="E170" s="1437"/>
      <c r="F170" s="554" t="s">
        <v>723</v>
      </c>
      <c r="G170" s="1412">
        <f>BS!D101</f>
        <v>0</v>
      </c>
      <c r="H170" s="1415"/>
      <c r="I170" s="1412">
        <f>BS!E101</f>
        <v>-308934</v>
      </c>
      <c r="J170" s="1414"/>
    </row>
    <row r="171" spans="1:10" s="501" customFormat="1" ht="31.5" customHeight="1" x14ac:dyDescent="0.25">
      <c r="A171" s="558" t="s">
        <v>724</v>
      </c>
      <c r="B171" s="1438" t="s">
        <v>1229</v>
      </c>
      <c r="C171" s="1439"/>
      <c r="D171" s="1439"/>
      <c r="E171" s="1439"/>
      <c r="F171" s="564" t="s">
        <v>726</v>
      </c>
      <c r="G171" s="1412">
        <f>BS!D102</f>
        <v>50683</v>
      </c>
      <c r="H171" s="1415"/>
      <c r="I171" s="1412">
        <f>BS!E102</f>
        <v>120260</v>
      </c>
      <c r="J171" s="1414"/>
    </row>
    <row r="172" spans="1:10" ht="27.75" customHeight="1" x14ac:dyDescent="0.25">
      <c r="A172" s="558" t="s">
        <v>594</v>
      </c>
      <c r="B172" s="1438" t="s">
        <v>1228</v>
      </c>
      <c r="C172" s="1439"/>
      <c r="D172" s="1439"/>
      <c r="E172" s="1439"/>
      <c r="F172" s="564" t="s">
        <v>728</v>
      </c>
      <c r="G172" s="1412">
        <f>BS!D103</f>
        <v>853133</v>
      </c>
      <c r="H172" s="1415"/>
      <c r="I172" s="1412">
        <f>BS!E103</f>
        <v>630063</v>
      </c>
      <c r="J172" s="1414"/>
    </row>
    <row r="173" spans="1:10" ht="27.75" customHeight="1" x14ac:dyDescent="0.25">
      <c r="A173" s="558" t="s">
        <v>597</v>
      </c>
      <c r="B173" s="1438" t="s">
        <v>1227</v>
      </c>
      <c r="C173" s="1439"/>
      <c r="D173" s="1439"/>
      <c r="E173" s="1439"/>
      <c r="F173" s="564" t="s">
        <v>730</v>
      </c>
      <c r="G173" s="1412">
        <f>BS!D104</f>
        <v>213482</v>
      </c>
      <c r="H173" s="1415"/>
      <c r="I173" s="1412">
        <f>BS!E104</f>
        <v>37964</v>
      </c>
      <c r="J173" s="1414"/>
    </row>
    <row r="174" spans="1:10" s="501" customFormat="1" ht="27.75" customHeight="1" x14ac:dyDescent="0.25">
      <c r="A174" s="557" t="s">
        <v>600</v>
      </c>
      <c r="B174" s="1436" t="s">
        <v>1226</v>
      </c>
      <c r="C174" s="1437"/>
      <c r="D174" s="1437"/>
      <c r="E174" s="1437"/>
      <c r="F174" s="554" t="s">
        <v>732</v>
      </c>
      <c r="G174" s="1412">
        <f>BS!D105</f>
        <v>0</v>
      </c>
      <c r="H174" s="1415"/>
      <c r="I174" s="1412">
        <f>BS!E105</f>
        <v>0</v>
      </c>
      <c r="J174" s="1414"/>
    </row>
    <row r="175" spans="1:10" s="501" customFormat="1" ht="27.75" customHeight="1" x14ac:dyDescent="0.25">
      <c r="A175" s="556" t="s">
        <v>532</v>
      </c>
      <c r="B175" s="1436" t="s">
        <v>1225</v>
      </c>
      <c r="C175" s="1437"/>
      <c r="D175" s="1437"/>
      <c r="E175" s="1437"/>
      <c r="F175" s="554" t="s">
        <v>734</v>
      </c>
      <c r="G175" s="1412">
        <f>BS!D106</f>
        <v>4591</v>
      </c>
      <c r="H175" s="1415"/>
      <c r="I175" s="1412">
        <f>BS!E106</f>
        <v>6549</v>
      </c>
      <c r="J175" s="1414"/>
    </row>
    <row r="176" spans="1:10" s="501" customFormat="1" ht="27.75" customHeight="1" x14ac:dyDescent="0.25">
      <c r="A176" s="556" t="s">
        <v>535</v>
      </c>
      <c r="B176" s="1436" t="s">
        <v>1224</v>
      </c>
      <c r="C176" s="1437"/>
      <c r="D176" s="1437"/>
      <c r="E176" s="1437"/>
      <c r="F176" s="554" t="s">
        <v>736</v>
      </c>
      <c r="G176" s="1412">
        <f>BS!D107</f>
        <v>0</v>
      </c>
      <c r="H176" s="1415"/>
      <c r="I176" s="1412">
        <f>BS!E107</f>
        <v>0</v>
      </c>
      <c r="J176" s="1414"/>
    </row>
    <row r="177" spans="1:10" ht="27.75" customHeight="1" x14ac:dyDescent="0.25">
      <c r="A177" s="556" t="s">
        <v>538</v>
      </c>
      <c r="B177" s="1436" t="s">
        <v>1223</v>
      </c>
      <c r="C177" s="1437"/>
      <c r="D177" s="1437"/>
      <c r="E177" s="1437"/>
      <c r="F177" s="554" t="s">
        <v>738</v>
      </c>
      <c r="G177" s="1412">
        <f>BS!D108</f>
        <v>208891</v>
      </c>
      <c r="H177" s="1415"/>
      <c r="I177" s="1412">
        <f>BS!E108</f>
        <v>31415</v>
      </c>
      <c r="J177" s="1414"/>
    </row>
    <row r="178" spans="1:10" ht="25.5" customHeight="1" thickBot="1" x14ac:dyDescent="0.3">
      <c r="A178" s="563" t="s">
        <v>613</v>
      </c>
      <c r="B178" s="1447" t="s">
        <v>1222</v>
      </c>
      <c r="C178" s="1448"/>
      <c r="D178" s="1448"/>
      <c r="E178" s="1448"/>
      <c r="F178" s="562" t="s">
        <v>740</v>
      </c>
      <c r="G178" s="1412">
        <f>BS!D109</f>
        <v>0</v>
      </c>
      <c r="H178" s="1415"/>
      <c r="I178" s="1412">
        <f>BS!E109</f>
        <v>0</v>
      </c>
      <c r="J178" s="1414"/>
    </row>
    <row r="179" spans="1:10" ht="30" customHeight="1" x14ac:dyDescent="0.15">
      <c r="A179" s="561" t="s">
        <v>1221</v>
      </c>
      <c r="B179" s="1431" t="s">
        <v>1220</v>
      </c>
      <c r="C179" s="1440"/>
      <c r="D179" s="1440"/>
      <c r="E179" s="1441"/>
      <c r="F179" s="560" t="s">
        <v>1219</v>
      </c>
      <c r="G179" s="1431" t="s">
        <v>1218</v>
      </c>
      <c r="H179" s="1433"/>
      <c r="I179" s="1431" t="s">
        <v>1217</v>
      </c>
      <c r="J179" s="1482"/>
    </row>
    <row r="180" spans="1:10" ht="27.75" customHeight="1" x14ac:dyDescent="0.25">
      <c r="A180" s="557" t="s">
        <v>616</v>
      </c>
      <c r="B180" s="1436" t="s">
        <v>1216</v>
      </c>
      <c r="C180" s="1437"/>
      <c r="D180" s="1437"/>
      <c r="E180" s="1437"/>
      <c r="F180" s="554" t="s">
        <v>742</v>
      </c>
      <c r="G180" s="1412">
        <f>BS!D110</f>
        <v>0</v>
      </c>
      <c r="H180" s="1415"/>
      <c r="I180" s="1412">
        <f>BS!E110</f>
        <v>0</v>
      </c>
      <c r="J180" s="1414"/>
    </row>
    <row r="181" spans="1:10" ht="27.75" customHeight="1" x14ac:dyDescent="0.25">
      <c r="A181" s="556" t="s">
        <v>532</v>
      </c>
      <c r="B181" s="1436" t="s">
        <v>1204</v>
      </c>
      <c r="C181" s="1437"/>
      <c r="D181" s="1437"/>
      <c r="E181" s="1437"/>
      <c r="F181" s="554" t="s">
        <v>743</v>
      </c>
      <c r="G181" s="1412">
        <f>BS!D111</f>
        <v>0</v>
      </c>
      <c r="H181" s="1415"/>
      <c r="I181" s="1412">
        <f>BS!E111</f>
        <v>0</v>
      </c>
      <c r="J181" s="1414"/>
    </row>
    <row r="182" spans="1:10" s="501" customFormat="1" ht="27.75" customHeight="1" x14ac:dyDescent="0.25">
      <c r="A182" s="556" t="s">
        <v>535</v>
      </c>
      <c r="B182" s="1436" t="s">
        <v>1215</v>
      </c>
      <c r="C182" s="1437"/>
      <c r="D182" s="1437"/>
      <c r="E182" s="1437"/>
      <c r="F182" s="554" t="s">
        <v>745</v>
      </c>
      <c r="G182" s="1412">
        <f>BS!D112</f>
        <v>0</v>
      </c>
      <c r="H182" s="1415"/>
      <c r="I182" s="1412">
        <f>BS!E112</f>
        <v>0</v>
      </c>
      <c r="J182" s="1414"/>
    </row>
    <row r="183" spans="1:10" ht="27.75" customHeight="1" x14ac:dyDescent="0.25">
      <c r="A183" s="556" t="s">
        <v>538</v>
      </c>
      <c r="B183" s="1436" t="s">
        <v>1214</v>
      </c>
      <c r="C183" s="1437"/>
      <c r="D183" s="1437"/>
      <c r="E183" s="1437"/>
      <c r="F183" s="554" t="s">
        <v>747</v>
      </c>
      <c r="G183" s="1412">
        <f>BS!D113</f>
        <v>0</v>
      </c>
      <c r="H183" s="1415"/>
      <c r="I183" s="1412">
        <f>BS!E113</f>
        <v>0</v>
      </c>
      <c r="J183" s="1414"/>
    </row>
    <row r="184" spans="1:10" ht="27.75" customHeight="1" x14ac:dyDescent="0.25">
      <c r="A184" s="556" t="s">
        <v>541</v>
      </c>
      <c r="B184" s="1436" t="s">
        <v>1213</v>
      </c>
      <c r="C184" s="1437"/>
      <c r="D184" s="1437"/>
      <c r="E184" s="1437"/>
      <c r="F184" s="554" t="s">
        <v>749</v>
      </c>
      <c r="G184" s="1412">
        <f>BS!D114</f>
        <v>0</v>
      </c>
      <c r="H184" s="1415"/>
      <c r="I184" s="1412">
        <f>BS!E114</f>
        <v>0</v>
      </c>
      <c r="J184" s="1414"/>
    </row>
    <row r="185" spans="1:10" ht="27.75" customHeight="1" x14ac:dyDescent="0.25">
      <c r="A185" s="556" t="s">
        <v>544</v>
      </c>
      <c r="B185" s="1436" t="s">
        <v>1212</v>
      </c>
      <c r="C185" s="1437"/>
      <c r="D185" s="1437"/>
      <c r="E185" s="1437"/>
      <c r="F185" s="554" t="s">
        <v>751</v>
      </c>
      <c r="G185" s="1412">
        <f>BS!D115</f>
        <v>0</v>
      </c>
      <c r="H185" s="1415"/>
      <c r="I185" s="1412">
        <f>BS!E115</f>
        <v>0</v>
      </c>
      <c r="J185" s="1414"/>
    </row>
    <row r="186" spans="1:10" ht="27.75" customHeight="1" x14ac:dyDescent="0.25">
      <c r="A186" s="556" t="s">
        <v>547</v>
      </c>
      <c r="B186" s="1436" t="s">
        <v>1211</v>
      </c>
      <c r="C186" s="1437"/>
      <c r="D186" s="1437"/>
      <c r="E186" s="1437"/>
      <c r="F186" s="554" t="s">
        <v>753</v>
      </c>
      <c r="G186" s="1412">
        <f>BS!D116</f>
        <v>0</v>
      </c>
      <c r="H186" s="1415"/>
      <c r="I186" s="1412">
        <f>BS!E116</f>
        <v>0</v>
      </c>
      <c r="J186" s="1414"/>
    </row>
    <row r="187" spans="1:10" ht="27.75" customHeight="1" x14ac:dyDescent="0.25">
      <c r="A187" s="556" t="s">
        <v>568</v>
      </c>
      <c r="B187" s="1436" t="s">
        <v>1210</v>
      </c>
      <c r="C187" s="1437"/>
      <c r="D187" s="1437"/>
      <c r="E187" s="1437"/>
      <c r="F187" s="554" t="s">
        <v>755</v>
      </c>
      <c r="G187" s="1412">
        <f>BS!D117</f>
        <v>0</v>
      </c>
      <c r="H187" s="1415"/>
      <c r="I187" s="1412">
        <f>BS!E117</f>
        <v>0</v>
      </c>
      <c r="J187" s="1414"/>
    </row>
    <row r="188" spans="1:10" ht="27.75" customHeight="1" x14ac:dyDescent="0.25">
      <c r="A188" s="556" t="s">
        <v>571</v>
      </c>
      <c r="B188" s="1436" t="s">
        <v>1209</v>
      </c>
      <c r="C188" s="1437"/>
      <c r="D188" s="1437"/>
      <c r="E188" s="1437"/>
      <c r="F188" s="554" t="s">
        <v>757</v>
      </c>
      <c r="G188" s="1412">
        <f>BS!D118</f>
        <v>0</v>
      </c>
      <c r="H188" s="1415"/>
      <c r="I188" s="1412">
        <f>BS!E118</f>
        <v>0</v>
      </c>
      <c r="J188" s="1414"/>
    </row>
    <row r="189" spans="1:10" ht="27.75" customHeight="1" x14ac:dyDescent="0.25">
      <c r="A189" s="556" t="s">
        <v>758</v>
      </c>
      <c r="B189" s="1436" t="s">
        <v>1208</v>
      </c>
      <c r="C189" s="1437"/>
      <c r="D189" s="1437"/>
      <c r="E189" s="1437"/>
      <c r="F189" s="554" t="s">
        <v>760</v>
      </c>
      <c r="G189" s="1412">
        <f>BS!D119</f>
        <v>0</v>
      </c>
      <c r="H189" s="1415"/>
      <c r="I189" s="1412">
        <f>BS!E119</f>
        <v>0</v>
      </c>
      <c r="J189" s="1414"/>
    </row>
    <row r="190" spans="1:10" ht="27.75" customHeight="1" x14ac:dyDescent="0.25">
      <c r="A190" s="556" t="s">
        <v>761</v>
      </c>
      <c r="B190" s="1436" t="s">
        <v>1207</v>
      </c>
      <c r="C190" s="1437"/>
      <c r="D190" s="1437"/>
      <c r="E190" s="1437"/>
      <c r="F190" s="554" t="s">
        <v>763</v>
      </c>
      <c r="G190" s="1412">
        <f>BS!D120</f>
        <v>0</v>
      </c>
      <c r="H190" s="1415"/>
      <c r="I190" s="1412">
        <f>BS!E120</f>
        <v>0</v>
      </c>
      <c r="J190" s="1414"/>
    </row>
    <row r="191" spans="1:10" ht="27.75" customHeight="1" x14ac:dyDescent="0.25">
      <c r="A191" s="558" t="s">
        <v>631</v>
      </c>
      <c r="B191" s="1438" t="s">
        <v>1206</v>
      </c>
      <c r="C191" s="1439"/>
      <c r="D191" s="1439"/>
      <c r="E191" s="1439"/>
      <c r="F191" s="554" t="s">
        <v>765</v>
      </c>
      <c r="G191" s="1412">
        <f>BS!D121</f>
        <v>639651</v>
      </c>
      <c r="H191" s="1415"/>
      <c r="I191" s="1412">
        <f>BS!E121</f>
        <v>592099</v>
      </c>
      <c r="J191" s="1414"/>
    </row>
    <row r="192" spans="1:10" ht="27.75" customHeight="1" x14ac:dyDescent="0.25">
      <c r="A192" s="556" t="s">
        <v>634</v>
      </c>
      <c r="B192" s="1436" t="s">
        <v>1205</v>
      </c>
      <c r="C192" s="1437"/>
      <c r="D192" s="1437"/>
      <c r="E192" s="1437"/>
      <c r="F192" s="554" t="s">
        <v>767</v>
      </c>
      <c r="G192" s="1412">
        <f>BS!D122</f>
        <v>558575</v>
      </c>
      <c r="H192" s="1415"/>
      <c r="I192" s="1412">
        <f>BS!E122</f>
        <v>578296</v>
      </c>
      <c r="J192" s="1414"/>
    </row>
    <row r="193" spans="1:10" ht="27.75" customHeight="1" x14ac:dyDescent="0.25">
      <c r="A193" s="556" t="s">
        <v>532</v>
      </c>
      <c r="B193" s="1436" t="s">
        <v>1204</v>
      </c>
      <c r="C193" s="1437"/>
      <c r="D193" s="1437"/>
      <c r="E193" s="1437"/>
      <c r="F193" s="554" t="s">
        <v>768</v>
      </c>
      <c r="G193" s="1412">
        <f>BS!D123</f>
        <v>0</v>
      </c>
      <c r="H193" s="1415"/>
      <c r="I193" s="1412">
        <f>BS!E123</f>
        <v>0</v>
      </c>
      <c r="J193" s="1414"/>
    </row>
    <row r="194" spans="1:10" ht="27.75" customHeight="1" x14ac:dyDescent="0.25">
      <c r="A194" s="556" t="s">
        <v>535</v>
      </c>
      <c r="B194" s="1436" t="s">
        <v>1203</v>
      </c>
      <c r="C194" s="1437"/>
      <c r="D194" s="1437"/>
      <c r="E194" s="1437"/>
      <c r="F194" s="554" t="s">
        <v>770</v>
      </c>
      <c r="G194" s="1412">
        <f>BS!D124</f>
        <v>22440</v>
      </c>
      <c r="H194" s="1415"/>
      <c r="I194" s="1412">
        <f>BS!E124</f>
        <v>84</v>
      </c>
      <c r="J194" s="1414"/>
    </row>
    <row r="195" spans="1:10" s="501" customFormat="1" ht="27.75" customHeight="1" x14ac:dyDescent="0.25">
      <c r="A195" s="556" t="s">
        <v>538</v>
      </c>
      <c r="B195" s="1436" t="s">
        <v>1202</v>
      </c>
      <c r="C195" s="1437"/>
      <c r="D195" s="1437"/>
      <c r="E195" s="1437"/>
      <c r="F195" s="554" t="s">
        <v>772</v>
      </c>
      <c r="G195" s="1412">
        <f>BS!D125</f>
        <v>0</v>
      </c>
      <c r="H195" s="1415"/>
      <c r="I195" s="1412">
        <f>BS!E125</f>
        <v>0</v>
      </c>
      <c r="J195" s="1414"/>
    </row>
    <row r="196" spans="1:10" ht="27.75" customHeight="1" x14ac:dyDescent="0.25">
      <c r="A196" s="556" t="s">
        <v>541</v>
      </c>
      <c r="B196" s="1436" t="s">
        <v>1201</v>
      </c>
      <c r="C196" s="1437"/>
      <c r="D196" s="1437"/>
      <c r="E196" s="1437"/>
      <c r="F196" s="554" t="s">
        <v>774</v>
      </c>
      <c r="G196" s="1412">
        <f>BS!D126</f>
        <v>0</v>
      </c>
      <c r="H196" s="1415"/>
      <c r="I196" s="1412">
        <f>BS!E126</f>
        <v>0</v>
      </c>
      <c r="J196" s="1414"/>
    </row>
    <row r="197" spans="1:10" ht="27.75" customHeight="1" x14ac:dyDescent="0.25">
      <c r="A197" s="556" t="s">
        <v>544</v>
      </c>
      <c r="B197" s="1436" t="s">
        <v>1200</v>
      </c>
      <c r="C197" s="1437"/>
      <c r="D197" s="1437"/>
      <c r="E197" s="1437"/>
      <c r="F197" s="554" t="s">
        <v>776</v>
      </c>
      <c r="G197" s="1412">
        <f>BS!D127</f>
        <v>0</v>
      </c>
      <c r="H197" s="1415"/>
      <c r="I197" s="1412">
        <f>BS!E127</f>
        <v>0</v>
      </c>
      <c r="J197" s="1414"/>
    </row>
    <row r="198" spans="1:10" ht="27.75" customHeight="1" x14ac:dyDescent="0.25">
      <c r="A198" s="556" t="s">
        <v>547</v>
      </c>
      <c r="B198" s="1436" t="s">
        <v>1199</v>
      </c>
      <c r="C198" s="1437"/>
      <c r="D198" s="1437"/>
      <c r="E198" s="1437"/>
      <c r="F198" s="554" t="s">
        <v>778</v>
      </c>
      <c r="G198" s="1412">
        <f>BS!D128</f>
        <v>3651</v>
      </c>
      <c r="H198" s="1415"/>
      <c r="I198" s="1412">
        <f>BS!E128</f>
        <v>5429</v>
      </c>
      <c r="J198" s="1414"/>
    </row>
    <row r="199" spans="1:10" ht="27.75" customHeight="1" x14ac:dyDescent="0.25">
      <c r="A199" s="556" t="s">
        <v>568</v>
      </c>
      <c r="B199" s="1436" t="s">
        <v>1198</v>
      </c>
      <c r="C199" s="1437"/>
      <c r="D199" s="1437"/>
      <c r="E199" s="1437"/>
      <c r="F199" s="554" t="s">
        <v>780</v>
      </c>
      <c r="G199" s="1412">
        <f>BS!D129</f>
        <v>2403</v>
      </c>
      <c r="H199" s="1415"/>
      <c r="I199" s="1412">
        <f>BS!E129</f>
        <v>2196</v>
      </c>
      <c r="J199" s="1414"/>
    </row>
    <row r="200" spans="1:10" ht="27.75" customHeight="1" x14ac:dyDescent="0.25">
      <c r="A200" s="556" t="s">
        <v>571</v>
      </c>
      <c r="B200" s="1436" t="s">
        <v>1197</v>
      </c>
      <c r="C200" s="1437"/>
      <c r="D200" s="1437"/>
      <c r="E200" s="1437"/>
      <c r="F200" s="554" t="s">
        <v>782</v>
      </c>
      <c r="G200" s="1412">
        <f>BS!D130</f>
        <v>52352</v>
      </c>
      <c r="H200" s="1415"/>
      <c r="I200" s="1412">
        <f>BS!E130</f>
        <v>6094</v>
      </c>
      <c r="J200" s="1414"/>
    </row>
    <row r="201" spans="1:10" ht="27.75" customHeight="1" x14ac:dyDescent="0.25">
      <c r="A201" s="556" t="s">
        <v>758</v>
      </c>
      <c r="B201" s="1436" t="s">
        <v>1196</v>
      </c>
      <c r="C201" s="1437"/>
      <c r="D201" s="1437"/>
      <c r="E201" s="1437"/>
      <c r="F201" s="554" t="s">
        <v>784</v>
      </c>
      <c r="G201" s="1412">
        <f>BS!D131</f>
        <v>230</v>
      </c>
      <c r="H201" s="1415"/>
      <c r="I201" s="1412">
        <f>BS!E131</f>
        <v>0</v>
      </c>
      <c r="J201" s="1414"/>
    </row>
    <row r="202" spans="1:10" ht="27.75" customHeight="1" x14ac:dyDescent="0.25">
      <c r="A202" s="558" t="s">
        <v>649</v>
      </c>
      <c r="B202" s="1438" t="s">
        <v>1195</v>
      </c>
      <c r="C202" s="1439"/>
      <c r="D202" s="1439"/>
      <c r="E202" s="1439"/>
      <c r="F202" s="554" t="s">
        <v>786</v>
      </c>
      <c r="G202" s="1412">
        <f>BS!D132</f>
        <v>0</v>
      </c>
      <c r="H202" s="1415"/>
      <c r="I202" s="1412">
        <f>BS!E132</f>
        <v>0</v>
      </c>
      <c r="J202" s="1414"/>
    </row>
    <row r="203" spans="1:10" ht="27.75" customHeight="1" x14ac:dyDescent="0.25">
      <c r="A203" s="559" t="s">
        <v>787</v>
      </c>
      <c r="B203" s="1438" t="s">
        <v>1194</v>
      </c>
      <c r="C203" s="1439"/>
      <c r="D203" s="1439"/>
      <c r="E203" s="1439"/>
      <c r="F203" s="554" t="s">
        <v>789</v>
      </c>
      <c r="G203" s="1412">
        <f>BS!D133</f>
        <v>0</v>
      </c>
      <c r="H203" s="1415"/>
      <c r="I203" s="1412">
        <f>BS!E133</f>
        <v>0</v>
      </c>
      <c r="J203" s="1414"/>
    </row>
    <row r="204" spans="1:10" ht="27.75" customHeight="1" x14ac:dyDescent="0.25">
      <c r="A204" s="556" t="s">
        <v>790</v>
      </c>
      <c r="B204" s="1438" t="s">
        <v>1193</v>
      </c>
      <c r="C204" s="1439"/>
      <c r="D204" s="1439"/>
      <c r="E204" s="1439"/>
      <c r="F204" s="554" t="s">
        <v>792</v>
      </c>
      <c r="G204" s="1412">
        <f>BS!D134</f>
        <v>0</v>
      </c>
      <c r="H204" s="1415"/>
      <c r="I204" s="1412">
        <f>BS!E134</f>
        <v>0</v>
      </c>
      <c r="J204" s="1414"/>
    </row>
    <row r="205" spans="1:10" s="501" customFormat="1" ht="27.75" customHeight="1" x14ac:dyDescent="0.25">
      <c r="A205" s="556" t="s">
        <v>532</v>
      </c>
      <c r="B205" s="1436" t="s">
        <v>1192</v>
      </c>
      <c r="C205" s="1437"/>
      <c r="D205" s="1437"/>
      <c r="E205" s="1437"/>
      <c r="F205" s="554" t="s">
        <v>794</v>
      </c>
      <c r="G205" s="1412">
        <f>BS!D135</f>
        <v>0</v>
      </c>
      <c r="H205" s="1415"/>
      <c r="I205" s="1412">
        <f>BS!E135</f>
        <v>0</v>
      </c>
      <c r="J205" s="1414"/>
    </row>
    <row r="206" spans="1:10" ht="27.75" customHeight="1" x14ac:dyDescent="0.25">
      <c r="A206" s="558" t="s">
        <v>663</v>
      </c>
      <c r="B206" s="1438" t="s">
        <v>1191</v>
      </c>
      <c r="C206" s="1439"/>
      <c r="D206" s="1439"/>
      <c r="E206" s="1439"/>
      <c r="F206" s="554" t="s">
        <v>796</v>
      </c>
      <c r="G206" s="1412">
        <f>BS!D136</f>
        <v>0</v>
      </c>
      <c r="H206" s="1415"/>
      <c r="I206" s="1412">
        <f>BS!E136</f>
        <v>0</v>
      </c>
      <c r="J206" s="1414"/>
    </row>
    <row r="207" spans="1:10" ht="27.75" customHeight="1" x14ac:dyDescent="0.25">
      <c r="A207" s="557" t="s">
        <v>666</v>
      </c>
      <c r="B207" s="1436" t="s">
        <v>1190</v>
      </c>
      <c r="C207" s="1437"/>
      <c r="D207" s="1437"/>
      <c r="E207" s="1437"/>
      <c r="F207" s="554" t="s">
        <v>798</v>
      </c>
      <c r="G207" s="1412">
        <f>BS!D137</f>
        <v>0</v>
      </c>
      <c r="H207" s="1415"/>
      <c r="I207" s="1412">
        <f>BS!E137</f>
        <v>0</v>
      </c>
      <c r="J207" s="1414"/>
    </row>
    <row r="208" spans="1:10" ht="27.75" customHeight="1" x14ac:dyDescent="0.25">
      <c r="A208" s="556" t="s">
        <v>532</v>
      </c>
      <c r="B208" s="1436" t="s">
        <v>1189</v>
      </c>
      <c r="C208" s="1437"/>
      <c r="D208" s="1437"/>
      <c r="E208" s="1437"/>
      <c r="F208" s="554" t="s">
        <v>800</v>
      </c>
      <c r="G208" s="1412">
        <f>BS!D138</f>
        <v>0</v>
      </c>
      <c r="H208" s="1415"/>
      <c r="I208" s="1412">
        <f>BS!E138</f>
        <v>0</v>
      </c>
      <c r="J208" s="1414"/>
    </row>
    <row r="209" spans="1:10" s="501" customFormat="1" ht="27.75" customHeight="1" x14ac:dyDescent="0.25">
      <c r="A209" s="556" t="s">
        <v>535</v>
      </c>
      <c r="B209" s="1436" t="s">
        <v>1188</v>
      </c>
      <c r="C209" s="1437"/>
      <c r="D209" s="1437"/>
      <c r="E209" s="1437"/>
      <c r="F209" s="554" t="s">
        <v>802</v>
      </c>
      <c r="G209" s="1412">
        <f>BS!D139</f>
        <v>0</v>
      </c>
      <c r="H209" s="1415"/>
      <c r="I209" s="1412">
        <f>BS!E139</f>
        <v>0</v>
      </c>
      <c r="J209" s="1414"/>
    </row>
    <row r="210" spans="1:10" ht="27.75" customHeight="1" thickBot="1" x14ac:dyDescent="0.3">
      <c r="A210" s="555" t="s">
        <v>538</v>
      </c>
      <c r="B210" s="1444" t="s">
        <v>1187</v>
      </c>
      <c r="C210" s="1445"/>
      <c r="D210" s="1445"/>
      <c r="E210" s="1445"/>
      <c r="F210" s="554" t="s">
        <v>804</v>
      </c>
      <c r="G210" s="1412">
        <f>BS!D140</f>
        <v>0</v>
      </c>
      <c r="H210" s="1415"/>
      <c r="I210" s="1412">
        <f>BS!E140</f>
        <v>0</v>
      </c>
      <c r="J210" s="1414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6">
    <mergeCell ref="I208:J208"/>
    <mergeCell ref="I195:J195"/>
    <mergeCell ref="I196:J196"/>
    <mergeCell ref="I197:J197"/>
    <mergeCell ref="I198:J198"/>
    <mergeCell ref="I209:J209"/>
    <mergeCell ref="I210:J210"/>
    <mergeCell ref="I201:J201"/>
    <mergeCell ref="I202:J202"/>
    <mergeCell ref="I203:J203"/>
    <mergeCell ref="I204:J204"/>
    <mergeCell ref="I205:J205"/>
    <mergeCell ref="I206:J206"/>
    <mergeCell ref="I194:J194"/>
    <mergeCell ref="I186:J186"/>
    <mergeCell ref="I187:J187"/>
    <mergeCell ref="I188:J188"/>
    <mergeCell ref="I189:J189"/>
    <mergeCell ref="I193:J193"/>
    <mergeCell ref="I199:J199"/>
    <mergeCell ref="I200:J200"/>
    <mergeCell ref="I207:J207"/>
    <mergeCell ref="I184:J184"/>
    <mergeCell ref="I185:J185"/>
    <mergeCell ref="I177:J177"/>
    <mergeCell ref="I178:J178"/>
    <mergeCell ref="I179:J179"/>
    <mergeCell ref="I180:J180"/>
    <mergeCell ref="I190:J190"/>
    <mergeCell ref="I191:J191"/>
    <mergeCell ref="I192:J192"/>
    <mergeCell ref="I175:J175"/>
    <mergeCell ref="I176:J176"/>
    <mergeCell ref="I181:J181"/>
    <mergeCell ref="I169:J169"/>
    <mergeCell ref="I170:J170"/>
    <mergeCell ref="I171:J171"/>
    <mergeCell ref="I172:J172"/>
    <mergeCell ref="I182:J182"/>
    <mergeCell ref="I183:J183"/>
    <mergeCell ref="I166:J166"/>
    <mergeCell ref="I167:J167"/>
    <mergeCell ref="I168:J168"/>
    <mergeCell ref="I161:J161"/>
    <mergeCell ref="I162:J162"/>
    <mergeCell ref="I163:J163"/>
    <mergeCell ref="I164:J164"/>
    <mergeCell ref="I173:J173"/>
    <mergeCell ref="I174:J174"/>
    <mergeCell ref="G210:H210"/>
    <mergeCell ref="G203:H203"/>
    <mergeCell ref="G204:H204"/>
    <mergeCell ref="G205:H205"/>
    <mergeCell ref="G206:H206"/>
    <mergeCell ref="I149:J149"/>
    <mergeCell ref="I150:J150"/>
    <mergeCell ref="I151:J151"/>
    <mergeCell ref="I152:J152"/>
    <mergeCell ref="G207:H207"/>
    <mergeCell ref="G208:H208"/>
    <mergeCell ref="G199:H199"/>
    <mergeCell ref="G200:H200"/>
    <mergeCell ref="G201:H201"/>
    <mergeCell ref="G202:H202"/>
    <mergeCell ref="I157:J157"/>
    <mergeCell ref="I158:J158"/>
    <mergeCell ref="I159:J159"/>
    <mergeCell ref="I160:J160"/>
    <mergeCell ref="I153:J153"/>
    <mergeCell ref="I154:J154"/>
    <mergeCell ref="I155:J155"/>
    <mergeCell ref="I156:J156"/>
    <mergeCell ref="I165:J165"/>
    <mergeCell ref="G195:H195"/>
    <mergeCell ref="G196:H196"/>
    <mergeCell ref="G197:H197"/>
    <mergeCell ref="G198:H198"/>
    <mergeCell ref="G190:H190"/>
    <mergeCell ref="G191:H191"/>
    <mergeCell ref="G192:H192"/>
    <mergeCell ref="G194:H194"/>
    <mergeCell ref="G209:H209"/>
    <mergeCell ref="G186:H186"/>
    <mergeCell ref="G187:H187"/>
    <mergeCell ref="G188:H188"/>
    <mergeCell ref="G189:H189"/>
    <mergeCell ref="G193:H193"/>
    <mergeCell ref="G182:H182"/>
    <mergeCell ref="G183:H183"/>
    <mergeCell ref="G184:H184"/>
    <mergeCell ref="G185:H185"/>
    <mergeCell ref="G162:H162"/>
    <mergeCell ref="G163:H163"/>
    <mergeCell ref="G164:H164"/>
    <mergeCell ref="G157:H157"/>
    <mergeCell ref="G158:H158"/>
    <mergeCell ref="G159:H159"/>
    <mergeCell ref="G160:H160"/>
    <mergeCell ref="G181:H181"/>
    <mergeCell ref="G169:H169"/>
    <mergeCell ref="G170:H170"/>
    <mergeCell ref="G171:H171"/>
    <mergeCell ref="G172:H172"/>
    <mergeCell ref="G165:H165"/>
    <mergeCell ref="G166:H166"/>
    <mergeCell ref="G167:H167"/>
    <mergeCell ref="G168:H168"/>
    <mergeCell ref="G177:H177"/>
    <mergeCell ref="G178:H178"/>
    <mergeCell ref="G179:H179"/>
    <mergeCell ref="G180:H180"/>
    <mergeCell ref="G173:H173"/>
    <mergeCell ref="G174:H174"/>
    <mergeCell ref="G175:H175"/>
    <mergeCell ref="G176:H176"/>
    <mergeCell ref="G153:H153"/>
    <mergeCell ref="G154:H154"/>
    <mergeCell ref="G155:H155"/>
    <mergeCell ref="G156:H156"/>
    <mergeCell ref="G149:H149"/>
    <mergeCell ref="G150:H150"/>
    <mergeCell ref="G151:H151"/>
    <mergeCell ref="G152:H152"/>
    <mergeCell ref="G161:H161"/>
    <mergeCell ref="G114:I114"/>
    <mergeCell ref="H113:J113"/>
    <mergeCell ref="G110:I110"/>
    <mergeCell ref="H111:J111"/>
    <mergeCell ref="H138:J138"/>
    <mergeCell ref="G137:I137"/>
    <mergeCell ref="H134:J134"/>
    <mergeCell ref="G133:I133"/>
    <mergeCell ref="H105:J105"/>
    <mergeCell ref="G106:I106"/>
    <mergeCell ref="G116:I116"/>
    <mergeCell ref="H115:J115"/>
    <mergeCell ref="G120:I120"/>
    <mergeCell ref="H119:J119"/>
    <mergeCell ref="G118:I118"/>
    <mergeCell ref="H117:J117"/>
    <mergeCell ref="H132:J132"/>
    <mergeCell ref="G131:I131"/>
    <mergeCell ref="H123:J123"/>
    <mergeCell ref="H99:J99"/>
    <mergeCell ref="G112:I112"/>
    <mergeCell ref="H109:J109"/>
    <mergeCell ref="G108:I108"/>
    <mergeCell ref="H107:J107"/>
    <mergeCell ref="H103:J103"/>
    <mergeCell ref="G102:I102"/>
    <mergeCell ref="H101:J101"/>
    <mergeCell ref="G100:I100"/>
    <mergeCell ref="G104:I104"/>
    <mergeCell ref="H148:J148"/>
    <mergeCell ref="G147:I147"/>
    <mergeCell ref="H146:J146"/>
    <mergeCell ref="G145:I145"/>
    <mergeCell ref="G93:I93"/>
    <mergeCell ref="H90:J90"/>
    <mergeCell ref="G89:I89"/>
    <mergeCell ref="H88:J88"/>
    <mergeCell ref="H41:J41"/>
    <mergeCell ref="G79:I79"/>
    <mergeCell ref="H78:J78"/>
    <mergeCell ref="G83:I83"/>
    <mergeCell ref="H140:J140"/>
    <mergeCell ref="G139:I139"/>
    <mergeCell ref="I128:J129"/>
    <mergeCell ref="G129:H129"/>
    <mergeCell ref="G130:H130"/>
    <mergeCell ref="H136:J136"/>
    <mergeCell ref="G135:I135"/>
    <mergeCell ref="H144:J144"/>
    <mergeCell ref="G143:I143"/>
    <mergeCell ref="H142:J142"/>
    <mergeCell ref="G141:I141"/>
    <mergeCell ref="I130:J130"/>
    <mergeCell ref="G62:I62"/>
    <mergeCell ref="H61:J61"/>
    <mergeCell ref="G60:I60"/>
    <mergeCell ref="G77:I77"/>
    <mergeCell ref="H76:J76"/>
    <mergeCell ref="G75:I75"/>
    <mergeCell ref="H74:J74"/>
    <mergeCell ref="G69:I69"/>
    <mergeCell ref="H68:J68"/>
    <mergeCell ref="G73:I73"/>
    <mergeCell ref="H72:J72"/>
    <mergeCell ref="G71:I71"/>
    <mergeCell ref="H70:J70"/>
    <mergeCell ref="G67:I67"/>
    <mergeCell ref="I64:J65"/>
    <mergeCell ref="G65:H65"/>
    <mergeCell ref="A33:A35"/>
    <mergeCell ref="A36:A37"/>
    <mergeCell ref="B36:B37"/>
    <mergeCell ref="C36:C37"/>
    <mergeCell ref="B33:B35"/>
    <mergeCell ref="A38:A39"/>
    <mergeCell ref="C40:C41"/>
    <mergeCell ref="B42:B43"/>
    <mergeCell ref="H59:J59"/>
    <mergeCell ref="G58:I58"/>
    <mergeCell ref="H57:J57"/>
    <mergeCell ref="H37:J37"/>
    <mergeCell ref="H53:J53"/>
    <mergeCell ref="H51:J51"/>
    <mergeCell ref="G56:I56"/>
    <mergeCell ref="H55:J55"/>
    <mergeCell ref="G46:I46"/>
    <mergeCell ref="H45:J45"/>
    <mergeCell ref="A54:A55"/>
    <mergeCell ref="B54:B55"/>
    <mergeCell ref="C54:C55"/>
    <mergeCell ref="A48:A49"/>
    <mergeCell ref="C52:C53"/>
    <mergeCell ref="A46:A47"/>
    <mergeCell ref="B69:B70"/>
    <mergeCell ref="C64:C66"/>
    <mergeCell ref="D71:F71"/>
    <mergeCell ref="C73:C74"/>
    <mergeCell ref="D63:F63"/>
    <mergeCell ref="C62:C63"/>
    <mergeCell ref="D57:F57"/>
    <mergeCell ref="D70:F70"/>
    <mergeCell ref="C60:C61"/>
    <mergeCell ref="D61:F61"/>
    <mergeCell ref="D59:F59"/>
    <mergeCell ref="E66:F66"/>
    <mergeCell ref="D147:F147"/>
    <mergeCell ref="D145:F145"/>
    <mergeCell ref="A145:A146"/>
    <mergeCell ref="B145:B146"/>
    <mergeCell ref="C145:C146"/>
    <mergeCell ref="A147:A148"/>
    <mergeCell ref="B147:B148"/>
    <mergeCell ref="C147:C148"/>
    <mergeCell ref="D148:F148"/>
    <mergeCell ref="D146:F146"/>
    <mergeCell ref="D10:F10"/>
    <mergeCell ref="D122:F122"/>
    <mergeCell ref="D7:F7"/>
    <mergeCell ref="D58:F58"/>
    <mergeCell ref="D52:F52"/>
    <mergeCell ref="D53:F53"/>
    <mergeCell ref="D8:F8"/>
    <mergeCell ref="D11:F11"/>
    <mergeCell ref="D12:F12"/>
    <mergeCell ref="D17:F17"/>
    <mergeCell ref="D116:F116"/>
    <mergeCell ref="D88:F88"/>
    <mergeCell ref="D113:F113"/>
    <mergeCell ref="D112:F112"/>
    <mergeCell ref="D104:F104"/>
    <mergeCell ref="D119:F119"/>
    <mergeCell ref="D18:F18"/>
    <mergeCell ref="D15:F15"/>
    <mergeCell ref="D49:F49"/>
    <mergeCell ref="D56:F56"/>
    <mergeCell ref="D108:F108"/>
    <mergeCell ref="D109:F109"/>
    <mergeCell ref="D101:F101"/>
    <mergeCell ref="D98:F98"/>
    <mergeCell ref="D99:F99"/>
    <mergeCell ref="D39:F39"/>
    <mergeCell ref="D36:F36"/>
    <mergeCell ref="D37:F37"/>
    <mergeCell ref="D34:D35"/>
    <mergeCell ref="E34:F34"/>
    <mergeCell ref="E35:F35"/>
    <mergeCell ref="B143:B144"/>
    <mergeCell ref="C143:C144"/>
    <mergeCell ref="D140:F140"/>
    <mergeCell ref="D144:F144"/>
    <mergeCell ref="D143:F143"/>
    <mergeCell ref="D134:F134"/>
    <mergeCell ref="D135:F135"/>
    <mergeCell ref="D138:F138"/>
    <mergeCell ref="C137:C138"/>
    <mergeCell ref="D137:F137"/>
    <mergeCell ref="C98:C99"/>
    <mergeCell ref="D93:F93"/>
    <mergeCell ref="B46:B47"/>
    <mergeCell ref="C33:C35"/>
    <mergeCell ref="D38:F38"/>
    <mergeCell ref="C38:C39"/>
    <mergeCell ref="D40:F40"/>
    <mergeCell ref="D141:F141"/>
    <mergeCell ref="D142:F142"/>
    <mergeCell ref="A143:A144"/>
    <mergeCell ref="C131:C132"/>
    <mergeCell ref="C89:C90"/>
    <mergeCell ref="C95:C97"/>
    <mergeCell ref="D115:F115"/>
    <mergeCell ref="D117:F117"/>
    <mergeCell ref="D133:F133"/>
    <mergeCell ref="D114:F114"/>
    <mergeCell ref="D126:F126"/>
    <mergeCell ref="D127:F127"/>
    <mergeCell ref="C120:C121"/>
    <mergeCell ref="C126:C127"/>
    <mergeCell ref="D118:F118"/>
    <mergeCell ref="D120:F120"/>
    <mergeCell ref="D121:F121"/>
    <mergeCell ref="A118:A119"/>
    <mergeCell ref="B118:B119"/>
    <mergeCell ref="B122:B123"/>
    <mergeCell ref="A122:A123"/>
    <mergeCell ref="A120:A121"/>
    <mergeCell ref="B126:B127"/>
    <mergeCell ref="B131:B132"/>
    <mergeCell ref="A141:A142"/>
    <mergeCell ref="B141:B142"/>
    <mergeCell ref="C141:C142"/>
    <mergeCell ref="A133:A134"/>
    <mergeCell ref="B133:B134"/>
    <mergeCell ref="C133:C134"/>
    <mergeCell ref="B128:B130"/>
    <mergeCell ref="B120:B121"/>
    <mergeCell ref="A128:A130"/>
    <mergeCell ref="A124:A125"/>
    <mergeCell ref="A126:A127"/>
    <mergeCell ref="A135:A136"/>
    <mergeCell ref="A137:A138"/>
    <mergeCell ref="B137:B138"/>
    <mergeCell ref="A131:A132"/>
    <mergeCell ref="B135:B136"/>
    <mergeCell ref="B139:B140"/>
    <mergeCell ref="C139:C140"/>
    <mergeCell ref="D124:F124"/>
    <mergeCell ref="D123:F123"/>
    <mergeCell ref="G122:I122"/>
    <mergeCell ref="H121:J121"/>
    <mergeCell ref="A139:A140"/>
    <mergeCell ref="D139:F139"/>
    <mergeCell ref="C118:C119"/>
    <mergeCell ref="C122:C123"/>
    <mergeCell ref="D125:F125"/>
    <mergeCell ref="E129:F129"/>
    <mergeCell ref="D131:F131"/>
    <mergeCell ref="D132:F132"/>
    <mergeCell ref="D128:H128"/>
    <mergeCell ref="E130:F130"/>
    <mergeCell ref="C128:C130"/>
    <mergeCell ref="C135:C136"/>
    <mergeCell ref="D136:F136"/>
    <mergeCell ref="D129:D130"/>
    <mergeCell ref="B124:B125"/>
    <mergeCell ref="C124:C125"/>
    <mergeCell ref="H127:J127"/>
    <mergeCell ref="G126:I126"/>
    <mergeCell ref="H125:J125"/>
    <mergeCell ref="G124:I124"/>
    <mergeCell ref="A114:A115"/>
    <mergeCell ref="B114:B115"/>
    <mergeCell ref="C114:C115"/>
    <mergeCell ref="A112:A113"/>
    <mergeCell ref="B112:B113"/>
    <mergeCell ref="C112:C113"/>
    <mergeCell ref="A116:A117"/>
    <mergeCell ref="B116:B117"/>
    <mergeCell ref="C116:C117"/>
    <mergeCell ref="D107:F107"/>
    <mergeCell ref="B104:B105"/>
    <mergeCell ref="C104:C105"/>
    <mergeCell ref="D102:F102"/>
    <mergeCell ref="D103:F103"/>
    <mergeCell ref="C100:C101"/>
    <mergeCell ref="D100:F100"/>
    <mergeCell ref="A108:A109"/>
    <mergeCell ref="B108:B109"/>
    <mergeCell ref="C108:C109"/>
    <mergeCell ref="C106:C107"/>
    <mergeCell ref="A106:A107"/>
    <mergeCell ref="B106:B107"/>
    <mergeCell ref="G98:I98"/>
    <mergeCell ref="I97:J97"/>
    <mergeCell ref="D90:F90"/>
    <mergeCell ref="D85:F85"/>
    <mergeCell ref="A79:A80"/>
    <mergeCell ref="B79:B80"/>
    <mergeCell ref="C79:C80"/>
    <mergeCell ref="D87:F87"/>
    <mergeCell ref="D86:F86"/>
    <mergeCell ref="A98:A99"/>
    <mergeCell ref="A93:A94"/>
    <mergeCell ref="B93:B94"/>
    <mergeCell ref="C93:C94"/>
    <mergeCell ref="B95:B97"/>
    <mergeCell ref="D94:F94"/>
    <mergeCell ref="D95:H95"/>
    <mergeCell ref="E96:F96"/>
    <mergeCell ref="E97:F97"/>
    <mergeCell ref="G97:H97"/>
    <mergeCell ref="A85:A86"/>
    <mergeCell ref="B85:B86"/>
    <mergeCell ref="C85:C86"/>
    <mergeCell ref="A89:A90"/>
    <mergeCell ref="B89:B90"/>
    <mergeCell ref="A91:A92"/>
    <mergeCell ref="D81:F81"/>
    <mergeCell ref="B83:B84"/>
    <mergeCell ref="C83:C84"/>
    <mergeCell ref="A87:A88"/>
    <mergeCell ref="A110:A111"/>
    <mergeCell ref="C110:C111"/>
    <mergeCell ref="D110:F110"/>
    <mergeCell ref="A81:A82"/>
    <mergeCell ref="B81:B82"/>
    <mergeCell ref="C81:C82"/>
    <mergeCell ref="D82:F82"/>
    <mergeCell ref="D111:F111"/>
    <mergeCell ref="C91:C92"/>
    <mergeCell ref="A83:A84"/>
    <mergeCell ref="A100:A101"/>
    <mergeCell ref="A95:A97"/>
    <mergeCell ref="A104:A105"/>
    <mergeCell ref="D106:F106"/>
    <mergeCell ref="D105:F105"/>
    <mergeCell ref="B102:B103"/>
    <mergeCell ref="C102:C103"/>
    <mergeCell ref="A102:A103"/>
    <mergeCell ref="B100:B101"/>
    <mergeCell ref="A77:A78"/>
    <mergeCell ref="B77:B78"/>
    <mergeCell ref="C77:C78"/>
    <mergeCell ref="D77:F77"/>
    <mergeCell ref="D78:F78"/>
    <mergeCell ref="A75:A76"/>
    <mergeCell ref="B75:B76"/>
    <mergeCell ref="C75:C76"/>
    <mergeCell ref="D75:F75"/>
    <mergeCell ref="D76:F76"/>
    <mergeCell ref="A62:A63"/>
    <mergeCell ref="A56:A57"/>
    <mergeCell ref="B56:B57"/>
    <mergeCell ref="B44:B45"/>
    <mergeCell ref="A58:A59"/>
    <mergeCell ref="A67:A68"/>
    <mergeCell ref="E65:F65"/>
    <mergeCell ref="D73:F73"/>
    <mergeCell ref="B67:B68"/>
    <mergeCell ref="A69:A70"/>
    <mergeCell ref="C67:C68"/>
    <mergeCell ref="A71:A72"/>
    <mergeCell ref="B71:B72"/>
    <mergeCell ref="C71:C72"/>
    <mergeCell ref="C69:C70"/>
    <mergeCell ref="D72:F72"/>
    <mergeCell ref="C46:C47"/>
    <mergeCell ref="B58:B59"/>
    <mergeCell ref="C56:C57"/>
    <mergeCell ref="C58:C59"/>
    <mergeCell ref="A73:A74"/>
    <mergeCell ref="B73:B74"/>
    <mergeCell ref="B64:B66"/>
    <mergeCell ref="A64:A66"/>
    <mergeCell ref="A50:A51"/>
    <mergeCell ref="A60:A61"/>
    <mergeCell ref="B60:B61"/>
    <mergeCell ref="C42:C43"/>
    <mergeCell ref="A42:A43"/>
    <mergeCell ref="A40:A41"/>
    <mergeCell ref="C48:C49"/>
    <mergeCell ref="A44:A45"/>
    <mergeCell ref="B48:B49"/>
    <mergeCell ref="B50:B51"/>
    <mergeCell ref="B52:B53"/>
    <mergeCell ref="A52:A53"/>
    <mergeCell ref="C44:C45"/>
    <mergeCell ref="C50:C51"/>
    <mergeCell ref="B40:B41"/>
    <mergeCell ref="C31:C32"/>
    <mergeCell ref="D31:F31"/>
    <mergeCell ref="D32:F32"/>
    <mergeCell ref="A17:A18"/>
    <mergeCell ref="B17:B18"/>
    <mergeCell ref="C17:C18"/>
    <mergeCell ref="A19:A20"/>
    <mergeCell ref="A21:A22"/>
    <mergeCell ref="D27:F27"/>
    <mergeCell ref="C29:C30"/>
    <mergeCell ref="D29:F29"/>
    <mergeCell ref="A27:A28"/>
    <mergeCell ref="B27:B28"/>
    <mergeCell ref="C27:C28"/>
    <mergeCell ref="A25:A26"/>
    <mergeCell ref="B25:B26"/>
    <mergeCell ref="C25:C26"/>
    <mergeCell ref="D25:F25"/>
    <mergeCell ref="D28:F28"/>
    <mergeCell ref="A31:A32"/>
    <mergeCell ref="A29:A30"/>
    <mergeCell ref="B29:B30"/>
    <mergeCell ref="B31:B32"/>
    <mergeCell ref="A23:A24"/>
    <mergeCell ref="C23:C24"/>
    <mergeCell ref="D24:F24"/>
    <mergeCell ref="D23:F23"/>
    <mergeCell ref="B21:B22"/>
    <mergeCell ref="C21:C22"/>
    <mergeCell ref="B19:B20"/>
    <mergeCell ref="C19:C20"/>
    <mergeCell ref="D22:F22"/>
    <mergeCell ref="D16:F16"/>
    <mergeCell ref="B23:B24"/>
    <mergeCell ref="A15:A16"/>
    <mergeCell ref="B15:B16"/>
    <mergeCell ref="A13:A14"/>
    <mergeCell ref="B13:B14"/>
    <mergeCell ref="C13:C14"/>
    <mergeCell ref="A11:A12"/>
    <mergeCell ref="B11:B12"/>
    <mergeCell ref="C11:C12"/>
    <mergeCell ref="A4:A6"/>
    <mergeCell ref="B4:B6"/>
    <mergeCell ref="A7:A8"/>
    <mergeCell ref="B7:B8"/>
    <mergeCell ref="C7:C8"/>
    <mergeCell ref="A9:A10"/>
    <mergeCell ref="B9:B10"/>
    <mergeCell ref="C9:C10"/>
    <mergeCell ref="C4:C6"/>
    <mergeCell ref="C15:C16"/>
    <mergeCell ref="B185:E185"/>
    <mergeCell ref="B184:E184"/>
    <mergeCell ref="I66:J66"/>
    <mergeCell ref="D26:F26"/>
    <mergeCell ref="D30:F30"/>
    <mergeCell ref="B38:B39"/>
    <mergeCell ref="B180:E180"/>
    <mergeCell ref="B182:E182"/>
    <mergeCell ref="B183:E183"/>
    <mergeCell ref="B167:E167"/>
    <mergeCell ref="B176:E176"/>
    <mergeCell ref="B181:E181"/>
    <mergeCell ref="D46:F46"/>
    <mergeCell ref="D54:F54"/>
    <mergeCell ref="B153:E153"/>
    <mergeCell ref="B158:E158"/>
    <mergeCell ref="B159:E159"/>
    <mergeCell ref="B154:E154"/>
    <mergeCell ref="B155:E155"/>
    <mergeCell ref="B98:B99"/>
    <mergeCell ref="H82:J82"/>
    <mergeCell ref="D96:D97"/>
    <mergeCell ref="I95:J96"/>
    <mergeCell ref="H94:J94"/>
    <mergeCell ref="B186:E186"/>
    <mergeCell ref="D62:F62"/>
    <mergeCell ref="D51:F51"/>
    <mergeCell ref="D60:F60"/>
    <mergeCell ref="D55:F55"/>
    <mergeCell ref="B164:E164"/>
    <mergeCell ref="B165:E165"/>
    <mergeCell ref="B156:E156"/>
    <mergeCell ref="B157:E157"/>
    <mergeCell ref="B162:E162"/>
    <mergeCell ref="B163:E163"/>
    <mergeCell ref="B62:B63"/>
    <mergeCell ref="B87:B88"/>
    <mergeCell ref="C87:C88"/>
    <mergeCell ref="B160:E160"/>
    <mergeCell ref="B161:E161"/>
    <mergeCell ref="D74:F74"/>
    <mergeCell ref="D84:F84"/>
    <mergeCell ref="B178:E178"/>
    <mergeCell ref="B172:E172"/>
    <mergeCell ref="B173:E173"/>
    <mergeCell ref="D64:H64"/>
    <mergeCell ref="G91:I91"/>
    <mergeCell ref="B149:E149"/>
    <mergeCell ref="B210:E210"/>
    <mergeCell ref="B200:E200"/>
    <mergeCell ref="B201:E201"/>
    <mergeCell ref="B202:E202"/>
    <mergeCell ref="B203:E203"/>
    <mergeCell ref="B204:E204"/>
    <mergeCell ref="B199:E199"/>
    <mergeCell ref="B207:E207"/>
    <mergeCell ref="B189:E189"/>
    <mergeCell ref="B190:E190"/>
    <mergeCell ref="B192:E192"/>
    <mergeCell ref="B197:E197"/>
    <mergeCell ref="B194:E194"/>
    <mergeCell ref="B195:E195"/>
    <mergeCell ref="B196:E196"/>
    <mergeCell ref="B193:E193"/>
    <mergeCell ref="B198:E198"/>
    <mergeCell ref="B191:E191"/>
    <mergeCell ref="B209:E209"/>
    <mergeCell ref="B205:E205"/>
    <mergeCell ref="B206:E206"/>
    <mergeCell ref="B208:E208"/>
    <mergeCell ref="B187:E187"/>
    <mergeCell ref="B168:E168"/>
    <mergeCell ref="B169:E169"/>
    <mergeCell ref="B179:E179"/>
    <mergeCell ref="G66:H66"/>
    <mergeCell ref="G96:H96"/>
    <mergeCell ref="B188:E188"/>
    <mergeCell ref="B166:E166"/>
    <mergeCell ref="D80:F80"/>
    <mergeCell ref="D79:F79"/>
    <mergeCell ref="D91:F91"/>
    <mergeCell ref="D92:F92"/>
    <mergeCell ref="B91:B92"/>
    <mergeCell ref="D65:D66"/>
    <mergeCell ref="D69:F69"/>
    <mergeCell ref="B177:E177"/>
    <mergeCell ref="B170:E170"/>
    <mergeCell ref="B171:E171"/>
    <mergeCell ref="B174:E174"/>
    <mergeCell ref="B175:E175"/>
    <mergeCell ref="B110:B111"/>
    <mergeCell ref="B150:E150"/>
    <mergeCell ref="B151:E151"/>
    <mergeCell ref="B152:E152"/>
    <mergeCell ref="G11:I11"/>
    <mergeCell ref="H14:J14"/>
    <mergeCell ref="G13:I13"/>
    <mergeCell ref="H92:J92"/>
    <mergeCell ref="D83:F83"/>
    <mergeCell ref="G81:I81"/>
    <mergeCell ref="H80:J80"/>
    <mergeCell ref="G87:I87"/>
    <mergeCell ref="H86:J86"/>
    <mergeCell ref="G85:I85"/>
    <mergeCell ref="H84:J84"/>
    <mergeCell ref="G25:I25"/>
    <mergeCell ref="D68:F68"/>
    <mergeCell ref="D67:F67"/>
    <mergeCell ref="D89:F89"/>
    <mergeCell ref="D50:F50"/>
    <mergeCell ref="H49:J49"/>
    <mergeCell ref="D47:F47"/>
    <mergeCell ref="G44:I44"/>
    <mergeCell ref="H43:J43"/>
    <mergeCell ref="D14:F14"/>
    <mergeCell ref="D13:F13"/>
    <mergeCell ref="G36:I36"/>
    <mergeCell ref="H63:J63"/>
    <mergeCell ref="I4:J5"/>
    <mergeCell ref="H8:J8"/>
    <mergeCell ref="G5:H5"/>
    <mergeCell ref="G6:H6"/>
    <mergeCell ref="D4:H4"/>
    <mergeCell ref="G9:I9"/>
    <mergeCell ref="G7:I7"/>
    <mergeCell ref="E5:F5"/>
    <mergeCell ref="E6:F6"/>
    <mergeCell ref="D5:D6"/>
    <mergeCell ref="D9:F9"/>
    <mergeCell ref="I6:J6"/>
    <mergeCell ref="H32:J32"/>
    <mergeCell ref="D48:F48"/>
    <mergeCell ref="G54:I54"/>
    <mergeCell ref="G50:I50"/>
    <mergeCell ref="G52:I52"/>
    <mergeCell ref="H20:J20"/>
    <mergeCell ref="G19:I19"/>
    <mergeCell ref="H18:J18"/>
    <mergeCell ref="G17:I17"/>
    <mergeCell ref="G21:I21"/>
    <mergeCell ref="H26:J26"/>
    <mergeCell ref="G34:H34"/>
    <mergeCell ref="H22:J22"/>
    <mergeCell ref="H30:J30"/>
    <mergeCell ref="G29:I29"/>
    <mergeCell ref="H28:J28"/>
    <mergeCell ref="I33:J34"/>
    <mergeCell ref="D21:F21"/>
    <mergeCell ref="H10:J10"/>
    <mergeCell ref="H12:J12"/>
    <mergeCell ref="G15:I15"/>
    <mergeCell ref="D19:F19"/>
    <mergeCell ref="D44:F44"/>
    <mergeCell ref="D45:F45"/>
    <mergeCell ref="G48:I48"/>
    <mergeCell ref="H47:J47"/>
    <mergeCell ref="H16:J16"/>
    <mergeCell ref="G31:I31"/>
    <mergeCell ref="I35:J35"/>
    <mergeCell ref="D33:H33"/>
    <mergeCell ref="G23:I23"/>
    <mergeCell ref="G40:I40"/>
    <mergeCell ref="H39:J39"/>
    <mergeCell ref="D41:F41"/>
    <mergeCell ref="D20:F20"/>
    <mergeCell ref="D42:F42"/>
    <mergeCell ref="D43:F43"/>
    <mergeCell ref="G38:I38"/>
    <mergeCell ref="G42:I42"/>
    <mergeCell ref="G35:H35"/>
    <mergeCell ref="H24:J24"/>
    <mergeCell ref="G27:I27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Normal="100" zoomScaleSheetLayoutView="100" workbookViewId="0">
      <selection activeCell="AC38" sqref="AC38:AK38"/>
    </sheetView>
  </sheetViews>
  <sheetFormatPr defaultRowHeight="12.75" x14ac:dyDescent="0.25"/>
  <cols>
    <col min="1" max="41" width="2.5703125" style="441" customWidth="1"/>
    <col min="42" max="42" width="9.140625" style="441"/>
    <col min="43" max="45" width="2.5703125" style="441" customWidth="1"/>
    <col min="46" max="46" width="7.7109375" style="441" customWidth="1"/>
    <col min="47" max="61" width="2.5703125" style="441" customWidth="1"/>
    <col min="62" max="16384" width="9.140625" style="441"/>
  </cols>
  <sheetData>
    <row r="1" spans="1:39" s="551" customFormat="1" ht="10.5" customHeight="1" x14ac:dyDescent="0.25">
      <c r="B1" s="552" t="s">
        <v>1321</v>
      </c>
      <c r="N1" s="1483" t="s">
        <v>1320</v>
      </c>
      <c r="O1" s="1483"/>
      <c r="P1" s="1483"/>
      <c r="Q1" s="1483"/>
      <c r="R1" s="1483"/>
      <c r="S1" s="1483"/>
      <c r="T1" s="1483"/>
      <c r="U1" s="1483"/>
      <c r="V1" s="1483"/>
      <c r="W1" s="1483"/>
      <c r="AM1" s="552"/>
    </row>
    <row r="2" spans="1:39" s="448" customFormat="1" ht="21" customHeight="1" x14ac:dyDescent="0.25">
      <c r="B2" s="550" t="s">
        <v>1319</v>
      </c>
      <c r="C2" s="549"/>
      <c r="D2" s="549"/>
      <c r="E2" s="549"/>
      <c r="F2" s="549"/>
      <c r="G2" s="549"/>
      <c r="H2" s="549"/>
      <c r="I2" s="549"/>
      <c r="J2" s="586"/>
      <c r="K2" s="549"/>
      <c r="L2" s="549"/>
      <c r="M2" s="585"/>
      <c r="N2" s="1483"/>
      <c r="O2" s="1483"/>
      <c r="P2" s="1483"/>
      <c r="Q2" s="1483"/>
      <c r="R2" s="1483"/>
      <c r="S2" s="1483"/>
      <c r="T2" s="1483"/>
      <c r="U2" s="1483"/>
      <c r="V2" s="1483"/>
      <c r="W2" s="1483"/>
      <c r="AM2" s="584"/>
    </row>
    <row r="3" spans="1:39" ht="13.5" customHeight="1" thickBot="1" x14ac:dyDescent="0.3">
      <c r="N3" s="1484"/>
      <c r="O3" s="1484"/>
      <c r="P3" s="1484"/>
      <c r="Q3" s="1484"/>
      <c r="R3" s="1484"/>
      <c r="S3" s="1484"/>
      <c r="T3" s="1484"/>
      <c r="U3" s="1484"/>
      <c r="V3" s="1484"/>
      <c r="W3" s="1484"/>
    </row>
    <row r="4" spans="1:39" ht="28.5" customHeight="1" thickBot="1" x14ac:dyDescent="0.3">
      <c r="K4" s="546" t="s">
        <v>1146</v>
      </c>
      <c r="L4" s="545" t="str">
        <f>+MID('Input data'!$B$11,1,1)</f>
        <v>3</v>
      </c>
      <c r="M4" s="545" t="str">
        <f>+MID('Input data'!$B$11,2,1)</f>
        <v>1</v>
      </c>
      <c r="N4" s="545" t="s">
        <v>1147</v>
      </c>
      <c r="O4" s="545" t="str">
        <f>LEFT('Input data'!B13,1)</f>
        <v>1</v>
      </c>
      <c r="P4" s="545" t="str">
        <f>RIGHT('Input data'!B13,1)</f>
        <v>2</v>
      </c>
      <c r="Q4" s="545" t="s">
        <v>1147</v>
      </c>
      <c r="R4" s="545" t="str">
        <f>+LEFT('Input data'!$B$14,1)</f>
        <v>2</v>
      </c>
      <c r="S4" s="545" t="str">
        <f>+MID('Input data'!$B$14,2,1)</f>
        <v>0</v>
      </c>
      <c r="T4" s="545" t="str">
        <f>+MID('Input data'!$B$14,3,1)</f>
        <v>1</v>
      </c>
      <c r="U4" s="545" t="str">
        <f>+MID('Input data'!$B$14,4,1)</f>
        <v>3</v>
      </c>
      <c r="V4" s="544" t="s">
        <v>1148</v>
      </c>
      <c r="W4" s="543"/>
      <c r="X4" s="543"/>
      <c r="Y4" s="543"/>
      <c r="Z4" s="542"/>
    </row>
    <row r="5" spans="1:39" ht="7.5" customHeight="1" thickBot="1" x14ac:dyDescent="0.3"/>
    <row r="6" spans="1:39" s="538" customFormat="1" ht="14.25" customHeight="1" x14ac:dyDescent="0.25">
      <c r="A6" s="541" t="s">
        <v>1149</v>
      </c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39"/>
    </row>
    <row r="7" spans="1:39" s="442" customFormat="1" ht="15" customHeight="1" x14ac:dyDescent="0.25">
      <c r="A7" s="454" t="s">
        <v>1150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537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537"/>
    </row>
    <row r="8" spans="1:39" s="533" customFormat="1" ht="18" customHeight="1" thickBot="1" x14ac:dyDescent="0.3">
      <c r="A8" s="536" t="s">
        <v>1151</v>
      </c>
      <c r="B8" s="535"/>
      <c r="C8" s="535"/>
      <c r="D8" s="535"/>
      <c r="E8" s="536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4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4"/>
    </row>
    <row r="9" spans="1:39" s="513" customFormat="1" ht="3.75" customHeight="1" thickBot="1" x14ac:dyDescent="0.3"/>
    <row r="10" spans="1:39" s="513" customFormat="1" ht="14.25" customHeight="1" x14ac:dyDescent="0.25">
      <c r="A10" s="515" t="s">
        <v>1152</v>
      </c>
      <c r="B10" s="514"/>
      <c r="C10" s="514"/>
      <c r="D10" s="514"/>
      <c r="E10" s="514"/>
      <c r="F10" s="514"/>
      <c r="G10" s="514"/>
      <c r="H10" s="514"/>
      <c r="I10" s="458"/>
      <c r="J10" s="457"/>
      <c r="K10" s="531" t="s">
        <v>1153</v>
      </c>
      <c r="L10" s="514"/>
      <c r="M10" s="532"/>
      <c r="N10" s="532"/>
      <c r="O10" s="532"/>
      <c r="P10" s="514"/>
      <c r="Q10" s="531" t="s">
        <v>1153</v>
      </c>
      <c r="R10" s="514"/>
      <c r="S10" s="458"/>
      <c r="T10" s="514"/>
      <c r="U10" s="514"/>
      <c r="V10" s="530"/>
      <c r="W10" s="514"/>
      <c r="X10" s="514"/>
      <c r="Y10" s="514"/>
      <c r="Z10" s="514"/>
      <c r="AA10" s="514"/>
      <c r="AB10" s="514"/>
      <c r="AC10" s="514"/>
      <c r="AD10" s="531" t="s">
        <v>1154</v>
      </c>
      <c r="AE10" s="531"/>
      <c r="AF10" s="531"/>
      <c r="AG10" s="531" t="s">
        <v>1155</v>
      </c>
      <c r="AH10" s="514"/>
      <c r="AI10" s="514"/>
      <c r="AJ10" s="514"/>
      <c r="AK10" s="530"/>
    </row>
    <row r="11" spans="1:39" s="513" customFormat="1" ht="19.5" customHeight="1" x14ac:dyDescent="0.2">
      <c r="A11" s="527" t="str">
        <f>LEFT('Input data'!C24,1)</f>
        <v>2</v>
      </c>
      <c r="B11" s="492" t="str">
        <f>MID('Input data'!$C$24,2,1)</f>
        <v>0</v>
      </c>
      <c r="C11" s="492" t="str">
        <f>MID('Input data'!$C$24,3,1)</f>
        <v>2</v>
      </c>
      <c r="D11" s="492" t="str">
        <f>MID('Input data'!$C$24,4,1)</f>
        <v>1</v>
      </c>
      <c r="E11" s="492" t="str">
        <f>MID('Input data'!$C$24,5,1)</f>
        <v>8</v>
      </c>
      <c r="F11" s="492" t="str">
        <f>MID('Input data'!$C$24,6,1)</f>
        <v>7</v>
      </c>
      <c r="G11" s="492" t="str">
        <f>MID('Input data'!$C$24,7,1)</f>
        <v>0</v>
      </c>
      <c r="H11" s="492" t="str">
        <f>MID('Input data'!$C$24,8,1)</f>
        <v>2</v>
      </c>
      <c r="I11" s="492" t="str">
        <f>MID('Input data'!$C$24,9,1)</f>
        <v>9</v>
      </c>
      <c r="J11" s="499" t="str">
        <f>MID('Input data'!$C$24,10,1)</f>
        <v>0</v>
      </c>
      <c r="K11" s="450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522"/>
      <c r="W11" s="521" t="s">
        <v>1156</v>
      </c>
      <c r="X11" s="516"/>
      <c r="Y11" s="516"/>
      <c r="Z11" s="516"/>
      <c r="AA11" s="516"/>
      <c r="AB11" s="521" t="s">
        <v>1157</v>
      </c>
      <c r="AC11" s="516"/>
      <c r="AD11" s="492" t="str">
        <f>MID('Input data'!$B$8,1,1)</f>
        <v>0</v>
      </c>
      <c r="AE11" s="492" t="str">
        <f>MID('Input data'!$B$8,2,1)</f>
        <v>1</v>
      </c>
      <c r="AF11" s="492"/>
      <c r="AG11" s="492" t="str">
        <f>MID('Input data'!$B$9,1,1)</f>
        <v>2</v>
      </c>
      <c r="AH11" s="492" t="str">
        <f>MID('Input data'!$B$9,2,1)</f>
        <v>0</v>
      </c>
      <c r="AI11" s="492" t="str">
        <f>MID('Input data'!$B$9,3,1)</f>
        <v>1</v>
      </c>
      <c r="AJ11" s="492" t="str">
        <f>MID('Input data'!$B$9,4,1)</f>
        <v>3</v>
      </c>
      <c r="AK11" s="522"/>
    </row>
    <row r="12" spans="1:39" s="513" customFormat="1" ht="19.5" customHeight="1" thickBot="1" x14ac:dyDescent="0.3">
      <c r="A12" s="454" t="s">
        <v>1158</v>
      </c>
      <c r="B12" s="516"/>
      <c r="C12" s="516"/>
      <c r="D12" s="516"/>
      <c r="E12" s="516"/>
      <c r="F12" s="516"/>
      <c r="G12" s="516"/>
      <c r="H12" s="450"/>
      <c r="I12" s="450"/>
      <c r="J12" s="449"/>
      <c r="K12" s="450"/>
      <c r="L12" s="529" t="str">
        <f>IF('Input data'!D7="x","x"," ")</f>
        <v>x</v>
      </c>
      <c r="M12" s="521" t="s">
        <v>1159</v>
      </c>
      <c r="N12" s="523"/>
      <c r="O12" s="523"/>
      <c r="P12" s="523"/>
      <c r="Q12" s="523"/>
      <c r="R12" s="529" t="str">
        <f>IF('Input data'!D16="x","x"," ")</f>
        <v>x</v>
      </c>
      <c r="S12" s="521" t="s">
        <v>1160</v>
      </c>
      <c r="T12" s="516"/>
      <c r="U12" s="516"/>
      <c r="V12" s="522"/>
      <c r="W12" s="528"/>
      <c r="X12" s="518"/>
      <c r="Y12" s="518"/>
      <c r="Z12" s="518"/>
      <c r="AA12" s="518"/>
      <c r="AB12" s="517" t="s">
        <v>1161</v>
      </c>
      <c r="AC12" s="518"/>
      <c r="AD12" s="490" t="str">
        <f>MID('Input data'!$B$13,1,1)</f>
        <v>1</v>
      </c>
      <c r="AE12" s="490" t="str">
        <f>MID('Input data'!$B$13,2,1)</f>
        <v>2</v>
      </c>
      <c r="AF12" s="490"/>
      <c r="AG12" s="490" t="str">
        <f>MID('Input data'!$B$14,1,1)</f>
        <v>2</v>
      </c>
      <c r="AH12" s="490" t="str">
        <f>MID('Input data'!$B$14,2,1)</f>
        <v>0</v>
      </c>
      <c r="AI12" s="490" t="str">
        <f>MID('Input data'!$B$14,3,1)</f>
        <v>1</v>
      </c>
      <c r="AJ12" s="490" t="str">
        <f>MID('Input data'!$B$14,4,1)</f>
        <v>3</v>
      </c>
      <c r="AK12" s="519"/>
    </row>
    <row r="13" spans="1:39" s="513" customFormat="1" ht="19.5" customHeight="1" x14ac:dyDescent="0.2">
      <c r="A13" s="527" t="str">
        <f>LEFT('Input data'!C26,1)</f>
        <v>3</v>
      </c>
      <c r="B13" s="492" t="str">
        <f>MID('Input data'!$C$26,2,1)</f>
        <v>5</v>
      </c>
      <c r="C13" s="492" t="str">
        <f>MID('Input data'!$C$26,3,1)</f>
        <v>8</v>
      </c>
      <c r="D13" s="492" t="str">
        <f>MID('Input data'!$C$26,4,1)</f>
        <v>9</v>
      </c>
      <c r="E13" s="492" t="str">
        <f>MID('Input data'!$C$26,5,1)</f>
        <v>6</v>
      </c>
      <c r="F13" s="492" t="str">
        <f>MID('Input data'!$C$26,6,1)</f>
        <v>2</v>
      </c>
      <c r="G13" s="492" t="str">
        <f>MID('Input data'!$C$26,7,1)</f>
        <v>8</v>
      </c>
      <c r="H13" s="492" t="str">
        <f>MID('Input data'!$C$26,8,1)</f>
        <v>1</v>
      </c>
      <c r="I13" s="450"/>
      <c r="J13" s="449"/>
      <c r="K13" s="450"/>
      <c r="L13" s="525" t="str">
        <f>IF('Input data'!D8="x","x", "")</f>
        <v/>
      </c>
      <c r="M13" s="521" t="s">
        <v>1162</v>
      </c>
      <c r="N13" s="523"/>
      <c r="O13" s="523"/>
      <c r="P13" s="523"/>
      <c r="Q13" s="523"/>
      <c r="R13" s="526" t="str">
        <f>IF('Input data'!D17="x","x"," ")</f>
        <v xml:space="preserve"> </v>
      </c>
      <c r="S13" s="521" t="s">
        <v>1163</v>
      </c>
      <c r="T13" s="516"/>
      <c r="U13" s="516"/>
      <c r="V13" s="522"/>
      <c r="W13" s="521" t="s">
        <v>1164</v>
      </c>
      <c r="X13" s="516"/>
      <c r="Y13" s="453"/>
      <c r="Z13" s="450"/>
      <c r="AA13" s="450"/>
      <c r="AB13" s="523"/>
      <c r="AC13" s="450"/>
      <c r="AD13" s="525"/>
      <c r="AE13" s="525"/>
      <c r="AF13" s="525"/>
      <c r="AG13" s="525"/>
      <c r="AH13" s="525"/>
      <c r="AI13" s="525"/>
      <c r="AJ13" s="525"/>
      <c r="AK13" s="449"/>
    </row>
    <row r="14" spans="1:39" s="513" customFormat="1" ht="19.5" customHeight="1" x14ac:dyDescent="0.2">
      <c r="A14" s="454" t="s">
        <v>1165</v>
      </c>
      <c r="B14" s="516"/>
      <c r="C14" s="516"/>
      <c r="D14" s="516"/>
      <c r="E14" s="516"/>
      <c r="F14" s="516"/>
      <c r="G14" s="516"/>
      <c r="H14" s="516"/>
      <c r="I14" s="450"/>
      <c r="J14" s="449"/>
      <c r="K14" s="450"/>
      <c r="L14" s="450"/>
      <c r="M14" s="521"/>
      <c r="N14" s="523"/>
      <c r="O14" s="523"/>
      <c r="P14" s="523"/>
      <c r="Q14" s="523"/>
      <c r="R14" s="524" t="s">
        <v>1166</v>
      </c>
      <c r="S14" s="523"/>
      <c r="T14" s="516"/>
      <c r="U14" s="516"/>
      <c r="V14" s="522"/>
      <c r="W14" s="521" t="s">
        <v>987</v>
      </c>
      <c r="X14" s="516"/>
      <c r="Y14" s="453"/>
      <c r="Z14" s="450"/>
      <c r="AA14" s="450"/>
      <c r="AB14" s="521" t="s">
        <v>1157</v>
      </c>
      <c r="AC14" s="450"/>
      <c r="AD14" s="492" t="str">
        <f>MID('Input data'!$B$18,1,1)</f>
        <v>0</v>
      </c>
      <c r="AE14" s="492" t="str">
        <f>MID('Input data'!$B$18,2,1)</f>
        <v>1</v>
      </c>
      <c r="AF14" s="492"/>
      <c r="AG14" s="492" t="str">
        <f>MID('Input data'!$B$19,1,1)</f>
        <v>2</v>
      </c>
      <c r="AH14" s="492" t="str">
        <f>MID('Input data'!$B$19,2,1)</f>
        <v>0</v>
      </c>
      <c r="AI14" s="492" t="str">
        <f>MID('Input data'!$B$19,3,1)</f>
        <v>1</v>
      </c>
      <c r="AJ14" s="492" t="str">
        <f>MID('Input data'!$B$19,4,1)</f>
        <v>2</v>
      </c>
      <c r="AK14" s="449"/>
    </row>
    <row r="15" spans="1:39" s="513" customFormat="1" ht="19.5" customHeight="1" thickBot="1" x14ac:dyDescent="0.25">
      <c r="A15" s="520" t="str">
        <f>LEFT('Input data'!$E$12,1)</f>
        <v>7</v>
      </c>
      <c r="B15" s="445" t="str">
        <f>MID('Input data'!$E$12,2,1)</f>
        <v>3</v>
      </c>
      <c r="C15" s="518" t="s">
        <v>1147</v>
      </c>
      <c r="D15" s="445" t="str">
        <f>MID('Input data'!$E$12,3,1)</f>
        <v>1</v>
      </c>
      <c r="E15" s="445" t="str">
        <f>MID('Input data'!$E$12,4,1)</f>
        <v>1</v>
      </c>
      <c r="F15" s="469" t="s">
        <v>1147</v>
      </c>
      <c r="G15" s="445" t="str">
        <f>MID('Input data'!$E$12,5,1)</f>
        <v>0</v>
      </c>
      <c r="H15" s="445"/>
      <c r="I15" s="445"/>
      <c r="J15" s="444"/>
      <c r="K15" s="445"/>
      <c r="L15" s="445"/>
      <c r="M15" s="445"/>
      <c r="N15" s="445"/>
      <c r="O15" s="445"/>
      <c r="P15" s="445"/>
      <c r="Q15" s="445"/>
      <c r="R15" s="445"/>
      <c r="S15" s="445"/>
      <c r="T15" s="518"/>
      <c r="U15" s="518"/>
      <c r="V15" s="519"/>
      <c r="W15" s="517" t="s">
        <v>1167</v>
      </c>
      <c r="X15" s="518"/>
      <c r="Y15" s="446"/>
      <c r="Z15" s="445"/>
      <c r="AA15" s="445"/>
      <c r="AB15" s="517" t="s">
        <v>1161</v>
      </c>
      <c r="AC15" s="445"/>
      <c r="AD15" s="490" t="str">
        <f>MID('Input data'!$B$21,1,1)</f>
        <v>1</v>
      </c>
      <c r="AE15" s="490" t="str">
        <f>MID('Input data'!$B$21,2,1)</f>
        <v>2</v>
      </c>
      <c r="AF15" s="490"/>
      <c r="AG15" s="490" t="str">
        <f>MID('Input data'!$B$22,1,1)</f>
        <v>2</v>
      </c>
      <c r="AH15" s="490" t="str">
        <f>MID('Input data'!$B$22,2,1)</f>
        <v>0</v>
      </c>
      <c r="AI15" s="490" t="str">
        <f>MID('Input data'!$B$22,3,1)</f>
        <v>1</v>
      </c>
      <c r="AJ15" s="490" t="str">
        <f>MID('Input data'!$B$22,4,1)</f>
        <v>2</v>
      </c>
      <c r="AK15" s="444"/>
    </row>
    <row r="16" spans="1:39" s="513" customFormat="1" ht="4.5" customHeight="1" x14ac:dyDescent="0.25">
      <c r="A16" s="516"/>
      <c r="B16" s="516"/>
      <c r="C16" s="516"/>
      <c r="D16" s="516"/>
      <c r="E16" s="516"/>
      <c r="F16" s="514"/>
      <c r="G16" s="516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516"/>
      <c r="U16" s="516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</row>
    <row r="17" spans="1:39" s="513" customFormat="1" ht="3" customHeight="1" thickBot="1" x14ac:dyDescent="0.3"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3"/>
      <c r="AG17" s="443"/>
      <c r="AH17" s="443"/>
      <c r="AI17" s="443"/>
      <c r="AJ17" s="443"/>
      <c r="AK17" s="443"/>
    </row>
    <row r="18" spans="1:39" s="513" customFormat="1" ht="16.5" x14ac:dyDescent="0.25">
      <c r="A18" s="515" t="s">
        <v>1168</v>
      </c>
      <c r="B18" s="514"/>
      <c r="C18" s="514"/>
      <c r="D18" s="514"/>
      <c r="E18" s="514"/>
      <c r="F18" s="514"/>
      <c r="G18" s="514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514"/>
      <c r="U18" s="514"/>
      <c r="V18" s="514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7"/>
    </row>
    <row r="19" spans="1:39" s="443" customFormat="1" ht="19.5" customHeight="1" x14ac:dyDescent="0.25">
      <c r="A19" s="500" t="str">
        <f>+LEFT('Input data'!$F$3,1)</f>
        <v>V</v>
      </c>
      <c r="B19" s="492" t="str">
        <f>+MID('Input data'!$F$3,2,1)</f>
        <v>i</v>
      </c>
      <c r="C19" s="492" t="str">
        <f>+MID('Input data'!$F$3,3,1)</f>
        <v>z</v>
      </c>
      <c r="D19" s="492" t="str">
        <f>+MID('Input data'!$F$3,4,1)</f>
        <v>e</v>
      </c>
      <c r="E19" s="492" t="str">
        <f>+MID('Input data'!$F$3,5,1)</f>
        <v>u</v>
      </c>
      <c r="F19" s="492" t="str">
        <f>+MID('Input data'!$F$3,6,1)</f>
        <v>m</v>
      </c>
      <c r="G19" s="492" t="str">
        <f>+MID('Input data'!$F$3,7,1)</f>
        <v xml:space="preserve"> </v>
      </c>
      <c r="H19" s="492" t="str">
        <f>+MID('Input data'!$F$3,8,1)</f>
        <v>S</v>
      </c>
      <c r="I19" s="492" t="str">
        <f>+MID('Input data'!$F$3,9,1)</f>
        <v>l</v>
      </c>
      <c r="J19" s="492" t="str">
        <f>+MID('Input data'!$F$3,10,1)</f>
        <v>o</v>
      </c>
      <c r="K19" s="492" t="str">
        <f>+MID('Input data'!$F$3,11,1)</f>
        <v>v</v>
      </c>
      <c r="L19" s="492" t="str">
        <f>+MID('Input data'!$F$3,12,1)</f>
        <v>a</v>
      </c>
      <c r="M19" s="492" t="str">
        <f>+MID('Input data'!$F$3,13,1)</f>
        <v>k</v>
      </c>
      <c r="N19" s="492" t="str">
        <f>+MID('Input data'!$F$3,14,1)</f>
        <v>i</v>
      </c>
      <c r="O19" s="492" t="str">
        <f>+MID('Input data'!$F$3,15,1)</f>
        <v>a</v>
      </c>
      <c r="P19" s="492" t="str">
        <f>+MID('Input data'!$F$3,16,1)</f>
        <v>,</v>
      </c>
      <c r="Q19" s="492" t="str">
        <f>+MID('Input data'!$F$3,17,1)</f>
        <v xml:space="preserve"> </v>
      </c>
      <c r="R19" s="492" t="str">
        <f>+MID('Input data'!$F$3,18,1)</f>
        <v>s</v>
      </c>
      <c r="S19" s="492" t="str">
        <f>+MID('Input data'!$F$3,19,1)</f>
        <v>.</v>
      </c>
      <c r="T19" s="492" t="str">
        <f>+MID('Input data'!$F$3,20,1)</f>
        <v>r</v>
      </c>
      <c r="U19" s="492" t="str">
        <f>+MID('Input data'!$F$3,21,1)</f>
        <v>.</v>
      </c>
      <c r="V19" s="492" t="str">
        <f>+MID('Input data'!$F$3,22,1)</f>
        <v>o</v>
      </c>
      <c r="W19" s="492" t="str">
        <f>+MID('Input data'!$F$3,23,1)</f>
        <v>.</v>
      </c>
      <c r="X19" s="492" t="str">
        <f>+MID('Input data'!$F$3,24,1)</f>
        <v/>
      </c>
      <c r="Y19" s="492" t="str">
        <f>+MID('Input data'!$F$3,25,1)</f>
        <v/>
      </c>
      <c r="Z19" s="492" t="str">
        <f>+MID('Input data'!$F$3,26,1)</f>
        <v/>
      </c>
      <c r="AA19" s="492" t="str">
        <f>+MID('Input data'!$F$3,27,1)</f>
        <v/>
      </c>
      <c r="AB19" s="492" t="str">
        <f>+MID('Input data'!$F$3,28,1)</f>
        <v/>
      </c>
      <c r="AC19" s="492" t="str">
        <f>+MID('Input data'!$F$3,29,1)</f>
        <v/>
      </c>
      <c r="AD19" s="492" t="str">
        <f>+MID('Input data'!$F$3,30,1)</f>
        <v/>
      </c>
      <c r="AE19" s="492" t="str">
        <f>+MID('Input data'!$F$3,31,1)</f>
        <v/>
      </c>
      <c r="AF19" s="492" t="str">
        <f>+MID('Input data'!$F$3,32,1)</f>
        <v/>
      </c>
      <c r="AG19" s="492" t="str">
        <f>+MID('Input data'!$F$3,33,1)</f>
        <v/>
      </c>
      <c r="AH19" s="492" t="str">
        <f>+MID('Input data'!$E$3,34,1)</f>
        <v/>
      </c>
      <c r="AI19" s="492" t="str">
        <f>+MID('Input data'!$E$3,35,1)</f>
        <v/>
      </c>
      <c r="AJ19" s="492" t="str">
        <f>+MID('Input data'!$E$3,36,1)</f>
        <v/>
      </c>
      <c r="AK19" s="499" t="str">
        <f>+MID('Input data'!$E$3,37,1)</f>
        <v/>
      </c>
      <c r="AL19" s="513"/>
      <c r="AM19" s="513"/>
    </row>
    <row r="20" spans="1:39" s="582" customFormat="1" ht="19.5" customHeight="1" x14ac:dyDescent="0.25">
      <c r="A20" s="500" t="str">
        <f>+MID('Input data'!$E$3,38,1)</f>
        <v/>
      </c>
      <c r="B20" s="492" t="str">
        <f>+MID('Input data'!$E$3,39,1)</f>
        <v/>
      </c>
      <c r="C20" s="492" t="str">
        <f>+MID('Input data'!$E$3,40,1)</f>
        <v/>
      </c>
      <c r="D20" s="492" t="str">
        <f>+MID('Input data'!$E$3,41,1)</f>
        <v/>
      </c>
      <c r="E20" s="492" t="str">
        <f>+MID('Input data'!$E$3,42,1)</f>
        <v/>
      </c>
      <c r="F20" s="492" t="str">
        <f>+MID('Input data'!$E$3,43,1)</f>
        <v/>
      </c>
      <c r="G20" s="492" t="str">
        <f>+MID('Input data'!$E$3,44,1)</f>
        <v/>
      </c>
      <c r="H20" s="492" t="str">
        <f>+MID('Input data'!$E$3,45,1)</f>
        <v/>
      </c>
      <c r="I20" s="492" t="str">
        <f>+MID('Input data'!$E$3,46,1)</f>
        <v/>
      </c>
      <c r="J20" s="492" t="str">
        <f>+MID('Input data'!$E$3,47,1)</f>
        <v/>
      </c>
      <c r="K20" s="492" t="str">
        <f>+MID('Input data'!$E$3,48,1)</f>
        <v/>
      </c>
      <c r="L20" s="492" t="str">
        <f>+MID('Input data'!$E$3,49,1)</f>
        <v/>
      </c>
      <c r="M20" s="492" t="str">
        <f>+MID('Input data'!$E$3,50,1)</f>
        <v/>
      </c>
      <c r="N20" s="492" t="str">
        <f>+MID('Input data'!$E$3,51,1)</f>
        <v/>
      </c>
      <c r="O20" s="492" t="str">
        <f>+MID('Input data'!$E$3,52,1)</f>
        <v/>
      </c>
      <c r="P20" s="492" t="str">
        <f>+MID('Input data'!$E$3,53,1)</f>
        <v/>
      </c>
      <c r="Q20" s="492" t="str">
        <f>+MID('Input data'!$E$3,54,1)</f>
        <v/>
      </c>
      <c r="R20" s="492" t="str">
        <f>+MID('Input data'!$E$3,55,1)</f>
        <v/>
      </c>
      <c r="S20" s="492" t="str">
        <f>+MID('Input data'!$E$3,56,1)</f>
        <v/>
      </c>
      <c r="T20" s="492" t="str">
        <f>+MID('Input data'!$E$3,57,1)</f>
        <v/>
      </c>
      <c r="U20" s="492" t="str">
        <f>+MID('Input data'!$E$3,58,1)</f>
        <v/>
      </c>
      <c r="V20" s="492" t="str">
        <f>+MID('Input data'!$E$3,59,1)</f>
        <v/>
      </c>
      <c r="W20" s="492" t="str">
        <f>+MID('Input data'!$E$3,60,1)</f>
        <v/>
      </c>
      <c r="X20" s="492" t="str">
        <f>+MID('Input data'!$E$3,61,1)</f>
        <v/>
      </c>
      <c r="Y20" s="492" t="str">
        <f>+MID('Input data'!$E$3,62,1)</f>
        <v/>
      </c>
      <c r="Z20" s="492" t="str">
        <f>+MID('Input data'!$E$3,63,1)</f>
        <v/>
      </c>
      <c r="AA20" s="492" t="str">
        <f>+MID('Input data'!$E$3,64,1)</f>
        <v/>
      </c>
      <c r="AB20" s="492" t="str">
        <f>+MID('Input data'!$E$3,65,1)</f>
        <v/>
      </c>
      <c r="AC20" s="492" t="str">
        <f>+MID('Input data'!$E$3,66,1)</f>
        <v/>
      </c>
      <c r="AD20" s="492" t="str">
        <f>+MID('Input data'!$E$3,67,1)</f>
        <v/>
      </c>
      <c r="AE20" s="492" t="str">
        <f>+MID('Input data'!$E$3,68,1)</f>
        <v/>
      </c>
      <c r="AF20" s="492" t="str">
        <f>+MID('Input data'!$E$3,69,1)</f>
        <v/>
      </c>
      <c r="AG20" s="492" t="str">
        <f>+MID('Input data'!$E$3,70,1)</f>
        <v/>
      </c>
      <c r="AH20" s="492" t="str">
        <f>+MID('Input data'!$E$3,71,1)</f>
        <v/>
      </c>
      <c r="AI20" s="492" t="str">
        <f>+MID('Input data'!$E$3,72,1)</f>
        <v/>
      </c>
      <c r="AJ20" s="492" t="str">
        <f>+MID('Input data'!$E$3,73,1)</f>
        <v/>
      </c>
      <c r="AK20" s="499" t="str">
        <f>+MID('Input data'!$E$3,74,1)</f>
        <v/>
      </c>
    </row>
    <row r="21" spans="1:39" ht="12.75" customHeight="1" x14ac:dyDescent="0.25">
      <c r="A21" s="512"/>
      <c r="B21" s="511"/>
      <c r="C21" s="511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11"/>
      <c r="P21" s="511"/>
      <c r="Q21" s="511"/>
      <c r="R21" s="511"/>
      <c r="S21" s="511"/>
      <c r="T21" s="511"/>
      <c r="U21" s="511"/>
      <c r="V21" s="511"/>
      <c r="W21" s="510"/>
      <c r="X21" s="510"/>
      <c r="Y21" s="510"/>
      <c r="Z21" s="510"/>
      <c r="AA21" s="510"/>
      <c r="AB21" s="510"/>
      <c r="AC21" s="510"/>
      <c r="AD21" s="510"/>
      <c r="AE21" s="510"/>
      <c r="AF21" s="510"/>
      <c r="AG21" s="510"/>
      <c r="AH21" s="510"/>
      <c r="AI21" s="510"/>
      <c r="AJ21" s="510"/>
      <c r="AK21" s="509"/>
    </row>
    <row r="22" spans="1:39" s="583" customFormat="1" ht="19.5" hidden="1" customHeight="1" x14ac:dyDescent="0.25">
      <c r="A22" s="508"/>
      <c r="B22" s="507"/>
      <c r="C22" s="507"/>
      <c r="D22" s="507"/>
      <c r="E22" s="507"/>
      <c r="F22" s="507"/>
      <c r="G22" s="507" t="e">
        <f>+MID('Input data'!#REF!,7,1)</f>
        <v>#REF!</v>
      </c>
      <c r="H22" s="507" t="e">
        <f>+MID('Input data'!#REF!,8,1)</f>
        <v>#REF!</v>
      </c>
      <c r="I22" s="507" t="e">
        <f>+MID('Input data'!#REF!,9,1)</f>
        <v>#REF!</v>
      </c>
      <c r="J22" s="507" t="e">
        <f>+MID('Input data'!#REF!,10,1)</f>
        <v>#REF!</v>
      </c>
      <c r="K22" s="507" t="e">
        <f>+MID('Input data'!#REF!,11,1)</f>
        <v>#REF!</v>
      </c>
      <c r="L22" s="507" t="e">
        <f>+MID('Input data'!#REF!,12,1)</f>
        <v>#REF!</v>
      </c>
      <c r="M22" s="507" t="e">
        <f>+MID('Input data'!#REF!,13,1)</f>
        <v>#REF!</v>
      </c>
      <c r="N22" s="507" t="e">
        <f>+MID('Input data'!#REF!,14,1)</f>
        <v>#REF!</v>
      </c>
      <c r="O22" s="507" t="e">
        <f>+MID('Input data'!#REF!,15,1)</f>
        <v>#REF!</v>
      </c>
      <c r="P22" s="507" t="e">
        <f>+MID('Input data'!#REF!,16,1)</f>
        <v>#REF!</v>
      </c>
      <c r="Q22" s="507" t="e">
        <f>+MID('Input data'!#REF!,17,1)</f>
        <v>#REF!</v>
      </c>
      <c r="R22" s="507" t="e">
        <f>+MID('Input data'!#REF!,18,1)</f>
        <v>#REF!</v>
      </c>
      <c r="S22" s="507" t="e">
        <f>+MID('Input data'!#REF!,19,1)</f>
        <v>#REF!</v>
      </c>
      <c r="T22" s="507" t="e">
        <f>+MID('Input data'!#REF!,20,1)</f>
        <v>#REF!</v>
      </c>
      <c r="U22" s="507" t="e">
        <f>+MID('Input data'!#REF!,21,1)</f>
        <v>#REF!</v>
      </c>
      <c r="V22" s="507" t="e">
        <f>+MID('Input data'!#REF!,22,1)</f>
        <v>#REF!</v>
      </c>
      <c r="W22" s="507" t="e">
        <f>+MID('Input data'!#REF!,23,1)</f>
        <v>#REF!</v>
      </c>
      <c r="X22" s="507" t="e">
        <f>+MID('Input data'!#REF!,24,1)</f>
        <v>#REF!</v>
      </c>
      <c r="Y22" s="507" t="e">
        <f>+MID('Input data'!#REF!,25,1)</f>
        <v>#REF!</v>
      </c>
      <c r="Z22" s="507" t="e">
        <f>+MID('Input data'!#REF!,26,1)</f>
        <v>#REF!</v>
      </c>
      <c r="AA22" s="507" t="e">
        <f>+MID('Input data'!#REF!,27,1)</f>
        <v>#REF!</v>
      </c>
      <c r="AB22" s="507" t="e">
        <f>+MID('Input data'!#REF!,28,1)</f>
        <v>#REF!</v>
      </c>
      <c r="AC22" s="507" t="e">
        <f>+MID('Input data'!#REF!,29,1)</f>
        <v>#REF!</v>
      </c>
      <c r="AD22" s="507" t="e">
        <f>+MID('Input data'!#REF!,30,1)</f>
        <v>#REF!</v>
      </c>
      <c r="AE22" s="507" t="e">
        <f>+MID('Input data'!#REF!,31,1)</f>
        <v>#REF!</v>
      </c>
      <c r="AF22" s="507" t="e">
        <f>+MID('Input data'!#REF!,32,1)</f>
        <v>#REF!</v>
      </c>
      <c r="AG22" s="507" t="e">
        <f>+MID('Input data'!#REF!,33,1)</f>
        <v>#REF!</v>
      </c>
      <c r="AH22" s="507" t="e">
        <f>+MID('Input data'!#REF!,34,1)</f>
        <v>#REF!</v>
      </c>
      <c r="AI22" s="507" t="e">
        <f>+MID('Input data'!#REF!,35,1)</f>
        <v>#REF!</v>
      </c>
      <c r="AJ22" s="507" t="e">
        <f>+MID('Input data'!#REF!,36,1)</f>
        <v>#REF!</v>
      </c>
      <c r="AK22" s="506" t="e">
        <f>+MID('Input data'!#REF!,37,1)</f>
        <v>#REF!</v>
      </c>
      <c r="AL22" s="441"/>
      <c r="AM22" s="441"/>
    </row>
    <row r="23" spans="1:39" s="501" customFormat="1" ht="14.25" customHeight="1" x14ac:dyDescent="0.25">
      <c r="A23" s="505" t="s">
        <v>1169</v>
      </c>
      <c r="B23" s="504"/>
      <c r="C23" s="504"/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504"/>
      <c r="V23" s="504"/>
      <c r="W23" s="503"/>
      <c r="X23" s="503"/>
      <c r="Y23" s="503"/>
      <c r="Z23" s="503"/>
      <c r="AA23" s="503"/>
      <c r="AB23" s="503"/>
      <c r="AC23" s="503"/>
      <c r="AD23" s="503"/>
      <c r="AE23" s="503"/>
      <c r="AF23" s="503"/>
      <c r="AG23" s="503"/>
      <c r="AH23" s="503"/>
      <c r="AI23" s="503"/>
      <c r="AJ23" s="503"/>
      <c r="AK23" s="502"/>
    </row>
    <row r="24" spans="1:39" x14ac:dyDescent="0.25">
      <c r="A24" s="497" t="s">
        <v>1170</v>
      </c>
      <c r="B24" s="455"/>
      <c r="C24" s="455"/>
      <c r="D24" s="455"/>
      <c r="E24" s="455"/>
      <c r="F24" s="455"/>
      <c r="G24" s="455"/>
      <c r="H24" s="455"/>
      <c r="I24" s="455"/>
      <c r="J24" s="455"/>
      <c r="K24" s="455"/>
      <c r="L24" s="455"/>
      <c r="M24" s="455"/>
      <c r="N24" s="455"/>
      <c r="O24" s="455"/>
      <c r="P24" s="455"/>
      <c r="Q24" s="455"/>
      <c r="R24" s="455"/>
      <c r="S24" s="455"/>
      <c r="T24" s="455"/>
      <c r="U24" s="455"/>
      <c r="V24" s="455"/>
      <c r="W24" s="450"/>
      <c r="X24" s="450"/>
      <c r="Y24" s="450"/>
      <c r="Z24" s="450"/>
      <c r="AA24" s="450"/>
      <c r="AB24" s="455"/>
      <c r="AC24" s="450"/>
      <c r="AD24" s="453" t="s">
        <v>1171</v>
      </c>
      <c r="AE24" s="450"/>
      <c r="AF24" s="450"/>
      <c r="AG24" s="450"/>
      <c r="AH24" s="450"/>
      <c r="AI24" s="450"/>
      <c r="AJ24" s="450"/>
      <c r="AK24" s="449"/>
    </row>
    <row r="25" spans="1:39" s="582" customFormat="1" ht="19.5" customHeight="1" x14ac:dyDescent="0.25">
      <c r="A25" s="500" t="str">
        <f>+LEFT('Input data'!$C$28,1)</f>
        <v>T</v>
      </c>
      <c r="B25" s="492" t="str">
        <f>+MID('Input data'!$C$28,2,1)</f>
        <v>e</v>
      </c>
      <c r="C25" s="492" t="str">
        <f>+MID('Input data'!$C$28,3,1)</f>
        <v>s</v>
      </c>
      <c r="D25" s="492" t="str">
        <f>+MID('Input data'!$C$28,4,1)</f>
        <v>l</v>
      </c>
      <c r="E25" s="492" t="str">
        <f>+MID('Input data'!$C$28,5,1)</f>
        <v>o</v>
      </c>
      <c r="F25" s="492" t="str">
        <f>+MID('Input data'!$C$28,6,1)</f>
        <v>v</v>
      </c>
      <c r="G25" s="492" t="str">
        <f>+MID('Input data'!$C$28,7,1)</f>
        <v>a</v>
      </c>
      <c r="H25" s="492" t="str">
        <f>+MID('Input data'!$C$28,8,1)</f>
        <v/>
      </c>
      <c r="I25" s="492" t="str">
        <f>+MID('Input data'!$C$28,9,1)</f>
        <v/>
      </c>
      <c r="J25" s="492" t="str">
        <f>+MID('Input data'!$C$28,10,1)</f>
        <v/>
      </c>
      <c r="K25" s="492" t="str">
        <f>+MID('Input data'!$C$28,11,1)</f>
        <v/>
      </c>
      <c r="L25" s="492" t="str">
        <f>+MID('Input data'!$C$28,12,1)</f>
        <v/>
      </c>
      <c r="M25" s="492" t="str">
        <f>+MID('Input data'!$C$28,13,1)</f>
        <v/>
      </c>
      <c r="N25" s="492" t="str">
        <f>+MID('Input data'!$C$28,14,1)</f>
        <v/>
      </c>
      <c r="O25" s="492" t="str">
        <f>+MID('Input data'!$C$28,15,1)</f>
        <v/>
      </c>
      <c r="P25" s="492" t="str">
        <f>+MID('Input data'!$C$28,16,1)</f>
        <v/>
      </c>
      <c r="Q25" s="492" t="str">
        <f>+MID('Input data'!$C$28,17,1)</f>
        <v/>
      </c>
      <c r="R25" s="492" t="str">
        <f>+MID('Input data'!$C$28,18,1)</f>
        <v/>
      </c>
      <c r="S25" s="492" t="str">
        <f>+MID('Input data'!$C$28,19,1)</f>
        <v/>
      </c>
      <c r="T25" s="492" t="str">
        <f>+MID('Input data'!$C$28,20,1)</f>
        <v/>
      </c>
      <c r="U25" s="492" t="str">
        <f>+MID('Input data'!$C$28,21,1)</f>
        <v/>
      </c>
      <c r="V25" s="492" t="str">
        <f>+MID('Input data'!$C$28,22,1)</f>
        <v/>
      </c>
      <c r="W25" s="492" t="str">
        <f>+MID('Input data'!$C$28,23,1)</f>
        <v/>
      </c>
      <c r="X25" s="492" t="str">
        <f>+MID('Input data'!$C$28,24,1)</f>
        <v/>
      </c>
      <c r="Y25" s="492" t="str">
        <f>+MID('Input data'!$C$28,25,1)</f>
        <v/>
      </c>
      <c r="Z25" s="492" t="str">
        <f>+MID('Input data'!$C$28,26,1)</f>
        <v/>
      </c>
      <c r="AA25" s="492" t="str">
        <f>+MID('Input data'!$C$28,27,1)</f>
        <v/>
      </c>
      <c r="AB25" s="492" t="str">
        <f>+MID('Input data'!$C$28,28,1)</f>
        <v/>
      </c>
      <c r="AC25" s="494"/>
      <c r="AD25" s="492" t="str">
        <f>+LEFT('Input data'!$C$30,1)</f>
        <v>2</v>
      </c>
      <c r="AE25" s="492" t="str">
        <f>+MID('Input data'!$C$30,2,1)</f>
        <v>0</v>
      </c>
      <c r="AF25" s="492" t="str">
        <f>+MID('Input data'!$C$30,3,1)</f>
        <v/>
      </c>
      <c r="AG25" s="492" t="str">
        <f>+MID('Input data'!$C$30,4,1)</f>
        <v/>
      </c>
      <c r="AH25" s="492" t="str">
        <f>+MID('Input data'!$C$30,5,1)</f>
        <v/>
      </c>
      <c r="AI25" s="492" t="str">
        <f>+MID('Input data'!$C$30,6,1)</f>
        <v/>
      </c>
      <c r="AJ25" s="492" t="str">
        <f>+MID('Input data'!$C$30,7,1)</f>
        <v/>
      </c>
      <c r="AK25" s="499" t="str">
        <f>+MID('Input data'!$C$30,8,1)</f>
        <v/>
      </c>
    </row>
    <row r="26" spans="1:39" x14ac:dyDescent="0.25">
      <c r="A26" s="497" t="s">
        <v>1172</v>
      </c>
      <c r="B26" s="455"/>
      <c r="C26" s="455"/>
      <c r="D26" s="455"/>
      <c r="E26" s="455"/>
      <c r="F26" s="455"/>
      <c r="G26" s="496" t="s">
        <v>1173</v>
      </c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49"/>
    </row>
    <row r="27" spans="1:39" s="582" customFormat="1" ht="19.5" customHeight="1" x14ac:dyDescent="0.25">
      <c r="A27" s="500" t="str">
        <f>+LEFT('Input data'!$C$32,1)</f>
        <v>8</v>
      </c>
      <c r="B27" s="492" t="str">
        <f>+MID('Input data'!$C$32,2,1)</f>
        <v>2</v>
      </c>
      <c r="C27" s="492" t="str">
        <f>+MID('Input data'!$C$32,3,1)</f>
        <v>1</v>
      </c>
      <c r="D27" s="492" t="str">
        <f>+MID('Input data'!$C$32,4,1)</f>
        <v>0</v>
      </c>
      <c r="E27" s="492" t="str">
        <f>+MID('Input data'!$C$32,5,1)</f>
        <v>2</v>
      </c>
      <c r="F27" s="492"/>
      <c r="G27" s="492" t="str">
        <f>+LEFT('Input data'!$C$34,1)</f>
        <v>B</v>
      </c>
      <c r="H27" s="492" t="str">
        <f>+MID('Input data'!$C$34,2,1)</f>
        <v>r</v>
      </c>
      <c r="I27" s="492" t="str">
        <f>+MID('Input data'!$C$34,3,1)</f>
        <v>a</v>
      </c>
      <c r="J27" s="492" t="str">
        <f>+MID('Input data'!$C$34,4,1)</f>
        <v>t</v>
      </c>
      <c r="K27" s="492" t="str">
        <f>+MID('Input data'!$C$34,5,1)</f>
        <v>u</v>
      </c>
      <c r="L27" s="492" t="str">
        <f>+MID('Input data'!$C$34,6,1)</f>
        <v>s</v>
      </c>
      <c r="M27" s="492" t="str">
        <f>+MID('Input data'!$C$34,7,1)</f>
        <v>l</v>
      </c>
      <c r="N27" s="492" t="str">
        <f>+MID('Input data'!$C$34,8,1)</f>
        <v>a</v>
      </c>
      <c r="O27" s="492" t="str">
        <f>+MID('Input data'!$C$34,9,1)</f>
        <v>v</v>
      </c>
      <c r="P27" s="492" t="str">
        <f>+MID('Input data'!$C$34,10,1)</f>
        <v>a</v>
      </c>
      <c r="Q27" s="492" t="str">
        <f>+MID('Input data'!$C$34,11,1)</f>
        <v/>
      </c>
      <c r="R27" s="492" t="str">
        <f>+MID('Input data'!$C$34,12,1)</f>
        <v/>
      </c>
      <c r="S27" s="492" t="str">
        <f>+MID('Input data'!$C$34,13,1)</f>
        <v/>
      </c>
      <c r="T27" s="492" t="str">
        <f>+MID('Input data'!$C$34,14,1)</f>
        <v/>
      </c>
      <c r="U27" s="492" t="str">
        <f>+MID('Input data'!$C$34,15,1)</f>
        <v/>
      </c>
      <c r="V27" s="492" t="str">
        <f>+MID('Input data'!$C$34,16,1)</f>
        <v/>
      </c>
      <c r="W27" s="492" t="str">
        <f>+MID('Input data'!$C$34,17,1)</f>
        <v/>
      </c>
      <c r="X27" s="492" t="str">
        <f>+MID('Input data'!$C$34,18,1)</f>
        <v/>
      </c>
      <c r="Y27" s="492" t="str">
        <f>+MID('Input data'!$C$34,19,1)</f>
        <v/>
      </c>
      <c r="Z27" s="492" t="str">
        <f>+MID('Input data'!$C$34,20,1)</f>
        <v/>
      </c>
      <c r="AA27" s="492" t="str">
        <f>+MID('Input data'!$C$34,21,1)</f>
        <v/>
      </c>
      <c r="AB27" s="492" t="str">
        <f>+MID('Input data'!$C$34,22,1)</f>
        <v/>
      </c>
      <c r="AC27" s="492" t="str">
        <f>+MID('Input data'!$C$34,23,1)</f>
        <v/>
      </c>
      <c r="AD27" s="492" t="str">
        <f>+MID('Input data'!$C$34,24,1)</f>
        <v/>
      </c>
      <c r="AE27" s="492" t="str">
        <f>+MID('Input data'!$C$34,25,1)</f>
        <v/>
      </c>
      <c r="AF27" s="492" t="str">
        <f>+MID('Input data'!$C$34,26,1)</f>
        <v/>
      </c>
      <c r="AG27" s="492" t="str">
        <f>+MID('Input data'!$C$34,27,1)</f>
        <v/>
      </c>
      <c r="AH27" s="492" t="str">
        <f>+MID('Input data'!$C$34,28,1)</f>
        <v/>
      </c>
      <c r="AI27" s="492" t="str">
        <f>+MID('Input data'!$C$34,29,1)</f>
        <v/>
      </c>
      <c r="AJ27" s="492" t="str">
        <f>+MID('Input data'!$C$34,30,1)</f>
        <v/>
      </c>
      <c r="AK27" s="499" t="str">
        <f>+MID('Input data'!$C$34,31,1)</f>
        <v/>
      </c>
    </row>
    <row r="28" spans="1:39" x14ac:dyDescent="0.25">
      <c r="A28" s="497" t="s">
        <v>1174</v>
      </c>
      <c r="B28" s="455"/>
      <c r="C28" s="455"/>
      <c r="D28" s="455"/>
      <c r="E28" s="455"/>
      <c r="F28" s="455"/>
      <c r="G28" s="496"/>
      <c r="H28" s="496"/>
      <c r="I28" s="496"/>
      <c r="J28" s="496"/>
      <c r="K28" s="496"/>
      <c r="L28" s="496"/>
      <c r="M28" s="496"/>
      <c r="N28" s="455"/>
      <c r="O28" s="496" t="s">
        <v>1175</v>
      </c>
      <c r="P28" s="496"/>
      <c r="Q28" s="496"/>
      <c r="R28" s="496"/>
      <c r="S28" s="496"/>
      <c r="T28" s="496"/>
      <c r="U28" s="496"/>
      <c r="V28" s="496"/>
      <c r="W28" s="496"/>
      <c r="X28" s="496"/>
      <c r="Y28" s="496"/>
      <c r="Z28" s="496"/>
      <c r="AA28" s="496"/>
      <c r="AB28" s="496"/>
      <c r="AC28" s="496"/>
      <c r="AD28" s="496"/>
      <c r="AE28" s="450"/>
      <c r="AF28" s="450"/>
      <c r="AG28" s="450"/>
      <c r="AH28" s="450"/>
      <c r="AI28" s="450"/>
      <c r="AJ28" s="450"/>
      <c r="AK28" s="449"/>
    </row>
    <row r="29" spans="1:39" s="582" customFormat="1" ht="19.5" customHeight="1" x14ac:dyDescent="0.25">
      <c r="A29" s="495">
        <v>0</v>
      </c>
      <c r="B29" s="492" t="str">
        <f>+LEFT('Input data'!$C$36,1)</f>
        <v>2</v>
      </c>
      <c r="C29" s="492" t="str">
        <f>+MID('Input data'!$C$36,2,1)</f>
        <v/>
      </c>
      <c r="D29" s="492" t="str">
        <f>+MID('Input data'!$C$36,3,1)</f>
        <v/>
      </c>
      <c r="E29" s="492" t="s">
        <v>1176</v>
      </c>
      <c r="F29" s="492" t="str">
        <f>+LEFT('Input data'!$C$38,1)</f>
        <v>4</v>
      </c>
      <c r="G29" s="492" t="str">
        <f>+MID('Input data'!$C$38,2,1)</f>
        <v>9</v>
      </c>
      <c r="H29" s="492" t="str">
        <f>+MID('Input data'!$C$38,3,1)</f>
        <v>3</v>
      </c>
      <c r="I29" s="492" t="str">
        <f>+MID('Input data'!$C$38,4,1)</f>
        <v>0</v>
      </c>
      <c r="J29" s="492" t="str">
        <f>+MID('Input data'!$C$38,5,1)</f>
        <v>0</v>
      </c>
      <c r="K29" s="492" t="str">
        <f>+MID('Input data'!$C$38,6,1)</f>
        <v>5</v>
      </c>
      <c r="L29" s="492" t="str">
        <f>+MID('Input data'!$C$38,7,1)</f>
        <v>1</v>
      </c>
      <c r="M29" s="492" t="str">
        <f>+MID('Input data'!$C$38,8,1)</f>
        <v>3</v>
      </c>
      <c r="N29" s="494"/>
      <c r="O29" s="493">
        <v>0</v>
      </c>
      <c r="P29" s="492" t="str">
        <f>+LEFT('Input data'!$C$36,1)</f>
        <v>2</v>
      </c>
      <c r="Q29" s="492" t="str">
        <f>+MID('Input data'!$C$36,2,1)</f>
        <v/>
      </c>
      <c r="R29" s="492" t="str">
        <f>+MID('Input data'!$C$36,3,1)</f>
        <v/>
      </c>
      <c r="S29" s="492" t="s">
        <v>1176</v>
      </c>
      <c r="T29" s="492" t="str">
        <f>+LEFT('Input data'!$C$40,1)</f>
        <v>4</v>
      </c>
      <c r="U29" s="492" t="str">
        <f>+MID('Input data'!$C$40,2,1)</f>
        <v>9</v>
      </c>
      <c r="V29" s="492" t="str">
        <f>+MID('Input data'!$C$40,3,1)</f>
        <v>3</v>
      </c>
      <c r="W29" s="492" t="str">
        <f>+MID('Input data'!$C$40,4,1)</f>
        <v>0</v>
      </c>
      <c r="X29" s="492" t="str">
        <f>+MID('Input data'!$C$40,5,1)</f>
        <v>0</v>
      </c>
      <c r="Y29" s="492" t="str">
        <f>+MID('Input data'!$C$40,6,1)</f>
        <v>5</v>
      </c>
      <c r="Z29" s="492" t="str">
        <f>+MID('Input data'!$C$40,7,1)</f>
        <v>5</v>
      </c>
      <c r="AA29" s="492" t="str">
        <f>+MID('Input data'!$C$40,8,1)</f>
        <v>0</v>
      </c>
      <c r="AB29" s="492"/>
      <c r="AC29" s="492"/>
      <c r="AD29" s="492"/>
      <c r="AE29" s="450"/>
      <c r="AF29" s="450"/>
      <c r="AG29" s="450"/>
      <c r="AH29" s="450"/>
      <c r="AI29" s="450"/>
      <c r="AJ29" s="450"/>
      <c r="AK29" s="449"/>
    </row>
    <row r="30" spans="1:39" s="442" customFormat="1" x14ac:dyDescent="0.25">
      <c r="A30" s="454" t="s">
        <v>1178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453"/>
      <c r="S30" s="453"/>
      <c r="T30" s="453"/>
      <c r="U30" s="453"/>
      <c r="V30" s="453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49"/>
    </row>
    <row r="31" spans="1:39" s="582" customFormat="1" ht="19.5" customHeight="1" thickBot="1" x14ac:dyDescent="0.3">
      <c r="A31" s="491" t="str">
        <f>+LEFT('Input data'!$B$42,1)</f>
        <v/>
      </c>
      <c r="B31" s="490" t="str">
        <f>+MID('Input data'!$B$42,2,1)</f>
        <v/>
      </c>
      <c r="C31" s="490" t="str">
        <f>+MID('Input data'!$B$42,3,1)</f>
        <v/>
      </c>
      <c r="D31" s="490" t="str">
        <f>+MID('Input data'!$B$42,4,1)</f>
        <v/>
      </c>
      <c r="E31" s="490" t="str">
        <f>+MID('Input data'!$B$42,5,1)</f>
        <v/>
      </c>
      <c r="F31" s="490" t="str">
        <f>+MID('Input data'!$B$42,6,1)</f>
        <v/>
      </c>
      <c r="G31" s="490" t="str">
        <f>+MID('Input data'!$B$42,7,1)</f>
        <v/>
      </c>
      <c r="H31" s="490" t="str">
        <f>+MID('Input data'!$B$42,8,1)</f>
        <v/>
      </c>
      <c r="I31" s="490" t="str">
        <f>+MID('Input data'!$B$42,9,1)</f>
        <v/>
      </c>
      <c r="J31" s="490" t="str">
        <f>+MID('Input data'!$B$42,10,1)</f>
        <v/>
      </c>
      <c r="K31" s="490" t="str">
        <f>+MID('Input data'!$B$42,11,1)</f>
        <v/>
      </c>
      <c r="L31" s="490" t="str">
        <f>+MID('Input data'!$B$42,12,1)</f>
        <v/>
      </c>
      <c r="M31" s="490" t="str">
        <f>+MID('Input data'!$B$42,13,1)</f>
        <v/>
      </c>
      <c r="N31" s="490" t="str">
        <f>+MID('Input data'!$B$42,14,1)</f>
        <v/>
      </c>
      <c r="O31" s="490" t="str">
        <f>+MID('Input data'!$B$42,15,1)</f>
        <v/>
      </c>
      <c r="P31" s="490" t="str">
        <f>+MID('Input data'!$B$42,16,1)</f>
        <v/>
      </c>
      <c r="Q31" s="490" t="str">
        <f>+MID('Input data'!$B$42,17,1)</f>
        <v/>
      </c>
      <c r="R31" s="490" t="str">
        <f>+MID('Input data'!$B$42,18,1)</f>
        <v/>
      </c>
      <c r="S31" s="490" t="str">
        <f>+MID('Input data'!$B$42,19,1)</f>
        <v/>
      </c>
      <c r="T31" s="490" t="str">
        <f>+MID('Input data'!$B$42,20,1)</f>
        <v/>
      </c>
      <c r="U31" s="490" t="str">
        <f>+MID('Input data'!$B$42,21,1)</f>
        <v/>
      </c>
      <c r="V31" s="490" t="str">
        <f>+MID('Input data'!$B$42,22,1)</f>
        <v/>
      </c>
      <c r="W31" s="490" t="str">
        <f>+MID('Input data'!$B$42,23,1)</f>
        <v/>
      </c>
      <c r="X31" s="490" t="str">
        <f>+MID('Input data'!$B$42,24,1)</f>
        <v/>
      </c>
      <c r="Y31" s="490" t="str">
        <f>+MID('Input data'!$B$42,25,1)</f>
        <v/>
      </c>
      <c r="Z31" s="490" t="str">
        <f>+MID('Input data'!$B$42,26,1)</f>
        <v/>
      </c>
      <c r="AA31" s="490" t="str">
        <f>+MID('Input data'!$B$42,27,1)</f>
        <v/>
      </c>
      <c r="AB31" s="490" t="str">
        <f>+MID('Input data'!$B$42,28,1)</f>
        <v/>
      </c>
      <c r="AC31" s="490" t="str">
        <f>+MID('Input data'!$B$42,29,1)</f>
        <v/>
      </c>
      <c r="AD31" s="490" t="str">
        <f>+MID('Input data'!$B$42,30,1)</f>
        <v/>
      </c>
      <c r="AE31" s="490" t="str">
        <f>+MID('Input data'!$B$42,31,1)</f>
        <v/>
      </c>
      <c r="AF31" s="490" t="str">
        <f>+MID('Input data'!$B$42,32,1)</f>
        <v/>
      </c>
      <c r="AG31" s="490" t="str">
        <f>+MID('Input data'!$B$42,33,1)</f>
        <v/>
      </c>
      <c r="AH31" s="490" t="str">
        <f>+MID('Input data'!$B$42,34,1)</f>
        <v/>
      </c>
      <c r="AI31" s="490" t="str">
        <f>+MID('Input data'!$B$42,35,1)</f>
        <v/>
      </c>
      <c r="AJ31" s="490" t="str">
        <f>+MID('Input data'!$B$42,36,1)</f>
        <v/>
      </c>
      <c r="AK31" s="489" t="str">
        <f>+MID('Input data'!$B$42,37,1)</f>
        <v/>
      </c>
    </row>
    <row r="32" spans="1:39" s="442" customFormat="1" ht="4.5" customHeight="1" thickBot="1" x14ac:dyDescent="0.3">
      <c r="W32" s="443"/>
      <c r="X32" s="443"/>
      <c r="Y32" s="443"/>
      <c r="Z32" s="443"/>
      <c r="AA32" s="443"/>
      <c r="AB32" s="443"/>
      <c r="AC32" s="443"/>
      <c r="AD32" s="443"/>
      <c r="AE32" s="443"/>
      <c r="AF32" s="443"/>
      <c r="AG32" s="443"/>
      <c r="AH32" s="443"/>
      <c r="AI32" s="443"/>
      <c r="AJ32" s="443"/>
      <c r="AK32" s="443"/>
    </row>
    <row r="33" spans="1:41" s="485" customFormat="1" ht="12.75" customHeight="1" x14ac:dyDescent="0.25">
      <c r="A33" s="488" t="s">
        <v>1179</v>
      </c>
      <c r="B33" s="487"/>
      <c r="C33" s="487"/>
      <c r="D33" s="487"/>
      <c r="E33" s="487"/>
      <c r="F33" s="487"/>
      <c r="G33" s="487"/>
      <c r="H33" s="487"/>
      <c r="I33" s="487"/>
      <c r="J33" s="487"/>
      <c r="K33" s="486"/>
      <c r="L33" s="1404" t="s">
        <v>1182</v>
      </c>
      <c r="M33" s="1405"/>
      <c r="N33" s="1405"/>
      <c r="O33" s="1405"/>
      <c r="P33" s="1405"/>
      <c r="Q33" s="1405"/>
      <c r="R33" s="1405"/>
      <c r="S33" s="1405"/>
      <c r="T33" s="1410"/>
      <c r="U33" s="991" t="s">
        <v>1181</v>
      </c>
      <c r="V33" s="991"/>
      <c r="W33" s="991"/>
      <c r="X33" s="991"/>
      <c r="Y33" s="991"/>
      <c r="Z33" s="991"/>
      <c r="AA33" s="991"/>
      <c r="AB33" s="992"/>
      <c r="AC33" s="1404" t="s">
        <v>1180</v>
      </c>
      <c r="AD33" s="1405"/>
      <c r="AE33" s="1405"/>
      <c r="AF33" s="1405"/>
      <c r="AG33" s="1405"/>
      <c r="AH33" s="1405"/>
      <c r="AI33" s="1405"/>
      <c r="AJ33" s="1405"/>
      <c r="AK33" s="1406"/>
    </row>
    <row r="34" spans="1:41" s="442" customFormat="1" ht="19.5" customHeight="1" x14ac:dyDescent="0.25">
      <c r="A34" s="471" t="str">
        <f>LEFT(TEXT('Input data'!F25,"dd.m.yyyy"),1)</f>
        <v>1</v>
      </c>
      <c r="B34" s="470" t="str">
        <f>MID(TEXT('Input data'!$F$25,"dd.mm.yyyy"),2,1)</f>
        <v>3</v>
      </c>
      <c r="C34" s="469" t="s">
        <v>1147</v>
      </c>
      <c r="D34" s="470" t="str">
        <f>MID(TEXT('Input data'!$F$25,"dd.mm.yyyy"),4,1)</f>
        <v>0</v>
      </c>
      <c r="E34" s="470" t="str">
        <f>MID(TEXT('Input data'!$F$25,"dd.mm.yyyy"),5,1)</f>
        <v>6</v>
      </c>
      <c r="F34" s="469" t="s">
        <v>1147</v>
      </c>
      <c r="G34" s="468" t="str">
        <f>MID(TEXT('Input data'!$F$25,"dd.mm.yyyy"),7,1)</f>
        <v>2</v>
      </c>
      <c r="H34" s="468" t="str">
        <f>MID(TEXT('Input data'!$F$25,"dd.mm.yyyy"),8,1)</f>
        <v>0</v>
      </c>
      <c r="I34" s="468" t="str">
        <f>MID(TEXT('Input data'!$F$25,"dd.mm.yyyy"),9,1)</f>
        <v>1</v>
      </c>
      <c r="J34" s="468" t="str">
        <f>MID(TEXT('Input data'!$F$25,"dd.mm.yyyy"),10,1)</f>
        <v>4</v>
      </c>
      <c r="K34" s="484"/>
      <c r="L34" s="1407"/>
      <c r="M34" s="1408"/>
      <c r="N34" s="1408"/>
      <c r="O34" s="1408"/>
      <c r="P34" s="1408"/>
      <c r="Q34" s="1408"/>
      <c r="R34" s="1408"/>
      <c r="S34" s="1408"/>
      <c r="T34" s="1411"/>
      <c r="U34" s="994"/>
      <c r="V34" s="994"/>
      <c r="W34" s="994"/>
      <c r="X34" s="994"/>
      <c r="Y34" s="994"/>
      <c r="Z34" s="994"/>
      <c r="AA34" s="994"/>
      <c r="AB34" s="995"/>
      <c r="AC34" s="1407"/>
      <c r="AD34" s="1408"/>
      <c r="AE34" s="1408"/>
      <c r="AF34" s="1408"/>
      <c r="AG34" s="1408"/>
      <c r="AH34" s="1408"/>
      <c r="AI34" s="1408"/>
      <c r="AJ34" s="1408"/>
      <c r="AK34" s="1409"/>
      <c r="AO34" s="581"/>
    </row>
    <row r="35" spans="1:41" s="442" customFormat="1" ht="13.5" customHeight="1" x14ac:dyDescent="0.25">
      <c r="A35" s="483"/>
      <c r="B35" s="482"/>
      <c r="C35" s="482"/>
      <c r="D35" s="482"/>
      <c r="E35" s="482"/>
      <c r="F35" s="482"/>
      <c r="G35" s="481"/>
      <c r="H35" s="481"/>
      <c r="I35" s="481"/>
      <c r="J35" s="481"/>
      <c r="K35" s="480"/>
      <c r="L35" s="1407"/>
      <c r="M35" s="1408"/>
      <c r="N35" s="1408"/>
      <c r="O35" s="1408"/>
      <c r="P35" s="1408"/>
      <c r="Q35" s="1408"/>
      <c r="R35" s="1408"/>
      <c r="S35" s="1408"/>
      <c r="T35" s="1411"/>
      <c r="U35" s="994"/>
      <c r="V35" s="994"/>
      <c r="W35" s="994"/>
      <c r="X35" s="994"/>
      <c r="Y35" s="994"/>
      <c r="Z35" s="994"/>
      <c r="AA35" s="994"/>
      <c r="AB35" s="995"/>
      <c r="AC35" s="1407"/>
      <c r="AD35" s="1408"/>
      <c r="AE35" s="1408"/>
      <c r="AF35" s="1408"/>
      <c r="AG35" s="1408"/>
      <c r="AH35" s="1408"/>
      <c r="AI35" s="1408"/>
      <c r="AJ35" s="1408"/>
      <c r="AK35" s="1409"/>
    </row>
    <row r="36" spans="1:41" s="442" customFormat="1" x14ac:dyDescent="0.2">
      <c r="A36" s="454" t="s">
        <v>1183</v>
      </c>
      <c r="B36" s="453"/>
      <c r="C36" s="453"/>
      <c r="D36" s="453"/>
      <c r="E36" s="453"/>
      <c r="F36" s="453"/>
      <c r="G36" s="479"/>
      <c r="H36" s="479"/>
      <c r="I36" s="479"/>
      <c r="J36" s="479"/>
      <c r="K36" s="478"/>
      <c r="L36" s="477"/>
      <c r="M36" s="477"/>
      <c r="N36" s="477"/>
      <c r="O36" s="477"/>
      <c r="P36" s="477"/>
      <c r="Q36" s="477"/>
      <c r="R36" s="477"/>
      <c r="S36" s="453"/>
      <c r="T36" s="475"/>
      <c r="U36" s="476"/>
      <c r="V36" s="476"/>
      <c r="W36" s="476"/>
      <c r="X36" s="476"/>
      <c r="Y36" s="476"/>
      <c r="Z36" s="450"/>
      <c r="AA36" s="476"/>
      <c r="AB36" s="475"/>
      <c r="AC36" s="474"/>
      <c r="AD36" s="473"/>
      <c r="AE36" s="473"/>
      <c r="AF36" s="473"/>
      <c r="AG36" s="473"/>
      <c r="AH36" s="473"/>
      <c r="AI36" s="473"/>
      <c r="AJ36" s="473"/>
      <c r="AK36" s="472"/>
    </row>
    <row r="37" spans="1:41" s="442" customFormat="1" ht="19.5" customHeight="1" x14ac:dyDescent="0.25">
      <c r="A37" s="471" t="str">
        <f>IF('Input data'!$F$27="","",LEFT(TEXT('Input data'!$F$27,"dd.mm.yyyy"),1))</f>
        <v/>
      </c>
      <c r="B37" s="470" t="str">
        <f>IF('Input data'!$F$27="","",MID(TEXT('Input data'!$F$27,"dd.mm.yyyy"),2,1))</f>
        <v/>
      </c>
      <c r="C37" s="469" t="s">
        <v>1147</v>
      </c>
      <c r="D37" s="470" t="str">
        <f>IF('Input data'!$F$27="","",MID(TEXT('Input data'!$F$27,"dd.mm.yyyy"),4,1))</f>
        <v/>
      </c>
      <c r="E37" s="470" t="str">
        <f>IF('Input data'!$F$27="","",MID(TEXT('Input data'!$F$27,"dd.mm.yyyy"),5,1))</f>
        <v/>
      </c>
      <c r="F37" s="469" t="s">
        <v>1147</v>
      </c>
      <c r="G37" s="468" t="str">
        <f>IF('Input data'!$F$27="","",MID(TEXT('Input data'!$F$27,"dd.mm.yyyy"),7,1))</f>
        <v/>
      </c>
      <c r="H37" s="468" t="str">
        <f>IF('Input data'!$F$27="","",MID(TEXT('Input data'!$F$27,"dd.mm.yyyy"),8,1))</f>
        <v/>
      </c>
      <c r="I37" s="468" t="str">
        <f>IF('Input data'!$F$27="","",MID(TEXT('Input data'!$F$27,"dd.mm.yyyy"),9,1))</f>
        <v/>
      </c>
      <c r="J37" s="468" t="str">
        <f>IF('Input data'!$F$27="","",MID(TEXT('Input data'!$F$27,"dd.mm.yyyy"),10,1))</f>
        <v/>
      </c>
      <c r="K37" s="467"/>
      <c r="L37" s="453"/>
      <c r="M37" s="453"/>
      <c r="N37" s="453"/>
      <c r="O37" s="453"/>
      <c r="P37" s="453"/>
      <c r="Q37" s="453"/>
      <c r="R37" s="453"/>
      <c r="S37" s="453"/>
      <c r="T37" s="580"/>
      <c r="U37" s="453"/>
      <c r="V37" s="450"/>
      <c r="W37" s="450"/>
      <c r="X37" s="450"/>
      <c r="Y37" s="450"/>
      <c r="Z37" s="450"/>
      <c r="AA37" s="450"/>
      <c r="AB37" s="579"/>
      <c r="AC37" s="450"/>
      <c r="AD37" s="450"/>
      <c r="AE37" s="450"/>
      <c r="AF37" s="450"/>
      <c r="AG37" s="450"/>
      <c r="AH37" s="450"/>
      <c r="AI37" s="450"/>
      <c r="AJ37" s="450"/>
      <c r="AK37" s="449"/>
    </row>
    <row r="38" spans="1:41" s="448" customFormat="1" thickBot="1" x14ac:dyDescent="0.3">
      <c r="A38" s="463"/>
      <c r="B38" s="462"/>
      <c r="C38" s="462"/>
      <c r="D38" s="462"/>
      <c r="E38" s="462"/>
      <c r="F38" s="462"/>
      <c r="G38" s="462"/>
      <c r="H38" s="462"/>
      <c r="I38" s="462"/>
      <c r="J38" s="462"/>
      <c r="K38" s="461"/>
      <c r="L38" s="998">
        <f>'Input data'!F31</f>
        <v>0</v>
      </c>
      <c r="M38" s="999"/>
      <c r="N38" s="999"/>
      <c r="O38" s="999"/>
      <c r="P38" s="999"/>
      <c r="Q38" s="999"/>
      <c r="R38" s="999"/>
      <c r="S38" s="999"/>
      <c r="T38" s="1000"/>
      <c r="U38" s="998">
        <f>'Input data'!F35</f>
        <v>0</v>
      </c>
      <c r="V38" s="999"/>
      <c r="W38" s="999"/>
      <c r="X38" s="999"/>
      <c r="Y38" s="999"/>
      <c r="Z38" s="999"/>
      <c r="AA38" s="999"/>
      <c r="AB38" s="1000"/>
      <c r="AC38" s="1001">
        <f>'Input data'!F39</f>
        <v>0</v>
      </c>
      <c r="AD38" s="999"/>
      <c r="AE38" s="999"/>
      <c r="AF38" s="999"/>
      <c r="AG38" s="999"/>
      <c r="AH38" s="999"/>
      <c r="AI38" s="999"/>
      <c r="AJ38" s="999"/>
      <c r="AK38" s="1002"/>
    </row>
    <row r="39" spans="1:41" s="448" customFormat="1" x14ac:dyDescent="0.25"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</row>
    <row r="40" spans="1:41" s="448" customFormat="1" x14ac:dyDescent="0.25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41" s="448" customFormat="1" x14ac:dyDescent="0.25"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</row>
    <row r="42" spans="1:41" ht="13.5" thickBot="1" x14ac:dyDescent="0.3">
      <c r="W42" s="443"/>
      <c r="X42" s="443"/>
      <c r="Y42" s="443"/>
      <c r="Z42" s="443"/>
      <c r="AA42" s="443"/>
      <c r="AB42" s="443"/>
      <c r="AC42" s="443"/>
      <c r="AD42" s="443"/>
      <c r="AE42" s="443"/>
      <c r="AF42" s="443"/>
      <c r="AG42" s="443"/>
      <c r="AH42" s="443"/>
      <c r="AI42" s="443"/>
      <c r="AJ42" s="443"/>
      <c r="AK42" s="443"/>
    </row>
    <row r="43" spans="1:41" s="448" customFormat="1" x14ac:dyDescent="0.25">
      <c r="B43" s="460" t="s">
        <v>1184</v>
      </c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8"/>
      <c r="X43" s="458"/>
      <c r="Y43" s="458"/>
      <c r="Z43" s="458"/>
      <c r="AA43" s="458"/>
      <c r="AB43" s="458"/>
      <c r="AC43" s="458"/>
      <c r="AD43" s="458"/>
      <c r="AE43" s="458"/>
      <c r="AF43" s="458"/>
      <c r="AG43" s="458"/>
      <c r="AH43" s="458"/>
      <c r="AI43" s="458"/>
      <c r="AJ43" s="457"/>
      <c r="AK43" s="443"/>
    </row>
    <row r="44" spans="1:41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41" x14ac:dyDescent="0.25">
      <c r="B45" s="456"/>
      <c r="C45" s="455"/>
      <c r="D45" s="455"/>
      <c r="E45" s="455"/>
      <c r="F45" s="455"/>
      <c r="G45" s="455"/>
      <c r="H45" s="455"/>
      <c r="I45" s="455"/>
      <c r="J45" s="455"/>
      <c r="K45" s="455"/>
      <c r="L45" s="455"/>
      <c r="M45" s="455"/>
      <c r="N45" s="455"/>
      <c r="O45" s="455"/>
      <c r="P45" s="455"/>
      <c r="Q45" s="455"/>
      <c r="R45" s="455"/>
      <c r="S45" s="455"/>
      <c r="T45" s="455"/>
      <c r="U45" s="455"/>
      <c r="V45" s="455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41" s="448" customFormat="1" x14ac:dyDescent="0.25">
      <c r="B46" s="452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41" s="442" customFormat="1" x14ac:dyDescent="0.25">
      <c r="B47" s="454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41" s="442" customFormat="1" x14ac:dyDescent="0.25">
      <c r="B48" s="454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1:39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1:39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1:39" s="448" customFormat="1" x14ac:dyDescent="0.25">
      <c r="B51" s="452"/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0"/>
      <c r="AJ51" s="449"/>
      <c r="AK51" s="443"/>
    </row>
    <row r="52" spans="1:39" s="448" customFormat="1" x14ac:dyDescent="0.25">
      <c r="B52" s="452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1"/>
      <c r="U52" s="451"/>
      <c r="V52" s="451"/>
      <c r="W52" s="450"/>
      <c r="X52" s="450"/>
      <c r="Y52" s="450"/>
      <c r="Z52" s="450"/>
      <c r="AA52" s="450"/>
      <c r="AB52" s="450"/>
      <c r="AC52" s="450"/>
      <c r="AD52" s="450"/>
      <c r="AE52" s="450"/>
      <c r="AF52" s="450"/>
      <c r="AG52" s="450"/>
      <c r="AH52" s="450"/>
      <c r="AI52" s="450"/>
      <c r="AJ52" s="449"/>
      <c r="AK52" s="443"/>
    </row>
    <row r="53" spans="1:39" s="442" customFormat="1" ht="13.5" thickBot="1" x14ac:dyDescent="0.3">
      <c r="B53" s="447"/>
      <c r="C53" s="446"/>
      <c r="D53" s="446"/>
      <c r="E53" s="446"/>
      <c r="F53" s="446"/>
      <c r="G53" s="446" t="s">
        <v>1185</v>
      </c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 t="s">
        <v>1186</v>
      </c>
      <c r="V53" s="446"/>
      <c r="W53" s="445"/>
      <c r="X53" s="445"/>
      <c r="Y53" s="445"/>
      <c r="Z53" s="445"/>
      <c r="AA53" s="445"/>
      <c r="AB53" s="445"/>
      <c r="AC53" s="445"/>
      <c r="AD53" s="445"/>
      <c r="AE53" s="445"/>
      <c r="AF53" s="445"/>
      <c r="AG53" s="445"/>
      <c r="AH53" s="445"/>
      <c r="AI53" s="445"/>
      <c r="AJ53" s="444"/>
      <c r="AK53" s="443"/>
    </row>
    <row r="55" spans="1:39" x14ac:dyDescent="0.25">
      <c r="A55" s="551"/>
      <c r="B55" s="551"/>
      <c r="C55" s="552"/>
      <c r="D55" s="551"/>
      <c r="E55" s="551"/>
      <c r="F55" s="551"/>
      <c r="G55" s="551"/>
      <c r="H55" s="551"/>
      <c r="I55" s="551"/>
      <c r="J55" s="551"/>
      <c r="K55" s="551"/>
      <c r="L55" s="551"/>
      <c r="M55" s="551"/>
      <c r="N55" s="551"/>
      <c r="O55" s="551"/>
      <c r="P55" s="551"/>
      <c r="Q55" s="551"/>
      <c r="R55" s="551"/>
      <c r="S55" s="551"/>
      <c r="T55" s="551"/>
      <c r="U55" s="551"/>
      <c r="V55" s="551"/>
      <c r="W55" s="551"/>
      <c r="X55" s="551"/>
      <c r="Y55" s="551"/>
      <c r="Z55" s="551"/>
      <c r="AA55" s="551"/>
      <c r="AB55" s="551"/>
      <c r="AC55" s="551"/>
      <c r="AD55" s="551"/>
      <c r="AE55" s="551"/>
      <c r="AF55" s="551"/>
      <c r="AG55" s="551"/>
      <c r="AH55" s="551"/>
      <c r="AI55" s="551"/>
      <c r="AJ55" s="551"/>
      <c r="AK55" s="551"/>
      <c r="AL55" s="551"/>
      <c r="AM55" s="551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zoomScaleNormal="100" zoomScaleSheetLayoutView="100" workbookViewId="0">
      <selection activeCell="E6" sqref="E6"/>
    </sheetView>
  </sheetViews>
  <sheetFormatPr defaultRowHeight="10.5" x14ac:dyDescent="0.25"/>
  <cols>
    <col min="1" max="1" width="4.42578125" style="587" customWidth="1"/>
    <col min="2" max="2" width="37.5703125" style="587" customWidth="1"/>
    <col min="3" max="3" width="1.42578125" style="587" customWidth="1"/>
    <col min="4" max="4" width="6.42578125" style="587" customWidth="1"/>
    <col min="5" max="6" width="29.5703125" style="587" customWidth="1"/>
    <col min="7" max="16384" width="9.140625" style="587"/>
  </cols>
  <sheetData>
    <row r="1" spans="1:10" s="553" customFormat="1" ht="7.5" customHeight="1" x14ac:dyDescent="0.25">
      <c r="A1" s="552"/>
      <c r="G1" s="496"/>
      <c r="H1" s="496"/>
    </row>
    <row r="2" spans="1:10" s="553" customFormat="1" ht="17.25" customHeight="1" x14ac:dyDescent="0.25">
      <c r="A2" s="552"/>
      <c r="B2" s="578" t="s">
        <v>1319</v>
      </c>
      <c r="C2" s="496"/>
      <c r="D2" s="577" t="s">
        <v>1318</v>
      </c>
      <c r="E2" s="633" t="str">
        <f>"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2  0  2  1  8  7  0  2  9  0</v>
      </c>
    </row>
    <row r="3" spans="1:10" s="553" customFormat="1" ht="7.5" customHeight="1" thickBot="1" x14ac:dyDescent="0.3">
      <c r="A3" s="552"/>
      <c r="B3" s="632"/>
      <c r="C3" s="496"/>
    </row>
    <row r="4" spans="1:10" s="612" customFormat="1" ht="11.25" customHeight="1" x14ac:dyDescent="0.25">
      <c r="A4" s="631"/>
      <c r="B4" s="630"/>
      <c r="C4" s="629"/>
      <c r="D4" s="628"/>
      <c r="E4" s="1461" t="s">
        <v>1386</v>
      </c>
      <c r="F4" s="1485"/>
    </row>
    <row r="5" spans="1:10" s="612" customFormat="1" ht="33.75" customHeight="1" x14ac:dyDescent="0.15">
      <c r="A5" s="627" t="s">
        <v>1221</v>
      </c>
      <c r="B5" s="626" t="s">
        <v>1385</v>
      </c>
      <c r="C5" s="625"/>
      <c r="D5" s="624" t="s">
        <v>1219</v>
      </c>
      <c r="E5" s="623" t="s">
        <v>1384</v>
      </c>
      <c r="F5" s="622" t="s">
        <v>1383</v>
      </c>
    </row>
    <row r="6" spans="1:10" s="612" customFormat="1" ht="29.65" customHeight="1" x14ac:dyDescent="0.25">
      <c r="A6" s="557" t="s">
        <v>813</v>
      </c>
      <c r="B6" s="593" t="s">
        <v>1382</v>
      </c>
      <c r="C6" s="592"/>
      <c r="D6" s="554" t="s">
        <v>814</v>
      </c>
      <c r="E6" s="591">
        <f>'P&amp;L'!D9</f>
        <v>0</v>
      </c>
      <c r="F6" s="591">
        <f>'P&amp;L'!E9</f>
        <v>0</v>
      </c>
    </row>
    <row r="7" spans="1:10" s="612" customFormat="1" ht="29.65" customHeight="1" x14ac:dyDescent="0.25">
      <c r="A7" s="557" t="s">
        <v>815</v>
      </c>
      <c r="B7" s="593" t="s">
        <v>1381</v>
      </c>
      <c r="C7" s="592"/>
      <c r="D7" s="554" t="s">
        <v>817</v>
      </c>
      <c r="E7" s="650">
        <f>'P&amp;L'!D10</f>
        <v>0</v>
      </c>
      <c r="F7" s="591">
        <f>'P&amp;L'!E10</f>
        <v>0</v>
      </c>
    </row>
    <row r="8" spans="1:10" s="617" customFormat="1" ht="29.65" customHeight="1" x14ac:dyDescent="0.25">
      <c r="A8" s="558" t="s">
        <v>818</v>
      </c>
      <c r="B8" s="595" t="s">
        <v>1380</v>
      </c>
      <c r="C8" s="594"/>
      <c r="D8" s="564" t="s">
        <v>820</v>
      </c>
      <c r="E8" s="650">
        <f>'P&amp;L'!D11</f>
        <v>3335719</v>
      </c>
      <c r="F8" s="591">
        <f>'P&amp;L'!E11</f>
        <v>1864966</v>
      </c>
    </row>
    <row r="9" spans="1:10" s="617" customFormat="1" ht="29.65" customHeight="1" x14ac:dyDescent="0.25">
      <c r="A9" s="558" t="s">
        <v>821</v>
      </c>
      <c r="B9" s="595" t="s">
        <v>1379</v>
      </c>
      <c r="C9" s="594"/>
      <c r="D9" s="564" t="s">
        <v>823</v>
      </c>
      <c r="E9" s="650">
        <f>'P&amp;L'!D12</f>
        <v>3335719</v>
      </c>
      <c r="F9" s="591">
        <f>'P&amp;L'!E12</f>
        <v>1864966</v>
      </c>
    </row>
    <row r="10" spans="1:10" s="612" customFormat="1" ht="29.65" customHeight="1" x14ac:dyDescent="0.25">
      <c r="A10" s="556" t="s">
        <v>824</v>
      </c>
      <c r="B10" s="593" t="s">
        <v>1378</v>
      </c>
      <c r="C10" s="592"/>
      <c r="D10" s="554" t="s">
        <v>826</v>
      </c>
      <c r="E10" s="650">
        <f>'P&amp;L'!D13</f>
        <v>0</v>
      </c>
      <c r="F10" s="591">
        <f>'P&amp;L'!E13</f>
        <v>0</v>
      </c>
    </row>
    <row r="11" spans="1:10" s="612" customFormat="1" ht="29.65" customHeight="1" x14ac:dyDescent="0.25">
      <c r="A11" s="556" t="s">
        <v>532</v>
      </c>
      <c r="B11" s="593" t="s">
        <v>1377</v>
      </c>
      <c r="C11" s="592"/>
      <c r="D11" s="554" t="s">
        <v>828</v>
      </c>
      <c r="E11" s="650">
        <f>'P&amp;L'!D14</f>
        <v>0</v>
      </c>
      <c r="F11" s="591">
        <f>'P&amp;L'!E14</f>
        <v>0</v>
      </c>
    </row>
    <row r="12" spans="1:10" s="612" customFormat="1" ht="29.65" customHeight="1" x14ac:dyDescent="0.25">
      <c r="A12" s="556" t="s">
        <v>535</v>
      </c>
      <c r="B12" s="593" t="s">
        <v>1376</v>
      </c>
      <c r="C12" s="592"/>
      <c r="D12" s="554" t="s">
        <v>830</v>
      </c>
      <c r="E12" s="650">
        <f>'P&amp;L'!D15</f>
        <v>0</v>
      </c>
      <c r="F12" s="591">
        <f>'P&amp;L'!E15</f>
        <v>0</v>
      </c>
    </row>
    <row r="13" spans="1:10" s="617" customFormat="1" ht="29.65" customHeight="1" x14ac:dyDescent="0.25">
      <c r="A13" s="558" t="s">
        <v>594</v>
      </c>
      <c r="B13" s="595" t="s">
        <v>1375</v>
      </c>
      <c r="C13" s="594"/>
      <c r="D13" s="564" t="s">
        <v>832</v>
      </c>
      <c r="E13" s="650">
        <f>'P&amp;L'!D16</f>
        <v>3179745</v>
      </c>
      <c r="F13" s="591">
        <f>'P&amp;L'!E16</f>
        <v>1740561</v>
      </c>
      <c r="J13" s="612"/>
    </row>
    <row r="14" spans="1:10" s="612" customFormat="1" ht="29.65" customHeight="1" x14ac:dyDescent="0.25">
      <c r="A14" s="557" t="s">
        <v>833</v>
      </c>
      <c r="B14" s="593" t="s">
        <v>1374</v>
      </c>
      <c r="C14" s="592"/>
      <c r="D14" s="554" t="s">
        <v>835</v>
      </c>
      <c r="E14" s="650">
        <f>'P&amp;L'!D17</f>
        <v>332</v>
      </c>
      <c r="F14" s="591">
        <f>'P&amp;L'!E17</f>
        <v>156</v>
      </c>
    </row>
    <row r="15" spans="1:10" s="612" customFormat="1" ht="29.65" customHeight="1" x14ac:dyDescent="0.25">
      <c r="A15" s="557" t="s">
        <v>836</v>
      </c>
      <c r="B15" s="593" t="s">
        <v>1373</v>
      </c>
      <c r="C15" s="592"/>
      <c r="D15" s="554" t="s">
        <v>838</v>
      </c>
      <c r="E15" s="650">
        <f>'P&amp;L'!D18</f>
        <v>3179413</v>
      </c>
      <c r="F15" s="591">
        <f>'P&amp;L'!E18</f>
        <v>1740405</v>
      </c>
    </row>
    <row r="16" spans="1:10" s="617" customFormat="1" ht="29.65" customHeight="1" x14ac:dyDescent="0.25">
      <c r="A16" s="558" t="s">
        <v>818</v>
      </c>
      <c r="B16" s="595" t="s">
        <v>1372</v>
      </c>
      <c r="C16" s="594"/>
      <c r="D16" s="564" t="s">
        <v>840</v>
      </c>
      <c r="E16" s="650">
        <f>'P&amp;L'!D19</f>
        <v>155974</v>
      </c>
      <c r="F16" s="591">
        <f>'P&amp;L'!E19</f>
        <v>124405</v>
      </c>
    </row>
    <row r="17" spans="1:6" s="612" customFormat="1" ht="29.65" customHeight="1" x14ac:dyDescent="0.25">
      <c r="A17" s="557" t="s">
        <v>663</v>
      </c>
      <c r="B17" s="593" t="s">
        <v>1371</v>
      </c>
      <c r="C17" s="592"/>
      <c r="D17" s="554" t="s">
        <v>842</v>
      </c>
      <c r="E17" s="650">
        <f>'P&amp;L'!D20</f>
        <v>78751</v>
      </c>
      <c r="F17" s="591">
        <f>'P&amp;L'!E20</f>
        <v>58436</v>
      </c>
    </row>
    <row r="18" spans="1:6" s="612" customFormat="1" ht="29.65" customHeight="1" x14ac:dyDescent="0.25">
      <c r="A18" s="557" t="s">
        <v>666</v>
      </c>
      <c r="B18" s="593" t="s">
        <v>1370</v>
      </c>
      <c r="C18" s="592"/>
      <c r="D18" s="554" t="s">
        <v>844</v>
      </c>
      <c r="E18" s="650">
        <f>'P&amp;L'!D21</f>
        <v>60002</v>
      </c>
      <c r="F18" s="591">
        <f>'P&amp;L'!E21</f>
        <v>43184</v>
      </c>
    </row>
    <row r="19" spans="1:6" s="612" customFormat="1" ht="29.65" customHeight="1" x14ac:dyDescent="0.25">
      <c r="A19" s="557" t="s">
        <v>836</v>
      </c>
      <c r="B19" s="593" t="s">
        <v>1369</v>
      </c>
      <c r="C19" s="592"/>
      <c r="D19" s="554" t="s">
        <v>846</v>
      </c>
      <c r="E19" s="650">
        <f>'P&amp;L'!D22</f>
        <v>0</v>
      </c>
      <c r="F19" s="591">
        <f>'P&amp;L'!E22</f>
        <v>0</v>
      </c>
    </row>
    <row r="20" spans="1:6" s="612" customFormat="1" ht="29.65" customHeight="1" x14ac:dyDescent="0.25">
      <c r="A20" s="557" t="s">
        <v>847</v>
      </c>
      <c r="B20" s="593" t="s">
        <v>1368</v>
      </c>
      <c r="C20" s="592"/>
      <c r="D20" s="554" t="s">
        <v>849</v>
      </c>
      <c r="E20" s="650">
        <f>'P&amp;L'!D23</f>
        <v>17531</v>
      </c>
      <c r="F20" s="591">
        <f>'P&amp;L'!E23</f>
        <v>14141</v>
      </c>
    </row>
    <row r="21" spans="1:6" s="612" customFormat="1" ht="29.65" customHeight="1" x14ac:dyDescent="0.25">
      <c r="A21" s="557" t="s">
        <v>850</v>
      </c>
      <c r="B21" s="593" t="s">
        <v>1367</v>
      </c>
      <c r="C21" s="592"/>
      <c r="D21" s="554" t="s">
        <v>852</v>
      </c>
      <c r="E21" s="650">
        <f>'P&amp;L'!D24</f>
        <v>1218</v>
      </c>
      <c r="F21" s="591">
        <f>'P&amp;L'!E24</f>
        <v>1111</v>
      </c>
    </row>
    <row r="22" spans="1:6" s="612" customFormat="1" ht="29.65" customHeight="1" x14ac:dyDescent="0.25">
      <c r="A22" s="557" t="s">
        <v>853</v>
      </c>
      <c r="B22" s="593" t="s">
        <v>1366</v>
      </c>
      <c r="C22" s="592"/>
      <c r="D22" s="554" t="s">
        <v>855</v>
      </c>
      <c r="E22" s="650">
        <f>'P&amp;L'!D25</f>
        <v>0</v>
      </c>
      <c r="F22" s="591">
        <f>'P&amp;L'!E25</f>
        <v>83</v>
      </c>
    </row>
    <row r="23" spans="1:6" s="612" customFormat="1" ht="29.65" customHeight="1" x14ac:dyDescent="0.25">
      <c r="A23" s="557" t="s">
        <v>856</v>
      </c>
      <c r="B23" s="593" t="s">
        <v>1365</v>
      </c>
      <c r="C23" s="592"/>
      <c r="D23" s="554" t="s">
        <v>858</v>
      </c>
      <c r="E23" s="650">
        <f>'P&amp;L'!D26</f>
        <v>0</v>
      </c>
      <c r="F23" s="591">
        <f>'P&amp;L'!E26</f>
        <v>0</v>
      </c>
    </row>
    <row r="24" spans="1:6" s="612" customFormat="1" ht="29.65" customHeight="1" x14ac:dyDescent="0.25">
      <c r="A24" s="557" t="s">
        <v>859</v>
      </c>
      <c r="B24" s="593" t="s">
        <v>1364</v>
      </c>
      <c r="C24" s="592"/>
      <c r="D24" s="554" t="s">
        <v>861</v>
      </c>
      <c r="E24" s="650">
        <f>'P&amp;L'!D27</f>
        <v>0</v>
      </c>
      <c r="F24" s="591">
        <f>'P&amp;L'!E27</f>
        <v>0</v>
      </c>
    </row>
    <row r="25" spans="1:6" s="612" customFormat="1" ht="29.65" customHeight="1" x14ac:dyDescent="0.25">
      <c r="A25" s="557" t="s">
        <v>862</v>
      </c>
      <c r="B25" s="593" t="s">
        <v>1363</v>
      </c>
      <c r="C25" s="592"/>
      <c r="D25" s="554" t="s">
        <v>864</v>
      </c>
      <c r="E25" s="650">
        <f>'P&amp;L'!D28</f>
        <v>0</v>
      </c>
      <c r="F25" s="591">
        <f>'P&amp;L'!E28</f>
        <v>0</v>
      </c>
    </row>
    <row r="26" spans="1:6" s="612" customFormat="1" ht="29.65" customHeight="1" x14ac:dyDescent="0.25">
      <c r="A26" s="557" t="s">
        <v>865</v>
      </c>
      <c r="B26" s="621" t="s">
        <v>1362</v>
      </c>
      <c r="C26" s="620"/>
      <c r="D26" s="554" t="s">
        <v>867</v>
      </c>
      <c r="E26" s="650">
        <f>'P&amp;L'!D29</f>
        <v>0</v>
      </c>
      <c r="F26" s="591">
        <f>'P&amp;L'!E29</f>
        <v>-55000</v>
      </c>
    </row>
    <row r="27" spans="1:6" s="612" customFormat="1" ht="29.65" customHeight="1" x14ac:dyDescent="0.25">
      <c r="A27" s="557" t="s">
        <v>868</v>
      </c>
      <c r="B27" s="593" t="s">
        <v>1361</v>
      </c>
      <c r="C27" s="592"/>
      <c r="D27" s="554" t="s">
        <v>870</v>
      </c>
      <c r="E27" s="650">
        <f>'P&amp;L'!D30</f>
        <v>17</v>
      </c>
      <c r="F27" s="591">
        <f>'P&amp;L'!E30</f>
        <v>23348</v>
      </c>
    </row>
    <row r="28" spans="1:6" s="612" customFormat="1" ht="29.65" customHeight="1" x14ac:dyDescent="0.25">
      <c r="A28" s="557" t="s">
        <v>871</v>
      </c>
      <c r="B28" s="621" t="s">
        <v>1360</v>
      </c>
      <c r="C28" s="620"/>
      <c r="D28" s="554" t="s">
        <v>873</v>
      </c>
      <c r="E28" s="650">
        <f>'P&amp;L'!D31</f>
        <v>21</v>
      </c>
      <c r="F28" s="591">
        <f>'P&amp;L'!E31</f>
        <v>155</v>
      </c>
    </row>
    <row r="29" spans="1:6" s="612" customFormat="1" ht="29.65" customHeight="1" x14ac:dyDescent="0.25">
      <c r="A29" s="557" t="s">
        <v>874</v>
      </c>
      <c r="B29" s="593" t="s">
        <v>1359</v>
      </c>
      <c r="C29" s="592"/>
      <c r="D29" s="554" t="s">
        <v>876</v>
      </c>
      <c r="E29" s="650">
        <f>'P&amp;L'!D32</f>
        <v>0</v>
      </c>
      <c r="F29" s="591">
        <f>'P&amp;L'!E32</f>
        <v>0</v>
      </c>
    </row>
    <row r="30" spans="1:6" s="612" customFormat="1" ht="29.65" customHeight="1" x14ac:dyDescent="0.25">
      <c r="A30" s="557" t="s">
        <v>877</v>
      </c>
      <c r="B30" s="593" t="s">
        <v>1358</v>
      </c>
      <c r="C30" s="592"/>
      <c r="D30" s="554" t="s">
        <v>879</v>
      </c>
      <c r="E30" s="650">
        <f>'P&amp;L'!D33</f>
        <v>0</v>
      </c>
      <c r="F30" s="591">
        <f>'P&amp;L'!E33</f>
        <v>0</v>
      </c>
    </row>
    <row r="31" spans="1:6" s="617" customFormat="1" ht="33.75" customHeight="1" x14ac:dyDescent="0.25">
      <c r="A31" s="558" t="s">
        <v>880</v>
      </c>
      <c r="B31" s="619" t="s">
        <v>1357</v>
      </c>
      <c r="C31" s="618"/>
      <c r="D31" s="564" t="s">
        <v>882</v>
      </c>
      <c r="E31" s="650">
        <f>'P&amp;L'!D34</f>
        <v>77219</v>
      </c>
      <c r="F31" s="591">
        <f>'P&amp;L'!E34</f>
        <v>144079</v>
      </c>
    </row>
    <row r="32" spans="1:6" s="612" customFormat="1" ht="29.65" customHeight="1" thickBot="1" x14ac:dyDescent="0.3">
      <c r="A32" s="616" t="s">
        <v>883</v>
      </c>
      <c r="B32" s="615" t="s">
        <v>1356</v>
      </c>
      <c r="C32" s="614"/>
      <c r="D32" s="613" t="s">
        <v>885</v>
      </c>
      <c r="E32" s="650">
        <f>'P&amp;L'!D35</f>
        <v>0</v>
      </c>
      <c r="F32" s="591">
        <f>'P&amp;L'!E35</f>
        <v>0</v>
      </c>
    </row>
    <row r="33" spans="1:6" ht="24.75" customHeight="1" x14ac:dyDescent="0.25">
      <c r="A33" s="604" t="s">
        <v>886</v>
      </c>
      <c r="B33" s="603" t="s">
        <v>1355</v>
      </c>
      <c r="C33" s="602"/>
      <c r="D33" s="601" t="s">
        <v>888</v>
      </c>
      <c r="E33" s="650">
        <f>'P&amp;L'!D36</f>
        <v>0</v>
      </c>
      <c r="F33" s="591">
        <f>'P&amp;L'!E36</f>
        <v>0</v>
      </c>
    </row>
    <row r="34" spans="1:6" ht="30.75" customHeight="1" x14ac:dyDescent="0.25">
      <c r="A34" s="604" t="s">
        <v>889</v>
      </c>
      <c r="B34" s="611" t="s">
        <v>1354</v>
      </c>
      <c r="C34" s="610"/>
      <c r="D34" s="601" t="s">
        <v>891</v>
      </c>
      <c r="E34" s="650">
        <f>'P&amp;L'!D37</f>
        <v>0</v>
      </c>
      <c r="F34" s="591">
        <f>'P&amp;L'!E37</f>
        <v>0</v>
      </c>
    </row>
    <row r="35" spans="1:6" ht="36.75" customHeight="1" x14ac:dyDescent="0.25">
      <c r="A35" s="557" t="s">
        <v>892</v>
      </c>
      <c r="B35" s="593" t="s">
        <v>1353</v>
      </c>
      <c r="C35" s="592"/>
      <c r="D35" s="554" t="s">
        <v>894</v>
      </c>
      <c r="E35" s="650">
        <f>'P&amp;L'!D38</f>
        <v>0</v>
      </c>
      <c r="F35" s="591">
        <f>'P&amp;L'!E38</f>
        <v>0</v>
      </c>
    </row>
    <row r="36" spans="1:6" ht="30.75" customHeight="1" x14ac:dyDescent="0.25">
      <c r="A36" s="557" t="s">
        <v>895</v>
      </c>
      <c r="B36" s="593" t="s">
        <v>1352</v>
      </c>
      <c r="C36" s="592"/>
      <c r="D36" s="554" t="s">
        <v>897</v>
      </c>
      <c r="E36" s="650">
        <f>'P&amp;L'!D39</f>
        <v>0</v>
      </c>
      <c r="F36" s="591">
        <f>'P&amp;L'!E39</f>
        <v>0</v>
      </c>
    </row>
    <row r="37" spans="1:6" ht="30" customHeight="1" x14ac:dyDescent="0.25">
      <c r="A37" s="557" t="s">
        <v>898</v>
      </c>
      <c r="B37" s="593" t="s">
        <v>1351</v>
      </c>
      <c r="C37" s="592"/>
      <c r="D37" s="554" t="s">
        <v>900</v>
      </c>
      <c r="E37" s="650">
        <f>'P&amp;L'!D40</f>
        <v>0</v>
      </c>
      <c r="F37" s="591">
        <f>'P&amp;L'!E40</f>
        <v>0</v>
      </c>
    </row>
    <row r="38" spans="1:6" ht="26.25" customHeight="1" x14ac:dyDescent="0.25">
      <c r="A38" s="557" t="s">
        <v>901</v>
      </c>
      <c r="B38" s="593" t="s">
        <v>1350</v>
      </c>
      <c r="C38" s="592"/>
      <c r="D38" s="554" t="s">
        <v>903</v>
      </c>
      <c r="E38" s="650">
        <f>'P&amp;L'!D41</f>
        <v>0</v>
      </c>
      <c r="F38" s="591">
        <f>'P&amp;L'!E41</f>
        <v>0</v>
      </c>
    </row>
    <row r="39" spans="1:6" ht="22.5" customHeight="1" x14ac:dyDescent="0.25">
      <c r="A39" s="557" t="s">
        <v>904</v>
      </c>
      <c r="B39" s="593" t="s">
        <v>1349</v>
      </c>
      <c r="C39" s="592"/>
      <c r="D39" s="554" t="s">
        <v>906</v>
      </c>
      <c r="E39" s="650">
        <f>'P&amp;L'!D42</f>
        <v>0</v>
      </c>
      <c r="F39" s="591">
        <f>'P&amp;L'!E42</f>
        <v>0</v>
      </c>
    </row>
    <row r="40" spans="1:6" ht="30.75" customHeight="1" x14ac:dyDescent="0.25">
      <c r="A40" s="557" t="s">
        <v>907</v>
      </c>
      <c r="B40" s="593" t="s">
        <v>1348</v>
      </c>
      <c r="C40" s="592"/>
      <c r="D40" s="554" t="s">
        <v>909</v>
      </c>
      <c r="E40" s="650">
        <f>'P&amp;L'!D43</f>
        <v>0</v>
      </c>
      <c r="F40" s="591">
        <f>'P&amp;L'!E43</f>
        <v>0</v>
      </c>
    </row>
    <row r="41" spans="1:6" ht="30" customHeight="1" x14ac:dyDescent="0.25">
      <c r="A41" s="557" t="s">
        <v>910</v>
      </c>
      <c r="B41" s="593" t="s">
        <v>1347</v>
      </c>
      <c r="C41" s="592"/>
      <c r="D41" s="554" t="s">
        <v>912</v>
      </c>
      <c r="E41" s="650">
        <f>'P&amp;L'!D44</f>
        <v>0</v>
      </c>
      <c r="F41" s="591">
        <f>'P&amp;L'!E44</f>
        <v>0</v>
      </c>
    </row>
    <row r="42" spans="1:6" ht="32.25" customHeight="1" x14ac:dyDescent="0.25">
      <c r="A42" s="557" t="s">
        <v>913</v>
      </c>
      <c r="B42" s="593" t="s">
        <v>1346</v>
      </c>
      <c r="C42" s="592"/>
      <c r="D42" s="554" t="s">
        <v>915</v>
      </c>
      <c r="E42" s="650">
        <f>'P&amp;L'!D45</f>
        <v>0</v>
      </c>
      <c r="F42" s="591">
        <f>'P&amp;L'!E45</f>
        <v>0</v>
      </c>
    </row>
    <row r="43" spans="1:6" ht="24" customHeight="1" x14ac:dyDescent="0.25">
      <c r="A43" s="557" t="s">
        <v>916</v>
      </c>
      <c r="B43" s="593" t="s">
        <v>1345</v>
      </c>
      <c r="C43" s="592"/>
      <c r="D43" s="554" t="s">
        <v>918</v>
      </c>
      <c r="E43" s="650">
        <f>'P&amp;L'!D46</f>
        <v>4</v>
      </c>
      <c r="F43" s="591">
        <f>'P&amp;L'!E46</f>
        <v>35</v>
      </c>
    </row>
    <row r="44" spans="1:6" ht="26.25" customHeight="1" x14ac:dyDescent="0.25">
      <c r="A44" s="557" t="s">
        <v>919</v>
      </c>
      <c r="B44" s="593" t="s">
        <v>1344</v>
      </c>
      <c r="C44" s="592"/>
      <c r="D44" s="554" t="s">
        <v>921</v>
      </c>
      <c r="E44" s="650">
        <f>'P&amp;L'!D47</f>
        <v>0</v>
      </c>
      <c r="F44" s="591">
        <f>'P&amp;L'!E47</f>
        <v>0</v>
      </c>
    </row>
    <row r="45" spans="1:6" ht="24.75" customHeight="1" x14ac:dyDescent="0.25">
      <c r="A45" s="557" t="s">
        <v>922</v>
      </c>
      <c r="B45" s="593" t="s">
        <v>1343</v>
      </c>
      <c r="C45" s="592"/>
      <c r="D45" s="554" t="s">
        <v>924</v>
      </c>
      <c r="E45" s="650">
        <f>'P&amp;L'!D48</f>
        <v>0</v>
      </c>
      <c r="F45" s="591">
        <f>'P&amp;L'!E48</f>
        <v>3</v>
      </c>
    </row>
    <row r="46" spans="1:6" ht="27" customHeight="1" x14ac:dyDescent="0.25">
      <c r="A46" s="557" t="s">
        <v>925</v>
      </c>
      <c r="B46" s="593" t="s">
        <v>1342</v>
      </c>
      <c r="C46" s="592"/>
      <c r="D46" s="554" t="s">
        <v>927</v>
      </c>
      <c r="E46" s="650">
        <f>'P&amp;L'!D49</f>
        <v>16</v>
      </c>
      <c r="F46" s="591">
        <f>'P&amp;L'!E49</f>
        <v>18</v>
      </c>
    </row>
    <row r="47" spans="1:6" ht="29.25" customHeight="1" x14ac:dyDescent="0.25">
      <c r="A47" s="557" t="s">
        <v>928</v>
      </c>
      <c r="B47" s="593" t="s">
        <v>1341</v>
      </c>
      <c r="C47" s="592"/>
      <c r="D47" s="554" t="s">
        <v>930</v>
      </c>
      <c r="E47" s="650">
        <f>'P&amp;L'!D50</f>
        <v>0</v>
      </c>
      <c r="F47" s="591">
        <f>'P&amp;L'!E50</f>
        <v>0</v>
      </c>
    </row>
    <row r="48" spans="1:6" ht="27.75" customHeight="1" x14ac:dyDescent="0.25">
      <c r="A48" s="557" t="s">
        <v>931</v>
      </c>
      <c r="B48" s="593" t="s">
        <v>1340</v>
      </c>
      <c r="C48" s="592"/>
      <c r="D48" s="554" t="s">
        <v>933</v>
      </c>
      <c r="E48" s="650">
        <f>'P&amp;L'!D51</f>
        <v>1150</v>
      </c>
      <c r="F48" s="591">
        <f>'P&amp;L'!E51</f>
        <v>1734</v>
      </c>
    </row>
    <row r="49" spans="1:6" ht="27.75" customHeight="1" x14ac:dyDescent="0.25">
      <c r="A49" s="557" t="s">
        <v>934</v>
      </c>
      <c r="B49" s="593" t="s">
        <v>1339</v>
      </c>
      <c r="C49" s="592"/>
      <c r="D49" s="554" t="s">
        <v>936</v>
      </c>
      <c r="E49" s="650">
        <f>'P&amp;L'!D52</f>
        <v>0</v>
      </c>
      <c r="F49" s="591">
        <f>'P&amp;L'!E52</f>
        <v>0</v>
      </c>
    </row>
    <row r="50" spans="1:6" ht="27.75" customHeight="1" x14ac:dyDescent="0.25">
      <c r="A50" s="557" t="s">
        <v>937</v>
      </c>
      <c r="B50" s="593" t="s">
        <v>1338</v>
      </c>
      <c r="C50" s="592"/>
      <c r="D50" s="554" t="s">
        <v>939</v>
      </c>
      <c r="E50" s="650">
        <f>'P&amp;L'!D53</f>
        <v>0</v>
      </c>
      <c r="F50" s="591">
        <f>'P&amp;L'!E53</f>
        <v>0</v>
      </c>
    </row>
    <row r="51" spans="1:6" s="588" customFormat="1" ht="44.25" customHeight="1" x14ac:dyDescent="0.25">
      <c r="A51" s="607" t="s">
        <v>880</v>
      </c>
      <c r="B51" s="609" t="s">
        <v>1337</v>
      </c>
      <c r="C51" s="608"/>
      <c r="D51" s="564" t="s">
        <v>941</v>
      </c>
      <c r="E51" s="650">
        <f>'P&amp;L'!D54</f>
        <v>-1162</v>
      </c>
      <c r="F51" s="591">
        <f>'P&amp;L'!E54</f>
        <v>-1714</v>
      </c>
    </row>
    <row r="52" spans="1:6" s="588" customFormat="1" ht="29.25" customHeight="1" x14ac:dyDescent="0.25">
      <c r="A52" s="607" t="s">
        <v>942</v>
      </c>
      <c r="B52" s="606" t="s">
        <v>1336</v>
      </c>
      <c r="C52" s="605"/>
      <c r="D52" s="564" t="s">
        <v>944</v>
      </c>
      <c r="E52" s="650">
        <f>'P&amp;L'!D55</f>
        <v>76057</v>
      </c>
      <c r="F52" s="591">
        <f>'P&amp;L'!E55</f>
        <v>142365</v>
      </c>
    </row>
    <row r="53" spans="1:6" ht="30.75" customHeight="1" x14ac:dyDescent="0.25">
      <c r="A53" s="557" t="s">
        <v>945</v>
      </c>
      <c r="B53" s="593" t="s">
        <v>1335</v>
      </c>
      <c r="C53" s="592"/>
      <c r="D53" s="554" t="s">
        <v>947</v>
      </c>
      <c r="E53" s="650">
        <f>'P&amp;L'!D56</f>
        <v>25374</v>
      </c>
      <c r="F53" s="591">
        <f>'P&amp;L'!E56</f>
        <v>22105</v>
      </c>
    </row>
    <row r="54" spans="1:6" ht="28.5" customHeight="1" x14ac:dyDescent="0.25">
      <c r="A54" s="600" t="s">
        <v>948</v>
      </c>
      <c r="B54" s="593" t="s">
        <v>1334</v>
      </c>
      <c r="C54" s="592"/>
      <c r="D54" s="554" t="s">
        <v>950</v>
      </c>
      <c r="E54" s="650">
        <f>'P&amp;L'!D57</f>
        <v>67655</v>
      </c>
      <c r="F54" s="591">
        <f>'P&amp;L'!E57</f>
        <v>13072</v>
      </c>
    </row>
    <row r="55" spans="1:6" ht="28.5" customHeight="1" x14ac:dyDescent="0.25">
      <c r="A55" s="557" t="s">
        <v>836</v>
      </c>
      <c r="B55" s="593" t="s">
        <v>1333</v>
      </c>
      <c r="C55" s="592"/>
      <c r="D55" s="554" t="s">
        <v>952</v>
      </c>
      <c r="E55" s="650">
        <f>'P&amp;L'!D58</f>
        <v>-42281</v>
      </c>
      <c r="F55" s="591">
        <f>'P&amp;L'!E58</f>
        <v>9033</v>
      </c>
    </row>
    <row r="56" spans="1:6" s="588" customFormat="1" ht="31.5" customHeight="1" x14ac:dyDescent="0.25">
      <c r="A56" s="607" t="s">
        <v>942</v>
      </c>
      <c r="B56" s="606" t="s">
        <v>1332</v>
      </c>
      <c r="C56" s="605"/>
      <c r="D56" s="564" t="s">
        <v>954</v>
      </c>
      <c r="E56" s="650">
        <f>'P&amp;L'!D59</f>
        <v>50683</v>
      </c>
      <c r="F56" s="591">
        <f>'P&amp;L'!E59</f>
        <v>120260</v>
      </c>
    </row>
    <row r="57" spans="1:6" ht="29.25" customHeight="1" x14ac:dyDescent="0.25">
      <c r="A57" s="557" t="s">
        <v>955</v>
      </c>
      <c r="B57" s="593" t="s">
        <v>1331</v>
      </c>
      <c r="C57" s="592"/>
      <c r="D57" s="554" t="s">
        <v>957</v>
      </c>
      <c r="E57" s="650">
        <f>'P&amp;L'!D60</f>
        <v>0</v>
      </c>
      <c r="F57" s="591">
        <f>'P&amp;L'!E60</f>
        <v>0</v>
      </c>
    </row>
    <row r="58" spans="1:6" ht="28.5" customHeight="1" x14ac:dyDescent="0.25">
      <c r="A58" s="557" t="s">
        <v>958</v>
      </c>
      <c r="B58" s="593" t="s">
        <v>1330</v>
      </c>
      <c r="C58" s="592"/>
      <c r="D58" s="554" t="s">
        <v>960</v>
      </c>
      <c r="E58" s="650">
        <f>'P&amp;L'!D61</f>
        <v>0</v>
      </c>
      <c r="F58" s="591">
        <f>'P&amp;L'!E61</f>
        <v>0</v>
      </c>
    </row>
    <row r="59" spans="1:6" ht="30.75" customHeight="1" thickBot="1" x14ac:dyDescent="0.3">
      <c r="A59" s="563" t="s">
        <v>880</v>
      </c>
      <c r="B59" s="590" t="s">
        <v>1329</v>
      </c>
      <c r="C59" s="589"/>
      <c r="D59" s="562" t="s">
        <v>962</v>
      </c>
      <c r="E59" s="650">
        <f>'P&amp;L'!D62</f>
        <v>0</v>
      </c>
      <c r="F59" s="591">
        <f>'P&amp;L'!E62</f>
        <v>0</v>
      </c>
    </row>
    <row r="60" spans="1:6" ht="27.75" customHeight="1" x14ac:dyDescent="0.25">
      <c r="A60" s="604" t="s">
        <v>963</v>
      </c>
      <c r="B60" s="603" t="s">
        <v>1328</v>
      </c>
      <c r="C60" s="602"/>
      <c r="D60" s="601" t="s">
        <v>965</v>
      </c>
      <c r="E60" s="650">
        <f>'P&amp;L'!D63</f>
        <v>0</v>
      </c>
      <c r="F60" s="591">
        <f>'P&amp;L'!E63</f>
        <v>0</v>
      </c>
    </row>
    <row r="61" spans="1:6" ht="27.75" customHeight="1" x14ac:dyDescent="0.25">
      <c r="A61" s="600" t="s">
        <v>966</v>
      </c>
      <c r="B61" s="593" t="s">
        <v>1327</v>
      </c>
      <c r="C61" s="592"/>
      <c r="D61" s="554" t="s">
        <v>968</v>
      </c>
      <c r="E61" s="650">
        <f>'P&amp;L'!D64</f>
        <v>0</v>
      </c>
      <c r="F61" s="591">
        <f>'P&amp;L'!E64</f>
        <v>0</v>
      </c>
    </row>
    <row r="62" spans="1:6" ht="27.75" customHeight="1" x14ac:dyDescent="0.25">
      <c r="A62" s="557" t="s">
        <v>836</v>
      </c>
      <c r="B62" s="593" t="s">
        <v>1326</v>
      </c>
      <c r="C62" s="592"/>
      <c r="D62" s="554" t="s">
        <v>970</v>
      </c>
      <c r="E62" s="650">
        <f>'P&amp;L'!D65</f>
        <v>0</v>
      </c>
      <c r="F62" s="591">
        <f>'P&amp;L'!E65</f>
        <v>0</v>
      </c>
    </row>
    <row r="63" spans="1:6" s="588" customFormat="1" ht="27.75" customHeight="1" x14ac:dyDescent="0.25">
      <c r="A63" s="599" t="s">
        <v>880</v>
      </c>
      <c r="B63" s="598" t="s">
        <v>1325</v>
      </c>
      <c r="C63" s="597"/>
      <c r="D63" s="596" t="s">
        <v>972</v>
      </c>
      <c r="E63" s="650">
        <f>'P&amp;L'!D66</f>
        <v>0</v>
      </c>
      <c r="F63" s="591">
        <f>'P&amp;L'!E66</f>
        <v>0</v>
      </c>
    </row>
    <row r="64" spans="1:6" s="588" customFormat="1" ht="27.75" customHeight="1" x14ac:dyDescent="0.25">
      <c r="A64" s="558" t="s">
        <v>973</v>
      </c>
      <c r="B64" s="595" t="s">
        <v>1324</v>
      </c>
      <c r="C64" s="594"/>
      <c r="D64" s="564" t="s">
        <v>975</v>
      </c>
      <c r="E64" s="650">
        <f>'P&amp;L'!D67</f>
        <v>76057</v>
      </c>
      <c r="F64" s="591">
        <f>'P&amp;L'!E67</f>
        <v>142365</v>
      </c>
    </row>
    <row r="65" spans="1:6" ht="27.75" customHeight="1" x14ac:dyDescent="0.25">
      <c r="A65" s="557" t="s">
        <v>976</v>
      </c>
      <c r="B65" s="593" t="s">
        <v>1323</v>
      </c>
      <c r="C65" s="592"/>
      <c r="D65" s="554" t="s">
        <v>978</v>
      </c>
      <c r="E65" s="650">
        <f>'P&amp;L'!D68</f>
        <v>0</v>
      </c>
      <c r="F65" s="591">
        <f>'P&amp;L'!E68</f>
        <v>0</v>
      </c>
    </row>
    <row r="66" spans="1:6" s="588" customFormat="1" ht="27.75" customHeight="1" thickBot="1" x14ac:dyDescent="0.3">
      <c r="A66" s="563" t="s">
        <v>973</v>
      </c>
      <c r="B66" s="590" t="s">
        <v>1322</v>
      </c>
      <c r="C66" s="589"/>
      <c r="D66" s="562" t="s">
        <v>980</v>
      </c>
      <c r="E66" s="650">
        <f>'P&amp;L'!D69</f>
        <v>50683</v>
      </c>
      <c r="F66" s="591">
        <f>'P&amp;L'!E69</f>
        <v>120260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X51"/>
  <sheetViews>
    <sheetView showGridLines="0" view="pageBreakPreview" zoomScaleNormal="100" zoomScaleSheetLayoutView="100" workbookViewId="0">
      <selection activeCell="AM36" sqref="AM36"/>
    </sheetView>
  </sheetViews>
  <sheetFormatPr defaultRowHeight="12.75" x14ac:dyDescent="0.25"/>
  <cols>
    <col min="1" max="37" width="2.5703125" style="441" customWidth="1"/>
    <col min="38" max="38" width="0.140625" style="441" customWidth="1"/>
    <col min="39" max="41" width="2.5703125" style="441" customWidth="1"/>
    <col min="42" max="42" width="9.140625" style="441"/>
    <col min="43" max="45" width="2.5703125" style="441" customWidth="1"/>
    <col min="46" max="46" width="7.7109375" style="441" customWidth="1"/>
    <col min="47" max="61" width="2.5703125" style="441" customWidth="1"/>
    <col min="62" max="16384" width="9.140625" style="441"/>
  </cols>
  <sheetData>
    <row r="1" spans="1:37" s="551" customFormat="1" ht="10.5" customHeight="1" thickBot="1" x14ac:dyDescent="0.3">
      <c r="B1" s="865"/>
      <c r="C1" s="865" t="s">
        <v>1143</v>
      </c>
      <c r="N1" s="1483" t="s">
        <v>1475</v>
      </c>
      <c r="O1" s="1483"/>
      <c r="P1" s="1483"/>
      <c r="Q1" s="1483"/>
      <c r="R1" s="1483"/>
      <c r="S1" s="1483"/>
      <c r="T1" s="1483"/>
      <c r="U1" s="1483"/>
      <c r="V1" s="1483"/>
      <c r="W1" s="1483"/>
      <c r="X1" s="1486"/>
    </row>
    <row r="2" spans="1:37" s="448" customFormat="1" ht="21" customHeight="1" thickBot="1" x14ac:dyDescent="0.3">
      <c r="B2" s="867"/>
      <c r="C2" s="868" t="s">
        <v>1476</v>
      </c>
      <c r="D2" s="868"/>
      <c r="E2" s="868"/>
      <c r="F2" s="868"/>
      <c r="G2" s="868"/>
      <c r="H2" s="868"/>
      <c r="I2" s="868"/>
      <c r="J2" s="869"/>
      <c r="K2" s="868"/>
      <c r="L2" s="868"/>
      <c r="M2" s="870"/>
      <c r="N2" s="1483"/>
      <c r="O2" s="1483"/>
      <c r="P2" s="1483"/>
      <c r="Q2" s="1483" t="s">
        <v>1475</v>
      </c>
      <c r="R2" s="1483"/>
      <c r="S2" s="1483"/>
      <c r="T2" s="1483"/>
      <c r="U2" s="1483"/>
      <c r="V2" s="1483"/>
      <c r="W2" s="1483"/>
      <c r="X2" s="1486"/>
    </row>
    <row r="3" spans="1:37" ht="13.5" customHeight="1" thickBot="1" x14ac:dyDescent="0.3">
      <c r="N3" s="1487"/>
      <c r="O3" s="1487"/>
      <c r="P3" s="1487"/>
      <c r="Q3" s="1487"/>
      <c r="R3" s="1487"/>
      <c r="S3" s="1487"/>
      <c r="T3" s="1487"/>
      <c r="U3" s="1487"/>
      <c r="V3" s="1487"/>
      <c r="W3" s="1487"/>
      <c r="X3" s="1488"/>
    </row>
    <row r="4" spans="1:37" ht="28.5" customHeight="1" thickBot="1" x14ac:dyDescent="0.3">
      <c r="J4" s="1489" t="s">
        <v>1477</v>
      </c>
      <c r="K4" s="1490"/>
      <c r="L4" s="545" t="str">
        <f>+MID('Input data'!$B$11,1,1)</f>
        <v>3</v>
      </c>
      <c r="M4" s="545" t="str">
        <f>+MID('Input data'!$B$11,2,1)</f>
        <v>1</v>
      </c>
      <c r="N4" s="545" t="s">
        <v>1147</v>
      </c>
      <c r="O4" s="545" t="str">
        <f>LEFT('Input data'!B13,1)</f>
        <v>1</v>
      </c>
      <c r="P4" s="545" t="str">
        <f>RIGHT('Input data'!B13,1)</f>
        <v>2</v>
      </c>
      <c r="Q4" s="545" t="s">
        <v>1147</v>
      </c>
      <c r="R4" s="545" t="str">
        <f>+LEFT('Input data'!$B$14,1)</f>
        <v>2</v>
      </c>
      <c r="S4" s="545" t="str">
        <f>+MID('Input data'!$B$14,2,1)</f>
        <v>0</v>
      </c>
      <c r="T4" s="545" t="str">
        <f>+MID('Input data'!$B$14,3,1)</f>
        <v>1</v>
      </c>
      <c r="U4" s="545" t="str">
        <f>+MID('Input data'!$B$14,4,1)</f>
        <v>3</v>
      </c>
      <c r="V4" s="872"/>
      <c r="W4" s="543" t="s">
        <v>1478</v>
      </c>
      <c r="X4" s="543"/>
      <c r="Y4" s="543"/>
      <c r="Z4" s="543"/>
      <c r="AA4" s="542"/>
    </row>
    <row r="5" spans="1:37" ht="7.5" customHeight="1" thickBot="1" x14ac:dyDescent="0.3"/>
    <row r="6" spans="1:37" s="538" customFormat="1" ht="14.25" customHeight="1" x14ac:dyDescent="0.25">
      <c r="A6" s="541" t="s">
        <v>1479</v>
      </c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39"/>
    </row>
    <row r="7" spans="1:37" s="442" customFormat="1" ht="15" customHeight="1" x14ac:dyDescent="0.25">
      <c r="A7" s="454" t="s">
        <v>1480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537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537"/>
    </row>
    <row r="8" spans="1:37" s="533" customFormat="1" ht="18" customHeight="1" thickBot="1" x14ac:dyDescent="0.3">
      <c r="A8" s="536" t="s">
        <v>1481</v>
      </c>
      <c r="B8" s="535"/>
      <c r="C8" s="535"/>
      <c r="D8" s="535"/>
      <c r="E8" s="536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4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4"/>
    </row>
    <row r="9" spans="1:37" s="513" customFormat="1" ht="3.75" customHeight="1" thickBot="1" x14ac:dyDescent="0.3">
      <c r="AF9" s="516"/>
      <c r="AG9" s="516"/>
    </row>
    <row r="10" spans="1:37" s="513" customFormat="1" ht="14.25" customHeight="1" x14ac:dyDescent="0.25">
      <c r="A10" s="515" t="s">
        <v>1482</v>
      </c>
      <c r="B10" s="514"/>
      <c r="C10" s="514"/>
      <c r="D10" s="514"/>
      <c r="E10" s="514"/>
      <c r="F10" s="514"/>
      <c r="G10" s="514"/>
      <c r="H10" s="514"/>
      <c r="I10" s="458"/>
      <c r="J10" s="457"/>
      <c r="K10" s="531" t="s">
        <v>1483</v>
      </c>
      <c r="L10" s="514"/>
      <c r="M10" s="532"/>
      <c r="N10" s="532"/>
      <c r="O10" s="532"/>
      <c r="P10" s="514"/>
      <c r="Q10" s="531" t="s">
        <v>1483</v>
      </c>
      <c r="R10" s="514"/>
      <c r="S10" s="458"/>
      <c r="T10" s="514"/>
      <c r="U10" s="514"/>
      <c r="V10" s="530"/>
      <c r="W10" s="514"/>
      <c r="X10" s="514"/>
      <c r="Y10" s="514"/>
      <c r="Z10" s="514"/>
      <c r="AA10" s="514"/>
      <c r="AB10" s="514"/>
      <c r="AC10" s="514"/>
      <c r="AD10" s="531" t="s">
        <v>1484</v>
      </c>
      <c r="AE10" s="531"/>
      <c r="AF10" s="531"/>
      <c r="AG10" s="531" t="s">
        <v>1485</v>
      </c>
      <c r="AH10" s="514"/>
      <c r="AI10" s="514"/>
      <c r="AJ10" s="514"/>
      <c r="AK10" s="530"/>
    </row>
    <row r="11" spans="1:37" s="513" customFormat="1" ht="19.5" customHeight="1" x14ac:dyDescent="0.2">
      <c r="A11" s="527" t="str">
        <f>LEFT('Input data'!C24,1)</f>
        <v>2</v>
      </c>
      <c r="B11" s="492" t="str">
        <f>MID('Input data'!$C$24,2,1)</f>
        <v>0</v>
      </c>
      <c r="C11" s="492" t="str">
        <f>MID('Input data'!$C$24,3,1)</f>
        <v>2</v>
      </c>
      <c r="D11" s="492" t="str">
        <f>MID('Input data'!$C$24,4,1)</f>
        <v>1</v>
      </c>
      <c r="E11" s="492" t="str">
        <f>MID('Input data'!$C$24,5,1)</f>
        <v>8</v>
      </c>
      <c r="F11" s="492" t="str">
        <f>MID('Input data'!$C$24,6,1)</f>
        <v>7</v>
      </c>
      <c r="G11" s="492" t="str">
        <f>MID('Input data'!$C$24,7,1)</f>
        <v>0</v>
      </c>
      <c r="H11" s="492" t="str">
        <f>MID('Input data'!$C$24,8,1)</f>
        <v>2</v>
      </c>
      <c r="I11" s="492" t="str">
        <f>MID('Input data'!$C$24,9,1)</f>
        <v>9</v>
      </c>
      <c r="J11" s="499" t="str">
        <f>MID('Input data'!$C$24,10,1)</f>
        <v>0</v>
      </c>
      <c r="K11" s="450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522"/>
      <c r="W11" s="521" t="s">
        <v>1486</v>
      </c>
      <c r="X11" s="516"/>
      <c r="Y11" s="516"/>
      <c r="Z11" s="516"/>
      <c r="AA11" s="516"/>
      <c r="AB11" s="521" t="s">
        <v>1487</v>
      </c>
      <c r="AC11" s="516"/>
      <c r="AD11" s="492" t="str">
        <f>MID('Input data'!$B$8,1,1)</f>
        <v>0</v>
      </c>
      <c r="AE11" s="492" t="str">
        <f>MID('Input data'!$B$8,2,1)</f>
        <v>1</v>
      </c>
      <c r="AF11" s="492"/>
      <c r="AG11" s="492" t="str">
        <f>MID('Input data'!$B$9,1,1)</f>
        <v>2</v>
      </c>
      <c r="AH11" s="492" t="str">
        <f>MID('Input data'!$B$9,2,1)</f>
        <v>0</v>
      </c>
      <c r="AI11" s="492" t="str">
        <f>MID('Input data'!$B$9,3,1)</f>
        <v>1</v>
      </c>
      <c r="AJ11" s="492" t="str">
        <f>MID('Input data'!$B$9,4,1)</f>
        <v>3</v>
      </c>
      <c r="AK11" s="522"/>
    </row>
    <row r="12" spans="1:37" s="513" customFormat="1" ht="19.5" customHeight="1" x14ac:dyDescent="0.25">
      <c r="A12" s="454" t="s">
        <v>1488</v>
      </c>
      <c r="B12" s="516"/>
      <c r="C12" s="516"/>
      <c r="D12" s="516"/>
      <c r="E12" s="516"/>
      <c r="F12" s="516"/>
      <c r="G12" s="516"/>
      <c r="H12" s="450"/>
      <c r="I12" s="450"/>
      <c r="J12" s="449"/>
      <c r="K12" s="450"/>
      <c r="L12" s="529" t="str">
        <f>IF('Input data'!D7="x","x"," ")</f>
        <v>x</v>
      </c>
      <c r="M12" s="521" t="s">
        <v>1489</v>
      </c>
      <c r="N12" s="523"/>
      <c r="O12" s="523"/>
      <c r="P12" s="523"/>
      <c r="Q12" s="523"/>
      <c r="R12" s="529" t="str">
        <f>IF('Input data'!D16="x","x"," ")</f>
        <v>x</v>
      </c>
      <c r="S12" s="521" t="s">
        <v>1490</v>
      </c>
      <c r="T12" s="516"/>
      <c r="U12" s="516"/>
      <c r="V12" s="522"/>
      <c r="W12" s="873"/>
      <c r="X12" s="874"/>
      <c r="Y12" s="874"/>
      <c r="Z12" s="874"/>
      <c r="AA12" s="874"/>
      <c r="AB12" s="875" t="s">
        <v>1491</v>
      </c>
      <c r="AC12" s="874"/>
      <c r="AD12" s="876" t="str">
        <f>MID('Input data'!$B$13,1,1)</f>
        <v>1</v>
      </c>
      <c r="AE12" s="876" t="str">
        <f>MID('Input data'!$B$13,2,1)</f>
        <v>2</v>
      </c>
      <c r="AF12" s="876"/>
      <c r="AG12" s="876" t="str">
        <f>MID('Input data'!$B$14,1,1)</f>
        <v>2</v>
      </c>
      <c r="AH12" s="876" t="str">
        <f>MID('Input data'!$B$14,2,1)</f>
        <v>0</v>
      </c>
      <c r="AI12" s="876" t="str">
        <f>MID('Input data'!$B$14,3,1)</f>
        <v>1</v>
      </c>
      <c r="AJ12" s="876" t="str">
        <f>MID('Input data'!$B$14,4,1)</f>
        <v>3</v>
      </c>
      <c r="AK12" s="877"/>
    </row>
    <row r="13" spans="1:37" s="513" customFormat="1" ht="19.5" customHeight="1" x14ac:dyDescent="0.2">
      <c r="A13" s="527" t="str">
        <f>LEFT('Input data'!C26,1)</f>
        <v>3</v>
      </c>
      <c r="B13" s="492" t="str">
        <f>MID('Input data'!$C$26,2,1)</f>
        <v>5</v>
      </c>
      <c r="C13" s="492" t="str">
        <f>MID('Input data'!$C$26,3,1)</f>
        <v>8</v>
      </c>
      <c r="D13" s="492" t="str">
        <f>MID('Input data'!$C$26,4,1)</f>
        <v>9</v>
      </c>
      <c r="E13" s="492" t="str">
        <f>MID('Input data'!$C$26,5,1)</f>
        <v>6</v>
      </c>
      <c r="F13" s="492" t="str">
        <f>MID('Input data'!$C$26,6,1)</f>
        <v>2</v>
      </c>
      <c r="G13" s="492" t="str">
        <f>MID('Input data'!$C$26,7,1)</f>
        <v>8</v>
      </c>
      <c r="H13" s="492" t="str">
        <f>MID('Input data'!$C$26,8,1)</f>
        <v>1</v>
      </c>
      <c r="I13" s="450"/>
      <c r="J13" s="449"/>
      <c r="K13" s="450"/>
      <c r="L13" s="525" t="str">
        <f>IF('Input data'!D8="x","x", "")</f>
        <v/>
      </c>
      <c r="M13" s="521" t="s">
        <v>1492</v>
      </c>
      <c r="N13" s="523"/>
      <c r="O13" s="523"/>
      <c r="P13" s="523"/>
      <c r="Q13" s="523"/>
      <c r="R13" s="526" t="str">
        <f>IF('Input data'!D17="x","x"," ")</f>
        <v xml:space="preserve"> </v>
      </c>
      <c r="S13" s="521" t="s">
        <v>1493</v>
      </c>
      <c r="T13" s="516"/>
      <c r="U13" s="516"/>
      <c r="V13" s="522"/>
      <c r="W13" s="1491" t="s">
        <v>1494</v>
      </c>
      <c r="X13" s="1492"/>
      <c r="Y13" s="1492"/>
      <c r="Z13" s="1492"/>
      <c r="AA13" s="1492"/>
      <c r="AB13" s="523"/>
      <c r="AC13" s="450"/>
      <c r="AD13" s="525"/>
      <c r="AE13" s="525"/>
      <c r="AF13" s="525"/>
      <c r="AG13" s="525"/>
      <c r="AH13" s="525"/>
      <c r="AI13" s="525"/>
      <c r="AJ13" s="525"/>
      <c r="AK13" s="449"/>
    </row>
    <row r="14" spans="1:37" s="513" customFormat="1" ht="19.5" customHeight="1" x14ac:dyDescent="0.2">
      <c r="A14" s="454" t="s">
        <v>1165</v>
      </c>
      <c r="B14" s="516"/>
      <c r="C14" s="516"/>
      <c r="D14" s="516"/>
      <c r="E14" s="516"/>
      <c r="F14" s="516"/>
      <c r="G14" s="516"/>
      <c r="H14" s="516"/>
      <c r="I14" s="450"/>
      <c r="J14" s="449"/>
      <c r="K14" s="450"/>
      <c r="L14" s="450"/>
      <c r="M14" s="521"/>
      <c r="N14" s="523"/>
      <c r="O14" s="523"/>
      <c r="P14" s="523"/>
      <c r="Q14" s="523"/>
      <c r="R14" s="524" t="s">
        <v>1495</v>
      </c>
      <c r="S14" s="523"/>
      <c r="T14" s="516"/>
      <c r="U14" s="516"/>
      <c r="V14" s="522"/>
      <c r="W14" s="1493"/>
      <c r="X14" s="1494"/>
      <c r="Y14" s="1494"/>
      <c r="Z14" s="1494"/>
      <c r="AA14" s="1494"/>
      <c r="AB14" s="521" t="s">
        <v>1487</v>
      </c>
      <c r="AC14" s="450"/>
      <c r="AD14" s="492" t="str">
        <f>MID('Input data'!$B$18,1,1)</f>
        <v>0</v>
      </c>
      <c r="AE14" s="492" t="str">
        <f>MID('Input data'!$B$18,2,1)</f>
        <v>1</v>
      </c>
      <c r="AF14" s="492"/>
      <c r="AG14" s="492" t="str">
        <f>MID('Input data'!$B$19,1,1)</f>
        <v>2</v>
      </c>
      <c r="AH14" s="492" t="str">
        <f>MID('Input data'!$B$19,2,1)</f>
        <v>0</v>
      </c>
      <c r="AI14" s="492" t="str">
        <f>MID('Input data'!$B$19,3,1)</f>
        <v>1</v>
      </c>
      <c r="AJ14" s="492" t="str">
        <f>MID('Input data'!$B$19,4,1)</f>
        <v>2</v>
      </c>
      <c r="AK14" s="449"/>
    </row>
    <row r="15" spans="1:37" s="513" customFormat="1" ht="19.5" customHeight="1" thickBot="1" x14ac:dyDescent="0.25">
      <c r="A15" s="520" t="str">
        <f>'BS-SK Cover sheet'!A15</f>
        <v>7</v>
      </c>
      <c r="B15" s="445" t="str">
        <f>'BS-SK Cover sheet'!B15</f>
        <v>3</v>
      </c>
      <c r="C15" s="518" t="s">
        <v>1147</v>
      </c>
      <c r="D15" s="445" t="str">
        <f>'BS-SK Cover sheet'!D15</f>
        <v>1</v>
      </c>
      <c r="E15" s="445" t="str">
        <f>'BS-SK Cover sheet'!E15</f>
        <v>1</v>
      </c>
      <c r="F15" s="518" t="s">
        <v>1147</v>
      </c>
      <c r="G15" s="445" t="str">
        <f>'BS-SK Cover sheet'!G15</f>
        <v>0</v>
      </c>
      <c r="H15" s="445"/>
      <c r="I15" s="445"/>
      <c r="J15" s="444"/>
      <c r="K15" s="445"/>
      <c r="L15" s="445"/>
      <c r="M15" s="445"/>
      <c r="N15" s="445"/>
      <c r="O15" s="445"/>
      <c r="P15" s="445"/>
      <c r="Q15" s="445"/>
      <c r="R15" s="445"/>
      <c r="S15" s="445"/>
      <c r="T15" s="518"/>
      <c r="U15" s="518"/>
      <c r="V15" s="519"/>
      <c r="W15" s="1495"/>
      <c r="X15" s="1496"/>
      <c r="Y15" s="1496"/>
      <c r="Z15" s="1496"/>
      <c r="AA15" s="1496"/>
      <c r="AB15" s="517" t="s">
        <v>1491</v>
      </c>
      <c r="AC15" s="445"/>
      <c r="AD15" s="490" t="str">
        <f>MID('Input data'!$B$21,1,1)</f>
        <v>1</v>
      </c>
      <c r="AE15" s="490" t="str">
        <f>MID('Input data'!$B$21,2,1)</f>
        <v>2</v>
      </c>
      <c r="AF15" s="490"/>
      <c r="AG15" s="490" t="str">
        <f>MID('Input data'!$B$22,1,1)</f>
        <v>2</v>
      </c>
      <c r="AH15" s="490" t="str">
        <f>MID('Input data'!$B$22,2,1)</f>
        <v>0</v>
      </c>
      <c r="AI15" s="490" t="str">
        <f>MID('Input data'!$B$22,3,1)</f>
        <v>1</v>
      </c>
      <c r="AJ15" s="490" t="str">
        <f>MID('Input data'!$B$22,4,1)</f>
        <v>2</v>
      </c>
      <c r="AK15" s="444"/>
    </row>
    <row r="16" spans="1:37" s="513" customFormat="1" ht="4.5" customHeight="1" x14ac:dyDescent="0.25">
      <c r="A16" s="516"/>
      <c r="B16" s="516"/>
      <c r="C16" s="516"/>
      <c r="D16" s="516"/>
      <c r="E16" s="516"/>
      <c r="F16" s="516"/>
      <c r="G16" s="516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516"/>
      <c r="U16" s="516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</row>
    <row r="17" spans="1:50" s="513" customFormat="1" ht="3" customHeight="1" thickBot="1" x14ac:dyDescent="0.3"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3"/>
      <c r="AG17" s="443"/>
      <c r="AH17" s="443"/>
      <c r="AI17" s="443"/>
      <c r="AJ17" s="443"/>
      <c r="AK17" s="443"/>
    </row>
    <row r="18" spans="1:50" s="513" customFormat="1" ht="16.5" x14ac:dyDescent="0.25">
      <c r="A18" s="515" t="s">
        <v>1496</v>
      </c>
      <c r="B18" s="514"/>
      <c r="C18" s="514"/>
      <c r="D18" s="514"/>
      <c r="E18" s="514"/>
      <c r="F18" s="514"/>
      <c r="G18" s="514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514"/>
      <c r="U18" s="514"/>
      <c r="V18" s="514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7"/>
    </row>
    <row r="19" spans="1:50" s="443" customFormat="1" ht="19.5" customHeight="1" x14ac:dyDescent="0.25">
      <c r="A19" s="500" t="str">
        <f>+LEFT('Input data'!$F$3,1)</f>
        <v>V</v>
      </c>
      <c r="B19" s="492" t="str">
        <f>+MID('Input data'!$F$3,2,1)</f>
        <v>i</v>
      </c>
      <c r="C19" s="492" t="str">
        <f>+MID('Input data'!$F$3,3,1)</f>
        <v>z</v>
      </c>
      <c r="D19" s="492" t="str">
        <f>+MID('Input data'!$F$3,4,1)</f>
        <v>e</v>
      </c>
      <c r="E19" s="492" t="str">
        <f>+MID('Input data'!$F$3,5,1)</f>
        <v>u</v>
      </c>
      <c r="F19" s="492" t="str">
        <f>+MID('Input data'!$F$3,6,1)</f>
        <v>m</v>
      </c>
      <c r="G19" s="492" t="str">
        <f>+MID('Input data'!$F$3,7,1)</f>
        <v xml:space="preserve"> </v>
      </c>
      <c r="H19" s="492" t="str">
        <f>+MID('Input data'!$F$3,8,1)</f>
        <v>S</v>
      </c>
      <c r="I19" s="492" t="str">
        <f>+MID('Input data'!$F$3,9,1)</f>
        <v>l</v>
      </c>
      <c r="J19" s="492" t="str">
        <f>+MID('Input data'!$F$3,10,1)</f>
        <v>o</v>
      </c>
      <c r="K19" s="492" t="str">
        <f>+MID('Input data'!$F$3,11,1)</f>
        <v>v</v>
      </c>
      <c r="L19" s="492" t="str">
        <f>+MID('Input data'!$F$3,12,1)</f>
        <v>a</v>
      </c>
      <c r="M19" s="492" t="str">
        <f>+MID('Input data'!$F$3,13,1)</f>
        <v>k</v>
      </c>
      <c r="N19" s="492" t="str">
        <f>+MID('Input data'!$F$3,14,1)</f>
        <v>i</v>
      </c>
      <c r="O19" s="492" t="str">
        <f>+MID('Input data'!$F$3,15,1)</f>
        <v>a</v>
      </c>
      <c r="P19" s="492" t="str">
        <f>+MID('Input data'!$F$3,16,1)</f>
        <v>,</v>
      </c>
      <c r="Q19" s="492" t="str">
        <f>+MID('Input data'!$F$3,17,1)</f>
        <v xml:space="preserve"> </v>
      </c>
      <c r="R19" s="492" t="str">
        <f>+MID('Input data'!$F$3,18,1)</f>
        <v>s</v>
      </c>
      <c r="S19" s="492" t="str">
        <f>+MID('Input data'!$F$3,19,1)</f>
        <v>.</v>
      </c>
      <c r="T19" s="492" t="str">
        <f>+MID('Input data'!$F$3,20,1)</f>
        <v>r</v>
      </c>
      <c r="U19" s="492" t="str">
        <f>+MID('Input data'!$F$3,21,1)</f>
        <v>.</v>
      </c>
      <c r="V19" s="492" t="str">
        <f>+MID('Input data'!$F$3,22,1)</f>
        <v>o</v>
      </c>
      <c r="W19" s="492" t="str">
        <f>+MID('Input data'!$F$3,23,1)</f>
        <v>.</v>
      </c>
      <c r="X19" s="492" t="str">
        <f>+MID('Input data'!$F$3,24,1)</f>
        <v/>
      </c>
      <c r="Y19" s="492" t="str">
        <f>+MID('Input data'!$F$3,25,1)</f>
        <v/>
      </c>
      <c r="Z19" s="492" t="str">
        <f>+MID('Input data'!$F$3,26,1)</f>
        <v/>
      </c>
      <c r="AA19" s="492" t="str">
        <f>+MID('Input data'!$F$3,27,1)</f>
        <v/>
      </c>
      <c r="AB19" s="492" t="str">
        <f>+MID('Input data'!$F$3,28,1)</f>
        <v/>
      </c>
      <c r="AC19" s="492" t="str">
        <f>+MID('Input data'!$F$3,29,1)</f>
        <v/>
      </c>
      <c r="AD19" s="492" t="str">
        <f>+MID('Input data'!$F$3,30,1)</f>
        <v/>
      </c>
      <c r="AE19" s="492" t="str">
        <f>+MID('Input data'!$F$3,31,1)</f>
        <v/>
      </c>
      <c r="AF19" s="492" t="str">
        <f>+MID('Input data'!$F$3,32,1)</f>
        <v/>
      </c>
      <c r="AG19" s="492" t="str">
        <f>+MID('Input data'!$F$3,33,1)</f>
        <v/>
      </c>
      <c r="AH19" s="492" t="str">
        <f>+MID('Input data'!$E$3,34,1)</f>
        <v/>
      </c>
      <c r="AI19" s="492" t="str">
        <f>+MID('Input data'!$E$3,35,1)</f>
        <v/>
      </c>
      <c r="AJ19" s="492" t="str">
        <f>+MID('Input data'!$E$3,36,1)</f>
        <v/>
      </c>
      <c r="AK19" s="499" t="str">
        <f>+MID('Input data'!$E$3,37,1)</f>
        <v/>
      </c>
      <c r="AL19" s="513"/>
      <c r="AM19" s="513"/>
      <c r="AN19" s="513"/>
    </row>
    <row r="20" spans="1:50" s="583" customFormat="1" ht="19.5" customHeight="1" x14ac:dyDescent="0.25">
      <c r="A20" s="878" t="str">
        <f>+MID('Input data'!$E$3,38,1)</f>
        <v/>
      </c>
      <c r="B20" s="525" t="str">
        <f>+MID('Input data'!$E$3,39,1)</f>
        <v/>
      </c>
      <c r="C20" s="525" t="str">
        <f>+MID('Input data'!$E$3,40,1)</f>
        <v/>
      </c>
      <c r="D20" s="525" t="str">
        <f>+MID('Input data'!$E$3,41,1)</f>
        <v/>
      </c>
      <c r="E20" s="525" t="str">
        <f>+MID('Input data'!$E$3,42,1)</f>
        <v/>
      </c>
      <c r="F20" s="525" t="str">
        <f>+MID('Input data'!$E$3,43,1)</f>
        <v/>
      </c>
      <c r="G20" s="525" t="str">
        <f>+MID('Input data'!$E$3,44,1)</f>
        <v/>
      </c>
      <c r="H20" s="525" t="str">
        <f>+MID('Input data'!$E$3,45,1)</f>
        <v/>
      </c>
      <c r="I20" s="525" t="str">
        <f>+MID('Input data'!$E$3,46,1)</f>
        <v/>
      </c>
      <c r="J20" s="525" t="str">
        <f>+MID('Input data'!$E$3,47,1)</f>
        <v/>
      </c>
      <c r="K20" s="525" t="str">
        <f>+MID('Input data'!$E$3,48,1)</f>
        <v/>
      </c>
      <c r="L20" s="525" t="str">
        <f>+MID('Input data'!$E$3,49,1)</f>
        <v/>
      </c>
      <c r="M20" s="525" t="str">
        <f>+MID('Input data'!$E$3,50,1)</f>
        <v/>
      </c>
      <c r="N20" s="525" t="str">
        <f>+MID('Input data'!$E$3,51,1)</f>
        <v/>
      </c>
      <c r="O20" s="525" t="str">
        <f>+MID('Input data'!$E$3,52,1)</f>
        <v/>
      </c>
      <c r="P20" s="525" t="str">
        <f>+MID('Input data'!$E$3,53,1)</f>
        <v/>
      </c>
      <c r="Q20" s="525" t="str">
        <f>+MID('Input data'!$E$3,54,1)</f>
        <v/>
      </c>
      <c r="R20" s="525" t="str">
        <f>+MID('Input data'!$E$3,55,1)</f>
        <v/>
      </c>
      <c r="S20" s="525" t="str">
        <f>+MID('Input data'!$E$3,56,1)</f>
        <v/>
      </c>
      <c r="T20" s="525" t="str">
        <f>+MID('Input data'!$E$3,57,1)</f>
        <v/>
      </c>
      <c r="U20" s="525" t="str">
        <f>+MID('Input data'!$E$3,58,1)</f>
        <v/>
      </c>
      <c r="V20" s="525" t="str">
        <f>+MID('Input data'!$E$3,59,1)</f>
        <v/>
      </c>
      <c r="W20" s="525" t="str">
        <f>+MID('Input data'!$E$3,60,1)</f>
        <v/>
      </c>
      <c r="X20" s="525" t="str">
        <f>+MID('Input data'!$E$3,61,1)</f>
        <v/>
      </c>
      <c r="Y20" s="525" t="str">
        <f>+MID('Input data'!$E$3,62,1)</f>
        <v/>
      </c>
      <c r="Z20" s="525" t="str">
        <f>+MID('Input data'!$E$3,63,1)</f>
        <v/>
      </c>
      <c r="AA20" s="525" t="str">
        <f>+MID('Input data'!$E$3,64,1)</f>
        <v/>
      </c>
      <c r="AB20" s="525" t="str">
        <f>+MID('Input data'!$E$3,65,1)</f>
        <v/>
      </c>
      <c r="AC20" s="525" t="str">
        <f>+MID('Input data'!$E$3,66,1)</f>
        <v/>
      </c>
      <c r="AD20" s="525" t="str">
        <f>+MID('Input data'!$E$3,67,1)</f>
        <v/>
      </c>
      <c r="AE20" s="525" t="str">
        <f>+MID('Input data'!$E$3,68,1)</f>
        <v/>
      </c>
      <c r="AF20" s="525" t="str">
        <f>+MID('Input data'!$E$3,69,1)</f>
        <v/>
      </c>
      <c r="AG20" s="525" t="str">
        <f>+MID('Input data'!$E$3,70,1)</f>
        <v/>
      </c>
      <c r="AH20" s="525" t="str">
        <f>+MID('Input data'!$E$3,71,1)</f>
        <v/>
      </c>
      <c r="AI20" s="525" t="str">
        <f>+MID('Input data'!$E$3,72,1)</f>
        <v/>
      </c>
      <c r="AJ20" s="525" t="str">
        <f>+MID('Input data'!$E$3,73,1)</f>
        <v/>
      </c>
      <c r="AK20" s="879" t="str">
        <f>+MID('Input data'!$E$3,74,1)</f>
        <v/>
      </c>
      <c r="AL20" s="441"/>
      <c r="AM20" s="441"/>
      <c r="AN20" s="441"/>
    </row>
    <row r="21" spans="1:50" s="501" customFormat="1" ht="14.25" customHeight="1" x14ac:dyDescent="0.25">
      <c r="A21" s="505" t="s">
        <v>1497</v>
      </c>
      <c r="B21" s="504"/>
      <c r="C21" s="504"/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3"/>
      <c r="X21" s="503"/>
      <c r="Y21" s="503"/>
      <c r="Z21" s="503"/>
      <c r="AA21" s="503"/>
      <c r="AB21" s="503"/>
      <c r="AC21" s="503"/>
      <c r="AD21" s="503"/>
      <c r="AE21" s="503"/>
      <c r="AF21" s="503"/>
      <c r="AG21" s="503"/>
      <c r="AH21" s="503"/>
      <c r="AI21" s="503"/>
      <c r="AJ21" s="503"/>
      <c r="AK21" s="502"/>
    </row>
    <row r="22" spans="1:50" x14ac:dyDescent="0.25">
      <c r="A22" s="497" t="s">
        <v>1498</v>
      </c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5"/>
      <c r="N22" s="455"/>
      <c r="O22" s="455"/>
      <c r="P22" s="455"/>
      <c r="Q22" s="455"/>
      <c r="R22" s="455"/>
      <c r="S22" s="455"/>
      <c r="T22" s="455"/>
      <c r="U22" s="455"/>
      <c r="V22" s="455"/>
      <c r="W22" s="450"/>
      <c r="X22" s="450"/>
      <c r="Y22" s="450"/>
      <c r="Z22" s="450"/>
      <c r="AA22" s="450"/>
      <c r="AB22" s="455"/>
      <c r="AC22" s="450"/>
      <c r="AD22" s="453" t="s">
        <v>1499</v>
      </c>
      <c r="AE22" s="450"/>
      <c r="AF22" s="450"/>
      <c r="AG22" s="450"/>
      <c r="AH22" s="450"/>
      <c r="AI22" s="450"/>
      <c r="AJ22" s="450"/>
      <c r="AK22" s="449"/>
    </row>
    <row r="23" spans="1:50" s="582" customFormat="1" ht="19.5" customHeight="1" x14ac:dyDescent="0.25">
      <c r="A23" s="500" t="str">
        <f>+LEFT('Input data'!$C$28,1)</f>
        <v>T</v>
      </c>
      <c r="B23" s="492" t="str">
        <f>+MID('Input data'!$C$28,2,1)</f>
        <v>e</v>
      </c>
      <c r="C23" s="492" t="str">
        <f>+MID('Input data'!$C$28,3,1)</f>
        <v>s</v>
      </c>
      <c r="D23" s="492" t="str">
        <f>+MID('Input data'!$C$28,4,1)</f>
        <v>l</v>
      </c>
      <c r="E23" s="492" t="str">
        <f>+MID('Input data'!$C$28,5,1)</f>
        <v>o</v>
      </c>
      <c r="F23" s="492" t="str">
        <f>+MID('Input data'!$C$28,6,1)</f>
        <v>v</v>
      </c>
      <c r="G23" s="492" t="str">
        <f>+MID('Input data'!$C$28,7,1)</f>
        <v>a</v>
      </c>
      <c r="H23" s="492" t="str">
        <f>+MID('Input data'!$C$28,8,1)</f>
        <v/>
      </c>
      <c r="I23" s="492" t="str">
        <f>+MID('Input data'!$C$28,9,1)</f>
        <v/>
      </c>
      <c r="J23" s="492" t="str">
        <f>+MID('Input data'!$C$28,10,1)</f>
        <v/>
      </c>
      <c r="K23" s="492" t="str">
        <f>+MID('Input data'!$C$28,11,1)</f>
        <v/>
      </c>
      <c r="L23" s="492" t="str">
        <f>+MID('Input data'!$C$28,12,1)</f>
        <v/>
      </c>
      <c r="M23" s="492" t="str">
        <f>+MID('Input data'!$C$28,13,1)</f>
        <v/>
      </c>
      <c r="N23" s="492" t="str">
        <f>+MID('Input data'!$C$28,14,1)</f>
        <v/>
      </c>
      <c r="O23" s="492" t="str">
        <f>+MID('Input data'!$C$28,15,1)</f>
        <v/>
      </c>
      <c r="P23" s="492" t="str">
        <f>+MID('Input data'!$C$28,16,1)</f>
        <v/>
      </c>
      <c r="Q23" s="492" t="str">
        <f>+MID('Input data'!$C$28,17,1)</f>
        <v/>
      </c>
      <c r="R23" s="492" t="str">
        <f>+MID('Input data'!$C$28,18,1)</f>
        <v/>
      </c>
      <c r="S23" s="492" t="str">
        <f>+MID('Input data'!$C$28,19,1)</f>
        <v/>
      </c>
      <c r="T23" s="492" t="str">
        <f>+MID('Input data'!$C$28,20,1)</f>
        <v/>
      </c>
      <c r="U23" s="492" t="str">
        <f>+MID('Input data'!$C$28,21,1)</f>
        <v/>
      </c>
      <c r="V23" s="492" t="str">
        <f>+MID('Input data'!$C$28,22,1)</f>
        <v/>
      </c>
      <c r="W23" s="492" t="str">
        <f>+MID('Input data'!$C$28,23,1)</f>
        <v/>
      </c>
      <c r="X23" s="492" t="str">
        <f>+MID('Input data'!$C$28,24,1)</f>
        <v/>
      </c>
      <c r="Y23" s="492" t="str">
        <f>+MID('Input data'!$C$28,25,1)</f>
        <v/>
      </c>
      <c r="Z23" s="492" t="str">
        <f>+MID('Input data'!$C$28,26,1)</f>
        <v/>
      </c>
      <c r="AA23" s="492" t="str">
        <f>+MID('Input data'!$C$28,27,1)</f>
        <v/>
      </c>
      <c r="AB23" s="492" t="str">
        <f>+MID('Input data'!$C$28,28,1)</f>
        <v/>
      </c>
      <c r="AC23" s="494"/>
      <c r="AD23" s="492" t="str">
        <f>+LEFT('Input data'!$C$30,1)</f>
        <v>2</v>
      </c>
      <c r="AE23" s="492" t="str">
        <f>+MID('Input data'!$C$30,2,1)</f>
        <v>0</v>
      </c>
      <c r="AF23" s="492" t="str">
        <f>+MID('Input data'!$C$30,3,1)</f>
        <v/>
      </c>
      <c r="AG23" s="492" t="str">
        <f>+MID('Input data'!$C$30,4,1)</f>
        <v/>
      </c>
      <c r="AH23" s="492" t="str">
        <f>+MID('Input data'!$C$30,5,1)</f>
        <v/>
      </c>
      <c r="AI23" s="492" t="str">
        <f>+MID('Input data'!$C$30,6,1)</f>
        <v/>
      </c>
      <c r="AJ23" s="492" t="str">
        <f>+MID('Input data'!$C$30,7,1)</f>
        <v/>
      </c>
      <c r="AK23" s="499" t="str">
        <f>+MID('Input data'!$C$30,8,1)</f>
        <v/>
      </c>
    </row>
    <row r="24" spans="1:50" x14ac:dyDescent="0.25">
      <c r="A24" s="497" t="s">
        <v>1500</v>
      </c>
      <c r="B24" s="455"/>
      <c r="C24" s="455"/>
      <c r="D24" s="455"/>
      <c r="E24" s="455"/>
      <c r="F24" s="455"/>
      <c r="G24" s="496" t="s">
        <v>1501</v>
      </c>
      <c r="H24" s="496"/>
      <c r="I24" s="496"/>
      <c r="J24" s="496"/>
      <c r="K24" s="496"/>
      <c r="L24" s="496"/>
      <c r="M24" s="496"/>
      <c r="N24" s="496"/>
      <c r="O24" s="496"/>
      <c r="P24" s="496"/>
      <c r="Q24" s="496"/>
      <c r="R24" s="496"/>
      <c r="S24" s="496"/>
      <c r="T24" s="496"/>
      <c r="U24" s="496"/>
      <c r="V24" s="496"/>
      <c r="W24" s="496"/>
      <c r="X24" s="496"/>
      <c r="Y24" s="496"/>
      <c r="Z24" s="496"/>
      <c r="AA24" s="496"/>
      <c r="AB24" s="496"/>
      <c r="AC24" s="496"/>
      <c r="AD24" s="496"/>
      <c r="AE24" s="450"/>
      <c r="AF24" s="450"/>
      <c r="AG24" s="450"/>
      <c r="AH24" s="450"/>
      <c r="AI24" s="450"/>
      <c r="AJ24" s="450"/>
      <c r="AK24" s="449"/>
    </row>
    <row r="25" spans="1:50" s="582" customFormat="1" ht="19.5" customHeight="1" x14ac:dyDescent="0.25">
      <c r="A25" s="500" t="str">
        <f>+LEFT('Input data'!$C$32,1)</f>
        <v>8</v>
      </c>
      <c r="B25" s="492" t="str">
        <f>+MID('Input data'!$C$32,2,1)</f>
        <v>2</v>
      </c>
      <c r="C25" s="492" t="str">
        <f>+MID('Input data'!$C$32,3,1)</f>
        <v>1</v>
      </c>
      <c r="D25" s="492" t="str">
        <f>+MID('Input data'!$C$32,4,1)</f>
        <v>0</v>
      </c>
      <c r="E25" s="492" t="str">
        <f>+MID('Input data'!$C$32,5,1)</f>
        <v>2</v>
      </c>
      <c r="F25" s="492"/>
      <c r="G25" s="492" t="str">
        <f>+LEFT('Input data'!$C$34,1)</f>
        <v>B</v>
      </c>
      <c r="H25" s="492" t="str">
        <f>+MID('Input data'!$C$34,2,1)</f>
        <v>r</v>
      </c>
      <c r="I25" s="492" t="str">
        <f>+MID('Input data'!$C$34,3,1)</f>
        <v>a</v>
      </c>
      <c r="J25" s="492" t="str">
        <f>+MID('Input data'!$C$34,4,1)</f>
        <v>t</v>
      </c>
      <c r="K25" s="492" t="str">
        <f>+MID('Input data'!$C$34,5,1)</f>
        <v>u</v>
      </c>
      <c r="L25" s="492" t="str">
        <f>+MID('Input data'!$C$34,6,1)</f>
        <v>s</v>
      </c>
      <c r="M25" s="492" t="str">
        <f>+MID('Input data'!$C$34,7,1)</f>
        <v>l</v>
      </c>
      <c r="N25" s="492" t="str">
        <f>+MID('Input data'!$C$34,8,1)</f>
        <v>a</v>
      </c>
      <c r="O25" s="492" t="str">
        <f>+MID('Input data'!$C$34,9,1)</f>
        <v>v</v>
      </c>
      <c r="P25" s="492" t="str">
        <f>+MID('Input data'!$C$34,10,1)</f>
        <v>a</v>
      </c>
      <c r="Q25" s="492" t="str">
        <f>+MID('Input data'!$C$34,11,1)</f>
        <v/>
      </c>
      <c r="R25" s="492" t="str">
        <f>+MID('Input data'!$C$34,12,1)</f>
        <v/>
      </c>
      <c r="S25" s="492" t="str">
        <f>+MID('Input data'!$C$34,13,1)</f>
        <v/>
      </c>
      <c r="T25" s="492" t="str">
        <f>+MID('Input data'!$C$34,14,1)</f>
        <v/>
      </c>
      <c r="U25" s="492" t="str">
        <f>+MID('Input data'!$C$34,15,1)</f>
        <v/>
      </c>
      <c r="V25" s="492" t="str">
        <f>+MID('Input data'!$C$34,16,1)</f>
        <v/>
      </c>
      <c r="W25" s="492" t="str">
        <f>+MID('Input data'!$C$34,17,1)</f>
        <v/>
      </c>
      <c r="X25" s="492" t="str">
        <f>+MID('Input data'!$C$34,18,1)</f>
        <v/>
      </c>
      <c r="Y25" s="492" t="str">
        <f>+MID('Input data'!$C$34,19,1)</f>
        <v/>
      </c>
      <c r="Z25" s="492" t="str">
        <f>+MID('Input data'!$C$34,20,1)</f>
        <v/>
      </c>
      <c r="AA25" s="492" t="str">
        <f>+MID('Input data'!$C$34,21,1)</f>
        <v/>
      </c>
      <c r="AB25" s="492" t="str">
        <f>+MID('Input data'!$C$34,22,1)</f>
        <v/>
      </c>
      <c r="AC25" s="492" t="str">
        <f>+MID('Input data'!$C$34,23,1)</f>
        <v/>
      </c>
      <c r="AD25" s="492" t="str">
        <f>+MID('Input data'!$C$34,24,1)</f>
        <v/>
      </c>
      <c r="AE25" s="492" t="str">
        <f>+MID('Input data'!$C$34,25,1)</f>
        <v/>
      </c>
      <c r="AF25" s="492" t="str">
        <f>+MID('Input data'!$C$34,26,1)</f>
        <v/>
      </c>
      <c r="AG25" s="492" t="str">
        <f>+MID('Input data'!$C$34,27,1)</f>
        <v/>
      </c>
      <c r="AH25" s="492" t="str">
        <f>+MID('Input data'!$C$34,28,1)</f>
        <v/>
      </c>
      <c r="AI25" s="492" t="str">
        <f>+MID('Input data'!$C$34,29,1)</f>
        <v/>
      </c>
      <c r="AJ25" s="492" t="str">
        <f>+MID('Input data'!$C$34,30,1)</f>
        <v/>
      </c>
      <c r="AK25" s="499" t="str">
        <f>+MID('Input data'!$C$34,31,1)</f>
        <v/>
      </c>
    </row>
    <row r="26" spans="1:50" x14ac:dyDescent="0.25">
      <c r="A26" s="497" t="s">
        <v>1502</v>
      </c>
      <c r="B26" s="455"/>
      <c r="C26" s="455"/>
      <c r="D26" s="455"/>
      <c r="E26" s="455"/>
      <c r="F26" s="455"/>
      <c r="G26" s="496"/>
      <c r="H26" s="496"/>
      <c r="I26" s="496"/>
      <c r="J26" s="496"/>
      <c r="K26" s="496"/>
      <c r="L26" s="496"/>
      <c r="M26" s="496"/>
      <c r="N26" s="455"/>
      <c r="O26" s="496" t="s">
        <v>1503</v>
      </c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49"/>
    </row>
    <row r="27" spans="1:50" s="582" customFormat="1" ht="19.5" customHeight="1" x14ac:dyDescent="0.25">
      <c r="A27" s="495">
        <v>0</v>
      </c>
      <c r="B27" s="492" t="str">
        <f>+LEFT('Input data'!$C$36,1)</f>
        <v>2</v>
      </c>
      <c r="C27" s="492" t="str">
        <f>+MID('Input data'!$C$36,2,1)</f>
        <v/>
      </c>
      <c r="D27" s="492" t="str">
        <f>+MID('Input data'!$C$36,3,1)</f>
        <v/>
      </c>
      <c r="E27" s="492" t="s">
        <v>1176</v>
      </c>
      <c r="F27" s="492" t="str">
        <f>+LEFT('Input data'!$C$38,1)</f>
        <v>4</v>
      </c>
      <c r="G27" s="492" t="str">
        <f>+MID('Input data'!$C$38,2,1)</f>
        <v>9</v>
      </c>
      <c r="H27" s="492" t="str">
        <f>+MID('Input data'!$C$38,3,1)</f>
        <v>3</v>
      </c>
      <c r="I27" s="492" t="str">
        <f>+MID('Input data'!$C$38,4,1)</f>
        <v>0</v>
      </c>
      <c r="J27" s="492" t="str">
        <f>+MID('Input data'!$C$38,5,1)</f>
        <v>0</v>
      </c>
      <c r="K27" s="492" t="str">
        <f>+MID('Input data'!$C$38,6,1)</f>
        <v>5</v>
      </c>
      <c r="L27" s="492" t="str">
        <f>+MID('Input data'!$C$38,7,1)</f>
        <v>1</v>
      </c>
      <c r="M27" s="492" t="str">
        <f>+MID('Input data'!$C$38,8,1)</f>
        <v>3</v>
      </c>
      <c r="N27" s="494"/>
      <c r="O27" s="493">
        <v>0</v>
      </c>
      <c r="P27" s="492" t="str">
        <f>+LEFT('Input data'!$C$36,1)</f>
        <v>2</v>
      </c>
      <c r="Q27" s="492" t="str">
        <f>+MID('Input data'!$C$36,2,1)</f>
        <v/>
      </c>
      <c r="R27" s="492" t="str">
        <f>+MID('Input data'!$C$36,3,1)</f>
        <v/>
      </c>
      <c r="S27" s="492" t="s">
        <v>1176</v>
      </c>
      <c r="T27" s="492" t="str">
        <f>+LEFT('Input data'!$C$40,1)</f>
        <v>4</v>
      </c>
      <c r="U27" s="492" t="str">
        <f>+MID('Input data'!$C$40,2,1)</f>
        <v>9</v>
      </c>
      <c r="V27" s="492" t="str">
        <f>+MID('Input data'!$C$40,3,1)</f>
        <v>3</v>
      </c>
      <c r="W27" s="492" t="str">
        <f>+MID('Input data'!$C$40,4,1)</f>
        <v>0</v>
      </c>
      <c r="X27" s="492" t="str">
        <f>+MID('Input data'!$C$40,5,1)</f>
        <v>0</v>
      </c>
      <c r="Y27" s="492" t="str">
        <f>+MID('Input data'!$C$40,6,1)</f>
        <v>5</v>
      </c>
      <c r="Z27" s="492" t="str">
        <f>+MID('Input data'!$C$40,7,1)</f>
        <v>5</v>
      </c>
      <c r="AA27" s="492" t="str">
        <f>+MID('Input data'!$C$40,8,1)</f>
        <v>0</v>
      </c>
      <c r="AB27" s="492"/>
      <c r="AC27" s="492"/>
      <c r="AD27" s="492"/>
      <c r="AE27" s="450"/>
      <c r="AF27" s="450"/>
      <c r="AG27" s="450"/>
      <c r="AH27" s="450"/>
      <c r="AI27" s="450"/>
      <c r="AJ27" s="450"/>
      <c r="AK27" s="449"/>
    </row>
    <row r="28" spans="1:50" s="442" customFormat="1" x14ac:dyDescent="0.25">
      <c r="A28" s="454" t="s">
        <v>1504</v>
      </c>
      <c r="B28" s="453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  <c r="O28" s="453"/>
      <c r="P28" s="453"/>
      <c r="Q28" s="453"/>
      <c r="R28" s="453"/>
      <c r="S28" s="453"/>
      <c r="T28" s="453"/>
      <c r="U28" s="453"/>
      <c r="V28" s="453"/>
      <c r="W28" s="450"/>
      <c r="X28" s="450"/>
      <c r="Y28" s="450"/>
      <c r="Z28" s="450"/>
      <c r="AA28" s="450"/>
      <c r="AB28" s="450"/>
      <c r="AC28" s="450"/>
      <c r="AD28" s="450"/>
      <c r="AE28" s="450"/>
      <c r="AF28" s="450"/>
      <c r="AG28" s="450"/>
      <c r="AH28" s="450"/>
      <c r="AI28" s="450"/>
      <c r="AJ28" s="450"/>
      <c r="AK28" s="449"/>
    </row>
    <row r="29" spans="1:50" s="582" customFormat="1" ht="19.5" customHeight="1" thickBot="1" x14ac:dyDescent="0.3">
      <c r="A29" s="491" t="str">
        <f>+LEFT('Input data'!$B$42,1)</f>
        <v/>
      </c>
      <c r="B29" s="490" t="str">
        <f>+MID('Input data'!$B$42,2,1)</f>
        <v/>
      </c>
      <c r="C29" s="490" t="str">
        <f>+MID('Input data'!$B$42,3,1)</f>
        <v/>
      </c>
      <c r="D29" s="490" t="str">
        <f>+MID('Input data'!$B$42,4,1)</f>
        <v/>
      </c>
      <c r="E29" s="490" t="str">
        <f>+MID('Input data'!$B$42,5,1)</f>
        <v/>
      </c>
      <c r="F29" s="490" t="str">
        <f>+MID('Input data'!$B$42,6,1)</f>
        <v/>
      </c>
      <c r="G29" s="490" t="str">
        <f>+MID('Input data'!$B$42,7,1)</f>
        <v/>
      </c>
      <c r="H29" s="490" t="str">
        <f>+MID('Input data'!$B$42,8,1)</f>
        <v/>
      </c>
      <c r="I29" s="490" t="str">
        <f>+MID('Input data'!$B$42,9,1)</f>
        <v/>
      </c>
      <c r="J29" s="490" t="str">
        <f>+MID('Input data'!$B$42,10,1)</f>
        <v/>
      </c>
      <c r="K29" s="490" t="str">
        <f>+MID('Input data'!$B$42,11,1)</f>
        <v/>
      </c>
      <c r="L29" s="490" t="str">
        <f>+MID('Input data'!$B$42,12,1)</f>
        <v/>
      </c>
      <c r="M29" s="490" t="str">
        <f>+MID('Input data'!$B$42,13,1)</f>
        <v/>
      </c>
      <c r="N29" s="490" t="str">
        <f>+MID('Input data'!$B$42,14,1)</f>
        <v/>
      </c>
      <c r="O29" s="490" t="str">
        <f>+MID('Input data'!$B$42,15,1)</f>
        <v/>
      </c>
      <c r="P29" s="490" t="str">
        <f>+MID('Input data'!$B$42,16,1)</f>
        <v/>
      </c>
      <c r="Q29" s="490" t="str">
        <f>+MID('Input data'!$B$42,17,1)</f>
        <v/>
      </c>
      <c r="R29" s="490" t="str">
        <f>+MID('Input data'!$B$42,18,1)</f>
        <v/>
      </c>
      <c r="S29" s="490" t="str">
        <f>+MID('Input data'!$B$42,19,1)</f>
        <v/>
      </c>
      <c r="T29" s="490" t="str">
        <f>+MID('Input data'!$B$42,20,1)</f>
        <v/>
      </c>
      <c r="U29" s="490" t="str">
        <f>+MID('Input data'!$B$42,21,1)</f>
        <v/>
      </c>
      <c r="V29" s="490" t="str">
        <f>+MID('Input data'!$B$42,22,1)</f>
        <v/>
      </c>
      <c r="W29" s="490" t="str">
        <f>+MID('Input data'!$B$42,23,1)</f>
        <v/>
      </c>
      <c r="X29" s="490" t="str">
        <f>+MID('Input data'!$B$42,24,1)</f>
        <v/>
      </c>
      <c r="Y29" s="490" t="str">
        <f>+MID('Input data'!$B$42,25,1)</f>
        <v/>
      </c>
      <c r="Z29" s="490" t="str">
        <f>+MID('Input data'!$B$42,26,1)</f>
        <v/>
      </c>
      <c r="AA29" s="490" t="str">
        <f>+MID('Input data'!$B$42,27,1)</f>
        <v/>
      </c>
      <c r="AB29" s="490" t="str">
        <f>+MID('Input data'!$B$42,28,1)</f>
        <v/>
      </c>
      <c r="AC29" s="490" t="str">
        <f>+MID('Input data'!$B$42,29,1)</f>
        <v/>
      </c>
      <c r="AD29" s="490" t="str">
        <f>+MID('Input data'!$B$42,30,1)</f>
        <v/>
      </c>
      <c r="AE29" s="490" t="str">
        <f>+MID('Input data'!$B$42,31,1)</f>
        <v/>
      </c>
      <c r="AF29" s="490" t="str">
        <f>+MID('Input data'!$B$42,32,1)</f>
        <v/>
      </c>
      <c r="AG29" s="490" t="str">
        <f>+MID('Input data'!$B$42,33,1)</f>
        <v/>
      </c>
      <c r="AH29" s="490" t="str">
        <f>+MID('Input data'!$B$42,34,1)</f>
        <v/>
      </c>
      <c r="AI29" s="490" t="str">
        <f>+MID('Input data'!$B$42,35,1)</f>
        <v/>
      </c>
      <c r="AJ29" s="490" t="str">
        <f>+MID('Input data'!$B$42,36,1)</f>
        <v/>
      </c>
      <c r="AK29" s="489" t="str">
        <f>+MID('Input data'!$B$42,37,1)</f>
        <v/>
      </c>
    </row>
    <row r="30" spans="1:50" s="442" customFormat="1" ht="4.5" customHeight="1" thickBot="1" x14ac:dyDescent="0.3">
      <c r="W30" s="443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443"/>
      <c r="AI30" s="443"/>
      <c r="AJ30" s="443"/>
      <c r="AK30" s="443"/>
    </row>
    <row r="31" spans="1:50" s="485" customFormat="1" ht="12.75" customHeight="1" x14ac:dyDescent="0.25">
      <c r="A31" s="488" t="s">
        <v>1403</v>
      </c>
      <c r="B31" s="487"/>
      <c r="C31" s="487"/>
      <c r="D31" s="487"/>
      <c r="E31" s="487"/>
      <c r="F31" s="487"/>
      <c r="G31" s="487"/>
      <c r="H31" s="487"/>
      <c r="I31" s="487"/>
      <c r="J31" s="487"/>
      <c r="K31" s="880"/>
      <c r="L31" s="880"/>
      <c r="M31" s="1404" t="s">
        <v>1505</v>
      </c>
      <c r="N31" s="1405"/>
      <c r="O31" s="1405"/>
      <c r="P31" s="1405"/>
      <c r="Q31" s="1405"/>
      <c r="R31" s="1405"/>
      <c r="S31" s="1405"/>
      <c r="T31" s="1405"/>
      <c r="U31" s="1410"/>
      <c r="V31" s="1404" t="s">
        <v>1506</v>
      </c>
      <c r="W31" s="1405"/>
      <c r="X31" s="1405"/>
      <c r="Y31" s="1405"/>
      <c r="Z31" s="1405"/>
      <c r="AA31" s="1405"/>
      <c r="AB31" s="1405"/>
      <c r="AC31" s="1410"/>
      <c r="AD31" s="1404" t="s">
        <v>1507</v>
      </c>
      <c r="AE31" s="1405"/>
      <c r="AF31" s="1405"/>
      <c r="AG31" s="1405"/>
      <c r="AH31" s="1405"/>
      <c r="AI31" s="1405"/>
      <c r="AJ31" s="1405"/>
      <c r="AK31" s="1405"/>
      <c r="AL31" s="1406"/>
    </row>
    <row r="32" spans="1:50" s="442" customFormat="1" ht="19.5" customHeight="1" x14ac:dyDescent="0.25">
      <c r="A32" s="471" t="str">
        <f>LEFT(TEXT('Input data'!F25,"dd.m.yyyy"),1)</f>
        <v>1</v>
      </c>
      <c r="B32" s="470" t="str">
        <f>MID(TEXT('Input data'!$F$25,"dd.mm.yyyy"),2,1)</f>
        <v>3</v>
      </c>
      <c r="C32" s="469" t="s">
        <v>1147</v>
      </c>
      <c r="D32" s="470" t="str">
        <f>MID(TEXT('Input data'!$F$25,"dd.mm.yyyy"),4,1)</f>
        <v>0</v>
      </c>
      <c r="E32" s="470" t="str">
        <f>MID(TEXT('Input data'!$F$25,"dd.mm.yyyy"),5,1)</f>
        <v>6</v>
      </c>
      <c r="F32" s="469" t="s">
        <v>1147</v>
      </c>
      <c r="G32" s="470" t="str">
        <f>MID(TEXT('Input data'!$F$25,"dd.mm.yyyy"),7,1)</f>
        <v>2</v>
      </c>
      <c r="H32" s="470" t="str">
        <f>MID(TEXT('Input data'!$F$25,"dd.mm.yyyy"),8,1)</f>
        <v>0</v>
      </c>
      <c r="I32" s="470" t="str">
        <f>MID(TEXT('Input data'!$F$25,"dd.mm.yyyy"),9,1)</f>
        <v>1</v>
      </c>
      <c r="J32" s="470" t="str">
        <f>MID(TEXT('Input data'!$F$25,"dd.mm.yyyy"),10,1)</f>
        <v>4</v>
      </c>
      <c r="K32" s="881"/>
      <c r="L32" s="477"/>
      <c r="M32" s="1407"/>
      <c r="N32" s="1408"/>
      <c r="O32" s="1408"/>
      <c r="P32" s="1408"/>
      <c r="Q32" s="1408"/>
      <c r="R32" s="1408"/>
      <c r="S32" s="1408"/>
      <c r="T32" s="1408"/>
      <c r="U32" s="1411"/>
      <c r="V32" s="1407"/>
      <c r="W32" s="1408"/>
      <c r="X32" s="1408"/>
      <c r="Y32" s="1408"/>
      <c r="Z32" s="1408"/>
      <c r="AA32" s="1408"/>
      <c r="AB32" s="1408"/>
      <c r="AC32" s="1411"/>
      <c r="AD32" s="1407"/>
      <c r="AE32" s="1408"/>
      <c r="AF32" s="1408"/>
      <c r="AG32" s="1408"/>
      <c r="AH32" s="1408"/>
      <c r="AI32" s="1408"/>
      <c r="AJ32" s="1408"/>
      <c r="AK32" s="1408"/>
      <c r="AL32" s="1409"/>
      <c r="AP32" s="581"/>
      <c r="AX32" s="442" t="s">
        <v>1177</v>
      </c>
    </row>
    <row r="33" spans="1:38" s="442" customFormat="1" ht="12.75" customHeight="1" x14ac:dyDescent="0.25">
      <c r="A33" s="483"/>
      <c r="B33" s="482"/>
      <c r="C33" s="482"/>
      <c r="D33" s="482"/>
      <c r="E33" s="482"/>
      <c r="F33" s="482"/>
      <c r="G33" s="482"/>
      <c r="H33" s="482"/>
      <c r="I33" s="482"/>
      <c r="J33" s="482"/>
      <c r="K33" s="882"/>
      <c r="L33" s="882"/>
      <c r="M33" s="1407"/>
      <c r="N33" s="1408"/>
      <c r="O33" s="1408"/>
      <c r="P33" s="1408"/>
      <c r="Q33" s="1408"/>
      <c r="R33" s="1408"/>
      <c r="S33" s="1408"/>
      <c r="T33" s="1408"/>
      <c r="U33" s="1411"/>
      <c r="V33" s="1407"/>
      <c r="W33" s="1408"/>
      <c r="X33" s="1408"/>
      <c r="Y33" s="1408"/>
      <c r="Z33" s="1408"/>
      <c r="AA33" s="1408"/>
      <c r="AB33" s="1408"/>
      <c r="AC33" s="1411"/>
      <c r="AD33" s="1407"/>
      <c r="AE33" s="1408"/>
      <c r="AF33" s="1408"/>
      <c r="AG33" s="1408"/>
      <c r="AH33" s="1408"/>
      <c r="AI33" s="1408"/>
      <c r="AJ33" s="1408"/>
      <c r="AK33" s="1408"/>
      <c r="AL33" s="1409"/>
    </row>
    <row r="34" spans="1:38" s="442" customFormat="1" x14ac:dyDescent="0.2">
      <c r="A34" s="454" t="s">
        <v>1401</v>
      </c>
      <c r="B34" s="453"/>
      <c r="C34" s="453"/>
      <c r="D34" s="453"/>
      <c r="E34" s="453"/>
      <c r="F34" s="453"/>
      <c r="G34" s="453"/>
      <c r="H34" s="453"/>
      <c r="I34" s="453"/>
      <c r="J34" s="453"/>
      <c r="K34" s="477"/>
      <c r="L34" s="883"/>
      <c r="M34" s="477"/>
      <c r="N34" s="477"/>
      <c r="O34" s="477"/>
      <c r="P34" s="477"/>
      <c r="Q34" s="477"/>
      <c r="R34" s="477"/>
      <c r="S34" s="477"/>
      <c r="T34" s="453"/>
      <c r="U34" s="475"/>
      <c r="V34" s="476"/>
      <c r="W34" s="476"/>
      <c r="X34" s="476"/>
      <c r="Y34" s="476"/>
      <c r="Z34" s="476"/>
      <c r="AA34" s="450"/>
      <c r="AB34" s="476"/>
      <c r="AC34" s="475"/>
      <c r="AD34" s="474"/>
      <c r="AE34" s="473"/>
      <c r="AF34" s="473"/>
      <c r="AG34" s="473"/>
      <c r="AH34" s="473"/>
      <c r="AI34" s="473"/>
      <c r="AJ34" s="473"/>
      <c r="AK34" s="473"/>
      <c r="AL34" s="472"/>
    </row>
    <row r="35" spans="1:38" s="442" customFormat="1" ht="19.5" customHeight="1" x14ac:dyDescent="0.25">
      <c r="A35" s="471" t="str">
        <f>IF('Input data'!$F$27="","",LEFT(TEXT('Input data'!$F$27,"dd.mm.yyyy"),1))</f>
        <v/>
      </c>
      <c r="B35" s="470" t="str">
        <f>IF('Input data'!$F$27="","",MID(TEXT('Input data'!$F$27,"dd.mm.yyyy"),2,1))</f>
        <v/>
      </c>
      <c r="C35" s="469" t="s">
        <v>1147</v>
      </c>
      <c r="D35" s="470" t="str">
        <f>IF('Input data'!$F$27="","",MID(TEXT('Input data'!$F$27,"dd.mm.yyyy"),4,1))</f>
        <v/>
      </c>
      <c r="E35" s="470" t="str">
        <f>IF('Input data'!$F$27="","",MID(TEXT('Input data'!$F$27,"dd.mm.yyyy"),5,1))</f>
        <v/>
      </c>
      <c r="F35" s="469" t="s">
        <v>1147</v>
      </c>
      <c r="G35" s="468" t="str">
        <f>IF('Input data'!$F$27="","",MID(TEXT('Input data'!$F$27,"dd.mm.yyyy"),7,1))</f>
        <v/>
      </c>
      <c r="H35" s="468" t="str">
        <f>IF('Input data'!$F$27="","",MID(TEXT('Input data'!$F$27,"dd.mm.yyyy"),8,1))</f>
        <v/>
      </c>
      <c r="I35" s="468" t="str">
        <f>IF('Input data'!$F$27="","",MID(TEXT('Input data'!$F$27,"dd.mm.yyyy"),9,1))</f>
        <v/>
      </c>
      <c r="J35" s="468" t="str">
        <f>IF('Input data'!$F$27="","",MID(TEXT('Input data'!$F$27,"dd.mm.yyyy"),10,1))</f>
        <v/>
      </c>
      <c r="K35" s="884"/>
      <c r="L35" s="580"/>
      <c r="M35" s="453"/>
      <c r="N35" s="453"/>
      <c r="O35" s="453"/>
      <c r="P35" s="453"/>
      <c r="Q35" s="453"/>
      <c r="R35" s="453"/>
      <c r="S35" s="453"/>
      <c r="T35" s="453"/>
      <c r="U35" s="580"/>
      <c r="V35" s="453"/>
      <c r="W35" s="450"/>
      <c r="X35" s="450"/>
      <c r="Y35" s="450"/>
      <c r="Z35" s="450"/>
      <c r="AA35" s="450"/>
      <c r="AB35" s="450"/>
      <c r="AC35" s="579"/>
      <c r="AD35" s="450"/>
      <c r="AE35" s="450"/>
      <c r="AF35" s="450"/>
      <c r="AG35" s="450"/>
      <c r="AH35" s="450"/>
      <c r="AI35" s="450"/>
      <c r="AJ35" s="450"/>
      <c r="AK35" s="450"/>
      <c r="AL35" s="449"/>
    </row>
    <row r="36" spans="1:38" s="448" customFormat="1" thickBot="1" x14ac:dyDescent="0.3">
      <c r="A36" s="463"/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1"/>
      <c r="M36" s="998">
        <f>'Input data'!F31</f>
        <v>0</v>
      </c>
      <c r="N36" s="999"/>
      <c r="O36" s="999"/>
      <c r="P36" s="999"/>
      <c r="Q36" s="999"/>
      <c r="R36" s="999"/>
      <c r="S36" s="999"/>
      <c r="T36" s="999"/>
      <c r="U36" s="1000"/>
      <c r="V36" s="998">
        <f>'Input data'!F35</f>
        <v>0</v>
      </c>
      <c r="W36" s="999"/>
      <c r="X36" s="999"/>
      <c r="Y36" s="999"/>
      <c r="Z36" s="999"/>
      <c r="AA36" s="999"/>
      <c r="AB36" s="999"/>
      <c r="AC36" s="1000"/>
      <c r="AD36" s="1001">
        <f>'Input data'!F39</f>
        <v>0</v>
      </c>
      <c r="AE36" s="999"/>
      <c r="AF36" s="999"/>
      <c r="AG36" s="999"/>
      <c r="AH36" s="999"/>
      <c r="AI36" s="999"/>
      <c r="AJ36" s="999"/>
      <c r="AK36" s="999"/>
      <c r="AL36" s="1002"/>
    </row>
    <row r="37" spans="1:38" s="448" customFormat="1" x14ac:dyDescent="0.25">
      <c r="W37" s="443"/>
      <c r="X37" s="443"/>
      <c r="Y37" s="443"/>
      <c r="Z37" s="443"/>
      <c r="AA37" s="443"/>
      <c r="AB37" s="443"/>
      <c r="AC37" s="443"/>
      <c r="AD37" s="443"/>
      <c r="AE37" s="443"/>
      <c r="AF37" s="443"/>
      <c r="AG37" s="443"/>
      <c r="AH37" s="443"/>
      <c r="AI37" s="443"/>
      <c r="AJ37" s="443"/>
      <c r="AK37" s="443"/>
    </row>
    <row r="38" spans="1:38" s="448" customFormat="1" x14ac:dyDescent="0.25">
      <c r="W38" s="443"/>
      <c r="X38" s="443"/>
      <c r="Y38" s="443"/>
      <c r="Z38" s="443"/>
      <c r="AA38" s="443"/>
      <c r="AB38" s="443"/>
      <c r="AC38" s="443"/>
      <c r="AD38" s="443"/>
      <c r="AE38" s="443"/>
      <c r="AF38" s="443"/>
      <c r="AG38" s="443"/>
      <c r="AH38" s="443"/>
      <c r="AI38" s="443"/>
      <c r="AJ38" s="443"/>
      <c r="AK38" s="443"/>
    </row>
    <row r="39" spans="1:38" s="448" customFormat="1" x14ac:dyDescent="0.25"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</row>
    <row r="40" spans="1:38" ht="13.5" thickBot="1" x14ac:dyDescent="0.3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38" s="448" customFormat="1" x14ac:dyDescent="0.25">
      <c r="B41" s="460" t="s">
        <v>1508</v>
      </c>
      <c r="C41" s="459"/>
      <c r="D41" s="459"/>
      <c r="E41" s="459"/>
      <c r="F41" s="459"/>
      <c r="G41" s="459"/>
      <c r="H41" s="459"/>
      <c r="I41" s="459"/>
      <c r="J41" s="459"/>
      <c r="K41" s="459"/>
      <c r="L41" s="459"/>
      <c r="M41" s="459"/>
      <c r="N41" s="459"/>
      <c r="O41" s="459"/>
      <c r="P41" s="459"/>
      <c r="Q41" s="459"/>
      <c r="R41" s="459"/>
      <c r="S41" s="459"/>
      <c r="T41" s="459"/>
      <c r="U41" s="459"/>
      <c r="V41" s="459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7"/>
      <c r="AK41" s="443"/>
    </row>
    <row r="42" spans="1:38" s="448" customFormat="1" x14ac:dyDescent="0.25">
      <c r="B42" s="452"/>
      <c r="C42" s="451"/>
      <c r="D42" s="451"/>
      <c r="E42" s="451"/>
      <c r="F42" s="451"/>
      <c r="G42" s="451"/>
      <c r="H42" s="451"/>
      <c r="I42" s="451"/>
      <c r="J42" s="451"/>
      <c r="K42" s="451"/>
      <c r="L42" s="451"/>
      <c r="M42" s="451"/>
      <c r="N42" s="451"/>
      <c r="O42" s="451"/>
      <c r="P42" s="451"/>
      <c r="Q42" s="451"/>
      <c r="R42" s="451"/>
      <c r="S42" s="451"/>
      <c r="T42" s="451"/>
      <c r="U42" s="451"/>
      <c r="V42" s="451"/>
      <c r="W42" s="450"/>
      <c r="X42" s="450"/>
      <c r="Y42" s="450"/>
      <c r="Z42" s="450"/>
      <c r="AA42" s="450"/>
      <c r="AB42" s="450"/>
      <c r="AC42" s="450"/>
      <c r="AD42" s="450"/>
      <c r="AE42" s="450"/>
      <c r="AF42" s="450"/>
      <c r="AG42" s="450"/>
      <c r="AH42" s="450"/>
      <c r="AI42" s="450"/>
      <c r="AJ42" s="449"/>
      <c r="AK42" s="443"/>
    </row>
    <row r="43" spans="1:38" x14ac:dyDescent="0.25">
      <c r="B43" s="456"/>
      <c r="C43" s="455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455"/>
      <c r="O43" s="455"/>
      <c r="P43" s="455"/>
      <c r="Q43" s="455"/>
      <c r="R43" s="455"/>
      <c r="S43" s="455"/>
      <c r="T43" s="455"/>
      <c r="U43" s="455"/>
      <c r="V43" s="455"/>
      <c r="W43" s="450"/>
      <c r="X43" s="450"/>
      <c r="Y43" s="450"/>
      <c r="Z43" s="450"/>
      <c r="AA43" s="450"/>
      <c r="AB43" s="450"/>
      <c r="AC43" s="450"/>
      <c r="AD43" s="450"/>
      <c r="AE43" s="450"/>
      <c r="AF43" s="450"/>
      <c r="AG43" s="450"/>
      <c r="AH43" s="450"/>
      <c r="AI43" s="450"/>
      <c r="AJ43" s="449"/>
      <c r="AK43" s="443"/>
    </row>
    <row r="44" spans="1:38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8" s="442" customFormat="1" x14ac:dyDescent="0.25">
      <c r="B45" s="454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8" s="442" customFormat="1" x14ac:dyDescent="0.25">
      <c r="B46" s="454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8" s="448" customFormat="1" x14ac:dyDescent="0.25">
      <c r="B47" s="452"/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8" s="448" customFormat="1" x14ac:dyDescent="0.25">
      <c r="B48" s="452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2" customFormat="1" ht="13.5" thickBot="1" x14ac:dyDescent="0.3">
      <c r="B51" s="447"/>
      <c r="C51" s="446"/>
      <c r="D51" s="446"/>
      <c r="E51" s="446"/>
      <c r="F51" s="446"/>
      <c r="G51" s="446" t="s">
        <v>1509</v>
      </c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 t="s">
        <v>1510</v>
      </c>
      <c r="V51" s="446"/>
      <c r="W51" s="445"/>
      <c r="X51" s="445"/>
      <c r="Y51" s="445"/>
      <c r="Z51" s="445"/>
      <c r="AA51" s="445"/>
      <c r="AB51" s="445"/>
      <c r="AC51" s="445"/>
      <c r="AD51" s="445"/>
      <c r="AE51" s="445"/>
      <c r="AF51" s="445"/>
      <c r="AG51" s="445"/>
      <c r="AH51" s="445"/>
      <c r="AI51" s="445"/>
      <c r="AJ51" s="444"/>
      <c r="AK51" s="443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25947/1/2010&amp;RPage 1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13"/>
  <sheetViews>
    <sheetView zoomScaleNormal="100" zoomScaleSheetLayoutView="100" workbookViewId="0">
      <selection activeCell="G2" sqref="G2:I2"/>
    </sheetView>
  </sheetViews>
  <sheetFormatPr defaultRowHeight="11.25" x14ac:dyDescent="0.25"/>
  <cols>
    <col min="1" max="1" width="5.5703125" style="553" customWidth="1"/>
    <col min="2" max="2" width="18.7109375" style="553" customWidth="1"/>
    <col min="3" max="3" width="3.7109375" style="553" customWidth="1"/>
    <col min="4" max="4" width="3.5703125" style="553" customWidth="1"/>
    <col min="5" max="5" width="12.42578125" style="553" customWidth="1"/>
    <col min="6" max="6" width="12.140625" style="553" customWidth="1"/>
    <col min="7" max="7" width="14.7109375" style="553" customWidth="1"/>
    <col min="8" max="8" width="3.5703125" style="553" customWidth="1"/>
    <col min="9" max="9" width="10.5703125" style="553" customWidth="1"/>
    <col min="10" max="10" width="14.42578125" style="553" customWidth="1"/>
    <col min="11" max="16384" width="9.140625" style="553"/>
  </cols>
  <sheetData>
    <row r="1" spans="1:13" ht="7.5" customHeight="1" x14ac:dyDescent="0.25">
      <c r="A1" s="552"/>
      <c r="F1" s="496"/>
      <c r="G1" s="496"/>
      <c r="H1" s="496"/>
      <c r="I1" s="496"/>
    </row>
    <row r="2" spans="1:13" ht="17.25" customHeight="1" x14ac:dyDescent="0.25">
      <c r="A2" s="552"/>
      <c r="B2" s="1497" t="s">
        <v>1476</v>
      </c>
      <c r="C2" s="1498"/>
      <c r="E2" s="496"/>
      <c r="F2" s="577" t="s">
        <v>1511</v>
      </c>
      <c r="G2" s="1499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2  0  2  1  8  7  0  2  9  0</v>
      </c>
      <c r="H2" s="1500"/>
      <c r="I2" s="1501"/>
    </row>
    <row r="3" spans="1:13" ht="7.5" customHeight="1" thickBot="1" x14ac:dyDescent="0.3">
      <c r="A3" s="552"/>
    </row>
    <row r="4" spans="1:13" s="571" customFormat="1" ht="11.25" customHeight="1" x14ac:dyDescent="0.25">
      <c r="A4" s="1502" t="s">
        <v>1512</v>
      </c>
      <c r="B4" s="1504" t="s">
        <v>1513</v>
      </c>
      <c r="C4" s="1506" t="s">
        <v>1514</v>
      </c>
      <c r="D4" s="1431" t="s">
        <v>1515</v>
      </c>
      <c r="E4" s="1432"/>
      <c r="F4" s="1432"/>
      <c r="G4" s="1432"/>
      <c r="H4" s="1433"/>
      <c r="I4" s="1429" t="s">
        <v>1516</v>
      </c>
      <c r="J4" s="1430"/>
    </row>
    <row r="5" spans="1:13" s="571" customFormat="1" ht="11.25" customHeight="1" x14ac:dyDescent="0.15">
      <c r="A5" s="1503"/>
      <c r="B5" s="1505"/>
      <c r="C5" s="1507"/>
      <c r="D5" s="1450">
        <v>1</v>
      </c>
      <c r="E5" s="1417" t="s">
        <v>1517</v>
      </c>
      <c r="F5" s="1509"/>
      <c r="G5" s="1422" t="s">
        <v>1518</v>
      </c>
      <c r="H5" s="1423"/>
      <c r="I5" s="1419"/>
      <c r="J5" s="1428"/>
    </row>
    <row r="6" spans="1:13" s="571" customFormat="1" ht="12" customHeight="1" x14ac:dyDescent="0.25">
      <c r="A6" s="1471"/>
      <c r="B6" s="1470"/>
      <c r="C6" s="1477"/>
      <c r="D6" s="1508"/>
      <c r="E6" s="1417" t="s">
        <v>1519</v>
      </c>
      <c r="F6" s="1509"/>
      <c r="G6" s="1419"/>
      <c r="H6" s="1421"/>
      <c r="I6" s="1417" t="s">
        <v>1520</v>
      </c>
      <c r="J6" s="1418"/>
    </row>
    <row r="7" spans="1:13" s="573" customFormat="1" ht="27.95" customHeight="1" x14ac:dyDescent="0.25">
      <c r="A7" s="1510"/>
      <c r="B7" s="1512" t="s">
        <v>1521</v>
      </c>
      <c r="C7" s="1458" t="s">
        <v>522</v>
      </c>
      <c r="D7" s="1416">
        <f>BS!D10</f>
        <v>911119</v>
      </c>
      <c r="E7" s="1416"/>
      <c r="F7" s="1416"/>
      <c r="G7" s="1412">
        <f>BS!F10</f>
        <v>911119</v>
      </c>
      <c r="H7" s="1413"/>
      <c r="I7" s="1415"/>
      <c r="J7" s="572"/>
    </row>
    <row r="8" spans="1:13" s="573" customFormat="1" ht="27.95" customHeight="1" x14ac:dyDescent="0.25">
      <c r="A8" s="1511"/>
      <c r="B8" s="1438"/>
      <c r="C8" s="1458"/>
      <c r="D8" s="1416">
        <f>BS!E10</f>
        <v>0</v>
      </c>
      <c r="E8" s="1416"/>
      <c r="F8" s="1416"/>
      <c r="G8" s="843"/>
      <c r="H8" s="1412">
        <f>BS!G10</f>
        <v>744558</v>
      </c>
      <c r="I8" s="1413"/>
      <c r="J8" s="1414"/>
      <c r="M8" s="573" t="s">
        <v>1177</v>
      </c>
    </row>
    <row r="9" spans="1:13" s="573" customFormat="1" ht="27.95" customHeight="1" x14ac:dyDescent="0.25">
      <c r="A9" s="1513" t="s">
        <v>523</v>
      </c>
      <c r="B9" s="1438" t="s">
        <v>1522</v>
      </c>
      <c r="C9" s="1458" t="s">
        <v>525</v>
      </c>
      <c r="D9" s="1416">
        <f>BS!D11</f>
        <v>0</v>
      </c>
      <c r="E9" s="1416"/>
      <c r="F9" s="1416"/>
      <c r="G9" s="1412">
        <f>BS!F11</f>
        <v>0</v>
      </c>
      <c r="H9" s="1413"/>
      <c r="I9" s="1415"/>
      <c r="J9" s="572"/>
    </row>
    <row r="10" spans="1:13" s="573" customFormat="1" ht="27.95" customHeight="1" x14ac:dyDescent="0.25">
      <c r="A10" s="1514"/>
      <c r="B10" s="1438"/>
      <c r="C10" s="1458"/>
      <c r="D10" s="1416">
        <f>BS!E11</f>
        <v>0</v>
      </c>
      <c r="E10" s="1416"/>
      <c r="F10" s="1416"/>
      <c r="G10" s="843"/>
      <c r="H10" s="1412">
        <f>BS!G11</f>
        <v>0</v>
      </c>
      <c r="I10" s="1413"/>
      <c r="J10" s="1414"/>
    </row>
    <row r="11" spans="1:13" s="573" customFormat="1" ht="27.95" customHeight="1" x14ac:dyDescent="0.25">
      <c r="A11" s="1513" t="s">
        <v>526</v>
      </c>
      <c r="B11" s="1438" t="s">
        <v>1523</v>
      </c>
      <c r="C11" s="1458" t="s">
        <v>528</v>
      </c>
      <c r="D11" s="1416">
        <f>BS!D12</f>
        <v>0</v>
      </c>
      <c r="E11" s="1416"/>
      <c r="F11" s="1416"/>
      <c r="G11" s="1412">
        <f>BS!F12</f>
        <v>0</v>
      </c>
      <c r="H11" s="1413"/>
      <c r="I11" s="1415"/>
      <c r="J11" s="888"/>
    </row>
    <row r="12" spans="1:13" s="573" customFormat="1" ht="27.95" customHeight="1" x14ac:dyDescent="0.25">
      <c r="A12" s="1514"/>
      <c r="B12" s="1438"/>
      <c r="C12" s="1458"/>
      <c r="D12" s="1416">
        <f>BS!E12</f>
        <v>0</v>
      </c>
      <c r="E12" s="1416"/>
      <c r="F12" s="1416"/>
      <c r="G12" s="843"/>
      <c r="H12" s="1412">
        <f>BS!G12</f>
        <v>0</v>
      </c>
      <c r="I12" s="1413"/>
      <c r="J12" s="1414"/>
    </row>
    <row r="13" spans="1:13" s="571" customFormat="1" ht="27.95" customHeight="1" x14ac:dyDescent="0.25">
      <c r="A13" s="1516" t="s">
        <v>529</v>
      </c>
      <c r="B13" s="1436" t="s">
        <v>1524</v>
      </c>
      <c r="C13" s="1454" t="s">
        <v>531</v>
      </c>
      <c r="D13" s="1416">
        <f>BS!D13</f>
        <v>0</v>
      </c>
      <c r="E13" s="1416"/>
      <c r="F13" s="1416"/>
      <c r="G13" s="1412">
        <f>BS!F13</f>
        <v>0</v>
      </c>
      <c r="H13" s="1413"/>
      <c r="I13" s="1415"/>
      <c r="J13" s="572"/>
    </row>
    <row r="14" spans="1:13" s="571" customFormat="1" ht="27.95" customHeight="1" x14ac:dyDescent="0.25">
      <c r="A14" s="1517"/>
      <c r="B14" s="1436"/>
      <c r="C14" s="1455"/>
      <c r="D14" s="1416">
        <f>BS!E13</f>
        <v>0</v>
      </c>
      <c r="E14" s="1416"/>
      <c r="F14" s="1416"/>
      <c r="G14" s="843"/>
      <c r="H14" s="1412">
        <f>BS!G13</f>
        <v>0</v>
      </c>
      <c r="I14" s="1413"/>
      <c r="J14" s="1414"/>
    </row>
    <row r="15" spans="1:13" s="571" customFormat="1" ht="27.95" customHeight="1" x14ac:dyDescent="0.25">
      <c r="A15" s="1515" t="s">
        <v>532</v>
      </c>
      <c r="B15" s="1436" t="s">
        <v>1525</v>
      </c>
      <c r="C15" s="1454" t="s">
        <v>534</v>
      </c>
      <c r="D15" s="1416">
        <f>BS!D14</f>
        <v>0</v>
      </c>
      <c r="E15" s="1416"/>
      <c r="F15" s="1416"/>
      <c r="G15" s="1412">
        <f>BS!F14</f>
        <v>0</v>
      </c>
      <c r="H15" s="1413"/>
      <c r="I15" s="1415"/>
      <c r="J15" s="572"/>
    </row>
    <row r="16" spans="1:13" s="571" customFormat="1" ht="27.95" customHeight="1" x14ac:dyDescent="0.25">
      <c r="A16" s="1480"/>
      <c r="B16" s="1436"/>
      <c r="C16" s="1455"/>
      <c r="D16" s="1416">
        <f>BS!E14</f>
        <v>0</v>
      </c>
      <c r="E16" s="1416"/>
      <c r="F16" s="1416"/>
      <c r="G16" s="843"/>
      <c r="H16" s="1412">
        <f>BS!G14</f>
        <v>0</v>
      </c>
      <c r="I16" s="1413"/>
      <c r="J16" s="1414"/>
    </row>
    <row r="17" spans="1:10" s="571" customFormat="1" ht="27.95" customHeight="1" x14ac:dyDescent="0.25">
      <c r="A17" s="1515" t="s">
        <v>535</v>
      </c>
      <c r="B17" s="1436" t="s">
        <v>1526</v>
      </c>
      <c r="C17" s="1454" t="s">
        <v>537</v>
      </c>
      <c r="D17" s="1416">
        <f>BS!D15</f>
        <v>0</v>
      </c>
      <c r="E17" s="1416"/>
      <c r="F17" s="1416"/>
      <c r="G17" s="1412">
        <f>BS!F15</f>
        <v>0</v>
      </c>
      <c r="H17" s="1413"/>
      <c r="I17" s="1415"/>
      <c r="J17" s="572"/>
    </row>
    <row r="18" spans="1:10" s="571" customFormat="1" ht="27.95" customHeight="1" x14ac:dyDescent="0.25">
      <c r="A18" s="1480"/>
      <c r="B18" s="1436"/>
      <c r="C18" s="1455"/>
      <c r="D18" s="1416">
        <f>BS!E15</f>
        <v>0</v>
      </c>
      <c r="E18" s="1416"/>
      <c r="F18" s="1416"/>
      <c r="G18" s="843"/>
      <c r="H18" s="1412">
        <f>BS!G15</f>
        <v>0</v>
      </c>
      <c r="I18" s="1413"/>
      <c r="J18" s="1414"/>
    </row>
    <row r="19" spans="1:10" s="571" customFormat="1" ht="27.95" customHeight="1" x14ac:dyDescent="0.25">
      <c r="A19" s="1515" t="s">
        <v>538</v>
      </c>
      <c r="B19" s="1436" t="s">
        <v>1311</v>
      </c>
      <c r="C19" s="1454" t="s">
        <v>540</v>
      </c>
      <c r="D19" s="1416">
        <f>BS!D16</f>
        <v>0</v>
      </c>
      <c r="E19" s="1416"/>
      <c r="F19" s="1416"/>
      <c r="G19" s="1412">
        <f>BS!F16</f>
        <v>0</v>
      </c>
      <c r="H19" s="1413"/>
      <c r="I19" s="1415"/>
      <c r="J19" s="572"/>
    </row>
    <row r="20" spans="1:10" s="571" customFormat="1" ht="27.95" customHeight="1" x14ac:dyDescent="0.25">
      <c r="A20" s="1480"/>
      <c r="B20" s="1436"/>
      <c r="C20" s="1455"/>
      <c r="D20" s="1416">
        <f>BS!E16</f>
        <v>0</v>
      </c>
      <c r="E20" s="1416"/>
      <c r="F20" s="1416"/>
      <c r="G20" s="843"/>
      <c r="H20" s="1412">
        <f>BS!G16</f>
        <v>0</v>
      </c>
      <c r="I20" s="1413"/>
      <c r="J20" s="1414"/>
    </row>
    <row r="21" spans="1:10" s="571" customFormat="1" ht="27.95" customHeight="1" x14ac:dyDescent="0.25">
      <c r="A21" s="1515" t="s">
        <v>541</v>
      </c>
      <c r="B21" s="1436" t="s">
        <v>1527</v>
      </c>
      <c r="C21" s="1454" t="s">
        <v>543</v>
      </c>
      <c r="D21" s="1416">
        <f>BS!D17</f>
        <v>0</v>
      </c>
      <c r="E21" s="1416"/>
      <c r="F21" s="1416"/>
      <c r="G21" s="1412">
        <f>BS!F17</f>
        <v>0</v>
      </c>
      <c r="H21" s="1413"/>
      <c r="I21" s="1415"/>
      <c r="J21" s="572"/>
    </row>
    <row r="22" spans="1:10" s="571" customFormat="1" ht="27.95" customHeight="1" x14ac:dyDescent="0.25">
      <c r="A22" s="1480"/>
      <c r="B22" s="1436"/>
      <c r="C22" s="1455"/>
      <c r="D22" s="1416">
        <f>BS!E17</f>
        <v>0</v>
      </c>
      <c r="E22" s="1416"/>
      <c r="F22" s="1416"/>
      <c r="G22" s="843"/>
      <c r="H22" s="1412">
        <f>BS!G17</f>
        <v>0</v>
      </c>
      <c r="I22" s="1413"/>
      <c r="J22" s="1414"/>
    </row>
    <row r="23" spans="1:10" s="571" customFormat="1" ht="27.95" customHeight="1" x14ac:dyDescent="0.25">
      <c r="A23" s="1515" t="s">
        <v>544</v>
      </c>
      <c r="B23" s="1436" t="s">
        <v>1528</v>
      </c>
      <c r="C23" s="1454" t="s">
        <v>546</v>
      </c>
      <c r="D23" s="1416">
        <f>BS!D18</f>
        <v>0</v>
      </c>
      <c r="E23" s="1416"/>
      <c r="F23" s="1416"/>
      <c r="G23" s="1412">
        <f>BS!F18</f>
        <v>0</v>
      </c>
      <c r="H23" s="1413"/>
      <c r="I23" s="1415"/>
      <c r="J23" s="572"/>
    </row>
    <row r="24" spans="1:10" s="571" customFormat="1" ht="27.95" customHeight="1" x14ac:dyDescent="0.25">
      <c r="A24" s="1480"/>
      <c r="B24" s="1436"/>
      <c r="C24" s="1455"/>
      <c r="D24" s="1416">
        <f>BS!E18</f>
        <v>0</v>
      </c>
      <c r="E24" s="1416"/>
      <c r="F24" s="1416"/>
      <c r="G24" s="843"/>
      <c r="H24" s="1412">
        <f>BS!G18</f>
        <v>0</v>
      </c>
      <c r="I24" s="1413"/>
      <c r="J24" s="1414"/>
    </row>
    <row r="25" spans="1:10" s="571" customFormat="1" ht="27.95" customHeight="1" x14ac:dyDescent="0.25">
      <c r="A25" s="1515" t="s">
        <v>547</v>
      </c>
      <c r="B25" s="1436" t="s">
        <v>1529</v>
      </c>
      <c r="C25" s="1454" t="s">
        <v>549</v>
      </c>
      <c r="D25" s="1416">
        <f>BS!D19</f>
        <v>0</v>
      </c>
      <c r="E25" s="1416"/>
      <c r="F25" s="1416"/>
      <c r="G25" s="1412">
        <f>BS!F19</f>
        <v>0</v>
      </c>
      <c r="H25" s="1413"/>
      <c r="I25" s="1415"/>
      <c r="J25" s="572"/>
    </row>
    <row r="26" spans="1:10" s="571" customFormat="1" ht="27.95" customHeight="1" x14ac:dyDescent="0.25">
      <c r="A26" s="1480"/>
      <c r="B26" s="1436"/>
      <c r="C26" s="1455"/>
      <c r="D26" s="1416">
        <f>BS!E19</f>
        <v>0</v>
      </c>
      <c r="E26" s="1416"/>
      <c r="F26" s="1416"/>
      <c r="G26" s="843"/>
      <c r="H26" s="1412">
        <f>BS!G19</f>
        <v>0</v>
      </c>
      <c r="I26" s="1413"/>
      <c r="J26" s="1414"/>
    </row>
    <row r="27" spans="1:10" s="573" customFormat="1" ht="27.95" customHeight="1" x14ac:dyDescent="0.25">
      <c r="A27" s="1518" t="s">
        <v>550</v>
      </c>
      <c r="B27" s="1438" t="s">
        <v>551</v>
      </c>
      <c r="C27" s="1466" t="s">
        <v>552</v>
      </c>
      <c r="D27" s="1416">
        <f>BS!D20</f>
        <v>0</v>
      </c>
      <c r="E27" s="1416"/>
      <c r="F27" s="1416"/>
      <c r="G27" s="1412">
        <f>BS!F20</f>
        <v>0</v>
      </c>
      <c r="H27" s="1413"/>
      <c r="I27" s="1415"/>
      <c r="J27" s="572"/>
    </row>
    <row r="28" spans="1:10" s="573" customFormat="1" ht="27.95" customHeight="1" x14ac:dyDescent="0.25">
      <c r="A28" s="1519"/>
      <c r="B28" s="1438"/>
      <c r="C28" s="1467"/>
      <c r="D28" s="1416">
        <f>BS!E20</f>
        <v>0</v>
      </c>
      <c r="E28" s="1416"/>
      <c r="F28" s="1416"/>
      <c r="G28" s="843"/>
      <c r="H28" s="1412">
        <f>BS!G20</f>
        <v>0</v>
      </c>
      <c r="I28" s="1413"/>
      <c r="J28" s="1414"/>
    </row>
    <row r="29" spans="1:10" s="571" customFormat="1" ht="27.95" customHeight="1" x14ac:dyDescent="0.25">
      <c r="A29" s="1516" t="s">
        <v>553</v>
      </c>
      <c r="B29" s="1436" t="s">
        <v>1530</v>
      </c>
      <c r="C29" s="1454" t="s">
        <v>555</v>
      </c>
      <c r="D29" s="1416">
        <f>BS!D21</f>
        <v>0</v>
      </c>
      <c r="E29" s="1416"/>
      <c r="F29" s="1416"/>
      <c r="G29" s="1412">
        <f>BS!F21</f>
        <v>0</v>
      </c>
      <c r="H29" s="1413"/>
      <c r="I29" s="1415"/>
      <c r="J29" s="572"/>
    </row>
    <row r="30" spans="1:10" s="571" customFormat="1" ht="27.95" customHeight="1" x14ac:dyDescent="0.25">
      <c r="A30" s="1517"/>
      <c r="B30" s="1436"/>
      <c r="C30" s="1455"/>
      <c r="D30" s="1416">
        <f>BS!E21</f>
        <v>0</v>
      </c>
      <c r="E30" s="1416"/>
      <c r="F30" s="1416"/>
      <c r="G30" s="843"/>
      <c r="H30" s="1412">
        <f>BS!G21</f>
        <v>0</v>
      </c>
      <c r="I30" s="1413"/>
      <c r="J30" s="1414"/>
    </row>
    <row r="31" spans="1:10" s="571" customFormat="1" ht="27.95" customHeight="1" x14ac:dyDescent="0.25">
      <c r="A31" s="1515" t="s">
        <v>532</v>
      </c>
      <c r="B31" s="1436" t="s">
        <v>1531</v>
      </c>
      <c r="C31" s="1454" t="s">
        <v>557</v>
      </c>
      <c r="D31" s="1416">
        <f>BS!D22</f>
        <v>0</v>
      </c>
      <c r="E31" s="1416"/>
      <c r="F31" s="1416"/>
      <c r="G31" s="1520">
        <f>BS!F22</f>
        <v>0</v>
      </c>
      <c r="H31" s="1521"/>
      <c r="I31" s="1522"/>
      <c r="J31" s="572"/>
    </row>
    <row r="32" spans="1:10" s="571" customFormat="1" ht="27.95" customHeight="1" x14ac:dyDescent="0.25">
      <c r="A32" s="1480"/>
      <c r="B32" s="1436"/>
      <c r="C32" s="1455"/>
      <c r="D32" s="1416">
        <f>BS!E22</f>
        <v>0</v>
      </c>
      <c r="E32" s="1416"/>
      <c r="F32" s="1416"/>
      <c r="G32" s="843"/>
      <c r="H32" s="1412">
        <f>BS!G22</f>
        <v>0</v>
      </c>
      <c r="I32" s="1413"/>
      <c r="J32" s="1414"/>
    </row>
    <row r="33" spans="1:10" s="571" customFormat="1" ht="11.25" customHeight="1" x14ac:dyDescent="0.25">
      <c r="A33" s="1503" t="s">
        <v>1512</v>
      </c>
      <c r="B33" s="1505" t="s">
        <v>1513</v>
      </c>
      <c r="C33" s="1507" t="s">
        <v>1514</v>
      </c>
      <c r="D33" s="1419" t="s">
        <v>2</v>
      </c>
      <c r="E33" s="1420"/>
      <c r="F33" s="1420"/>
      <c r="G33" s="1420"/>
      <c r="H33" s="1421"/>
      <c r="I33" s="1426" t="s">
        <v>1264</v>
      </c>
      <c r="J33" s="1427"/>
    </row>
    <row r="34" spans="1:10" s="571" customFormat="1" ht="11.25" customHeight="1" x14ac:dyDescent="0.15">
      <c r="A34" s="1503"/>
      <c r="B34" s="1505"/>
      <c r="C34" s="1507"/>
      <c r="D34" s="1450">
        <v>1</v>
      </c>
      <c r="E34" s="1417" t="s">
        <v>1610</v>
      </c>
      <c r="F34" s="1509"/>
      <c r="G34" s="1422" t="s">
        <v>1262</v>
      </c>
      <c r="H34" s="1423"/>
      <c r="I34" s="1419"/>
      <c r="J34" s="1428"/>
    </row>
    <row r="35" spans="1:10" s="571" customFormat="1" ht="12" customHeight="1" x14ac:dyDescent="0.25">
      <c r="A35" s="1471"/>
      <c r="B35" s="1470"/>
      <c r="C35" s="1477"/>
      <c r="D35" s="1508"/>
      <c r="E35" s="1417" t="s">
        <v>1611</v>
      </c>
      <c r="F35" s="1509"/>
      <c r="G35" s="1419"/>
      <c r="H35" s="1421"/>
      <c r="I35" s="1417" t="s">
        <v>1260</v>
      </c>
      <c r="J35" s="1418"/>
    </row>
    <row r="36" spans="1:10" ht="27.95" customHeight="1" x14ac:dyDescent="0.25">
      <c r="A36" s="1515" t="s">
        <v>535</v>
      </c>
      <c r="B36" s="1481" t="s">
        <v>1532</v>
      </c>
      <c r="C36" s="1455" t="s">
        <v>559</v>
      </c>
      <c r="D36" s="1523">
        <f>BS!D23</f>
        <v>0</v>
      </c>
      <c r="E36" s="1523"/>
      <c r="F36" s="1523"/>
      <c r="G36" s="1524">
        <f>BS!F23</f>
        <v>0</v>
      </c>
      <c r="H36" s="1525"/>
      <c r="I36" s="1526"/>
      <c r="J36" s="889"/>
    </row>
    <row r="37" spans="1:10" ht="27.95" customHeight="1" x14ac:dyDescent="0.25">
      <c r="A37" s="1480"/>
      <c r="B37" s="1436"/>
      <c r="C37" s="1446"/>
      <c r="D37" s="1416">
        <f>BS!E23</f>
        <v>0</v>
      </c>
      <c r="E37" s="1416"/>
      <c r="F37" s="1416"/>
      <c r="G37" s="890"/>
      <c r="H37" s="1412">
        <f>BS!G23</f>
        <v>0</v>
      </c>
      <c r="I37" s="1413"/>
      <c r="J37" s="1414"/>
    </row>
    <row r="38" spans="1:10" ht="27.95" customHeight="1" x14ac:dyDescent="0.25">
      <c r="A38" s="1515" t="s">
        <v>538</v>
      </c>
      <c r="B38" s="1436" t="s">
        <v>1533</v>
      </c>
      <c r="C38" s="1446" t="s">
        <v>561</v>
      </c>
      <c r="D38" s="1416">
        <f>BS!D24</f>
        <v>0</v>
      </c>
      <c r="E38" s="1416"/>
      <c r="F38" s="1416"/>
      <c r="G38" s="1412">
        <f>BS!F24</f>
        <v>0</v>
      </c>
      <c r="H38" s="1413"/>
      <c r="I38" s="1415"/>
      <c r="J38" s="889"/>
    </row>
    <row r="39" spans="1:10" ht="27.95" customHeight="1" x14ac:dyDescent="0.25">
      <c r="A39" s="1480"/>
      <c r="B39" s="1436"/>
      <c r="C39" s="1446"/>
      <c r="D39" s="1416">
        <f>BS!E24</f>
        <v>0</v>
      </c>
      <c r="E39" s="1416"/>
      <c r="F39" s="1416"/>
      <c r="G39" s="890"/>
      <c r="H39" s="1412">
        <f>BS!G24</f>
        <v>0</v>
      </c>
      <c r="I39" s="1413"/>
      <c r="J39" s="1414"/>
    </row>
    <row r="40" spans="1:10" ht="27.95" customHeight="1" x14ac:dyDescent="0.25">
      <c r="A40" s="1515" t="s">
        <v>541</v>
      </c>
      <c r="B40" s="1436" t="s">
        <v>1534</v>
      </c>
      <c r="C40" s="1455" t="s">
        <v>563</v>
      </c>
      <c r="D40" s="1416">
        <f>BS!D25</f>
        <v>0</v>
      </c>
      <c r="E40" s="1416"/>
      <c r="F40" s="1416"/>
      <c r="G40" s="1412">
        <f>BS!F25</f>
        <v>0</v>
      </c>
      <c r="H40" s="1413"/>
      <c r="I40" s="1415"/>
      <c r="J40" s="889"/>
    </row>
    <row r="41" spans="1:10" ht="27.95" customHeight="1" x14ac:dyDescent="0.25">
      <c r="A41" s="1480"/>
      <c r="B41" s="1436"/>
      <c r="C41" s="1446"/>
      <c r="D41" s="1416">
        <f>BS!E25</f>
        <v>0</v>
      </c>
      <c r="E41" s="1416"/>
      <c r="F41" s="1416"/>
      <c r="G41" s="890"/>
      <c r="H41" s="1412">
        <f>BS!G25</f>
        <v>0</v>
      </c>
      <c r="I41" s="1413"/>
      <c r="J41" s="1414"/>
    </row>
    <row r="42" spans="1:10" ht="27.95" customHeight="1" x14ac:dyDescent="0.25">
      <c r="A42" s="1515" t="s">
        <v>544</v>
      </c>
      <c r="B42" s="1436" t="s">
        <v>1535</v>
      </c>
      <c r="C42" s="1446" t="s">
        <v>565</v>
      </c>
      <c r="D42" s="1416">
        <f>BS!D26</f>
        <v>0</v>
      </c>
      <c r="E42" s="1416"/>
      <c r="F42" s="1416"/>
      <c r="G42" s="1412">
        <f>BS!F26</f>
        <v>0</v>
      </c>
      <c r="H42" s="1413"/>
      <c r="I42" s="1415"/>
      <c r="J42" s="889"/>
    </row>
    <row r="43" spans="1:10" ht="27.95" customHeight="1" x14ac:dyDescent="0.25">
      <c r="A43" s="1480"/>
      <c r="B43" s="1436"/>
      <c r="C43" s="1446"/>
      <c r="D43" s="1416">
        <f>BS!E26</f>
        <v>0</v>
      </c>
      <c r="E43" s="1416"/>
      <c r="F43" s="1416"/>
      <c r="G43" s="890"/>
      <c r="H43" s="1412">
        <f>BS!G26</f>
        <v>0</v>
      </c>
      <c r="I43" s="1413"/>
      <c r="J43" s="1414"/>
    </row>
    <row r="44" spans="1:10" ht="27.95" customHeight="1" x14ac:dyDescent="0.25">
      <c r="A44" s="1515" t="s">
        <v>547</v>
      </c>
      <c r="B44" s="1436" t="s">
        <v>1536</v>
      </c>
      <c r="C44" s="1455" t="s">
        <v>567</v>
      </c>
      <c r="D44" s="1416">
        <f>BS!D27</f>
        <v>0</v>
      </c>
      <c r="E44" s="1416"/>
      <c r="F44" s="1416"/>
      <c r="G44" s="1412">
        <f>BS!F27</f>
        <v>0</v>
      </c>
      <c r="H44" s="1413"/>
      <c r="I44" s="1415"/>
      <c r="J44" s="889"/>
    </row>
    <row r="45" spans="1:10" ht="27.95" customHeight="1" x14ac:dyDescent="0.25">
      <c r="A45" s="1480"/>
      <c r="B45" s="1436"/>
      <c r="C45" s="1446"/>
      <c r="D45" s="1416">
        <f>BS!E27</f>
        <v>0</v>
      </c>
      <c r="E45" s="1416"/>
      <c r="F45" s="1416"/>
      <c r="G45" s="890"/>
      <c r="H45" s="1412">
        <f>BS!G27</f>
        <v>0</v>
      </c>
      <c r="I45" s="1413"/>
      <c r="J45" s="1414"/>
    </row>
    <row r="46" spans="1:10" ht="27.95" customHeight="1" x14ac:dyDescent="0.25">
      <c r="A46" s="1515" t="s">
        <v>568</v>
      </c>
      <c r="B46" s="1436" t="s">
        <v>1537</v>
      </c>
      <c r="C46" s="1446" t="s">
        <v>570</v>
      </c>
      <c r="D46" s="1416">
        <f>BS!D28</f>
        <v>0</v>
      </c>
      <c r="E46" s="1416"/>
      <c r="F46" s="1416"/>
      <c r="G46" s="1412">
        <f>BS!F28</f>
        <v>0</v>
      </c>
      <c r="H46" s="1413"/>
      <c r="I46" s="1415"/>
      <c r="J46" s="889"/>
    </row>
    <row r="47" spans="1:10" ht="27.95" customHeight="1" x14ac:dyDescent="0.25">
      <c r="A47" s="1480"/>
      <c r="B47" s="1436"/>
      <c r="C47" s="1446"/>
      <c r="D47" s="1416">
        <f>BS!E28</f>
        <v>0</v>
      </c>
      <c r="E47" s="1416"/>
      <c r="F47" s="1416"/>
      <c r="G47" s="890"/>
      <c r="H47" s="1412">
        <f>BS!G28</f>
        <v>0</v>
      </c>
      <c r="I47" s="1413"/>
      <c r="J47" s="1414"/>
    </row>
    <row r="48" spans="1:10" ht="27.95" customHeight="1" x14ac:dyDescent="0.25">
      <c r="A48" s="1515" t="s">
        <v>571</v>
      </c>
      <c r="B48" s="1436" t="s">
        <v>1538</v>
      </c>
      <c r="C48" s="1455" t="s">
        <v>573</v>
      </c>
      <c r="D48" s="1416">
        <f>BS!D29</f>
        <v>0</v>
      </c>
      <c r="E48" s="1416"/>
      <c r="F48" s="1416"/>
      <c r="G48" s="1412">
        <f>BS!F29</f>
        <v>0</v>
      </c>
      <c r="H48" s="1413"/>
      <c r="I48" s="1415"/>
      <c r="J48" s="889"/>
    </row>
    <row r="49" spans="1:10" ht="27.95" customHeight="1" x14ac:dyDescent="0.25">
      <c r="A49" s="1480"/>
      <c r="B49" s="1436"/>
      <c r="C49" s="1446"/>
      <c r="D49" s="1416">
        <f>BS!E29</f>
        <v>0</v>
      </c>
      <c r="E49" s="1416"/>
      <c r="F49" s="1416"/>
      <c r="G49" s="891"/>
      <c r="H49" s="1412">
        <f>BS!G29</f>
        <v>0</v>
      </c>
      <c r="I49" s="1413"/>
      <c r="J49" s="1414"/>
    </row>
    <row r="50" spans="1:10" ht="27.95" customHeight="1" x14ac:dyDescent="0.25">
      <c r="A50" s="1518" t="s">
        <v>574</v>
      </c>
      <c r="B50" s="1438" t="s">
        <v>1539</v>
      </c>
      <c r="C50" s="1446" t="s">
        <v>576</v>
      </c>
      <c r="D50" s="1416">
        <f>BS!D30</f>
        <v>0</v>
      </c>
      <c r="E50" s="1416"/>
      <c r="F50" s="1416"/>
      <c r="G50" s="1412">
        <f>BS!F30</f>
        <v>0</v>
      </c>
      <c r="H50" s="1413"/>
      <c r="I50" s="1415"/>
      <c r="J50" s="889"/>
    </row>
    <row r="51" spans="1:10" ht="27.95" customHeight="1" x14ac:dyDescent="0.25">
      <c r="A51" s="1519"/>
      <c r="B51" s="1438"/>
      <c r="C51" s="1446"/>
      <c r="D51" s="1416">
        <f>BS!E30</f>
        <v>0</v>
      </c>
      <c r="E51" s="1416"/>
      <c r="F51" s="1416"/>
      <c r="G51" s="891"/>
      <c r="H51" s="1412">
        <f>BS!G30</f>
        <v>0</v>
      </c>
      <c r="I51" s="1413"/>
      <c r="J51" s="1414"/>
    </row>
    <row r="52" spans="1:10" s="501" customFormat="1" ht="27.95" customHeight="1" x14ac:dyDescent="0.25">
      <c r="A52" s="1527" t="s">
        <v>577</v>
      </c>
      <c r="B52" s="1436" t="s">
        <v>1540</v>
      </c>
      <c r="C52" s="1455" t="s">
        <v>579</v>
      </c>
      <c r="D52" s="1416">
        <f>BS!D31</f>
        <v>0</v>
      </c>
      <c r="E52" s="1416"/>
      <c r="F52" s="1416"/>
      <c r="G52" s="1412">
        <f>BS!F31</f>
        <v>0</v>
      </c>
      <c r="H52" s="1413"/>
      <c r="I52" s="1415"/>
      <c r="J52" s="889"/>
    </row>
    <row r="53" spans="1:10" s="501" customFormat="1" ht="27.95" customHeight="1" x14ac:dyDescent="0.25">
      <c r="A53" s="1528"/>
      <c r="B53" s="1436"/>
      <c r="C53" s="1446"/>
      <c r="D53" s="1416">
        <f>BS!E31</f>
        <v>0</v>
      </c>
      <c r="E53" s="1416"/>
      <c r="F53" s="1416"/>
      <c r="G53" s="891"/>
      <c r="H53" s="1412">
        <f>BS!G31</f>
        <v>0</v>
      </c>
      <c r="I53" s="1413"/>
      <c r="J53" s="1414"/>
    </row>
    <row r="54" spans="1:10" ht="27.95" customHeight="1" x14ac:dyDescent="0.25">
      <c r="A54" s="1515" t="s">
        <v>532</v>
      </c>
      <c r="B54" s="1436" t="s">
        <v>1541</v>
      </c>
      <c r="C54" s="1446" t="s">
        <v>581</v>
      </c>
      <c r="D54" s="1416">
        <f>BS!D32</f>
        <v>0</v>
      </c>
      <c r="E54" s="1416"/>
      <c r="F54" s="1416"/>
      <c r="G54" s="1412">
        <f>BS!F32</f>
        <v>0</v>
      </c>
      <c r="H54" s="1413"/>
      <c r="I54" s="1415"/>
      <c r="J54" s="889"/>
    </row>
    <row r="55" spans="1:10" ht="27.95" customHeight="1" x14ac:dyDescent="0.25">
      <c r="A55" s="1480"/>
      <c r="B55" s="1436"/>
      <c r="C55" s="1446"/>
      <c r="D55" s="1416">
        <f>BS!E32</f>
        <v>0</v>
      </c>
      <c r="E55" s="1416"/>
      <c r="F55" s="1416"/>
      <c r="G55" s="891"/>
      <c r="H55" s="1412">
        <f>BS!G32</f>
        <v>0</v>
      </c>
      <c r="I55" s="1413"/>
      <c r="J55" s="1414"/>
    </row>
    <row r="56" spans="1:10" ht="27.95" customHeight="1" x14ac:dyDescent="0.25">
      <c r="A56" s="1515" t="s">
        <v>535</v>
      </c>
      <c r="B56" s="1436" t="s">
        <v>1542</v>
      </c>
      <c r="C56" s="1455" t="s">
        <v>583</v>
      </c>
      <c r="D56" s="1416">
        <f>BS!D33</f>
        <v>0</v>
      </c>
      <c r="E56" s="1416"/>
      <c r="F56" s="1416"/>
      <c r="G56" s="1412">
        <f>BS!F33</f>
        <v>0</v>
      </c>
      <c r="H56" s="1413"/>
      <c r="I56" s="1415"/>
      <c r="J56" s="889"/>
    </row>
    <row r="57" spans="1:10" ht="27.95" customHeight="1" x14ac:dyDescent="0.25">
      <c r="A57" s="1480"/>
      <c r="B57" s="1436"/>
      <c r="C57" s="1446"/>
      <c r="D57" s="1416">
        <f>BS!E33</f>
        <v>0</v>
      </c>
      <c r="E57" s="1416"/>
      <c r="F57" s="1416"/>
      <c r="G57" s="891"/>
      <c r="H57" s="1412">
        <f>BS!G33</f>
        <v>0</v>
      </c>
      <c r="I57" s="1413"/>
      <c r="J57" s="1414"/>
    </row>
    <row r="58" spans="1:10" ht="27.95" customHeight="1" x14ac:dyDescent="0.25">
      <c r="A58" s="1515" t="s">
        <v>538</v>
      </c>
      <c r="B58" s="1436" t="s">
        <v>1543</v>
      </c>
      <c r="C58" s="1446" t="s">
        <v>585</v>
      </c>
      <c r="D58" s="1416">
        <f>BS!D34</f>
        <v>0</v>
      </c>
      <c r="E58" s="1416"/>
      <c r="F58" s="1416"/>
      <c r="G58" s="1412">
        <f>BS!F34</f>
        <v>0</v>
      </c>
      <c r="H58" s="1413"/>
      <c r="I58" s="1415"/>
      <c r="J58" s="889"/>
    </row>
    <row r="59" spans="1:10" ht="27.95" customHeight="1" x14ac:dyDescent="0.25">
      <c r="A59" s="1480"/>
      <c r="B59" s="1529"/>
      <c r="C59" s="1446"/>
      <c r="D59" s="1416">
        <f>BS!E34</f>
        <v>0</v>
      </c>
      <c r="E59" s="1416"/>
      <c r="F59" s="1416"/>
      <c r="G59" s="891"/>
      <c r="H59" s="1412">
        <f>BS!G34</f>
        <v>0</v>
      </c>
      <c r="I59" s="1413"/>
      <c r="J59" s="1414"/>
    </row>
    <row r="60" spans="1:10" ht="27.95" customHeight="1" x14ac:dyDescent="0.25">
      <c r="A60" s="1515" t="s">
        <v>541</v>
      </c>
      <c r="B60" s="1436" t="s">
        <v>1544</v>
      </c>
      <c r="C60" s="1455" t="s">
        <v>587</v>
      </c>
      <c r="D60" s="1416">
        <f>BS!D35</f>
        <v>0</v>
      </c>
      <c r="E60" s="1416"/>
      <c r="F60" s="1416"/>
      <c r="G60" s="1412">
        <f>BS!F35</f>
        <v>0</v>
      </c>
      <c r="H60" s="1413"/>
      <c r="I60" s="1415"/>
      <c r="J60" s="889"/>
    </row>
    <row r="61" spans="1:10" ht="27.95" customHeight="1" x14ac:dyDescent="0.25">
      <c r="A61" s="1480"/>
      <c r="B61" s="1436"/>
      <c r="C61" s="1446"/>
      <c r="D61" s="1416">
        <f>BS!E35</f>
        <v>0</v>
      </c>
      <c r="E61" s="1416"/>
      <c r="F61" s="1416"/>
      <c r="G61" s="891"/>
      <c r="H61" s="1412">
        <f>BS!G35</f>
        <v>0</v>
      </c>
      <c r="I61" s="1413"/>
      <c r="J61" s="1414"/>
    </row>
    <row r="62" spans="1:10" ht="27.95" customHeight="1" x14ac:dyDescent="0.25">
      <c r="A62" s="1515" t="s">
        <v>544</v>
      </c>
      <c r="B62" s="1436" t="s">
        <v>1545</v>
      </c>
      <c r="C62" s="1446" t="s">
        <v>589</v>
      </c>
      <c r="D62" s="1416">
        <f>BS!D36</f>
        <v>0</v>
      </c>
      <c r="E62" s="1416"/>
      <c r="F62" s="1416"/>
      <c r="G62" s="1412">
        <f>BS!F36</f>
        <v>0</v>
      </c>
      <c r="H62" s="1413"/>
      <c r="I62" s="1415"/>
      <c r="J62" s="889"/>
    </row>
    <row r="63" spans="1:10" ht="27.95" customHeight="1" x14ac:dyDescent="0.25">
      <c r="A63" s="1480"/>
      <c r="B63" s="1436"/>
      <c r="C63" s="1446"/>
      <c r="D63" s="1416">
        <f>BS!E36</f>
        <v>0</v>
      </c>
      <c r="E63" s="1416"/>
      <c r="F63" s="1416"/>
      <c r="G63" s="843"/>
      <c r="H63" s="1412">
        <f>BS!G36</f>
        <v>0</v>
      </c>
      <c r="I63" s="1413"/>
      <c r="J63" s="1414"/>
    </row>
    <row r="64" spans="1:10" ht="11.25" customHeight="1" x14ac:dyDescent="0.25">
      <c r="A64" s="1503" t="s">
        <v>1512</v>
      </c>
      <c r="B64" s="1505" t="s">
        <v>1513</v>
      </c>
      <c r="C64" s="1507" t="s">
        <v>1514</v>
      </c>
      <c r="D64" s="1419" t="s">
        <v>1515</v>
      </c>
      <c r="E64" s="1420"/>
      <c r="F64" s="1420"/>
      <c r="G64" s="1420"/>
      <c r="H64" s="1421"/>
      <c r="I64" s="1426" t="s">
        <v>1516</v>
      </c>
      <c r="J64" s="1427"/>
    </row>
    <row r="65" spans="1:10" ht="11.25" customHeight="1" x14ac:dyDescent="0.15">
      <c r="A65" s="1503"/>
      <c r="B65" s="1505"/>
      <c r="C65" s="1507"/>
      <c r="D65" s="1450">
        <v>1</v>
      </c>
      <c r="E65" s="1417" t="s">
        <v>1517</v>
      </c>
      <c r="F65" s="1509"/>
      <c r="G65" s="1422" t="s">
        <v>1518</v>
      </c>
      <c r="H65" s="1423"/>
      <c r="I65" s="1419"/>
      <c r="J65" s="1428"/>
    </row>
    <row r="66" spans="1:10" ht="11.25" customHeight="1" x14ac:dyDescent="0.25">
      <c r="A66" s="1471"/>
      <c r="B66" s="1470"/>
      <c r="C66" s="1477"/>
      <c r="D66" s="1508"/>
      <c r="E66" s="1417" t="s">
        <v>1519</v>
      </c>
      <c r="F66" s="1509"/>
      <c r="G66" s="1419"/>
      <c r="H66" s="1421"/>
      <c r="I66" s="1417" t="s">
        <v>1520</v>
      </c>
      <c r="J66" s="1418"/>
    </row>
    <row r="67" spans="1:10" ht="27.95" customHeight="1" x14ac:dyDescent="0.25">
      <c r="A67" s="1515" t="s">
        <v>547</v>
      </c>
      <c r="B67" s="1481" t="s">
        <v>1546</v>
      </c>
      <c r="C67" s="1446" t="s">
        <v>888</v>
      </c>
      <c r="D67" s="1416">
        <f>BS!D37</f>
        <v>0</v>
      </c>
      <c r="E67" s="1416"/>
      <c r="F67" s="1412"/>
      <c r="G67" s="1412">
        <f>BS!F37</f>
        <v>0</v>
      </c>
      <c r="H67" s="1413"/>
      <c r="I67" s="1415"/>
      <c r="J67" s="889"/>
    </row>
    <row r="68" spans="1:10" ht="27.95" customHeight="1" x14ac:dyDescent="0.25">
      <c r="A68" s="1480"/>
      <c r="B68" s="1436"/>
      <c r="C68" s="1446"/>
      <c r="D68" s="1416">
        <f>BS!E37</f>
        <v>0</v>
      </c>
      <c r="E68" s="1416"/>
      <c r="F68" s="1416"/>
      <c r="G68" s="892"/>
      <c r="H68" s="1412">
        <f>BS!G37</f>
        <v>0</v>
      </c>
      <c r="I68" s="1413"/>
      <c r="J68" s="1414"/>
    </row>
    <row r="69" spans="1:10" ht="27.95" customHeight="1" x14ac:dyDescent="0.25">
      <c r="A69" s="1515" t="s">
        <v>568</v>
      </c>
      <c r="B69" s="1436" t="s">
        <v>1547</v>
      </c>
      <c r="C69" s="1446" t="s">
        <v>891</v>
      </c>
      <c r="D69" s="1416">
        <f>BS!D38</f>
        <v>0</v>
      </c>
      <c r="E69" s="1416"/>
      <c r="F69" s="1412"/>
      <c r="G69" s="1412">
        <f>BS!F38</f>
        <v>0</v>
      </c>
      <c r="H69" s="1413"/>
      <c r="I69" s="1415"/>
      <c r="J69" s="889"/>
    </row>
    <row r="70" spans="1:10" ht="27.95" customHeight="1" x14ac:dyDescent="0.25">
      <c r="A70" s="1480"/>
      <c r="B70" s="1436"/>
      <c r="C70" s="1446"/>
      <c r="D70" s="1416">
        <f>BS!E38</f>
        <v>0</v>
      </c>
      <c r="E70" s="1416"/>
      <c r="F70" s="1416"/>
      <c r="G70" s="892"/>
      <c r="H70" s="1412">
        <f>BS!G38</f>
        <v>0</v>
      </c>
      <c r="I70" s="1413"/>
      <c r="J70" s="1414"/>
    </row>
    <row r="71" spans="1:10" ht="27.95" customHeight="1" x14ac:dyDescent="0.25">
      <c r="A71" s="1513" t="s">
        <v>594</v>
      </c>
      <c r="B71" s="1438" t="s">
        <v>1548</v>
      </c>
      <c r="C71" s="1446" t="s">
        <v>894</v>
      </c>
      <c r="D71" s="1416">
        <f>BS!D39</f>
        <v>911113</v>
      </c>
      <c r="E71" s="1416"/>
      <c r="F71" s="1412"/>
      <c r="G71" s="1412">
        <f>BS!F39</f>
        <v>911113</v>
      </c>
      <c r="H71" s="1413"/>
      <c r="I71" s="1415"/>
      <c r="J71" s="889"/>
    </row>
    <row r="72" spans="1:10" ht="27.95" customHeight="1" x14ac:dyDescent="0.25">
      <c r="A72" s="1514"/>
      <c r="B72" s="1438"/>
      <c r="C72" s="1446"/>
      <c r="D72" s="1416">
        <f>BS!E39</f>
        <v>0</v>
      </c>
      <c r="E72" s="1416"/>
      <c r="F72" s="1416"/>
      <c r="G72" s="892"/>
      <c r="H72" s="1412">
        <f>BS!G39</f>
        <v>744553</v>
      </c>
      <c r="I72" s="1413"/>
      <c r="J72" s="1414"/>
    </row>
    <row r="73" spans="1:10" s="501" customFormat="1" ht="27.95" customHeight="1" x14ac:dyDescent="0.25">
      <c r="A73" s="1518" t="s">
        <v>597</v>
      </c>
      <c r="B73" s="1438" t="s">
        <v>598</v>
      </c>
      <c r="C73" s="1446" t="s">
        <v>897</v>
      </c>
      <c r="D73" s="1416">
        <f>BS!D40</f>
        <v>0</v>
      </c>
      <c r="E73" s="1416"/>
      <c r="F73" s="1412"/>
      <c r="G73" s="1412">
        <f>BS!F40</f>
        <v>0</v>
      </c>
      <c r="H73" s="1413"/>
      <c r="I73" s="1415"/>
      <c r="J73" s="889"/>
    </row>
    <row r="74" spans="1:10" s="501" customFormat="1" ht="27.95" customHeight="1" x14ac:dyDescent="0.25">
      <c r="A74" s="1519"/>
      <c r="B74" s="1438"/>
      <c r="C74" s="1446"/>
      <c r="D74" s="1416">
        <f>BS!E40</f>
        <v>0</v>
      </c>
      <c r="E74" s="1416"/>
      <c r="F74" s="1416"/>
      <c r="G74" s="892"/>
      <c r="H74" s="1412">
        <f>BS!G40</f>
        <v>0</v>
      </c>
      <c r="I74" s="1413"/>
      <c r="J74" s="1414"/>
    </row>
    <row r="75" spans="1:10" s="501" customFormat="1" ht="27.95" customHeight="1" x14ac:dyDescent="0.25">
      <c r="A75" s="1516" t="s">
        <v>600</v>
      </c>
      <c r="B75" s="1436" t="s">
        <v>1549</v>
      </c>
      <c r="C75" s="1446" t="s">
        <v>900</v>
      </c>
      <c r="D75" s="1416">
        <f>BS!D41</f>
        <v>0</v>
      </c>
      <c r="E75" s="1416"/>
      <c r="F75" s="1412"/>
      <c r="G75" s="1412">
        <f>BS!F41</f>
        <v>0</v>
      </c>
      <c r="H75" s="1413"/>
      <c r="I75" s="1415"/>
      <c r="J75" s="889"/>
    </row>
    <row r="76" spans="1:10" s="501" customFormat="1" ht="27.95" customHeight="1" x14ac:dyDescent="0.25">
      <c r="A76" s="1517"/>
      <c r="B76" s="1436"/>
      <c r="C76" s="1446"/>
      <c r="D76" s="1416">
        <f>BS!E41</f>
        <v>0</v>
      </c>
      <c r="E76" s="1416"/>
      <c r="F76" s="1416"/>
      <c r="G76" s="892"/>
      <c r="H76" s="1412">
        <f>BS!G41</f>
        <v>0</v>
      </c>
      <c r="I76" s="1413"/>
      <c r="J76" s="1414"/>
    </row>
    <row r="77" spans="1:10" ht="27.95" customHeight="1" x14ac:dyDescent="0.25">
      <c r="A77" s="1515" t="s">
        <v>532</v>
      </c>
      <c r="B77" s="1436" t="s">
        <v>1550</v>
      </c>
      <c r="C77" s="1446" t="s">
        <v>903</v>
      </c>
      <c r="D77" s="1416">
        <f>BS!D42</f>
        <v>0</v>
      </c>
      <c r="E77" s="1416"/>
      <c r="F77" s="1412"/>
      <c r="G77" s="1412">
        <f>BS!F42</f>
        <v>0</v>
      </c>
      <c r="H77" s="1413"/>
      <c r="I77" s="1415"/>
      <c r="J77" s="889"/>
    </row>
    <row r="78" spans="1:10" ht="27.95" customHeight="1" x14ac:dyDescent="0.25">
      <c r="A78" s="1480"/>
      <c r="B78" s="1436"/>
      <c r="C78" s="1446"/>
      <c r="D78" s="1416">
        <f>BS!E42</f>
        <v>0</v>
      </c>
      <c r="E78" s="1416"/>
      <c r="F78" s="1416"/>
      <c r="G78" s="892"/>
      <c r="H78" s="1412">
        <f>BS!G42</f>
        <v>0</v>
      </c>
      <c r="I78" s="1413"/>
      <c r="J78" s="1414"/>
    </row>
    <row r="79" spans="1:10" ht="27.95" customHeight="1" x14ac:dyDescent="0.25">
      <c r="A79" s="1515" t="s">
        <v>535</v>
      </c>
      <c r="B79" s="1436" t="s">
        <v>1551</v>
      </c>
      <c r="C79" s="1446" t="s">
        <v>906</v>
      </c>
      <c r="D79" s="1416">
        <f>BS!D43</f>
        <v>0</v>
      </c>
      <c r="E79" s="1416"/>
      <c r="F79" s="1412"/>
      <c r="G79" s="1412">
        <f>BS!F43</f>
        <v>0</v>
      </c>
      <c r="H79" s="1413"/>
      <c r="I79" s="1415"/>
      <c r="J79" s="889"/>
    </row>
    <row r="80" spans="1:10" ht="27.95" customHeight="1" x14ac:dyDescent="0.25">
      <c r="A80" s="1480"/>
      <c r="B80" s="1436"/>
      <c r="C80" s="1446"/>
      <c r="D80" s="1416">
        <f>BS!E43</f>
        <v>0</v>
      </c>
      <c r="E80" s="1416"/>
      <c r="F80" s="1416"/>
      <c r="G80" s="892"/>
      <c r="H80" s="1412">
        <f>BS!G43</f>
        <v>0</v>
      </c>
      <c r="I80" s="1413"/>
      <c r="J80" s="1414"/>
    </row>
    <row r="81" spans="1:10" ht="27.95" customHeight="1" x14ac:dyDescent="0.25">
      <c r="A81" s="1515" t="s">
        <v>538</v>
      </c>
      <c r="B81" s="1436" t="s">
        <v>1552</v>
      </c>
      <c r="C81" s="1446" t="s">
        <v>909</v>
      </c>
      <c r="D81" s="1416">
        <f>BS!D44</f>
        <v>0</v>
      </c>
      <c r="E81" s="1416"/>
      <c r="F81" s="1412"/>
      <c r="G81" s="1412">
        <f>BS!F44</f>
        <v>0</v>
      </c>
      <c r="H81" s="1413"/>
      <c r="I81" s="1415"/>
      <c r="J81" s="889"/>
    </row>
    <row r="82" spans="1:10" ht="27.95" customHeight="1" x14ac:dyDescent="0.25">
      <c r="A82" s="1480"/>
      <c r="B82" s="1436"/>
      <c r="C82" s="1446"/>
      <c r="D82" s="1416">
        <f>BS!E44</f>
        <v>0</v>
      </c>
      <c r="E82" s="1416"/>
      <c r="F82" s="1416"/>
      <c r="G82" s="892"/>
      <c r="H82" s="1412">
        <f>BS!G44</f>
        <v>0</v>
      </c>
      <c r="I82" s="1413"/>
      <c r="J82" s="1414"/>
    </row>
    <row r="83" spans="1:10" ht="27.95" customHeight="1" x14ac:dyDescent="0.25">
      <c r="A83" s="1515" t="s">
        <v>541</v>
      </c>
      <c r="B83" s="1436" t="s">
        <v>1553</v>
      </c>
      <c r="C83" s="1446" t="s">
        <v>912</v>
      </c>
      <c r="D83" s="1416">
        <f>BS!D45</f>
        <v>0</v>
      </c>
      <c r="E83" s="1416"/>
      <c r="F83" s="1412"/>
      <c r="G83" s="1412">
        <f>BS!F45</f>
        <v>0</v>
      </c>
      <c r="H83" s="1413"/>
      <c r="I83" s="1415"/>
      <c r="J83" s="889"/>
    </row>
    <row r="84" spans="1:10" ht="27.95" customHeight="1" x14ac:dyDescent="0.25">
      <c r="A84" s="1480"/>
      <c r="B84" s="1436"/>
      <c r="C84" s="1446"/>
      <c r="D84" s="1416">
        <f>BS!E45</f>
        <v>0</v>
      </c>
      <c r="E84" s="1416"/>
      <c r="F84" s="1416"/>
      <c r="G84" s="892"/>
      <c r="H84" s="1412">
        <f>BS!G45</f>
        <v>0</v>
      </c>
      <c r="I84" s="1413"/>
      <c r="J84" s="1414"/>
    </row>
    <row r="85" spans="1:10" ht="27.95" customHeight="1" x14ac:dyDescent="0.25">
      <c r="A85" s="1515" t="s">
        <v>544</v>
      </c>
      <c r="B85" s="1436" t="s">
        <v>1554</v>
      </c>
      <c r="C85" s="1446" t="s">
        <v>915</v>
      </c>
      <c r="D85" s="1416">
        <f>BS!D46</f>
        <v>0</v>
      </c>
      <c r="E85" s="1416"/>
      <c r="F85" s="1412"/>
      <c r="G85" s="1412">
        <f>BS!F46</f>
        <v>0</v>
      </c>
      <c r="H85" s="1413"/>
      <c r="I85" s="1415"/>
      <c r="J85" s="889"/>
    </row>
    <row r="86" spans="1:10" ht="27.95" customHeight="1" x14ac:dyDescent="0.25">
      <c r="A86" s="1480"/>
      <c r="B86" s="1436"/>
      <c r="C86" s="1446"/>
      <c r="D86" s="1416">
        <f>BS!E46</f>
        <v>0</v>
      </c>
      <c r="E86" s="1416"/>
      <c r="F86" s="1416"/>
      <c r="G86" s="892"/>
      <c r="H86" s="1412">
        <f>BS!G46</f>
        <v>0</v>
      </c>
      <c r="I86" s="1413"/>
      <c r="J86" s="1414"/>
    </row>
    <row r="87" spans="1:10" ht="27.95" customHeight="1" x14ac:dyDescent="0.25">
      <c r="A87" s="1518" t="s">
        <v>613</v>
      </c>
      <c r="B87" s="1438" t="s">
        <v>614</v>
      </c>
      <c r="C87" s="1446" t="s">
        <v>918</v>
      </c>
      <c r="D87" s="1416">
        <f>BS!D47</f>
        <v>50197</v>
      </c>
      <c r="E87" s="1416"/>
      <c r="F87" s="1412"/>
      <c r="G87" s="1412">
        <f>BS!F47</f>
        <v>50197</v>
      </c>
      <c r="H87" s="1413"/>
      <c r="I87" s="1415"/>
      <c r="J87" s="889"/>
    </row>
    <row r="88" spans="1:10" ht="27.95" customHeight="1" x14ac:dyDescent="0.25">
      <c r="A88" s="1519"/>
      <c r="B88" s="1438"/>
      <c r="C88" s="1446"/>
      <c r="D88" s="1416">
        <f>BS!E47</f>
        <v>0</v>
      </c>
      <c r="E88" s="1416"/>
      <c r="F88" s="1416"/>
      <c r="G88" s="892"/>
      <c r="H88" s="1412">
        <f>BS!G47</f>
        <v>7916</v>
      </c>
      <c r="I88" s="1413"/>
      <c r="J88" s="1414"/>
    </row>
    <row r="89" spans="1:10" s="501" customFormat="1" ht="27.95" customHeight="1" x14ac:dyDescent="0.25">
      <c r="A89" s="1516" t="s">
        <v>616</v>
      </c>
      <c r="B89" s="1436" t="s">
        <v>1555</v>
      </c>
      <c r="C89" s="1446" t="s">
        <v>921</v>
      </c>
      <c r="D89" s="1416">
        <f>BS!D48</f>
        <v>0</v>
      </c>
      <c r="E89" s="1416"/>
      <c r="F89" s="1412"/>
      <c r="G89" s="1412">
        <f>BS!F48</f>
        <v>0</v>
      </c>
      <c r="H89" s="1413"/>
      <c r="I89" s="1415"/>
      <c r="J89" s="889"/>
    </row>
    <row r="90" spans="1:10" s="501" customFormat="1" ht="27.95" customHeight="1" x14ac:dyDescent="0.25">
      <c r="A90" s="1517"/>
      <c r="B90" s="1529"/>
      <c r="C90" s="1446"/>
      <c r="D90" s="1416">
        <f>BS!E48</f>
        <v>0</v>
      </c>
      <c r="E90" s="1416"/>
      <c r="F90" s="1416"/>
      <c r="G90" s="892"/>
      <c r="H90" s="1412">
        <f>BS!G48</f>
        <v>0</v>
      </c>
      <c r="I90" s="1413"/>
      <c r="J90" s="1414"/>
    </row>
    <row r="91" spans="1:10" s="501" customFormat="1" ht="27.95" customHeight="1" x14ac:dyDescent="0.25">
      <c r="A91" s="1515" t="s">
        <v>532</v>
      </c>
      <c r="B91" s="1529" t="s">
        <v>619</v>
      </c>
      <c r="C91" s="1446" t="s">
        <v>924</v>
      </c>
      <c r="D91" s="1416">
        <f>BS!D49</f>
        <v>0</v>
      </c>
      <c r="E91" s="1416"/>
      <c r="F91" s="1412"/>
      <c r="G91" s="1412">
        <f>BS!F49</f>
        <v>0</v>
      </c>
      <c r="H91" s="1413"/>
      <c r="I91" s="1415"/>
      <c r="J91" s="889"/>
    </row>
    <row r="92" spans="1:10" s="501" customFormat="1" ht="27.95" customHeight="1" x14ac:dyDescent="0.25">
      <c r="A92" s="1480"/>
      <c r="B92" s="1481"/>
      <c r="C92" s="1446"/>
      <c r="D92" s="1416">
        <f>BS!E49</f>
        <v>0</v>
      </c>
      <c r="E92" s="1416"/>
      <c r="F92" s="1416"/>
      <c r="G92" s="892"/>
      <c r="H92" s="1412">
        <f>BS!G49</f>
        <v>0</v>
      </c>
      <c r="I92" s="1413"/>
      <c r="J92" s="1414"/>
    </row>
    <row r="93" spans="1:10" ht="27.95" customHeight="1" x14ac:dyDescent="0.25">
      <c r="A93" s="1515" t="s">
        <v>535</v>
      </c>
      <c r="B93" s="1529" t="s">
        <v>1556</v>
      </c>
      <c r="C93" s="1446" t="s">
        <v>927</v>
      </c>
      <c r="D93" s="1416">
        <f>BS!D50</f>
        <v>0</v>
      </c>
      <c r="E93" s="1416"/>
      <c r="F93" s="1412"/>
      <c r="G93" s="1412">
        <f>BS!F50</f>
        <v>0</v>
      </c>
      <c r="H93" s="1413"/>
      <c r="I93" s="1415"/>
      <c r="J93" s="889"/>
    </row>
    <row r="94" spans="1:10" ht="27.95" customHeight="1" x14ac:dyDescent="0.25">
      <c r="A94" s="1480"/>
      <c r="B94" s="1481"/>
      <c r="C94" s="1446"/>
      <c r="D94" s="1416">
        <f>BS!E50</f>
        <v>0</v>
      </c>
      <c r="E94" s="1416"/>
      <c r="F94" s="1416"/>
      <c r="G94" s="833"/>
      <c r="H94" s="1412">
        <f>BS!G50</f>
        <v>0</v>
      </c>
      <c r="I94" s="1413"/>
      <c r="J94" s="1414"/>
    </row>
    <row r="95" spans="1:10" ht="11.25" customHeight="1" x14ac:dyDescent="0.25">
      <c r="A95" s="1503" t="s">
        <v>1512</v>
      </c>
      <c r="B95" s="1505" t="s">
        <v>1513</v>
      </c>
      <c r="C95" s="1507" t="s">
        <v>1514</v>
      </c>
      <c r="D95" s="1419" t="s">
        <v>1515</v>
      </c>
      <c r="E95" s="1420"/>
      <c r="F95" s="1420"/>
      <c r="G95" s="1420"/>
      <c r="H95" s="1421"/>
      <c r="I95" s="1426" t="s">
        <v>1516</v>
      </c>
      <c r="J95" s="1427"/>
    </row>
    <row r="96" spans="1:10" ht="11.25" customHeight="1" x14ac:dyDescent="0.15">
      <c r="A96" s="1503"/>
      <c r="B96" s="1505"/>
      <c r="C96" s="1507"/>
      <c r="D96" s="1450">
        <v>1</v>
      </c>
      <c r="E96" s="1417" t="s">
        <v>1517</v>
      </c>
      <c r="F96" s="1509"/>
      <c r="G96" s="1422" t="s">
        <v>1518</v>
      </c>
      <c r="H96" s="1423"/>
      <c r="I96" s="1419"/>
      <c r="J96" s="1428"/>
    </row>
    <row r="97" spans="1:12" ht="12" customHeight="1" x14ac:dyDescent="0.25">
      <c r="A97" s="1471"/>
      <c r="B97" s="1470"/>
      <c r="C97" s="1477"/>
      <c r="D97" s="1508"/>
      <c r="E97" s="1417" t="s">
        <v>1519</v>
      </c>
      <c r="F97" s="1509"/>
      <c r="G97" s="1419"/>
      <c r="H97" s="1421"/>
      <c r="I97" s="1417" t="s">
        <v>1520</v>
      </c>
      <c r="J97" s="1418"/>
    </row>
    <row r="98" spans="1:12" ht="27.95" customHeight="1" x14ac:dyDescent="0.25">
      <c r="A98" s="1515" t="s">
        <v>538</v>
      </c>
      <c r="B98" s="1530" t="s">
        <v>1557</v>
      </c>
      <c r="C98" s="1455" t="s">
        <v>930</v>
      </c>
      <c r="D98" s="1416">
        <f>BS!D51</f>
        <v>0</v>
      </c>
      <c r="E98" s="1416"/>
      <c r="F98" s="1416"/>
      <c r="G98" s="1412">
        <f>BS!F51</f>
        <v>0</v>
      </c>
      <c r="H98" s="1413"/>
      <c r="I98" s="1415"/>
      <c r="J98" s="889"/>
      <c r="L98" s="553" t="s">
        <v>1177</v>
      </c>
    </row>
    <row r="99" spans="1:12" ht="27.95" customHeight="1" x14ac:dyDescent="0.25">
      <c r="A99" s="1480"/>
      <c r="B99" s="1481"/>
      <c r="C99" s="1446"/>
      <c r="D99" s="1416">
        <f>BS!E51</f>
        <v>0</v>
      </c>
      <c r="E99" s="1416"/>
      <c r="F99" s="1416"/>
      <c r="G99" s="890"/>
      <c r="H99" s="1412">
        <f>BS!G51</f>
        <v>0</v>
      </c>
      <c r="I99" s="1413"/>
      <c r="J99" s="1414"/>
    </row>
    <row r="100" spans="1:12" ht="27.95" customHeight="1" x14ac:dyDescent="0.25">
      <c r="A100" s="1515" t="s">
        <v>541</v>
      </c>
      <c r="B100" s="1436" t="s">
        <v>1558</v>
      </c>
      <c r="C100" s="1446" t="s">
        <v>933</v>
      </c>
      <c r="D100" s="1416">
        <f>BS!D52</f>
        <v>0</v>
      </c>
      <c r="E100" s="1416"/>
      <c r="F100" s="1416"/>
      <c r="G100" s="1412">
        <f>BS!F52</f>
        <v>0</v>
      </c>
      <c r="H100" s="1413"/>
      <c r="I100" s="1415"/>
      <c r="J100" s="889"/>
    </row>
    <row r="101" spans="1:12" ht="27.95" customHeight="1" x14ac:dyDescent="0.25">
      <c r="A101" s="1480"/>
      <c r="B101" s="1436"/>
      <c r="C101" s="1446"/>
      <c r="D101" s="1416">
        <f>BS!E52</f>
        <v>0</v>
      </c>
      <c r="E101" s="1416"/>
      <c r="F101" s="1416"/>
      <c r="G101" s="890"/>
      <c r="H101" s="1412">
        <f>BS!G52</f>
        <v>0</v>
      </c>
      <c r="I101" s="1413"/>
      <c r="J101" s="1414"/>
    </row>
    <row r="102" spans="1:12" ht="27.95" customHeight="1" x14ac:dyDescent="0.25">
      <c r="A102" s="1515" t="s">
        <v>544</v>
      </c>
      <c r="B102" s="1436" t="s">
        <v>1559</v>
      </c>
      <c r="C102" s="1455" t="s">
        <v>936</v>
      </c>
      <c r="D102" s="1416">
        <f>BS!D53</f>
        <v>0</v>
      </c>
      <c r="E102" s="1416"/>
      <c r="F102" s="1416"/>
      <c r="G102" s="1412">
        <f>BS!F53</f>
        <v>0</v>
      </c>
      <c r="H102" s="1413"/>
      <c r="I102" s="1415"/>
      <c r="J102" s="889"/>
    </row>
    <row r="103" spans="1:12" ht="27.95" customHeight="1" x14ac:dyDescent="0.25">
      <c r="A103" s="1480"/>
      <c r="B103" s="1436"/>
      <c r="C103" s="1446"/>
      <c r="D103" s="1416">
        <f>BS!E53</f>
        <v>0</v>
      </c>
      <c r="E103" s="1416"/>
      <c r="F103" s="1416"/>
      <c r="G103" s="890"/>
      <c r="H103" s="1412">
        <f>BS!G53</f>
        <v>0</v>
      </c>
      <c r="I103" s="1413"/>
      <c r="J103" s="1414"/>
    </row>
    <row r="104" spans="1:12" ht="27.95" customHeight="1" x14ac:dyDescent="0.25">
      <c r="A104" s="1515" t="s">
        <v>547</v>
      </c>
      <c r="B104" s="1436" t="s">
        <v>1560</v>
      </c>
      <c r="C104" s="1446" t="s">
        <v>939</v>
      </c>
      <c r="D104" s="1416">
        <f>BS!D54</f>
        <v>50197</v>
      </c>
      <c r="E104" s="1416"/>
      <c r="F104" s="1416"/>
      <c r="G104" s="1412">
        <f>BS!F54</f>
        <v>50197</v>
      </c>
      <c r="H104" s="1413"/>
      <c r="I104" s="1415"/>
      <c r="J104" s="889"/>
    </row>
    <row r="105" spans="1:12" ht="27.95" customHeight="1" x14ac:dyDescent="0.25">
      <c r="A105" s="1480"/>
      <c r="B105" s="1436"/>
      <c r="C105" s="1446"/>
      <c r="D105" s="1416">
        <f>BS!E54</f>
        <v>0</v>
      </c>
      <c r="E105" s="1416"/>
      <c r="F105" s="1416"/>
      <c r="G105" s="890"/>
      <c r="H105" s="1412">
        <f>BS!G54</f>
        <v>7916</v>
      </c>
      <c r="I105" s="1413"/>
      <c r="J105" s="1414"/>
    </row>
    <row r="106" spans="1:12" ht="27.95" customHeight="1" x14ac:dyDescent="0.25">
      <c r="A106" s="1531" t="s">
        <v>631</v>
      </c>
      <c r="B106" s="1438" t="s">
        <v>632</v>
      </c>
      <c r="C106" s="1455" t="s">
        <v>941</v>
      </c>
      <c r="D106" s="1416">
        <f>BS!D55</f>
        <v>860706</v>
      </c>
      <c r="E106" s="1416"/>
      <c r="F106" s="1416"/>
      <c r="G106" s="1412">
        <f>BS!F55</f>
        <v>860706</v>
      </c>
      <c r="H106" s="1413"/>
      <c r="I106" s="1415"/>
      <c r="J106" s="889"/>
    </row>
    <row r="107" spans="1:12" ht="27.95" customHeight="1" x14ac:dyDescent="0.25">
      <c r="A107" s="1479"/>
      <c r="B107" s="1438"/>
      <c r="C107" s="1446"/>
      <c r="D107" s="1416">
        <f>BS!E55</f>
        <v>0</v>
      </c>
      <c r="E107" s="1416"/>
      <c r="F107" s="1416"/>
      <c r="G107" s="890"/>
      <c r="H107" s="1412">
        <f>BS!G55</f>
        <v>735953</v>
      </c>
      <c r="I107" s="1413"/>
      <c r="J107" s="1414"/>
    </row>
    <row r="108" spans="1:12" s="501" customFormat="1" ht="27.95" customHeight="1" x14ac:dyDescent="0.25">
      <c r="A108" s="1532" t="s">
        <v>634</v>
      </c>
      <c r="B108" s="1436" t="s">
        <v>1561</v>
      </c>
      <c r="C108" s="1446" t="s">
        <v>944</v>
      </c>
      <c r="D108" s="1416">
        <f>BS!D56</f>
        <v>860706</v>
      </c>
      <c r="E108" s="1416"/>
      <c r="F108" s="1416"/>
      <c r="G108" s="1412">
        <f>BS!F56</f>
        <v>860706</v>
      </c>
      <c r="H108" s="1413"/>
      <c r="I108" s="1415"/>
      <c r="J108" s="889"/>
    </row>
    <row r="109" spans="1:12" s="501" customFormat="1" ht="27.95" customHeight="1" x14ac:dyDescent="0.25">
      <c r="A109" s="1533"/>
      <c r="B109" s="1436"/>
      <c r="C109" s="1446"/>
      <c r="D109" s="1416">
        <f>BS!E56</f>
        <v>0</v>
      </c>
      <c r="E109" s="1416"/>
      <c r="F109" s="1416"/>
      <c r="G109" s="890"/>
      <c r="H109" s="1412">
        <f>BS!G56</f>
        <v>735953</v>
      </c>
      <c r="I109" s="1413"/>
      <c r="J109" s="1414"/>
    </row>
    <row r="110" spans="1:12" s="501" customFormat="1" ht="27.95" customHeight="1" x14ac:dyDescent="0.25">
      <c r="A110" s="1515" t="s">
        <v>532</v>
      </c>
      <c r="B110" s="1436" t="s">
        <v>619</v>
      </c>
      <c r="C110" s="1455" t="s">
        <v>947</v>
      </c>
      <c r="D110" s="1416">
        <f>BS!D57</f>
        <v>0</v>
      </c>
      <c r="E110" s="1416"/>
      <c r="F110" s="1416"/>
      <c r="G110" s="1412">
        <f>BS!F57</f>
        <v>0</v>
      </c>
      <c r="H110" s="1413"/>
      <c r="I110" s="1415"/>
      <c r="J110" s="889"/>
    </row>
    <row r="111" spans="1:12" s="501" customFormat="1" ht="27.95" customHeight="1" x14ac:dyDescent="0.25">
      <c r="A111" s="1480"/>
      <c r="B111" s="1436"/>
      <c r="C111" s="1446"/>
      <c r="D111" s="1416">
        <f>BS!E57</f>
        <v>0</v>
      </c>
      <c r="E111" s="1416"/>
      <c r="F111" s="1416"/>
      <c r="G111" s="890"/>
      <c r="H111" s="1412">
        <f>BS!G57</f>
        <v>0</v>
      </c>
      <c r="I111" s="1413"/>
      <c r="J111" s="1414"/>
    </row>
    <row r="112" spans="1:12" ht="27.95" customHeight="1" x14ac:dyDescent="0.25">
      <c r="A112" s="1515" t="s">
        <v>535</v>
      </c>
      <c r="B112" s="1436" t="s">
        <v>1562</v>
      </c>
      <c r="C112" s="1446" t="s">
        <v>950</v>
      </c>
      <c r="D112" s="1416">
        <f>BS!D58</f>
        <v>0</v>
      </c>
      <c r="E112" s="1416"/>
      <c r="F112" s="1416"/>
      <c r="G112" s="1412">
        <f>BS!F58</f>
        <v>0</v>
      </c>
      <c r="H112" s="1413"/>
      <c r="I112" s="1415"/>
      <c r="J112" s="889"/>
    </row>
    <row r="113" spans="1:10" ht="27.95" customHeight="1" x14ac:dyDescent="0.25">
      <c r="A113" s="1480"/>
      <c r="B113" s="1436"/>
      <c r="C113" s="1446"/>
      <c r="D113" s="1416">
        <f>BS!E58</f>
        <v>0</v>
      </c>
      <c r="E113" s="1416"/>
      <c r="F113" s="1416"/>
      <c r="G113" s="890"/>
      <c r="H113" s="1412">
        <f>BS!G58</f>
        <v>0</v>
      </c>
      <c r="I113" s="1413"/>
      <c r="J113" s="1414"/>
    </row>
    <row r="114" spans="1:10" ht="27.95" customHeight="1" x14ac:dyDescent="0.25">
      <c r="A114" s="1515" t="s">
        <v>538</v>
      </c>
      <c r="B114" s="1436" t="s">
        <v>1557</v>
      </c>
      <c r="C114" s="1455" t="s">
        <v>952</v>
      </c>
      <c r="D114" s="1416">
        <f>BS!D59</f>
        <v>0</v>
      </c>
      <c r="E114" s="1416"/>
      <c r="F114" s="1416"/>
      <c r="G114" s="1412">
        <f>BS!F59</f>
        <v>0</v>
      </c>
      <c r="H114" s="1413"/>
      <c r="I114" s="1415"/>
      <c r="J114" s="889"/>
    </row>
    <row r="115" spans="1:10" ht="27.95" customHeight="1" x14ac:dyDescent="0.25">
      <c r="A115" s="1480"/>
      <c r="B115" s="1436"/>
      <c r="C115" s="1446"/>
      <c r="D115" s="1416">
        <f>BS!E59</f>
        <v>0</v>
      </c>
      <c r="E115" s="1416"/>
      <c r="F115" s="1416"/>
      <c r="G115" s="890"/>
      <c r="H115" s="1412">
        <f>BS!G59</f>
        <v>0</v>
      </c>
      <c r="I115" s="1413"/>
      <c r="J115" s="1414"/>
    </row>
    <row r="116" spans="1:10" ht="27.95" customHeight="1" x14ac:dyDescent="0.25">
      <c r="A116" s="1515" t="s">
        <v>541</v>
      </c>
      <c r="B116" s="1436" t="s">
        <v>1563</v>
      </c>
      <c r="C116" s="1446" t="s">
        <v>954</v>
      </c>
      <c r="D116" s="1416">
        <f>BS!D60</f>
        <v>0</v>
      </c>
      <c r="E116" s="1416"/>
      <c r="F116" s="1416"/>
      <c r="G116" s="1412">
        <f>BS!F60</f>
        <v>0</v>
      </c>
      <c r="H116" s="1413"/>
      <c r="I116" s="1415"/>
      <c r="J116" s="889"/>
    </row>
    <row r="117" spans="1:10" ht="27.95" customHeight="1" x14ac:dyDescent="0.25">
      <c r="A117" s="1480"/>
      <c r="B117" s="1436"/>
      <c r="C117" s="1446"/>
      <c r="D117" s="1416">
        <f>BS!E60</f>
        <v>0</v>
      </c>
      <c r="E117" s="1416"/>
      <c r="F117" s="1416"/>
      <c r="G117" s="890"/>
      <c r="H117" s="1412">
        <f>BS!G60</f>
        <v>0</v>
      </c>
      <c r="I117" s="1413"/>
      <c r="J117" s="1414"/>
    </row>
    <row r="118" spans="1:10" ht="27.95" customHeight="1" x14ac:dyDescent="0.25">
      <c r="A118" s="1515" t="s">
        <v>544</v>
      </c>
      <c r="B118" s="1436" t="s">
        <v>1564</v>
      </c>
      <c r="C118" s="1455" t="s">
        <v>957</v>
      </c>
      <c r="D118" s="1416">
        <f>BS!D61</f>
        <v>0</v>
      </c>
      <c r="E118" s="1416"/>
      <c r="F118" s="1416"/>
      <c r="G118" s="1412">
        <f>BS!F61</f>
        <v>0</v>
      </c>
      <c r="H118" s="1413"/>
      <c r="I118" s="1415"/>
      <c r="J118" s="889"/>
    </row>
    <row r="119" spans="1:10" ht="27.95" customHeight="1" x14ac:dyDescent="0.25">
      <c r="A119" s="1480"/>
      <c r="B119" s="1436"/>
      <c r="C119" s="1446"/>
      <c r="D119" s="1416">
        <f>BS!E61</f>
        <v>0</v>
      </c>
      <c r="E119" s="1416"/>
      <c r="F119" s="1416"/>
      <c r="G119" s="890"/>
      <c r="H119" s="1412">
        <f>BS!G61</f>
        <v>0</v>
      </c>
      <c r="I119" s="1413"/>
      <c r="J119" s="1414"/>
    </row>
    <row r="120" spans="1:10" ht="27.95" customHeight="1" x14ac:dyDescent="0.25">
      <c r="A120" s="1515" t="s">
        <v>547</v>
      </c>
      <c r="B120" s="1436" t="s">
        <v>1565</v>
      </c>
      <c r="C120" s="1446" t="s">
        <v>960</v>
      </c>
      <c r="D120" s="1416">
        <f>BS!D62</f>
        <v>0</v>
      </c>
      <c r="E120" s="1416"/>
      <c r="F120" s="1416"/>
      <c r="G120" s="1412">
        <f>BS!F62</f>
        <v>0</v>
      </c>
      <c r="H120" s="1413"/>
      <c r="I120" s="1415"/>
      <c r="J120" s="889"/>
    </row>
    <row r="121" spans="1:10" ht="27.95" customHeight="1" x14ac:dyDescent="0.25">
      <c r="A121" s="1480"/>
      <c r="B121" s="1436"/>
      <c r="C121" s="1446"/>
      <c r="D121" s="1416">
        <f>BS!E62</f>
        <v>0</v>
      </c>
      <c r="E121" s="1416"/>
      <c r="F121" s="1416"/>
      <c r="G121" s="890"/>
      <c r="H121" s="1412">
        <f>BS!G62</f>
        <v>0</v>
      </c>
      <c r="I121" s="1413"/>
      <c r="J121" s="1414"/>
    </row>
    <row r="122" spans="1:10" ht="27.95" customHeight="1" x14ac:dyDescent="0.25">
      <c r="A122" s="1515" t="s">
        <v>568</v>
      </c>
      <c r="B122" s="1436" t="s">
        <v>1559</v>
      </c>
      <c r="C122" s="1455" t="s">
        <v>962</v>
      </c>
      <c r="D122" s="1416">
        <f>BS!D63</f>
        <v>0</v>
      </c>
      <c r="E122" s="1416"/>
      <c r="F122" s="1416"/>
      <c r="G122" s="1412">
        <f>BS!F63</f>
        <v>0</v>
      </c>
      <c r="H122" s="1413"/>
      <c r="I122" s="1415"/>
      <c r="J122" s="889"/>
    </row>
    <row r="123" spans="1:10" ht="27.95" customHeight="1" x14ac:dyDescent="0.25">
      <c r="A123" s="1480"/>
      <c r="B123" s="1529"/>
      <c r="C123" s="1446"/>
      <c r="D123" s="1416">
        <f>BS!E63</f>
        <v>0</v>
      </c>
      <c r="E123" s="1416"/>
      <c r="F123" s="1416"/>
      <c r="G123" s="890"/>
      <c r="H123" s="1412">
        <f>BS!G63</f>
        <v>0</v>
      </c>
      <c r="I123" s="1413"/>
      <c r="J123" s="1414"/>
    </row>
    <row r="124" spans="1:10" ht="27.95" customHeight="1" x14ac:dyDescent="0.25">
      <c r="A124" s="1531" t="s">
        <v>649</v>
      </c>
      <c r="B124" s="1438" t="s">
        <v>650</v>
      </c>
      <c r="C124" s="1446" t="s">
        <v>965</v>
      </c>
      <c r="D124" s="1523">
        <f>BS!D64</f>
        <v>210</v>
      </c>
      <c r="E124" s="1523"/>
      <c r="F124" s="1523"/>
      <c r="G124" s="1412">
        <f>BS!F64</f>
        <v>210</v>
      </c>
      <c r="H124" s="1413"/>
      <c r="I124" s="1415"/>
      <c r="J124" s="889"/>
    </row>
    <row r="125" spans="1:10" ht="27.95" customHeight="1" x14ac:dyDescent="0.25">
      <c r="A125" s="1479"/>
      <c r="B125" s="1438"/>
      <c r="C125" s="1446"/>
      <c r="D125" s="1416">
        <f>BS!E64</f>
        <v>0</v>
      </c>
      <c r="E125" s="1416"/>
      <c r="F125" s="1416"/>
      <c r="G125" s="890"/>
      <c r="H125" s="1412">
        <f>BS!G64</f>
        <v>684</v>
      </c>
      <c r="I125" s="1413"/>
      <c r="J125" s="1414"/>
    </row>
    <row r="126" spans="1:10" s="501" customFormat="1" ht="27.95" customHeight="1" x14ac:dyDescent="0.25">
      <c r="A126" s="1534" t="s">
        <v>652</v>
      </c>
      <c r="B126" s="1436" t="s">
        <v>1566</v>
      </c>
      <c r="C126" s="1455" t="s">
        <v>968</v>
      </c>
      <c r="D126" s="1416">
        <f>BS!D65</f>
        <v>210</v>
      </c>
      <c r="E126" s="1416"/>
      <c r="F126" s="1416"/>
      <c r="G126" s="1412">
        <f>BS!F65</f>
        <v>210</v>
      </c>
      <c r="H126" s="1413"/>
      <c r="I126" s="1415"/>
      <c r="J126" s="889"/>
    </row>
    <row r="127" spans="1:10" s="501" customFormat="1" ht="27.95" customHeight="1" x14ac:dyDescent="0.25">
      <c r="A127" s="1535"/>
      <c r="B127" s="1436"/>
      <c r="C127" s="1446"/>
      <c r="D127" s="1416">
        <f>BS!E65</f>
        <v>0</v>
      </c>
      <c r="E127" s="1416"/>
      <c r="F127" s="1416"/>
      <c r="G127" s="843"/>
      <c r="H127" s="1412">
        <f>BS!G65</f>
        <v>684</v>
      </c>
      <c r="I127" s="1413"/>
      <c r="J127" s="1414"/>
    </row>
    <row r="128" spans="1:10" ht="11.25" customHeight="1" x14ac:dyDescent="0.25">
      <c r="A128" s="1503" t="s">
        <v>1512</v>
      </c>
      <c r="B128" s="1505" t="s">
        <v>1513</v>
      </c>
      <c r="C128" s="1507" t="s">
        <v>1514</v>
      </c>
      <c r="D128" s="1419" t="s">
        <v>1515</v>
      </c>
      <c r="E128" s="1420"/>
      <c r="F128" s="1420"/>
      <c r="G128" s="1420"/>
      <c r="H128" s="1421"/>
      <c r="I128" s="1426" t="s">
        <v>1516</v>
      </c>
      <c r="J128" s="1427"/>
    </row>
    <row r="129" spans="1:10" ht="11.25" customHeight="1" x14ac:dyDescent="0.15">
      <c r="A129" s="1503"/>
      <c r="B129" s="1505"/>
      <c r="C129" s="1507"/>
      <c r="D129" s="1450">
        <v>1</v>
      </c>
      <c r="E129" s="1417" t="s">
        <v>1517</v>
      </c>
      <c r="F129" s="1509"/>
      <c r="G129" s="1422" t="s">
        <v>1518</v>
      </c>
      <c r="H129" s="1423"/>
      <c r="I129" s="1419"/>
      <c r="J129" s="1428"/>
    </row>
    <row r="130" spans="1:10" ht="11.25" customHeight="1" x14ac:dyDescent="0.25">
      <c r="A130" s="1471"/>
      <c r="B130" s="1470"/>
      <c r="C130" s="1477"/>
      <c r="D130" s="1508"/>
      <c r="E130" s="1417" t="s">
        <v>1519</v>
      </c>
      <c r="F130" s="1509"/>
      <c r="G130" s="1419"/>
      <c r="H130" s="1421"/>
      <c r="I130" s="1417" t="s">
        <v>1520</v>
      </c>
      <c r="J130" s="1418"/>
    </row>
    <row r="131" spans="1:10" s="571" customFormat="1" ht="27.95" customHeight="1" x14ac:dyDescent="0.25">
      <c r="A131" s="1515" t="s">
        <v>532</v>
      </c>
      <c r="B131" s="1481" t="s">
        <v>1567</v>
      </c>
      <c r="C131" s="1446" t="s">
        <v>656</v>
      </c>
      <c r="D131" s="1416">
        <f>BS!D66</f>
        <v>0</v>
      </c>
      <c r="E131" s="1416"/>
      <c r="F131" s="1416"/>
      <c r="G131" s="1412">
        <f>BS!F66</f>
        <v>0</v>
      </c>
      <c r="H131" s="1413"/>
      <c r="I131" s="1415"/>
      <c r="J131" s="572"/>
    </row>
    <row r="132" spans="1:10" s="571" customFormat="1" ht="27.95" customHeight="1" x14ac:dyDescent="0.25">
      <c r="A132" s="1480"/>
      <c r="B132" s="1436"/>
      <c r="C132" s="1446"/>
      <c r="D132" s="1416">
        <f>BS!E66</f>
        <v>0</v>
      </c>
      <c r="E132" s="1416"/>
      <c r="F132" s="1416"/>
      <c r="G132" s="891"/>
      <c r="H132" s="1412">
        <f>BS!G66</f>
        <v>0</v>
      </c>
      <c r="I132" s="1413"/>
      <c r="J132" s="1414"/>
    </row>
    <row r="133" spans="1:10" s="571" customFormat="1" ht="27.95" customHeight="1" x14ac:dyDescent="0.25">
      <c r="A133" s="1515" t="s">
        <v>535</v>
      </c>
      <c r="B133" s="1436" t="s">
        <v>1568</v>
      </c>
      <c r="C133" s="1446" t="s">
        <v>658</v>
      </c>
      <c r="D133" s="1416">
        <f>BS!D67</f>
        <v>0</v>
      </c>
      <c r="E133" s="1416"/>
      <c r="F133" s="1416"/>
      <c r="G133" s="1412">
        <f>BS!F67</f>
        <v>0</v>
      </c>
      <c r="H133" s="1413"/>
      <c r="I133" s="1415"/>
      <c r="J133" s="572"/>
    </row>
    <row r="134" spans="1:10" ht="27.95" customHeight="1" x14ac:dyDescent="0.25">
      <c r="A134" s="1480"/>
      <c r="B134" s="1436"/>
      <c r="C134" s="1446"/>
      <c r="D134" s="1416">
        <f>BS!E67</f>
        <v>0</v>
      </c>
      <c r="E134" s="1416"/>
      <c r="F134" s="1416"/>
      <c r="G134" s="891"/>
      <c r="H134" s="1412">
        <f>BS!G67</f>
        <v>0</v>
      </c>
      <c r="I134" s="1413"/>
      <c r="J134" s="1414"/>
    </row>
    <row r="135" spans="1:10" ht="27.95" customHeight="1" x14ac:dyDescent="0.25">
      <c r="A135" s="1515" t="s">
        <v>538</v>
      </c>
      <c r="B135" s="1436" t="s">
        <v>1569</v>
      </c>
      <c r="C135" s="1446" t="s">
        <v>660</v>
      </c>
      <c r="D135" s="1416">
        <f>BS!D68</f>
        <v>0</v>
      </c>
      <c r="E135" s="1416"/>
      <c r="F135" s="1416"/>
      <c r="G135" s="1412">
        <f>BS!F68</f>
        <v>0</v>
      </c>
      <c r="H135" s="1413"/>
      <c r="I135" s="1415"/>
      <c r="J135" s="889"/>
    </row>
    <row r="136" spans="1:10" ht="27.95" customHeight="1" x14ac:dyDescent="0.25">
      <c r="A136" s="1480"/>
      <c r="B136" s="1436"/>
      <c r="C136" s="1446"/>
      <c r="D136" s="1416">
        <f>BS!E68</f>
        <v>0</v>
      </c>
      <c r="E136" s="1416"/>
      <c r="F136" s="1416"/>
      <c r="G136" s="891"/>
      <c r="H136" s="1412">
        <f>BS!G68</f>
        <v>0</v>
      </c>
      <c r="I136" s="1413"/>
      <c r="J136" s="1414"/>
    </row>
    <row r="137" spans="1:10" ht="27.95" customHeight="1" x14ac:dyDescent="0.25">
      <c r="A137" s="1515" t="s">
        <v>541</v>
      </c>
      <c r="B137" s="1436" t="s">
        <v>1570</v>
      </c>
      <c r="C137" s="1446" t="s">
        <v>662</v>
      </c>
      <c r="D137" s="1416">
        <f>BS!D69</f>
        <v>0</v>
      </c>
      <c r="E137" s="1416"/>
      <c r="F137" s="1416"/>
      <c r="G137" s="1412">
        <f>BS!F69</f>
        <v>0</v>
      </c>
      <c r="H137" s="1413"/>
      <c r="I137" s="1415"/>
      <c r="J137" s="889"/>
    </row>
    <row r="138" spans="1:10" ht="27.95" customHeight="1" x14ac:dyDescent="0.25">
      <c r="A138" s="1480"/>
      <c r="B138" s="1436"/>
      <c r="C138" s="1446"/>
      <c r="D138" s="1416">
        <f>BS!E69</f>
        <v>0</v>
      </c>
      <c r="E138" s="1416"/>
      <c r="F138" s="1416"/>
      <c r="G138" s="891"/>
      <c r="H138" s="1412">
        <f>BS!G69</f>
        <v>0</v>
      </c>
      <c r="I138" s="1413"/>
      <c r="J138" s="1414"/>
    </row>
    <row r="139" spans="1:10" ht="27.95" customHeight="1" x14ac:dyDescent="0.25">
      <c r="A139" s="1513" t="s">
        <v>663</v>
      </c>
      <c r="B139" s="1438" t="s">
        <v>1571</v>
      </c>
      <c r="C139" s="1458" t="s">
        <v>665</v>
      </c>
      <c r="D139" s="1416">
        <f>BS!D70</f>
        <v>6</v>
      </c>
      <c r="E139" s="1416"/>
      <c r="F139" s="1416"/>
      <c r="G139" s="1412">
        <f>BS!F70</f>
        <v>6</v>
      </c>
      <c r="H139" s="1413"/>
      <c r="I139" s="1415"/>
      <c r="J139" s="889"/>
    </row>
    <row r="140" spans="1:10" ht="27.95" customHeight="1" x14ac:dyDescent="0.25">
      <c r="A140" s="1514"/>
      <c r="B140" s="1438"/>
      <c r="C140" s="1458"/>
      <c r="D140" s="1416">
        <f>BS!E70</f>
        <v>0</v>
      </c>
      <c r="E140" s="1416"/>
      <c r="F140" s="1416"/>
      <c r="G140" s="891"/>
      <c r="H140" s="1412">
        <f>BS!G70</f>
        <v>5</v>
      </c>
      <c r="I140" s="1413"/>
      <c r="J140" s="1414"/>
    </row>
    <row r="141" spans="1:10" ht="27.95" customHeight="1" x14ac:dyDescent="0.25">
      <c r="A141" s="1534" t="s">
        <v>666</v>
      </c>
      <c r="B141" s="1536" t="s">
        <v>1572</v>
      </c>
      <c r="C141" s="1446" t="s">
        <v>668</v>
      </c>
      <c r="D141" s="1416">
        <f>BS!D71</f>
        <v>0</v>
      </c>
      <c r="E141" s="1416"/>
      <c r="F141" s="1416"/>
      <c r="G141" s="1412">
        <f>BS!F71</f>
        <v>0</v>
      </c>
      <c r="H141" s="1413"/>
      <c r="I141" s="1415"/>
      <c r="J141" s="889"/>
    </row>
    <row r="142" spans="1:10" ht="27.95" customHeight="1" x14ac:dyDescent="0.25">
      <c r="A142" s="1535"/>
      <c r="B142" s="1436"/>
      <c r="C142" s="1446"/>
      <c r="D142" s="1416">
        <f>BS!E71</f>
        <v>0</v>
      </c>
      <c r="E142" s="1416"/>
      <c r="F142" s="1416"/>
      <c r="G142" s="891"/>
      <c r="H142" s="1412">
        <f>BS!G71</f>
        <v>0</v>
      </c>
      <c r="I142" s="1413"/>
      <c r="J142" s="1414"/>
    </row>
    <row r="143" spans="1:10" ht="27.95" customHeight="1" x14ac:dyDescent="0.25">
      <c r="A143" s="1515" t="s">
        <v>532</v>
      </c>
      <c r="B143" s="1536" t="s">
        <v>1573</v>
      </c>
      <c r="C143" s="1446" t="s">
        <v>670</v>
      </c>
      <c r="D143" s="1416">
        <f>BS!D72</f>
        <v>5</v>
      </c>
      <c r="E143" s="1416"/>
      <c r="F143" s="1416"/>
      <c r="G143" s="1412">
        <f>BS!F72</f>
        <v>5</v>
      </c>
      <c r="H143" s="1413"/>
      <c r="I143" s="1415"/>
      <c r="J143" s="889"/>
    </row>
    <row r="144" spans="1:10" s="501" customFormat="1" ht="27.95" customHeight="1" x14ac:dyDescent="0.25">
      <c r="A144" s="1480"/>
      <c r="B144" s="1436"/>
      <c r="C144" s="1446"/>
      <c r="D144" s="1416">
        <f>BS!E72</f>
        <v>0</v>
      </c>
      <c r="E144" s="1416"/>
      <c r="F144" s="1416"/>
      <c r="G144" s="891"/>
      <c r="H144" s="1412">
        <f>BS!G72</f>
        <v>5</v>
      </c>
      <c r="I144" s="1413"/>
      <c r="J144" s="1414"/>
    </row>
    <row r="145" spans="1:10" s="501" customFormat="1" ht="27.95" customHeight="1" x14ac:dyDescent="0.25">
      <c r="A145" s="1515" t="s">
        <v>535</v>
      </c>
      <c r="B145" s="1536" t="s">
        <v>1574</v>
      </c>
      <c r="C145" s="1446" t="s">
        <v>672</v>
      </c>
      <c r="D145" s="1416">
        <f>BS!D73</f>
        <v>0</v>
      </c>
      <c r="E145" s="1416"/>
      <c r="F145" s="1416"/>
      <c r="G145" s="1412">
        <f>BS!F73</f>
        <v>0</v>
      </c>
      <c r="H145" s="1413"/>
      <c r="I145" s="1415"/>
      <c r="J145" s="889"/>
    </row>
    <row r="146" spans="1:10" ht="27.95" customHeight="1" x14ac:dyDescent="0.25">
      <c r="A146" s="1480"/>
      <c r="B146" s="1436"/>
      <c r="C146" s="1446"/>
      <c r="D146" s="1416">
        <f>BS!E73</f>
        <v>0</v>
      </c>
      <c r="E146" s="1416"/>
      <c r="F146" s="1416"/>
      <c r="G146" s="891"/>
      <c r="H146" s="1412">
        <f>BS!G73</f>
        <v>0</v>
      </c>
      <c r="I146" s="1413"/>
      <c r="J146" s="1414"/>
    </row>
    <row r="147" spans="1:10" ht="27.95" customHeight="1" x14ac:dyDescent="0.25">
      <c r="A147" s="1515" t="s">
        <v>538</v>
      </c>
      <c r="B147" s="1536" t="s">
        <v>1575</v>
      </c>
      <c r="C147" s="1446" t="s">
        <v>674</v>
      </c>
      <c r="D147" s="1416">
        <f>BS!D74</f>
        <v>1</v>
      </c>
      <c r="E147" s="1416"/>
      <c r="F147" s="1416"/>
      <c r="G147" s="1412">
        <f>BS!F74</f>
        <v>1</v>
      </c>
      <c r="H147" s="1413"/>
      <c r="I147" s="1415"/>
      <c r="J147" s="889"/>
    </row>
    <row r="148" spans="1:10" s="566" customFormat="1" ht="27.95" customHeight="1" x14ac:dyDescent="0.2">
      <c r="A148" s="1480"/>
      <c r="B148" s="1436"/>
      <c r="C148" s="1446"/>
      <c r="D148" s="1416">
        <f>BS!E74</f>
        <v>0</v>
      </c>
      <c r="E148" s="1416"/>
      <c r="F148" s="1416"/>
      <c r="G148" s="843"/>
      <c r="H148" s="1412">
        <f>BS!G74</f>
        <v>0</v>
      </c>
      <c r="I148" s="1413"/>
      <c r="J148" s="1414"/>
    </row>
    <row r="149" spans="1:10" s="566" customFormat="1" ht="30" customHeight="1" x14ac:dyDescent="0.2">
      <c r="A149" s="835" t="s">
        <v>1512</v>
      </c>
      <c r="B149" s="1537" t="s">
        <v>1576</v>
      </c>
      <c r="C149" s="1538"/>
      <c r="D149" s="1538"/>
      <c r="E149" s="1539"/>
      <c r="F149" s="841" t="s">
        <v>1514</v>
      </c>
      <c r="G149" s="1419" t="s">
        <v>1577</v>
      </c>
      <c r="H149" s="1421"/>
      <c r="I149" s="1419" t="s">
        <v>1578</v>
      </c>
      <c r="J149" s="1428"/>
    </row>
    <row r="150" spans="1:10" s="566" customFormat="1" ht="27.75" customHeight="1" x14ac:dyDescent="0.2">
      <c r="A150" s="567"/>
      <c r="B150" s="1540" t="s">
        <v>1579</v>
      </c>
      <c r="C150" s="1541"/>
      <c r="D150" s="1541"/>
      <c r="E150" s="1542"/>
      <c r="F150" s="845" t="s">
        <v>681</v>
      </c>
      <c r="G150" s="1412">
        <f>BS!D81</f>
        <v>911119</v>
      </c>
      <c r="H150" s="1415"/>
      <c r="I150" s="1412">
        <f>BS!E81</f>
        <v>744558</v>
      </c>
      <c r="J150" s="1414"/>
    </row>
    <row r="151" spans="1:10" s="566" customFormat="1" ht="27.75" customHeight="1" x14ac:dyDescent="0.2">
      <c r="A151" s="846" t="s">
        <v>523</v>
      </c>
      <c r="B151" s="1540" t="s">
        <v>1580</v>
      </c>
      <c r="C151" s="1541"/>
      <c r="D151" s="1541"/>
      <c r="E151" s="1542"/>
      <c r="F151" s="845" t="s">
        <v>683</v>
      </c>
      <c r="G151" s="1412">
        <f>BS!D82</f>
        <v>57986</v>
      </c>
      <c r="H151" s="1415"/>
      <c r="I151" s="1412">
        <f>BS!E82</f>
        <v>114495</v>
      </c>
      <c r="J151" s="1414"/>
    </row>
    <row r="152" spans="1:10" ht="27.75" customHeight="1" x14ac:dyDescent="0.25">
      <c r="A152" s="846" t="s">
        <v>526</v>
      </c>
      <c r="B152" s="1540" t="s">
        <v>684</v>
      </c>
      <c r="C152" s="1541"/>
      <c r="D152" s="1541"/>
      <c r="E152" s="1542"/>
      <c r="F152" s="845" t="s">
        <v>685</v>
      </c>
      <c r="G152" s="1412">
        <f>BS!D83</f>
        <v>6639</v>
      </c>
      <c r="H152" s="1415"/>
      <c r="I152" s="1412">
        <f>BS!E83</f>
        <v>6639</v>
      </c>
      <c r="J152" s="1414"/>
    </row>
    <row r="153" spans="1:10" s="501" customFormat="1" ht="27.75" customHeight="1" x14ac:dyDescent="0.25">
      <c r="A153" s="844" t="s">
        <v>529</v>
      </c>
      <c r="B153" s="1543" t="s">
        <v>686</v>
      </c>
      <c r="C153" s="1544"/>
      <c r="D153" s="1544"/>
      <c r="E153" s="1545"/>
      <c r="F153" s="839" t="s">
        <v>687</v>
      </c>
      <c r="G153" s="1412">
        <f>BS!D84</f>
        <v>6639</v>
      </c>
      <c r="H153" s="1415"/>
      <c r="I153" s="1412">
        <f>BS!E84</f>
        <v>6639</v>
      </c>
      <c r="J153" s="1414"/>
    </row>
    <row r="154" spans="1:10" s="501" customFormat="1" ht="27.75" customHeight="1" x14ac:dyDescent="0.25">
      <c r="A154" s="837" t="s">
        <v>532</v>
      </c>
      <c r="B154" s="1543" t="s">
        <v>688</v>
      </c>
      <c r="C154" s="1544"/>
      <c r="D154" s="1544"/>
      <c r="E154" s="1545"/>
      <c r="F154" s="839" t="s">
        <v>689</v>
      </c>
      <c r="G154" s="1412">
        <f>BS!D85</f>
        <v>0</v>
      </c>
      <c r="H154" s="1415"/>
      <c r="I154" s="1412">
        <f>BS!E85</f>
        <v>0</v>
      </c>
      <c r="J154" s="1414"/>
    </row>
    <row r="155" spans="1:10" s="501" customFormat="1" ht="27.75" customHeight="1" x14ac:dyDescent="0.25">
      <c r="A155" s="837" t="s">
        <v>535</v>
      </c>
      <c r="B155" s="1543" t="s">
        <v>690</v>
      </c>
      <c r="C155" s="1544"/>
      <c r="D155" s="1544"/>
      <c r="E155" s="1545"/>
      <c r="F155" s="839" t="s">
        <v>691</v>
      </c>
      <c r="G155" s="1412">
        <f>BS!D86</f>
        <v>0</v>
      </c>
      <c r="H155" s="1415"/>
      <c r="I155" s="1412">
        <f>BS!E86</f>
        <v>0</v>
      </c>
      <c r="J155" s="1414"/>
    </row>
    <row r="156" spans="1:10" ht="27.75" customHeight="1" x14ac:dyDescent="0.25">
      <c r="A156" s="837" t="s">
        <v>538</v>
      </c>
      <c r="B156" s="1543" t="s">
        <v>692</v>
      </c>
      <c r="C156" s="1544"/>
      <c r="D156" s="1544"/>
      <c r="E156" s="1545"/>
      <c r="F156" s="839" t="s">
        <v>693</v>
      </c>
      <c r="G156" s="1412">
        <f>BS!D87</f>
        <v>0</v>
      </c>
      <c r="H156" s="1415"/>
      <c r="I156" s="1412">
        <f>BS!E87</f>
        <v>0</v>
      </c>
      <c r="J156" s="1414"/>
    </row>
    <row r="157" spans="1:10" ht="27.75" customHeight="1" x14ac:dyDescent="0.25">
      <c r="A157" s="846" t="s">
        <v>550</v>
      </c>
      <c r="B157" s="1540" t="s">
        <v>694</v>
      </c>
      <c r="C157" s="1541"/>
      <c r="D157" s="1541"/>
      <c r="E157" s="1542"/>
      <c r="F157" s="845" t="s">
        <v>695</v>
      </c>
      <c r="G157" s="1412">
        <f>BS!D88</f>
        <v>0</v>
      </c>
      <c r="H157" s="1415"/>
      <c r="I157" s="1412">
        <f>BS!E88</f>
        <v>0</v>
      </c>
      <c r="J157" s="1414"/>
    </row>
    <row r="158" spans="1:10" ht="27.75" customHeight="1" x14ac:dyDescent="0.25">
      <c r="A158" s="844" t="s">
        <v>553</v>
      </c>
      <c r="B158" s="1543" t="s">
        <v>696</v>
      </c>
      <c r="C158" s="1544"/>
      <c r="D158" s="1544"/>
      <c r="E158" s="1545"/>
      <c r="F158" s="839" t="s">
        <v>697</v>
      </c>
      <c r="G158" s="1412">
        <f>BS!D89</f>
        <v>0</v>
      </c>
      <c r="H158" s="1415"/>
      <c r="I158" s="1412">
        <f>BS!E89</f>
        <v>0</v>
      </c>
      <c r="J158" s="1414"/>
    </row>
    <row r="159" spans="1:10" ht="27.75" customHeight="1" x14ac:dyDescent="0.25">
      <c r="A159" s="837" t="s">
        <v>532</v>
      </c>
      <c r="B159" s="1543" t="s">
        <v>698</v>
      </c>
      <c r="C159" s="1544"/>
      <c r="D159" s="1544"/>
      <c r="E159" s="1545"/>
      <c r="F159" s="839" t="s">
        <v>699</v>
      </c>
      <c r="G159" s="1412">
        <f>BS!D90</f>
        <v>0</v>
      </c>
      <c r="H159" s="1415"/>
      <c r="I159" s="1412">
        <f>BS!E90</f>
        <v>0</v>
      </c>
      <c r="J159" s="1414"/>
    </row>
    <row r="160" spans="1:10" s="501" customFormat="1" ht="27.75" customHeight="1" x14ac:dyDescent="0.25">
      <c r="A160" s="837" t="s">
        <v>535</v>
      </c>
      <c r="B160" s="1543" t="s">
        <v>700</v>
      </c>
      <c r="C160" s="1544"/>
      <c r="D160" s="1544"/>
      <c r="E160" s="1545"/>
      <c r="F160" s="839" t="s">
        <v>701</v>
      </c>
      <c r="G160" s="1412">
        <f>BS!D91</f>
        <v>0</v>
      </c>
      <c r="H160" s="1415"/>
      <c r="I160" s="1412">
        <f>BS!E91</f>
        <v>0</v>
      </c>
      <c r="J160" s="1414"/>
    </row>
    <row r="161" spans="1:10" ht="27.75" customHeight="1" x14ac:dyDescent="0.25">
      <c r="A161" s="837" t="s">
        <v>538</v>
      </c>
      <c r="B161" s="1543" t="s">
        <v>1581</v>
      </c>
      <c r="C161" s="1544"/>
      <c r="D161" s="1544"/>
      <c r="E161" s="1545"/>
      <c r="F161" s="839" t="s">
        <v>703</v>
      </c>
      <c r="G161" s="1412">
        <f>BS!D92</f>
        <v>0</v>
      </c>
      <c r="H161" s="1415"/>
      <c r="I161" s="1412">
        <f>BS!E92</f>
        <v>0</v>
      </c>
      <c r="J161" s="1414"/>
    </row>
    <row r="162" spans="1:10" ht="27.75" customHeight="1" x14ac:dyDescent="0.25">
      <c r="A162" s="837" t="s">
        <v>541</v>
      </c>
      <c r="B162" s="1543" t="s">
        <v>704</v>
      </c>
      <c r="C162" s="1544"/>
      <c r="D162" s="1544"/>
      <c r="E162" s="1545"/>
      <c r="F162" s="839" t="s">
        <v>705</v>
      </c>
      <c r="G162" s="1412">
        <f>BS!D93</f>
        <v>0</v>
      </c>
      <c r="H162" s="1415"/>
      <c r="I162" s="1412">
        <f>BS!E93</f>
        <v>0</v>
      </c>
      <c r="J162" s="1414"/>
    </row>
    <row r="163" spans="1:10" ht="27.75" customHeight="1" x14ac:dyDescent="0.25">
      <c r="A163" s="837" t="s">
        <v>544</v>
      </c>
      <c r="B163" s="1543" t="s">
        <v>706</v>
      </c>
      <c r="C163" s="1544"/>
      <c r="D163" s="1544"/>
      <c r="E163" s="1545"/>
      <c r="F163" s="839" t="s">
        <v>707</v>
      </c>
      <c r="G163" s="1412">
        <f>BS!D94</f>
        <v>0</v>
      </c>
      <c r="H163" s="1415"/>
      <c r="I163" s="1412">
        <f>BS!E94</f>
        <v>0</v>
      </c>
      <c r="J163" s="1414"/>
    </row>
    <row r="164" spans="1:10" ht="27.75" customHeight="1" x14ac:dyDescent="0.25">
      <c r="A164" s="846" t="s">
        <v>574</v>
      </c>
      <c r="B164" s="1540" t="s">
        <v>708</v>
      </c>
      <c r="C164" s="1541"/>
      <c r="D164" s="1541"/>
      <c r="E164" s="1542"/>
      <c r="F164" s="845" t="s">
        <v>709</v>
      </c>
      <c r="G164" s="1412">
        <f>BS!D95</f>
        <v>664</v>
      </c>
      <c r="H164" s="1415"/>
      <c r="I164" s="1412">
        <f>BS!E95</f>
        <v>332</v>
      </c>
      <c r="J164" s="1414"/>
    </row>
    <row r="165" spans="1:10" ht="27.75" customHeight="1" x14ac:dyDescent="0.25">
      <c r="A165" s="837" t="s">
        <v>577</v>
      </c>
      <c r="B165" s="1543" t="s">
        <v>710</v>
      </c>
      <c r="C165" s="1544"/>
      <c r="D165" s="1544"/>
      <c r="E165" s="1545"/>
      <c r="F165" s="839" t="s">
        <v>711</v>
      </c>
      <c r="G165" s="1412">
        <f>BS!D96</f>
        <v>664</v>
      </c>
      <c r="H165" s="1415"/>
      <c r="I165" s="1412">
        <f>BS!E96</f>
        <v>332</v>
      </c>
      <c r="J165" s="1414"/>
    </row>
    <row r="166" spans="1:10" ht="27.75" customHeight="1" x14ac:dyDescent="0.25">
      <c r="A166" s="837" t="s">
        <v>532</v>
      </c>
      <c r="B166" s="1543" t="s">
        <v>712</v>
      </c>
      <c r="C166" s="1544"/>
      <c r="D166" s="1544"/>
      <c r="E166" s="1545"/>
      <c r="F166" s="839" t="s">
        <v>713</v>
      </c>
      <c r="G166" s="1412">
        <f>BS!D97</f>
        <v>0</v>
      </c>
      <c r="H166" s="1415"/>
      <c r="I166" s="1412">
        <f>BS!E97</f>
        <v>0</v>
      </c>
      <c r="J166" s="1414"/>
    </row>
    <row r="167" spans="1:10" s="501" customFormat="1" ht="27.75" customHeight="1" x14ac:dyDescent="0.25">
      <c r="A167" s="837" t="s">
        <v>535</v>
      </c>
      <c r="B167" s="1543" t="s">
        <v>714</v>
      </c>
      <c r="C167" s="1544"/>
      <c r="D167" s="1544"/>
      <c r="E167" s="1545"/>
      <c r="F167" s="839" t="s">
        <v>715</v>
      </c>
      <c r="G167" s="1412">
        <f>BS!D98</f>
        <v>0</v>
      </c>
      <c r="H167" s="1415"/>
      <c r="I167" s="1412">
        <f>BS!E98</f>
        <v>0</v>
      </c>
      <c r="J167" s="1414"/>
    </row>
    <row r="168" spans="1:10" ht="27.75" customHeight="1" x14ac:dyDescent="0.25">
      <c r="A168" s="846" t="s">
        <v>716</v>
      </c>
      <c r="B168" s="1540" t="s">
        <v>717</v>
      </c>
      <c r="C168" s="1541"/>
      <c r="D168" s="1541"/>
      <c r="E168" s="1542"/>
      <c r="F168" s="845" t="s">
        <v>718</v>
      </c>
      <c r="G168" s="1412">
        <f>BS!D99</f>
        <v>0</v>
      </c>
      <c r="H168" s="1415"/>
      <c r="I168" s="1412">
        <f>BS!E99</f>
        <v>-12736</v>
      </c>
      <c r="J168" s="1414"/>
    </row>
    <row r="169" spans="1:10" ht="27.75" customHeight="1" x14ac:dyDescent="0.25">
      <c r="A169" s="565" t="s">
        <v>719</v>
      </c>
      <c r="B169" s="1543" t="s">
        <v>720</v>
      </c>
      <c r="C169" s="1544"/>
      <c r="D169" s="1544"/>
      <c r="E169" s="1545"/>
      <c r="F169" s="839" t="s">
        <v>721</v>
      </c>
      <c r="G169" s="1412">
        <f>BS!D100</f>
        <v>0</v>
      </c>
      <c r="H169" s="1415"/>
      <c r="I169" s="1412">
        <f>BS!E100</f>
        <v>296198</v>
      </c>
      <c r="J169" s="1414"/>
    </row>
    <row r="170" spans="1:10" ht="27.75" customHeight="1" x14ac:dyDescent="0.25">
      <c r="A170" s="837" t="s">
        <v>532</v>
      </c>
      <c r="B170" s="1543" t="s">
        <v>722</v>
      </c>
      <c r="C170" s="1544"/>
      <c r="D170" s="1544"/>
      <c r="E170" s="1545"/>
      <c r="F170" s="839" t="s">
        <v>723</v>
      </c>
      <c r="G170" s="1412">
        <f>BS!D101</f>
        <v>0</v>
      </c>
      <c r="H170" s="1415"/>
      <c r="I170" s="1412">
        <f>BS!E101</f>
        <v>-308934</v>
      </c>
      <c r="J170" s="1414"/>
    </row>
    <row r="171" spans="1:10" s="501" customFormat="1" ht="31.5" customHeight="1" x14ac:dyDescent="0.25">
      <c r="A171" s="846" t="s">
        <v>724</v>
      </c>
      <c r="B171" s="1540" t="s">
        <v>1582</v>
      </c>
      <c r="C171" s="1541"/>
      <c r="D171" s="1541"/>
      <c r="E171" s="1542"/>
      <c r="F171" s="845" t="s">
        <v>726</v>
      </c>
      <c r="G171" s="1412">
        <f>BS!D102</f>
        <v>50683</v>
      </c>
      <c r="H171" s="1415"/>
      <c r="I171" s="1412">
        <f>BS!E102</f>
        <v>120260</v>
      </c>
      <c r="J171" s="1414"/>
    </row>
    <row r="172" spans="1:10" ht="27.75" customHeight="1" x14ac:dyDescent="0.25">
      <c r="A172" s="846" t="s">
        <v>594</v>
      </c>
      <c r="B172" s="1540" t="s">
        <v>727</v>
      </c>
      <c r="C172" s="1541"/>
      <c r="D172" s="1541"/>
      <c r="E172" s="1542"/>
      <c r="F172" s="845" t="s">
        <v>728</v>
      </c>
      <c r="G172" s="1412">
        <f>BS!D103</f>
        <v>853133</v>
      </c>
      <c r="H172" s="1415"/>
      <c r="I172" s="1412">
        <f>BS!E103</f>
        <v>630063</v>
      </c>
      <c r="J172" s="1414"/>
    </row>
    <row r="173" spans="1:10" ht="27.75" customHeight="1" x14ac:dyDescent="0.25">
      <c r="A173" s="846" t="s">
        <v>597</v>
      </c>
      <c r="B173" s="1540" t="s">
        <v>729</v>
      </c>
      <c r="C173" s="1541"/>
      <c r="D173" s="1541"/>
      <c r="E173" s="1542"/>
      <c r="F173" s="845" t="s">
        <v>730</v>
      </c>
      <c r="G173" s="1412">
        <f>BS!D104</f>
        <v>213482</v>
      </c>
      <c r="H173" s="1415"/>
      <c r="I173" s="1412">
        <f>BS!E104</f>
        <v>37964</v>
      </c>
      <c r="J173" s="1414"/>
    </row>
    <row r="174" spans="1:10" s="501" customFormat="1" ht="27.75" customHeight="1" x14ac:dyDescent="0.25">
      <c r="A174" s="844" t="s">
        <v>600</v>
      </c>
      <c r="B174" s="1543" t="s">
        <v>731</v>
      </c>
      <c r="C174" s="1544"/>
      <c r="D174" s="1544"/>
      <c r="E174" s="1545"/>
      <c r="F174" s="839" t="s">
        <v>732</v>
      </c>
      <c r="G174" s="1412">
        <f>BS!D105</f>
        <v>0</v>
      </c>
      <c r="H174" s="1415"/>
      <c r="I174" s="1412">
        <f>BS!E105</f>
        <v>0</v>
      </c>
      <c r="J174" s="1414"/>
    </row>
    <row r="175" spans="1:10" s="501" customFormat="1" ht="27.75" customHeight="1" x14ac:dyDescent="0.25">
      <c r="A175" s="837" t="s">
        <v>532</v>
      </c>
      <c r="B175" s="1543" t="s">
        <v>733</v>
      </c>
      <c r="C175" s="1544"/>
      <c r="D175" s="1544"/>
      <c r="E175" s="1545"/>
      <c r="F175" s="839" t="s">
        <v>734</v>
      </c>
      <c r="G175" s="1412">
        <f>BS!D106</f>
        <v>4591</v>
      </c>
      <c r="H175" s="1415"/>
      <c r="I175" s="1412">
        <f>BS!E106</f>
        <v>6549</v>
      </c>
      <c r="J175" s="1414"/>
    </row>
    <row r="176" spans="1:10" s="501" customFormat="1" ht="27.75" customHeight="1" x14ac:dyDescent="0.25">
      <c r="A176" s="837" t="s">
        <v>535</v>
      </c>
      <c r="B176" s="1543" t="s">
        <v>735</v>
      </c>
      <c r="C176" s="1544"/>
      <c r="D176" s="1544"/>
      <c r="E176" s="1545"/>
      <c r="F176" s="839" t="s">
        <v>736</v>
      </c>
      <c r="G176" s="1412">
        <f>BS!D107</f>
        <v>0</v>
      </c>
      <c r="H176" s="1415"/>
      <c r="I176" s="1412">
        <f>BS!E107</f>
        <v>0</v>
      </c>
      <c r="J176" s="1414"/>
    </row>
    <row r="177" spans="1:10" ht="27.75" customHeight="1" x14ac:dyDescent="0.25">
      <c r="A177" s="837" t="s">
        <v>538</v>
      </c>
      <c r="B177" s="1543" t="s">
        <v>737</v>
      </c>
      <c r="C177" s="1544"/>
      <c r="D177" s="1544"/>
      <c r="E177" s="1545"/>
      <c r="F177" s="839" t="s">
        <v>738</v>
      </c>
      <c r="G177" s="1412">
        <f>BS!D108</f>
        <v>208891</v>
      </c>
      <c r="H177" s="1415"/>
      <c r="I177" s="1412">
        <f>BS!E108</f>
        <v>31415</v>
      </c>
      <c r="J177" s="1414"/>
    </row>
    <row r="178" spans="1:10" ht="25.5" customHeight="1" thickBot="1" x14ac:dyDescent="0.3">
      <c r="A178" s="563" t="s">
        <v>613</v>
      </c>
      <c r="B178" s="1540" t="s">
        <v>739</v>
      </c>
      <c r="C178" s="1541"/>
      <c r="D178" s="1541"/>
      <c r="E178" s="1542"/>
      <c r="F178" s="562" t="s">
        <v>740</v>
      </c>
      <c r="G178" s="1546">
        <f>BS!D109</f>
        <v>0</v>
      </c>
      <c r="H178" s="1547"/>
      <c r="I178" s="1546">
        <f>BS!E109</f>
        <v>0</v>
      </c>
      <c r="J178" s="1548"/>
    </row>
    <row r="179" spans="1:10" ht="30" customHeight="1" x14ac:dyDescent="0.25">
      <c r="A179" s="835" t="s">
        <v>1512</v>
      </c>
      <c r="B179" s="1537" t="s">
        <v>1576</v>
      </c>
      <c r="C179" s="1538"/>
      <c r="D179" s="1538"/>
      <c r="E179" s="1539"/>
      <c r="F179" s="841" t="s">
        <v>1514</v>
      </c>
      <c r="G179" s="1419" t="s">
        <v>1577</v>
      </c>
      <c r="H179" s="1421"/>
      <c r="I179" s="1419" t="s">
        <v>1578</v>
      </c>
      <c r="J179" s="1428"/>
    </row>
    <row r="180" spans="1:10" ht="27.75" customHeight="1" x14ac:dyDescent="0.25">
      <c r="A180" s="844" t="s">
        <v>616</v>
      </c>
      <c r="B180" s="1540" t="s">
        <v>741</v>
      </c>
      <c r="C180" s="1541"/>
      <c r="D180" s="1541"/>
      <c r="E180" s="1542"/>
      <c r="F180" s="839" t="s">
        <v>742</v>
      </c>
      <c r="G180" s="1412">
        <f>BS!D110</f>
        <v>0</v>
      </c>
      <c r="H180" s="1415"/>
      <c r="I180" s="1412">
        <f>BS!E110</f>
        <v>0</v>
      </c>
      <c r="J180" s="1414"/>
    </row>
    <row r="181" spans="1:10" ht="27.75" customHeight="1" x14ac:dyDescent="0.25">
      <c r="A181" s="837" t="s">
        <v>532</v>
      </c>
      <c r="B181" s="1543" t="s">
        <v>619</v>
      </c>
      <c r="C181" s="1544"/>
      <c r="D181" s="1544"/>
      <c r="E181" s="1545"/>
      <c r="F181" s="839" t="s">
        <v>743</v>
      </c>
      <c r="G181" s="1412">
        <f>BS!D111</f>
        <v>0</v>
      </c>
      <c r="H181" s="1415"/>
      <c r="I181" s="1412">
        <f>BS!E111</f>
        <v>0</v>
      </c>
      <c r="J181" s="1414"/>
    </row>
    <row r="182" spans="1:10" s="501" customFormat="1" ht="27.75" customHeight="1" x14ac:dyDescent="0.25">
      <c r="A182" s="837" t="s">
        <v>535</v>
      </c>
      <c r="B182" s="1543" t="s">
        <v>744</v>
      </c>
      <c r="C182" s="1544"/>
      <c r="D182" s="1544"/>
      <c r="E182" s="1545"/>
      <c r="F182" s="839" t="s">
        <v>745</v>
      </c>
      <c r="G182" s="1412">
        <f>BS!D112</f>
        <v>0</v>
      </c>
      <c r="H182" s="1415"/>
      <c r="I182" s="1412">
        <f>BS!E112</f>
        <v>0</v>
      </c>
      <c r="J182" s="1414"/>
    </row>
    <row r="183" spans="1:10" ht="27.75" customHeight="1" x14ac:dyDescent="0.25">
      <c r="A183" s="837" t="s">
        <v>538</v>
      </c>
      <c r="B183" s="1543" t="s">
        <v>746</v>
      </c>
      <c r="C183" s="1544"/>
      <c r="D183" s="1544"/>
      <c r="E183" s="1545"/>
      <c r="F183" s="839" t="s">
        <v>747</v>
      </c>
      <c r="G183" s="1412">
        <f>BS!D113</f>
        <v>0</v>
      </c>
      <c r="H183" s="1415"/>
      <c r="I183" s="1412">
        <f>BS!E113</f>
        <v>0</v>
      </c>
      <c r="J183" s="1414"/>
    </row>
    <row r="184" spans="1:10" ht="27.75" customHeight="1" x14ac:dyDescent="0.25">
      <c r="A184" s="837" t="s">
        <v>541</v>
      </c>
      <c r="B184" s="1543" t="s">
        <v>748</v>
      </c>
      <c r="C184" s="1544"/>
      <c r="D184" s="1544"/>
      <c r="E184" s="1545"/>
      <c r="F184" s="839" t="s">
        <v>749</v>
      </c>
      <c r="G184" s="1412">
        <f>BS!D114</f>
        <v>0</v>
      </c>
      <c r="H184" s="1415"/>
      <c r="I184" s="1412">
        <f>BS!E114</f>
        <v>0</v>
      </c>
      <c r="J184" s="1414"/>
    </row>
    <row r="185" spans="1:10" ht="27.75" customHeight="1" x14ac:dyDescent="0.25">
      <c r="A185" s="837" t="s">
        <v>544</v>
      </c>
      <c r="B185" s="1543" t="s">
        <v>750</v>
      </c>
      <c r="C185" s="1544"/>
      <c r="D185" s="1544"/>
      <c r="E185" s="1545"/>
      <c r="F185" s="839" t="s">
        <v>751</v>
      </c>
      <c r="G185" s="1412">
        <f>BS!D115</f>
        <v>0</v>
      </c>
      <c r="H185" s="1415"/>
      <c r="I185" s="1412">
        <f>BS!E115</f>
        <v>0</v>
      </c>
      <c r="J185" s="1414"/>
    </row>
    <row r="186" spans="1:10" ht="27.75" customHeight="1" x14ac:dyDescent="0.25">
      <c r="A186" s="837" t="s">
        <v>547</v>
      </c>
      <c r="B186" s="1543" t="s">
        <v>752</v>
      </c>
      <c r="C186" s="1544"/>
      <c r="D186" s="1544"/>
      <c r="E186" s="1545"/>
      <c r="F186" s="839" t="s">
        <v>753</v>
      </c>
      <c r="G186" s="1412">
        <f>BS!D116</f>
        <v>0</v>
      </c>
      <c r="H186" s="1415"/>
      <c r="I186" s="1412">
        <f>BS!E116</f>
        <v>0</v>
      </c>
      <c r="J186" s="1414"/>
    </row>
    <row r="187" spans="1:10" ht="27.75" customHeight="1" x14ac:dyDescent="0.25">
      <c r="A187" s="837" t="s">
        <v>568</v>
      </c>
      <c r="B187" s="1543" t="s">
        <v>754</v>
      </c>
      <c r="C187" s="1544"/>
      <c r="D187" s="1544"/>
      <c r="E187" s="1545"/>
      <c r="F187" s="839" t="s">
        <v>755</v>
      </c>
      <c r="G187" s="1412">
        <f>BS!D117</f>
        <v>0</v>
      </c>
      <c r="H187" s="1415"/>
      <c r="I187" s="1412">
        <f>BS!E117</f>
        <v>0</v>
      </c>
      <c r="J187" s="1414"/>
    </row>
    <row r="188" spans="1:10" ht="27.75" customHeight="1" x14ac:dyDescent="0.25">
      <c r="A188" s="837" t="s">
        <v>571</v>
      </c>
      <c r="B188" s="1543" t="s">
        <v>756</v>
      </c>
      <c r="C188" s="1544"/>
      <c r="D188" s="1544"/>
      <c r="E188" s="1545"/>
      <c r="F188" s="839" t="s">
        <v>757</v>
      </c>
      <c r="G188" s="1412">
        <f>BS!D118</f>
        <v>0</v>
      </c>
      <c r="H188" s="1415"/>
      <c r="I188" s="1412">
        <f>BS!E118</f>
        <v>0</v>
      </c>
      <c r="J188" s="1414"/>
    </row>
    <row r="189" spans="1:10" ht="27.75" customHeight="1" x14ac:dyDescent="0.25">
      <c r="A189" s="837" t="s">
        <v>758</v>
      </c>
      <c r="B189" s="1543" t="s">
        <v>1583</v>
      </c>
      <c r="C189" s="1544"/>
      <c r="D189" s="1544"/>
      <c r="E189" s="1545"/>
      <c r="F189" s="839" t="s">
        <v>760</v>
      </c>
      <c r="G189" s="1412">
        <f>BS!D119</f>
        <v>0</v>
      </c>
      <c r="H189" s="1415"/>
      <c r="I189" s="1412">
        <f>BS!E119</f>
        <v>0</v>
      </c>
      <c r="J189" s="1414"/>
    </row>
    <row r="190" spans="1:10" ht="27.75" customHeight="1" x14ac:dyDescent="0.25">
      <c r="A190" s="837" t="s">
        <v>761</v>
      </c>
      <c r="B190" s="1543" t="s">
        <v>762</v>
      </c>
      <c r="C190" s="1544"/>
      <c r="D190" s="1544"/>
      <c r="E190" s="1545"/>
      <c r="F190" s="839" t="s">
        <v>763</v>
      </c>
      <c r="G190" s="1412">
        <f>BS!D120</f>
        <v>0</v>
      </c>
      <c r="H190" s="1415"/>
      <c r="I190" s="1412">
        <f>BS!E120</f>
        <v>0</v>
      </c>
      <c r="J190" s="1414"/>
    </row>
    <row r="191" spans="1:10" ht="27.75" customHeight="1" x14ac:dyDescent="0.25">
      <c r="A191" s="846" t="s">
        <v>631</v>
      </c>
      <c r="B191" s="1540" t="s">
        <v>764</v>
      </c>
      <c r="C191" s="1541"/>
      <c r="D191" s="1541"/>
      <c r="E191" s="1542"/>
      <c r="F191" s="839" t="s">
        <v>765</v>
      </c>
      <c r="G191" s="1412">
        <f>BS!D121</f>
        <v>639651</v>
      </c>
      <c r="H191" s="1415"/>
      <c r="I191" s="1412">
        <f>BS!E121</f>
        <v>592099</v>
      </c>
      <c r="J191" s="1414"/>
    </row>
    <row r="192" spans="1:10" ht="27.75" customHeight="1" x14ac:dyDescent="0.25">
      <c r="A192" s="837" t="s">
        <v>634</v>
      </c>
      <c r="B192" s="1543" t="s">
        <v>1584</v>
      </c>
      <c r="C192" s="1544"/>
      <c r="D192" s="1544"/>
      <c r="E192" s="1545"/>
      <c r="F192" s="839" t="s">
        <v>767</v>
      </c>
      <c r="G192" s="1412">
        <f>BS!D122</f>
        <v>558575</v>
      </c>
      <c r="H192" s="1415"/>
      <c r="I192" s="1412">
        <f>BS!E122</f>
        <v>578296</v>
      </c>
      <c r="J192" s="1414"/>
    </row>
    <row r="193" spans="1:10" ht="27.75" customHeight="1" x14ac:dyDescent="0.25">
      <c r="A193" s="837" t="s">
        <v>532</v>
      </c>
      <c r="B193" s="1543" t="s">
        <v>619</v>
      </c>
      <c r="C193" s="1544"/>
      <c r="D193" s="1544"/>
      <c r="E193" s="1545"/>
      <c r="F193" s="839" t="s">
        <v>768</v>
      </c>
      <c r="G193" s="1412">
        <f>BS!D123</f>
        <v>0</v>
      </c>
      <c r="H193" s="1415"/>
      <c r="I193" s="1412">
        <f>BS!E123</f>
        <v>0</v>
      </c>
      <c r="J193" s="1414"/>
    </row>
    <row r="194" spans="1:10" ht="27.75" customHeight="1" x14ac:dyDescent="0.25">
      <c r="A194" s="837" t="s">
        <v>535</v>
      </c>
      <c r="B194" s="1543" t="s">
        <v>769</v>
      </c>
      <c r="C194" s="1544"/>
      <c r="D194" s="1544"/>
      <c r="E194" s="1545"/>
      <c r="F194" s="839" t="s">
        <v>770</v>
      </c>
      <c r="G194" s="1412">
        <f>BS!D124</f>
        <v>22440</v>
      </c>
      <c r="H194" s="1415"/>
      <c r="I194" s="1412">
        <f>BS!E124</f>
        <v>84</v>
      </c>
      <c r="J194" s="1414"/>
    </row>
    <row r="195" spans="1:10" s="501" customFormat="1" ht="27.75" customHeight="1" x14ac:dyDescent="0.25">
      <c r="A195" s="837" t="s">
        <v>538</v>
      </c>
      <c r="B195" s="1543" t="s">
        <v>771</v>
      </c>
      <c r="C195" s="1544"/>
      <c r="D195" s="1544"/>
      <c r="E195" s="1545"/>
      <c r="F195" s="839" t="s">
        <v>772</v>
      </c>
      <c r="G195" s="1412">
        <f>BS!D125</f>
        <v>0</v>
      </c>
      <c r="H195" s="1415"/>
      <c r="I195" s="1412">
        <f>BS!E125</f>
        <v>0</v>
      </c>
      <c r="J195" s="1414"/>
    </row>
    <row r="196" spans="1:10" ht="27.75" customHeight="1" x14ac:dyDescent="0.25">
      <c r="A196" s="837" t="s">
        <v>541</v>
      </c>
      <c r="B196" s="1543" t="s">
        <v>1585</v>
      </c>
      <c r="C196" s="1544"/>
      <c r="D196" s="1544"/>
      <c r="E196" s="1545"/>
      <c r="F196" s="839" t="s">
        <v>774</v>
      </c>
      <c r="G196" s="1412">
        <f>BS!D126</f>
        <v>0</v>
      </c>
      <c r="H196" s="1415"/>
      <c r="I196" s="1412">
        <f>BS!E126</f>
        <v>0</v>
      </c>
      <c r="J196" s="1414"/>
    </row>
    <row r="197" spans="1:10" ht="27.75" customHeight="1" x14ac:dyDescent="0.25">
      <c r="A197" s="837" t="s">
        <v>544</v>
      </c>
      <c r="B197" s="1543" t="s">
        <v>775</v>
      </c>
      <c r="C197" s="1544"/>
      <c r="D197" s="1544"/>
      <c r="E197" s="1545"/>
      <c r="F197" s="839" t="s">
        <v>776</v>
      </c>
      <c r="G197" s="1412">
        <f>BS!D127</f>
        <v>0</v>
      </c>
      <c r="H197" s="1415"/>
      <c r="I197" s="1412">
        <f>BS!E127</f>
        <v>0</v>
      </c>
      <c r="J197" s="1414"/>
    </row>
    <row r="198" spans="1:10" ht="27.75" customHeight="1" x14ac:dyDescent="0.25">
      <c r="A198" s="837" t="s">
        <v>547</v>
      </c>
      <c r="B198" s="1543" t="s">
        <v>777</v>
      </c>
      <c r="C198" s="1544"/>
      <c r="D198" s="1544"/>
      <c r="E198" s="1545"/>
      <c r="F198" s="839" t="s">
        <v>778</v>
      </c>
      <c r="G198" s="1412">
        <f>BS!D128</f>
        <v>3651</v>
      </c>
      <c r="H198" s="1415"/>
      <c r="I198" s="1412">
        <f>BS!E128</f>
        <v>5429</v>
      </c>
      <c r="J198" s="1414"/>
    </row>
    <row r="199" spans="1:10" ht="27.75" customHeight="1" x14ac:dyDescent="0.25">
      <c r="A199" s="837" t="s">
        <v>568</v>
      </c>
      <c r="B199" s="1543" t="s">
        <v>779</v>
      </c>
      <c r="C199" s="1544"/>
      <c r="D199" s="1544"/>
      <c r="E199" s="1545"/>
      <c r="F199" s="839" t="s">
        <v>780</v>
      </c>
      <c r="G199" s="1412">
        <f>BS!D129</f>
        <v>2403</v>
      </c>
      <c r="H199" s="1415"/>
      <c r="I199" s="1412">
        <f>BS!E129</f>
        <v>2196</v>
      </c>
      <c r="J199" s="1414"/>
    </row>
    <row r="200" spans="1:10" ht="27.75" customHeight="1" x14ac:dyDescent="0.25">
      <c r="A200" s="837" t="s">
        <v>571</v>
      </c>
      <c r="B200" s="1543" t="s">
        <v>1586</v>
      </c>
      <c r="C200" s="1544"/>
      <c r="D200" s="1544"/>
      <c r="E200" s="1545"/>
      <c r="F200" s="839" t="s">
        <v>782</v>
      </c>
      <c r="G200" s="1412">
        <f>BS!D130</f>
        <v>52352</v>
      </c>
      <c r="H200" s="1415"/>
      <c r="I200" s="1412">
        <f>BS!E130</f>
        <v>6094</v>
      </c>
      <c r="J200" s="1414"/>
    </row>
    <row r="201" spans="1:10" ht="27.75" customHeight="1" x14ac:dyDescent="0.25">
      <c r="A201" s="837" t="s">
        <v>758</v>
      </c>
      <c r="B201" s="1543" t="s">
        <v>1587</v>
      </c>
      <c r="C201" s="1544"/>
      <c r="D201" s="1544"/>
      <c r="E201" s="1545"/>
      <c r="F201" s="839" t="s">
        <v>784</v>
      </c>
      <c r="G201" s="1412">
        <f>BS!D131</f>
        <v>230</v>
      </c>
      <c r="H201" s="1415"/>
      <c r="I201" s="1412">
        <f>BS!E131</f>
        <v>0</v>
      </c>
      <c r="J201" s="1414"/>
    </row>
    <row r="202" spans="1:10" ht="27.75" customHeight="1" x14ac:dyDescent="0.25">
      <c r="A202" s="846" t="s">
        <v>649</v>
      </c>
      <c r="B202" s="1540" t="s">
        <v>785</v>
      </c>
      <c r="C202" s="1541"/>
      <c r="D202" s="1541"/>
      <c r="E202" s="1542"/>
      <c r="F202" s="839" t="s">
        <v>786</v>
      </c>
      <c r="G202" s="1412">
        <f>BS!D132</f>
        <v>0</v>
      </c>
      <c r="H202" s="1415"/>
      <c r="I202" s="1412">
        <f>BS!E132</f>
        <v>0</v>
      </c>
      <c r="J202" s="1414"/>
    </row>
    <row r="203" spans="1:10" ht="27.75" customHeight="1" x14ac:dyDescent="0.25">
      <c r="A203" s="848" t="s">
        <v>787</v>
      </c>
      <c r="B203" s="1540" t="s">
        <v>788</v>
      </c>
      <c r="C203" s="1541"/>
      <c r="D203" s="1541"/>
      <c r="E203" s="1542"/>
      <c r="F203" s="839" t="s">
        <v>789</v>
      </c>
      <c r="G203" s="1412">
        <f>BS!D133</f>
        <v>0</v>
      </c>
      <c r="H203" s="1415"/>
      <c r="I203" s="1412">
        <f>BS!E133</f>
        <v>0</v>
      </c>
      <c r="J203" s="1414"/>
    </row>
    <row r="204" spans="1:10" ht="27.75" customHeight="1" x14ac:dyDescent="0.25">
      <c r="A204" s="837" t="s">
        <v>790</v>
      </c>
      <c r="B204" s="1543" t="s">
        <v>791</v>
      </c>
      <c r="C204" s="1544"/>
      <c r="D204" s="1544"/>
      <c r="E204" s="1545"/>
      <c r="F204" s="839" t="s">
        <v>792</v>
      </c>
      <c r="G204" s="1412">
        <f>BS!D134</f>
        <v>0</v>
      </c>
      <c r="H204" s="1415"/>
      <c r="I204" s="1412">
        <f>BS!E134</f>
        <v>0</v>
      </c>
      <c r="J204" s="1414"/>
    </row>
    <row r="205" spans="1:10" s="501" customFormat="1" ht="27.75" customHeight="1" x14ac:dyDescent="0.25">
      <c r="A205" s="837" t="s">
        <v>532</v>
      </c>
      <c r="B205" s="1543" t="s">
        <v>793</v>
      </c>
      <c r="C205" s="1544"/>
      <c r="D205" s="1544"/>
      <c r="E205" s="1545"/>
      <c r="F205" s="839" t="s">
        <v>794</v>
      </c>
      <c r="G205" s="1412">
        <f>BS!D135</f>
        <v>0</v>
      </c>
      <c r="H205" s="1415"/>
      <c r="I205" s="1412">
        <f>BS!E135</f>
        <v>0</v>
      </c>
      <c r="J205" s="1414"/>
    </row>
    <row r="206" spans="1:10" ht="27.75" customHeight="1" x14ac:dyDescent="0.25">
      <c r="A206" s="846" t="s">
        <v>663</v>
      </c>
      <c r="B206" s="1540" t="s">
        <v>795</v>
      </c>
      <c r="C206" s="1541"/>
      <c r="D206" s="1541"/>
      <c r="E206" s="1542"/>
      <c r="F206" s="839" t="s">
        <v>796</v>
      </c>
      <c r="G206" s="1412">
        <f>BS!D136</f>
        <v>0</v>
      </c>
      <c r="H206" s="1415"/>
      <c r="I206" s="1412">
        <f>BS!E136</f>
        <v>0</v>
      </c>
      <c r="J206" s="1414"/>
    </row>
    <row r="207" spans="1:10" ht="27.75" customHeight="1" x14ac:dyDescent="0.25">
      <c r="A207" s="844" t="s">
        <v>666</v>
      </c>
      <c r="B207" s="1543" t="s">
        <v>797</v>
      </c>
      <c r="C207" s="1544"/>
      <c r="D207" s="1544"/>
      <c r="E207" s="1545"/>
      <c r="F207" s="839" t="s">
        <v>798</v>
      </c>
      <c r="G207" s="1412">
        <f>BS!D137</f>
        <v>0</v>
      </c>
      <c r="H207" s="1415"/>
      <c r="I207" s="1412">
        <f>BS!E137</f>
        <v>0</v>
      </c>
      <c r="J207" s="1414"/>
    </row>
    <row r="208" spans="1:10" ht="27.75" customHeight="1" x14ac:dyDescent="0.25">
      <c r="A208" s="837" t="s">
        <v>532</v>
      </c>
      <c r="B208" s="1543" t="s">
        <v>799</v>
      </c>
      <c r="C208" s="1544"/>
      <c r="D208" s="1544"/>
      <c r="E208" s="1545"/>
      <c r="F208" s="839" t="s">
        <v>800</v>
      </c>
      <c r="G208" s="1412">
        <f>BS!D138</f>
        <v>0</v>
      </c>
      <c r="H208" s="1415"/>
      <c r="I208" s="1412">
        <f>BS!E138</f>
        <v>0</v>
      </c>
      <c r="J208" s="1414"/>
    </row>
    <row r="209" spans="1:10" s="501" customFormat="1" ht="27.75" customHeight="1" x14ac:dyDescent="0.25">
      <c r="A209" s="837" t="s">
        <v>535</v>
      </c>
      <c r="B209" s="1543" t="s">
        <v>801</v>
      </c>
      <c r="C209" s="1544"/>
      <c r="D209" s="1544"/>
      <c r="E209" s="1545"/>
      <c r="F209" s="839" t="s">
        <v>802</v>
      </c>
      <c r="G209" s="1412">
        <f>BS!D139</f>
        <v>0</v>
      </c>
      <c r="H209" s="1415"/>
      <c r="I209" s="1412">
        <f>BS!E139</f>
        <v>0</v>
      </c>
      <c r="J209" s="1414"/>
    </row>
    <row r="210" spans="1:10" ht="27.75" customHeight="1" thickBot="1" x14ac:dyDescent="0.3">
      <c r="A210" s="555" t="s">
        <v>538</v>
      </c>
      <c r="B210" s="1549" t="s">
        <v>803</v>
      </c>
      <c r="C210" s="1550"/>
      <c r="D210" s="1550"/>
      <c r="E210" s="1551"/>
      <c r="F210" s="839" t="s">
        <v>804</v>
      </c>
      <c r="G210" s="1546">
        <f>BS!D140</f>
        <v>0</v>
      </c>
      <c r="H210" s="1547"/>
      <c r="I210" s="1546">
        <f>BS!E140</f>
        <v>0</v>
      </c>
      <c r="J210" s="1548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8"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33:A134"/>
    <mergeCell ref="B133:B134"/>
    <mergeCell ref="C133:C134"/>
    <mergeCell ref="D133:F133"/>
    <mergeCell ref="G133:I133"/>
    <mergeCell ref="D134:F134"/>
    <mergeCell ref="H134:J134"/>
    <mergeCell ref="I130:J130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29"/>
    <mergeCell ref="E130:F130"/>
    <mergeCell ref="G130:H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I97:J97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6"/>
    <mergeCell ref="E97:F97"/>
    <mergeCell ref="G97:H97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69:A70"/>
    <mergeCell ref="B69:B70"/>
    <mergeCell ref="C69:C70"/>
    <mergeCell ref="D69:F69"/>
    <mergeCell ref="G69:I69"/>
    <mergeCell ref="D70:F70"/>
    <mergeCell ref="H70:J70"/>
    <mergeCell ref="I66:J66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5"/>
    <mergeCell ref="E66:F66"/>
    <mergeCell ref="G66:H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38:A39"/>
    <mergeCell ref="B38:B39"/>
    <mergeCell ref="C38:C39"/>
    <mergeCell ref="D38:F38"/>
    <mergeCell ref="G38:I38"/>
    <mergeCell ref="D39:F39"/>
    <mergeCell ref="H39:J39"/>
    <mergeCell ref="I35:J35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4"/>
    <mergeCell ref="E35:F35"/>
    <mergeCell ref="G35:H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7:A8"/>
    <mergeCell ref="B7:B8"/>
    <mergeCell ref="C7:C8"/>
    <mergeCell ref="D7:F7"/>
    <mergeCell ref="G7:I7"/>
    <mergeCell ref="D8:F8"/>
    <mergeCell ref="H8:J8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B2:C2"/>
    <mergeCell ref="G2:I2"/>
    <mergeCell ref="A4:A6"/>
    <mergeCell ref="B4:B6"/>
    <mergeCell ref="C4:C6"/>
    <mergeCell ref="D4:H4"/>
    <mergeCell ref="I4:J5"/>
    <mergeCell ref="D5:D6"/>
    <mergeCell ref="E5:F5"/>
    <mergeCell ref="G5:H5"/>
    <mergeCell ref="E6:F6"/>
    <mergeCell ref="G6:H6"/>
    <mergeCell ref="I6:J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25947/1/2010&amp;RPage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Q51"/>
  <sheetViews>
    <sheetView showGridLines="0" view="pageBreakPreview" zoomScaleNormal="100" zoomScaleSheetLayoutView="100" workbookViewId="0"/>
  </sheetViews>
  <sheetFormatPr defaultRowHeight="12.75" x14ac:dyDescent="0.25"/>
  <cols>
    <col min="1" max="37" width="2.5703125" style="441" customWidth="1"/>
    <col min="38" max="38" width="0.140625" style="441" customWidth="1"/>
    <col min="39" max="41" width="2.5703125" style="441" customWidth="1"/>
    <col min="42" max="42" width="9.140625" style="441"/>
    <col min="43" max="45" width="2.5703125" style="441" customWidth="1"/>
    <col min="46" max="46" width="7.7109375" style="441" customWidth="1"/>
    <col min="47" max="61" width="2.5703125" style="441" customWidth="1"/>
    <col min="62" max="16384" width="9.140625" style="441"/>
  </cols>
  <sheetData>
    <row r="1" spans="1:37" s="551" customFormat="1" ht="10.5" customHeight="1" thickBot="1" x14ac:dyDescent="0.3">
      <c r="B1" s="865" t="s">
        <v>1321</v>
      </c>
      <c r="N1" s="1483" t="s">
        <v>1588</v>
      </c>
      <c r="O1" s="1483"/>
      <c r="P1" s="1483"/>
      <c r="Q1" s="1483"/>
      <c r="R1" s="1483"/>
      <c r="S1" s="1483"/>
      <c r="T1" s="1483"/>
      <c r="U1" s="1483"/>
      <c r="V1" s="1483"/>
      <c r="W1" s="1483"/>
      <c r="X1" s="1486"/>
    </row>
    <row r="2" spans="1:37" s="448" customFormat="1" ht="21" customHeight="1" thickBot="1" x14ac:dyDescent="0.3">
      <c r="B2" s="867" t="s">
        <v>1589</v>
      </c>
      <c r="C2" s="868"/>
      <c r="D2" s="868"/>
      <c r="E2" s="868"/>
      <c r="F2" s="868"/>
      <c r="G2" s="868"/>
      <c r="H2" s="868"/>
      <c r="I2" s="868"/>
      <c r="J2" s="869"/>
      <c r="K2" s="868"/>
      <c r="L2" s="868"/>
      <c r="M2" s="870"/>
      <c r="N2" s="1483"/>
      <c r="O2" s="1483"/>
      <c r="P2" s="1483"/>
      <c r="Q2" s="1483"/>
      <c r="R2" s="1483"/>
      <c r="S2" s="1483"/>
      <c r="T2" s="1483"/>
      <c r="U2" s="1483"/>
      <c r="V2" s="1483"/>
      <c r="W2" s="1483"/>
      <c r="X2" s="1486"/>
    </row>
    <row r="3" spans="1:37" ht="13.5" customHeight="1" thickBot="1" x14ac:dyDescent="0.3">
      <c r="N3" s="1484"/>
      <c r="O3" s="1484"/>
      <c r="P3" s="1484"/>
      <c r="Q3" s="1484"/>
      <c r="R3" s="1484"/>
      <c r="S3" s="1484"/>
      <c r="T3" s="1484"/>
      <c r="U3" s="1484"/>
      <c r="V3" s="1484"/>
      <c r="W3" s="1484"/>
      <c r="X3" s="1552"/>
    </row>
    <row r="4" spans="1:37" ht="28.5" customHeight="1" thickBot="1" x14ac:dyDescent="0.3">
      <c r="J4" s="1489" t="s">
        <v>1477</v>
      </c>
      <c r="K4" s="1553" t="s">
        <v>1590</v>
      </c>
      <c r="L4" s="545" t="str">
        <f>+MID('Input data'!$B$11,1,1)</f>
        <v>3</v>
      </c>
      <c r="M4" s="545" t="str">
        <f>+MID('Input data'!$B$11,2,1)</f>
        <v>1</v>
      </c>
      <c r="N4" s="545" t="s">
        <v>1147</v>
      </c>
      <c r="O4" s="545" t="str">
        <f>LEFT('Input data'!B13,1)</f>
        <v>1</v>
      </c>
      <c r="P4" s="545" t="str">
        <f>RIGHT('Input data'!B13,1)</f>
        <v>2</v>
      </c>
      <c r="Q4" s="545" t="s">
        <v>1147</v>
      </c>
      <c r="R4" s="545" t="str">
        <f>+LEFT('Input data'!$B$14,1)</f>
        <v>2</v>
      </c>
      <c r="S4" s="545" t="str">
        <f>+MID('Input data'!$B$14,2,1)</f>
        <v>0</v>
      </c>
      <c r="T4" s="545" t="str">
        <f>+MID('Input data'!$B$14,3,1)</f>
        <v>1</v>
      </c>
      <c r="U4" s="545" t="str">
        <f>+MID('Input data'!$B$14,4,1)</f>
        <v>3</v>
      </c>
      <c r="V4" s="872"/>
      <c r="W4" s="543" t="s">
        <v>1478</v>
      </c>
      <c r="X4" s="543"/>
      <c r="Y4" s="543"/>
      <c r="Z4" s="543"/>
      <c r="AA4" s="542"/>
    </row>
    <row r="5" spans="1:37" ht="7.5" customHeight="1" thickBot="1" x14ac:dyDescent="0.3"/>
    <row r="6" spans="1:37" s="538" customFormat="1" ht="14.25" customHeight="1" x14ac:dyDescent="0.25">
      <c r="A6" s="541" t="s">
        <v>1591</v>
      </c>
      <c r="B6" s="540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39"/>
    </row>
    <row r="7" spans="1:37" s="442" customFormat="1" ht="15" customHeight="1" x14ac:dyDescent="0.25">
      <c r="A7" s="454" t="s">
        <v>1592</v>
      </c>
      <c r="B7" s="453"/>
      <c r="C7" s="453"/>
      <c r="D7" s="453"/>
      <c r="E7" s="453"/>
      <c r="F7" s="453"/>
      <c r="G7" s="453"/>
      <c r="H7" s="453"/>
      <c r="I7" s="453"/>
      <c r="J7" s="453"/>
      <c r="K7" s="453"/>
      <c r="L7" s="453"/>
      <c r="M7" s="453"/>
      <c r="N7" s="453"/>
      <c r="O7" s="453"/>
      <c r="P7" s="453"/>
      <c r="Q7" s="453"/>
      <c r="R7" s="453"/>
      <c r="S7" s="453"/>
      <c r="T7" s="453"/>
      <c r="U7" s="453"/>
      <c r="V7" s="453"/>
      <c r="W7" s="453"/>
      <c r="X7" s="453"/>
      <c r="Y7" s="453"/>
      <c r="Z7" s="453"/>
      <c r="AA7" s="453"/>
      <c r="AB7" s="453"/>
      <c r="AC7" s="453"/>
      <c r="AD7" s="453"/>
      <c r="AE7" s="453"/>
      <c r="AF7" s="453"/>
      <c r="AG7" s="453"/>
      <c r="AH7" s="453"/>
      <c r="AI7" s="453"/>
      <c r="AJ7" s="453"/>
      <c r="AK7" s="537"/>
    </row>
    <row r="8" spans="1:37" s="533" customFormat="1" ht="18" customHeight="1" thickBot="1" x14ac:dyDescent="0.3">
      <c r="A8" s="536" t="s">
        <v>1151</v>
      </c>
      <c r="B8" s="535"/>
      <c r="C8" s="535"/>
      <c r="D8" s="535"/>
      <c r="E8" s="536"/>
      <c r="F8" s="535"/>
      <c r="G8" s="535"/>
      <c r="H8" s="535"/>
      <c r="I8" s="535"/>
      <c r="J8" s="535"/>
      <c r="K8" s="535"/>
      <c r="L8" s="535"/>
      <c r="M8" s="535"/>
      <c r="N8" s="535"/>
      <c r="O8" s="535"/>
      <c r="P8" s="535"/>
      <c r="Q8" s="535"/>
      <c r="R8" s="535"/>
      <c r="S8" s="534"/>
      <c r="T8" s="535"/>
      <c r="U8" s="535"/>
      <c r="V8" s="535"/>
      <c r="W8" s="535"/>
      <c r="X8" s="535"/>
      <c r="Y8" s="535"/>
      <c r="Z8" s="535"/>
      <c r="AA8" s="535"/>
      <c r="AB8" s="535"/>
      <c r="AC8" s="535"/>
      <c r="AD8" s="535"/>
      <c r="AE8" s="535"/>
      <c r="AF8" s="535"/>
      <c r="AG8" s="535"/>
      <c r="AH8" s="535"/>
      <c r="AI8" s="535"/>
      <c r="AJ8" s="535"/>
      <c r="AK8" s="534"/>
    </row>
    <row r="9" spans="1:37" s="513" customFormat="1" ht="3.75" customHeight="1" thickBot="1" x14ac:dyDescent="0.3">
      <c r="AF9" s="516"/>
      <c r="AG9" s="516"/>
    </row>
    <row r="10" spans="1:37" s="513" customFormat="1" ht="14.25" customHeight="1" x14ac:dyDescent="0.25">
      <c r="A10" s="515" t="s">
        <v>1482</v>
      </c>
      <c r="B10" s="514"/>
      <c r="C10" s="514"/>
      <c r="D10" s="514"/>
      <c r="E10" s="514"/>
      <c r="F10" s="514"/>
      <c r="G10" s="514"/>
      <c r="H10" s="514"/>
      <c r="I10" s="458"/>
      <c r="J10" s="900"/>
      <c r="K10" s="531" t="s">
        <v>1483</v>
      </c>
      <c r="L10" s="514"/>
      <c r="M10" s="532"/>
      <c r="N10" s="532"/>
      <c r="O10" s="532"/>
      <c r="P10" s="514"/>
      <c r="Q10" s="531" t="s">
        <v>1483</v>
      </c>
      <c r="R10" s="514"/>
      <c r="S10" s="458"/>
      <c r="T10" s="514"/>
      <c r="U10" s="514"/>
      <c r="V10" s="901"/>
      <c r="W10" s="514"/>
      <c r="X10" s="514"/>
      <c r="Y10" s="514"/>
      <c r="Z10" s="514"/>
      <c r="AA10" s="514"/>
      <c r="AB10" s="514"/>
      <c r="AC10" s="514"/>
      <c r="AD10" s="531" t="s">
        <v>1484</v>
      </c>
      <c r="AE10" s="531"/>
      <c r="AF10" s="531"/>
      <c r="AG10" s="531" t="s">
        <v>1485</v>
      </c>
      <c r="AH10" s="514"/>
      <c r="AI10" s="514"/>
      <c r="AJ10" s="514"/>
      <c r="AK10" s="530"/>
    </row>
    <row r="11" spans="1:37" s="513" customFormat="1" ht="19.5" customHeight="1" x14ac:dyDescent="0.2">
      <c r="A11" s="527" t="str">
        <f>LEFT('Input data'!C24,1)</f>
        <v>2</v>
      </c>
      <c r="B11" s="492" t="str">
        <f>MID('Input data'!$C$24,2,1)</f>
        <v>0</v>
      </c>
      <c r="C11" s="492" t="str">
        <f>MID('Input data'!$C$24,3,1)</f>
        <v>2</v>
      </c>
      <c r="D11" s="492" t="str">
        <f>MID('Input data'!$C$24,4,1)</f>
        <v>1</v>
      </c>
      <c r="E11" s="492" t="str">
        <f>MID('Input data'!$C$24,5,1)</f>
        <v>8</v>
      </c>
      <c r="F11" s="492" t="str">
        <f>MID('Input data'!$C$24,6,1)</f>
        <v>7</v>
      </c>
      <c r="G11" s="492" t="str">
        <f>MID('Input data'!$C$24,7,1)</f>
        <v>0</v>
      </c>
      <c r="H11" s="492" t="str">
        <f>MID('Input data'!$C$24,8,1)</f>
        <v>2</v>
      </c>
      <c r="I11" s="492" t="str">
        <f>MID('Input data'!$C$24,9,1)</f>
        <v>9</v>
      </c>
      <c r="J11" s="902" t="str">
        <f>MID('Input data'!$C$24,10,1)</f>
        <v>0</v>
      </c>
      <c r="K11" s="903"/>
      <c r="L11" s="516"/>
      <c r="M11" s="516"/>
      <c r="N11" s="516"/>
      <c r="O11" s="516"/>
      <c r="P11" s="516"/>
      <c r="Q11" s="516"/>
      <c r="R11" s="516"/>
      <c r="S11" s="516"/>
      <c r="T11" s="516"/>
      <c r="U11" s="516"/>
      <c r="V11" s="904"/>
      <c r="W11" s="521" t="s">
        <v>1486</v>
      </c>
      <c r="X11" s="516"/>
      <c r="Y11" s="516"/>
      <c r="Z11" s="516"/>
      <c r="AA11" s="516"/>
      <c r="AB11" s="521" t="s">
        <v>1487</v>
      </c>
      <c r="AC11" s="516"/>
      <c r="AD11" s="492" t="str">
        <f>MID('Input data'!$B$8,1,1)</f>
        <v>0</v>
      </c>
      <c r="AE11" s="492" t="str">
        <f>MID('Input data'!$B$8,2,1)</f>
        <v>1</v>
      </c>
      <c r="AF11" s="492"/>
      <c r="AG11" s="492" t="str">
        <f>MID('Input data'!$B$9,1,1)</f>
        <v>2</v>
      </c>
      <c r="AH11" s="492" t="str">
        <f>MID('Input data'!$B$9,2,1)</f>
        <v>0</v>
      </c>
      <c r="AI11" s="492" t="str">
        <f>MID('Input data'!$B$9,3,1)</f>
        <v>1</v>
      </c>
      <c r="AJ11" s="492" t="str">
        <f>MID('Input data'!$B$9,4,1)</f>
        <v>3</v>
      </c>
      <c r="AK11" s="522"/>
    </row>
    <row r="12" spans="1:37" s="513" customFormat="1" ht="19.5" customHeight="1" x14ac:dyDescent="0.25">
      <c r="A12" s="454" t="s">
        <v>1488</v>
      </c>
      <c r="B12" s="516"/>
      <c r="C12" s="516"/>
      <c r="D12" s="516"/>
      <c r="E12" s="516"/>
      <c r="F12" s="516"/>
      <c r="G12" s="516"/>
      <c r="H12" s="450"/>
      <c r="I12" s="450"/>
      <c r="J12" s="579"/>
      <c r="K12" s="903"/>
      <c r="L12" s="529" t="str">
        <f>IF('Input data'!D7="x","x"," ")</f>
        <v>x</v>
      </c>
      <c r="M12" s="521" t="s">
        <v>1418</v>
      </c>
      <c r="N12" s="523"/>
      <c r="O12" s="523"/>
      <c r="P12" s="523"/>
      <c r="Q12" s="523"/>
      <c r="R12" s="529" t="str">
        <f>IF('Input data'!D16="x","x"," ")</f>
        <v>x</v>
      </c>
      <c r="S12" s="521" t="s">
        <v>1411</v>
      </c>
      <c r="T12" s="516"/>
      <c r="U12" s="516"/>
      <c r="V12" s="904"/>
      <c r="W12" s="873"/>
      <c r="X12" s="874"/>
      <c r="Y12" s="874"/>
      <c r="Z12" s="874"/>
      <c r="AA12" s="874"/>
      <c r="AB12" s="875" t="s">
        <v>1491</v>
      </c>
      <c r="AC12" s="874"/>
      <c r="AD12" s="876" t="str">
        <f>MID('Input data'!$B$13,1,1)</f>
        <v>1</v>
      </c>
      <c r="AE12" s="876" t="str">
        <f>MID('Input data'!$B$13,2,1)</f>
        <v>2</v>
      </c>
      <c r="AF12" s="876"/>
      <c r="AG12" s="876" t="str">
        <f>MID('Input data'!$B$14,1,1)</f>
        <v>2</v>
      </c>
      <c r="AH12" s="876" t="str">
        <f>MID('Input data'!$B$14,2,1)</f>
        <v>0</v>
      </c>
      <c r="AI12" s="876" t="str">
        <f>MID('Input data'!$B$14,3,1)</f>
        <v>1</v>
      </c>
      <c r="AJ12" s="876" t="str">
        <f>MID('Input data'!$B$14,4,1)</f>
        <v>3</v>
      </c>
      <c r="AK12" s="877"/>
    </row>
    <row r="13" spans="1:37" s="513" customFormat="1" ht="19.5" customHeight="1" x14ac:dyDescent="0.2">
      <c r="A13" s="527" t="str">
        <f>LEFT('Input data'!C26,1)</f>
        <v>3</v>
      </c>
      <c r="B13" s="492" t="str">
        <f>MID('Input data'!$C$26,2,1)</f>
        <v>5</v>
      </c>
      <c r="C13" s="492" t="str">
        <f>MID('Input data'!$C$26,3,1)</f>
        <v>8</v>
      </c>
      <c r="D13" s="492" t="str">
        <f>MID('Input data'!$C$26,4,1)</f>
        <v>9</v>
      </c>
      <c r="E13" s="492" t="str">
        <f>MID('Input data'!$C$26,5,1)</f>
        <v>6</v>
      </c>
      <c r="F13" s="492" t="str">
        <f>MID('Input data'!$C$26,6,1)</f>
        <v>2</v>
      </c>
      <c r="G13" s="492" t="str">
        <f>MID('Input data'!$C$26,7,1)</f>
        <v>8</v>
      </c>
      <c r="H13" s="492" t="str">
        <f>MID('Input data'!$C$26,8,1)</f>
        <v>1</v>
      </c>
      <c r="I13" s="450"/>
      <c r="J13" s="579"/>
      <c r="K13" s="903"/>
      <c r="L13" s="450" t="str">
        <f>IF('Input data'!D8="x","x", "")</f>
        <v/>
      </c>
      <c r="M13" s="521" t="s">
        <v>1417</v>
      </c>
      <c r="N13" s="523"/>
      <c r="O13" s="523"/>
      <c r="P13" s="523"/>
      <c r="Q13" s="523"/>
      <c r="R13" s="523" t="str">
        <f>IF('Input data'!D17="x","x"," ")</f>
        <v xml:space="preserve"> </v>
      </c>
      <c r="S13" s="521" t="s">
        <v>1409</v>
      </c>
      <c r="T13" s="516"/>
      <c r="U13" s="516"/>
      <c r="V13" s="904"/>
      <c r="W13" s="1554" t="s">
        <v>1494</v>
      </c>
      <c r="X13" s="1492"/>
      <c r="Y13" s="1492"/>
      <c r="Z13" s="1492"/>
      <c r="AA13" s="1492"/>
      <c r="AB13" s="523"/>
      <c r="AC13" s="450"/>
      <c r="AD13" s="525"/>
      <c r="AE13" s="525"/>
      <c r="AF13" s="525"/>
      <c r="AG13" s="525"/>
      <c r="AH13" s="525"/>
      <c r="AI13" s="525"/>
      <c r="AJ13" s="525"/>
      <c r="AK13" s="449"/>
    </row>
    <row r="14" spans="1:37" s="513" customFormat="1" ht="19.5" customHeight="1" x14ac:dyDescent="0.2">
      <c r="A14" s="454" t="s">
        <v>1165</v>
      </c>
      <c r="B14" s="516"/>
      <c r="C14" s="516"/>
      <c r="D14" s="516"/>
      <c r="E14" s="516"/>
      <c r="F14" s="516"/>
      <c r="G14" s="516"/>
      <c r="H14" s="516"/>
      <c r="I14" s="450"/>
      <c r="J14" s="579"/>
      <c r="K14" s="903"/>
      <c r="L14" s="450"/>
      <c r="M14" s="521"/>
      <c r="N14" s="523"/>
      <c r="O14" s="523"/>
      <c r="P14" s="523"/>
      <c r="Q14" s="523"/>
      <c r="R14" s="524" t="s">
        <v>1593</v>
      </c>
      <c r="S14" s="523"/>
      <c r="T14" s="516"/>
      <c r="U14" s="516"/>
      <c r="V14" s="904"/>
      <c r="W14" s="1555"/>
      <c r="X14" s="1494"/>
      <c r="Y14" s="1494"/>
      <c r="Z14" s="1494"/>
      <c r="AA14" s="1494"/>
      <c r="AB14" s="521" t="s">
        <v>1487</v>
      </c>
      <c r="AC14" s="450"/>
      <c r="AD14" s="492" t="str">
        <f>MID('Input data'!$B$18,1,1)</f>
        <v>0</v>
      </c>
      <c r="AE14" s="492" t="str">
        <f>MID('Input data'!$B$18,2,1)</f>
        <v>1</v>
      </c>
      <c r="AF14" s="492"/>
      <c r="AG14" s="492" t="str">
        <f>MID('Input data'!$B$19,1,1)</f>
        <v>2</v>
      </c>
      <c r="AH14" s="492" t="str">
        <f>MID('Input data'!$B$19,2,1)</f>
        <v>0</v>
      </c>
      <c r="AI14" s="492" t="str">
        <f>MID('Input data'!$B$19,3,1)</f>
        <v>1</v>
      </c>
      <c r="AJ14" s="492" t="str">
        <f>MID('Input data'!$B$19,4,1)</f>
        <v>2</v>
      </c>
      <c r="AK14" s="449"/>
    </row>
    <row r="15" spans="1:37" s="513" customFormat="1" ht="19.5" customHeight="1" thickBot="1" x14ac:dyDescent="0.25">
      <c r="A15" s="520" t="str">
        <f>'BS-E Cover sheet'!A15</f>
        <v>7</v>
      </c>
      <c r="B15" s="445" t="str">
        <f>'BS-E Cover sheet'!B15</f>
        <v>3</v>
      </c>
      <c r="C15" s="518" t="str">
        <f>'BS-E Cover sheet'!C15</f>
        <v>.</v>
      </c>
      <c r="D15" s="445" t="str">
        <f>'BS-E Cover sheet'!D15</f>
        <v>1</v>
      </c>
      <c r="E15" s="445" t="str">
        <f>'BS-E Cover sheet'!E15</f>
        <v>1</v>
      </c>
      <c r="F15" s="905" t="str">
        <f>'BS-E Cover sheet'!F15</f>
        <v>.</v>
      </c>
      <c r="G15" s="445" t="str">
        <f>'BS-E Cover sheet'!G15</f>
        <v>0</v>
      </c>
      <c r="H15" s="445"/>
      <c r="I15" s="445"/>
      <c r="J15" s="906"/>
      <c r="K15" s="907"/>
      <c r="L15" s="445"/>
      <c r="M15" s="445"/>
      <c r="N15" s="445"/>
      <c r="O15" s="445"/>
      <c r="P15" s="445"/>
      <c r="Q15" s="445"/>
      <c r="R15" s="445"/>
      <c r="S15" s="445"/>
      <c r="T15" s="518"/>
      <c r="U15" s="518"/>
      <c r="V15" s="908"/>
      <c r="W15" s="1556"/>
      <c r="X15" s="1496"/>
      <c r="Y15" s="1496"/>
      <c r="Z15" s="1496"/>
      <c r="AA15" s="1496"/>
      <c r="AB15" s="517" t="s">
        <v>1491</v>
      </c>
      <c r="AC15" s="445"/>
      <c r="AD15" s="490" t="str">
        <f>MID('Input data'!$B$21,1,1)</f>
        <v>1</v>
      </c>
      <c r="AE15" s="490" t="str">
        <f>MID('Input data'!$B$21,2,1)</f>
        <v>2</v>
      </c>
      <c r="AF15" s="490"/>
      <c r="AG15" s="490" t="str">
        <f>MID('Input data'!$B$22,1,1)</f>
        <v>2</v>
      </c>
      <c r="AH15" s="490" t="str">
        <f>MID('Input data'!$B$22,2,1)</f>
        <v>0</v>
      </c>
      <c r="AI15" s="490" t="str">
        <f>MID('Input data'!$B$22,3,1)</f>
        <v>1</v>
      </c>
      <c r="AJ15" s="490" t="str">
        <f>MID('Input data'!$B$22,4,1)</f>
        <v>2</v>
      </c>
      <c r="AK15" s="444"/>
    </row>
    <row r="16" spans="1:37" s="513" customFormat="1" ht="4.5" customHeight="1" x14ac:dyDescent="0.25">
      <c r="A16" s="516"/>
      <c r="B16" s="516"/>
      <c r="C16" s="516"/>
      <c r="D16" s="516"/>
      <c r="E16" s="516"/>
      <c r="F16" s="516"/>
      <c r="G16" s="516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516"/>
      <c r="U16" s="516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</row>
    <row r="17" spans="1:43" s="513" customFormat="1" ht="3" customHeight="1" thickBot="1" x14ac:dyDescent="0.3">
      <c r="H17" s="443"/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W17" s="443"/>
      <c r="X17" s="443"/>
      <c r="Y17" s="443"/>
      <c r="Z17" s="443"/>
      <c r="AA17" s="443"/>
      <c r="AB17" s="443"/>
      <c r="AC17" s="443"/>
      <c r="AD17" s="443"/>
      <c r="AE17" s="443"/>
      <c r="AF17" s="443"/>
      <c r="AG17" s="443"/>
      <c r="AH17" s="443"/>
      <c r="AI17" s="443"/>
      <c r="AJ17" s="443"/>
      <c r="AK17" s="443"/>
    </row>
    <row r="18" spans="1:43" s="513" customFormat="1" ht="16.5" x14ac:dyDescent="0.25">
      <c r="A18" s="515" t="s">
        <v>1496</v>
      </c>
      <c r="B18" s="514"/>
      <c r="C18" s="514"/>
      <c r="D18" s="514"/>
      <c r="E18" s="514"/>
      <c r="F18" s="514"/>
      <c r="G18" s="514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514"/>
      <c r="U18" s="514"/>
      <c r="V18" s="514"/>
      <c r="W18" s="458"/>
      <c r="X18" s="458"/>
      <c r="Y18" s="458"/>
      <c r="Z18" s="458"/>
      <c r="AA18" s="458"/>
      <c r="AB18" s="458"/>
      <c r="AC18" s="458"/>
      <c r="AD18" s="458"/>
      <c r="AE18" s="458"/>
      <c r="AF18" s="458"/>
      <c r="AG18" s="458"/>
      <c r="AH18" s="458"/>
      <c r="AI18" s="458"/>
      <c r="AJ18" s="458"/>
      <c r="AK18" s="457"/>
    </row>
    <row r="19" spans="1:43" s="443" customFormat="1" ht="19.5" customHeight="1" x14ac:dyDescent="0.25">
      <c r="A19" s="500" t="str">
        <f>+LEFT('Input data'!$F$3,1)</f>
        <v>V</v>
      </c>
      <c r="B19" s="492" t="str">
        <f>+MID('Input data'!$F$3,2,1)</f>
        <v>i</v>
      </c>
      <c r="C19" s="492" t="str">
        <f>+MID('Input data'!$F$3,3,1)</f>
        <v>z</v>
      </c>
      <c r="D19" s="492" t="str">
        <f>+MID('Input data'!$F$3,4,1)</f>
        <v>e</v>
      </c>
      <c r="E19" s="492" t="str">
        <f>+MID('Input data'!$F$3,5,1)</f>
        <v>u</v>
      </c>
      <c r="F19" s="492" t="str">
        <f>+MID('Input data'!$F$3,6,1)</f>
        <v>m</v>
      </c>
      <c r="G19" s="492" t="str">
        <f>+MID('Input data'!$F$3,7,1)</f>
        <v xml:space="preserve"> </v>
      </c>
      <c r="H19" s="492" t="str">
        <f>+MID('Input data'!$F$3,8,1)</f>
        <v>S</v>
      </c>
      <c r="I19" s="492" t="str">
        <f>+MID('Input data'!$F$3,9,1)</f>
        <v>l</v>
      </c>
      <c r="J19" s="492" t="str">
        <f>+MID('Input data'!$F$3,10,1)</f>
        <v>o</v>
      </c>
      <c r="K19" s="492" t="str">
        <f>+MID('Input data'!$F$3,11,1)</f>
        <v>v</v>
      </c>
      <c r="L19" s="492" t="str">
        <f>+MID('Input data'!$F$3,12,1)</f>
        <v>a</v>
      </c>
      <c r="M19" s="492" t="str">
        <f>+MID('Input data'!$F$3,13,1)</f>
        <v>k</v>
      </c>
      <c r="N19" s="492" t="str">
        <f>+MID('Input data'!$F$3,14,1)</f>
        <v>i</v>
      </c>
      <c r="O19" s="492" t="str">
        <f>+MID('Input data'!$F$3,15,1)</f>
        <v>a</v>
      </c>
      <c r="P19" s="492" t="str">
        <f>+MID('Input data'!$F$3,16,1)</f>
        <v>,</v>
      </c>
      <c r="Q19" s="492" t="str">
        <f>+MID('Input data'!$F$3,17,1)</f>
        <v xml:space="preserve"> </v>
      </c>
      <c r="R19" s="492" t="str">
        <f>+MID('Input data'!$F$3,18,1)</f>
        <v>s</v>
      </c>
      <c r="S19" s="492" t="str">
        <f>+MID('Input data'!$F$3,19,1)</f>
        <v>.</v>
      </c>
      <c r="T19" s="492" t="str">
        <f>+MID('Input data'!$F$3,20,1)</f>
        <v>r</v>
      </c>
      <c r="U19" s="492" t="str">
        <f>+MID('Input data'!$F$3,21,1)</f>
        <v>.</v>
      </c>
      <c r="V19" s="492" t="str">
        <f>+MID('Input data'!$F$3,22,1)</f>
        <v>o</v>
      </c>
      <c r="W19" s="492" t="str">
        <f>+MID('Input data'!$F$3,23,1)</f>
        <v>.</v>
      </c>
      <c r="X19" s="492" t="str">
        <f>+MID('Input data'!$F$3,24,1)</f>
        <v/>
      </c>
      <c r="Y19" s="492" t="str">
        <f>+MID('Input data'!$F$3,25,1)</f>
        <v/>
      </c>
      <c r="Z19" s="492" t="str">
        <f>+MID('Input data'!$F$3,26,1)</f>
        <v/>
      </c>
      <c r="AA19" s="492" t="str">
        <f>+MID('Input data'!$F$3,27,1)</f>
        <v/>
      </c>
      <c r="AB19" s="492" t="str">
        <f>+MID('Input data'!$F$3,28,1)</f>
        <v/>
      </c>
      <c r="AC19" s="492" t="str">
        <f>+MID('Input data'!$F$3,29,1)</f>
        <v/>
      </c>
      <c r="AD19" s="492" t="str">
        <f>+MID('Input data'!$F$3,30,1)</f>
        <v/>
      </c>
      <c r="AE19" s="492" t="str">
        <f>+MID('Input data'!$F$3,31,1)</f>
        <v/>
      </c>
      <c r="AF19" s="492" t="str">
        <f>+MID('Input data'!$F$3,32,1)</f>
        <v/>
      </c>
      <c r="AG19" s="492" t="str">
        <f>+MID('Input data'!$F$3,33,1)</f>
        <v/>
      </c>
      <c r="AH19" s="492" t="str">
        <f>+MID('Input data'!$E$3,34,1)</f>
        <v/>
      </c>
      <c r="AI19" s="492" t="str">
        <f>+MID('Input data'!$E$3,35,1)</f>
        <v/>
      </c>
      <c r="AJ19" s="492" t="str">
        <f>+MID('Input data'!$E$3,36,1)</f>
        <v/>
      </c>
      <c r="AK19" s="499" t="str">
        <f>+MID('Input data'!$E$3,37,1)</f>
        <v/>
      </c>
      <c r="AL19" s="513"/>
      <c r="AM19" s="513"/>
      <c r="AN19" s="513"/>
    </row>
    <row r="20" spans="1:43" s="583" customFormat="1" ht="19.5" customHeight="1" x14ac:dyDescent="0.25">
      <c r="A20" s="878" t="str">
        <f>+MID('Input data'!$E$3,38,1)</f>
        <v/>
      </c>
      <c r="B20" s="525" t="str">
        <f>+MID('Input data'!$E$3,39,1)</f>
        <v/>
      </c>
      <c r="C20" s="525" t="str">
        <f>+MID('Input data'!$E$3,40,1)</f>
        <v/>
      </c>
      <c r="D20" s="525" t="str">
        <f>+MID('Input data'!$E$3,41,1)</f>
        <v/>
      </c>
      <c r="E20" s="525" t="str">
        <f>+MID('Input data'!$E$3,42,1)</f>
        <v/>
      </c>
      <c r="F20" s="525" t="str">
        <f>+MID('Input data'!$E$3,43,1)</f>
        <v/>
      </c>
      <c r="G20" s="525" t="str">
        <f>+MID('Input data'!$E$3,44,1)</f>
        <v/>
      </c>
      <c r="H20" s="525" t="str">
        <f>+MID('Input data'!$E$3,45,1)</f>
        <v/>
      </c>
      <c r="I20" s="525" t="str">
        <f>+MID('Input data'!$E$3,46,1)</f>
        <v/>
      </c>
      <c r="J20" s="525" t="str">
        <f>+MID('Input data'!$E$3,47,1)</f>
        <v/>
      </c>
      <c r="K20" s="525" t="str">
        <f>+MID('Input data'!$E$3,48,1)</f>
        <v/>
      </c>
      <c r="L20" s="525" t="str">
        <f>+MID('Input data'!$E$3,49,1)</f>
        <v/>
      </c>
      <c r="M20" s="525" t="str">
        <f>+MID('Input data'!$E$3,50,1)</f>
        <v/>
      </c>
      <c r="N20" s="525" t="str">
        <f>+MID('Input data'!$E$3,51,1)</f>
        <v/>
      </c>
      <c r="O20" s="525" t="str">
        <f>+MID('Input data'!$E$3,52,1)</f>
        <v/>
      </c>
      <c r="P20" s="525" t="str">
        <f>+MID('Input data'!$E$3,53,1)</f>
        <v/>
      </c>
      <c r="Q20" s="525" t="str">
        <f>+MID('Input data'!$E$3,54,1)</f>
        <v/>
      </c>
      <c r="R20" s="525" t="str">
        <f>+MID('Input data'!$E$3,55,1)</f>
        <v/>
      </c>
      <c r="S20" s="525" t="str">
        <f>+MID('Input data'!$E$3,56,1)</f>
        <v/>
      </c>
      <c r="T20" s="525" t="str">
        <f>+MID('Input data'!$E$3,57,1)</f>
        <v/>
      </c>
      <c r="U20" s="525" t="str">
        <f>+MID('Input data'!$E$3,58,1)</f>
        <v/>
      </c>
      <c r="V20" s="525" t="str">
        <f>+MID('Input data'!$E$3,59,1)</f>
        <v/>
      </c>
      <c r="W20" s="525" t="str">
        <f>+MID('Input data'!$E$3,60,1)</f>
        <v/>
      </c>
      <c r="X20" s="525" t="str">
        <f>+MID('Input data'!$E$3,61,1)</f>
        <v/>
      </c>
      <c r="Y20" s="525" t="str">
        <f>+MID('Input data'!$E$3,62,1)</f>
        <v/>
      </c>
      <c r="Z20" s="525" t="str">
        <f>+MID('Input data'!$E$3,63,1)</f>
        <v/>
      </c>
      <c r="AA20" s="525" t="str">
        <f>+MID('Input data'!$E$3,64,1)</f>
        <v/>
      </c>
      <c r="AB20" s="525" t="str">
        <f>+MID('Input data'!$E$3,65,1)</f>
        <v/>
      </c>
      <c r="AC20" s="525" t="str">
        <f>+MID('Input data'!$E$3,66,1)</f>
        <v/>
      </c>
      <c r="AD20" s="525" t="str">
        <f>+MID('Input data'!$E$3,67,1)</f>
        <v/>
      </c>
      <c r="AE20" s="525" t="str">
        <f>+MID('Input data'!$E$3,68,1)</f>
        <v/>
      </c>
      <c r="AF20" s="525" t="str">
        <f>+MID('Input data'!$E$3,69,1)</f>
        <v/>
      </c>
      <c r="AG20" s="525" t="str">
        <f>+MID('Input data'!$E$3,70,1)</f>
        <v/>
      </c>
      <c r="AH20" s="525" t="str">
        <f>+MID('Input data'!$E$3,71,1)</f>
        <v/>
      </c>
      <c r="AI20" s="525" t="str">
        <f>+MID('Input data'!$E$3,72,1)</f>
        <v/>
      </c>
      <c r="AJ20" s="525" t="str">
        <f>+MID('Input data'!$E$3,73,1)</f>
        <v/>
      </c>
      <c r="AK20" s="879" t="str">
        <f>+MID('Input data'!$E$3,74,1)</f>
        <v/>
      </c>
      <c r="AL20" s="441"/>
      <c r="AM20" s="441"/>
      <c r="AN20" s="441"/>
    </row>
    <row r="21" spans="1:43" s="501" customFormat="1" ht="14.25" customHeight="1" x14ac:dyDescent="0.25">
      <c r="A21" s="505" t="s">
        <v>1497</v>
      </c>
      <c r="B21" s="504"/>
      <c r="C21" s="504"/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3"/>
      <c r="X21" s="503"/>
      <c r="Y21" s="503"/>
      <c r="Z21" s="503"/>
      <c r="AA21" s="503"/>
      <c r="AB21" s="503"/>
      <c r="AC21" s="503"/>
      <c r="AD21" s="503"/>
      <c r="AE21" s="503"/>
      <c r="AF21" s="503"/>
      <c r="AG21" s="503"/>
      <c r="AH21" s="503"/>
      <c r="AI21" s="503"/>
      <c r="AJ21" s="503"/>
      <c r="AK21" s="502"/>
    </row>
    <row r="22" spans="1:43" x14ac:dyDescent="0.25">
      <c r="A22" s="497" t="s">
        <v>1498</v>
      </c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5"/>
      <c r="N22" s="455"/>
      <c r="O22" s="455"/>
      <c r="P22" s="455"/>
      <c r="Q22" s="455"/>
      <c r="R22" s="455"/>
      <c r="S22" s="455"/>
      <c r="T22" s="455"/>
      <c r="U22" s="455"/>
      <c r="V22" s="455"/>
      <c r="W22" s="450"/>
      <c r="X22" s="450"/>
      <c r="Y22" s="450"/>
      <c r="Z22" s="450"/>
      <c r="AA22" s="450"/>
      <c r="AB22" s="455"/>
      <c r="AC22" s="450"/>
      <c r="AD22" s="453" t="s">
        <v>1499</v>
      </c>
      <c r="AE22" s="450"/>
      <c r="AF22" s="450"/>
      <c r="AG22" s="450"/>
      <c r="AH22" s="450"/>
      <c r="AI22" s="450"/>
      <c r="AJ22" s="450"/>
      <c r="AK22" s="449"/>
    </row>
    <row r="23" spans="1:43" s="582" customFormat="1" ht="19.5" customHeight="1" x14ac:dyDescent="0.25">
      <c r="A23" s="500" t="str">
        <f>+LEFT('Input data'!$C$28,1)</f>
        <v>T</v>
      </c>
      <c r="B23" s="492" t="str">
        <f>+MID('Input data'!$C$28,2,1)</f>
        <v>e</v>
      </c>
      <c r="C23" s="492" t="str">
        <f>+MID('Input data'!$C$28,3,1)</f>
        <v>s</v>
      </c>
      <c r="D23" s="492" t="str">
        <f>+MID('Input data'!$C$28,4,1)</f>
        <v>l</v>
      </c>
      <c r="E23" s="492" t="str">
        <f>+MID('Input data'!$C$28,5,1)</f>
        <v>o</v>
      </c>
      <c r="F23" s="492" t="str">
        <f>+MID('Input data'!$C$28,6,1)</f>
        <v>v</v>
      </c>
      <c r="G23" s="492" t="str">
        <f>+MID('Input data'!$C$28,7,1)</f>
        <v>a</v>
      </c>
      <c r="H23" s="492" t="str">
        <f>+MID('Input data'!$C$28,8,1)</f>
        <v/>
      </c>
      <c r="I23" s="492" t="str">
        <f>+MID('Input data'!$C$28,9,1)</f>
        <v/>
      </c>
      <c r="J23" s="492" t="str">
        <f>+MID('Input data'!$C$28,10,1)</f>
        <v/>
      </c>
      <c r="K23" s="492" t="str">
        <f>+MID('Input data'!$C$28,11,1)</f>
        <v/>
      </c>
      <c r="L23" s="492" t="str">
        <f>+MID('Input data'!$C$28,12,1)</f>
        <v/>
      </c>
      <c r="M23" s="492" t="str">
        <f>+MID('Input data'!$C$28,13,1)</f>
        <v/>
      </c>
      <c r="N23" s="492" t="str">
        <f>+MID('Input data'!$C$28,14,1)</f>
        <v/>
      </c>
      <c r="O23" s="492" t="str">
        <f>+MID('Input data'!$C$28,15,1)</f>
        <v/>
      </c>
      <c r="P23" s="492" t="str">
        <f>+MID('Input data'!$C$28,16,1)</f>
        <v/>
      </c>
      <c r="Q23" s="492" t="str">
        <f>+MID('Input data'!$C$28,17,1)</f>
        <v/>
      </c>
      <c r="R23" s="492" t="str">
        <f>+MID('Input data'!$C$28,18,1)</f>
        <v/>
      </c>
      <c r="S23" s="492" t="str">
        <f>+MID('Input data'!$C$28,19,1)</f>
        <v/>
      </c>
      <c r="T23" s="492" t="str">
        <f>+MID('Input data'!$C$28,20,1)</f>
        <v/>
      </c>
      <c r="U23" s="492" t="str">
        <f>+MID('Input data'!$C$28,21,1)</f>
        <v/>
      </c>
      <c r="V23" s="492" t="str">
        <f>+MID('Input data'!$C$28,22,1)</f>
        <v/>
      </c>
      <c r="W23" s="492" t="str">
        <f>+MID('Input data'!$C$28,23,1)</f>
        <v/>
      </c>
      <c r="X23" s="492" t="str">
        <f>+MID('Input data'!$C$28,24,1)</f>
        <v/>
      </c>
      <c r="Y23" s="492" t="str">
        <f>+MID('Input data'!$C$28,25,1)</f>
        <v/>
      </c>
      <c r="Z23" s="492" t="str">
        <f>+MID('Input data'!$C$28,26,1)</f>
        <v/>
      </c>
      <c r="AA23" s="492" t="str">
        <f>+MID('Input data'!$C$28,27,1)</f>
        <v/>
      </c>
      <c r="AB23" s="492" t="str">
        <f>+MID('Input data'!$C$28,28,1)</f>
        <v/>
      </c>
      <c r="AC23" s="494"/>
      <c r="AD23" s="492" t="str">
        <f>+LEFT('Input data'!$C$30,1)</f>
        <v>2</v>
      </c>
      <c r="AE23" s="492" t="str">
        <f>+MID('Input data'!$C$30,2,1)</f>
        <v>0</v>
      </c>
      <c r="AF23" s="492" t="str">
        <f>+MID('Input data'!$C$30,3,1)</f>
        <v/>
      </c>
      <c r="AG23" s="492" t="str">
        <f>+MID('Input data'!$C$30,4,1)</f>
        <v/>
      </c>
      <c r="AH23" s="492" t="str">
        <f>+MID('Input data'!$C$30,5,1)</f>
        <v/>
      </c>
      <c r="AI23" s="492" t="str">
        <f>+MID('Input data'!$C$30,6,1)</f>
        <v/>
      </c>
      <c r="AJ23" s="492" t="str">
        <f>+MID('Input data'!$C$30,7,1)</f>
        <v/>
      </c>
      <c r="AK23" s="499" t="str">
        <f>+MID('Input data'!$C$30,8,1)</f>
        <v/>
      </c>
    </row>
    <row r="24" spans="1:43" x14ac:dyDescent="0.25">
      <c r="A24" s="497" t="s">
        <v>1500</v>
      </c>
      <c r="B24" s="455"/>
      <c r="C24" s="455"/>
      <c r="D24" s="455"/>
      <c r="E24" s="455"/>
      <c r="F24" s="455"/>
      <c r="G24" s="496" t="s">
        <v>1501</v>
      </c>
      <c r="H24" s="496"/>
      <c r="I24" s="496"/>
      <c r="J24" s="496"/>
      <c r="K24" s="496"/>
      <c r="L24" s="496"/>
      <c r="M24" s="496"/>
      <c r="N24" s="496"/>
      <c r="O24" s="496"/>
      <c r="P24" s="496"/>
      <c r="Q24" s="496"/>
      <c r="R24" s="496"/>
      <c r="S24" s="496"/>
      <c r="T24" s="496"/>
      <c r="U24" s="496"/>
      <c r="V24" s="496"/>
      <c r="W24" s="496"/>
      <c r="X24" s="496"/>
      <c r="Y24" s="496"/>
      <c r="Z24" s="496"/>
      <c r="AA24" s="496"/>
      <c r="AB24" s="496"/>
      <c r="AC24" s="496"/>
      <c r="AD24" s="496"/>
      <c r="AE24" s="450"/>
      <c r="AF24" s="450"/>
      <c r="AG24" s="450"/>
      <c r="AH24" s="450"/>
      <c r="AI24" s="450"/>
      <c r="AJ24" s="450"/>
      <c r="AK24" s="449"/>
    </row>
    <row r="25" spans="1:43" s="582" customFormat="1" ht="19.5" customHeight="1" x14ac:dyDescent="0.25">
      <c r="A25" s="500" t="str">
        <f>+LEFT('Input data'!$C$32,1)</f>
        <v>8</v>
      </c>
      <c r="B25" s="492" t="str">
        <f>+MID('Input data'!$C$32,2,1)</f>
        <v>2</v>
      </c>
      <c r="C25" s="492" t="str">
        <f>+MID('Input data'!$C$32,3,1)</f>
        <v>1</v>
      </c>
      <c r="D25" s="492" t="str">
        <f>+MID('Input data'!$C$32,4,1)</f>
        <v>0</v>
      </c>
      <c r="E25" s="492" t="str">
        <f>+MID('Input data'!$C$32,5,1)</f>
        <v>2</v>
      </c>
      <c r="F25" s="492"/>
      <c r="G25" s="492" t="str">
        <f>+LEFT('Input data'!$C$34,1)</f>
        <v>B</v>
      </c>
      <c r="H25" s="492" t="str">
        <f>+MID('Input data'!$C$34,2,1)</f>
        <v>r</v>
      </c>
      <c r="I25" s="492" t="str">
        <f>+MID('Input data'!$C$34,3,1)</f>
        <v>a</v>
      </c>
      <c r="J25" s="492" t="str">
        <f>+MID('Input data'!$C$34,4,1)</f>
        <v>t</v>
      </c>
      <c r="K25" s="492" t="str">
        <f>+MID('Input data'!$C$34,5,1)</f>
        <v>u</v>
      </c>
      <c r="L25" s="492" t="str">
        <f>+MID('Input data'!$C$34,6,1)</f>
        <v>s</v>
      </c>
      <c r="M25" s="492" t="str">
        <f>+MID('Input data'!$C$34,7,1)</f>
        <v>l</v>
      </c>
      <c r="N25" s="492" t="str">
        <f>+MID('Input data'!$C$34,8,1)</f>
        <v>a</v>
      </c>
      <c r="O25" s="492" t="str">
        <f>+MID('Input data'!$C$34,9,1)</f>
        <v>v</v>
      </c>
      <c r="P25" s="492" t="str">
        <f>+MID('Input data'!$C$34,10,1)</f>
        <v>a</v>
      </c>
      <c r="Q25" s="492" t="str">
        <f>+MID('Input data'!$C$34,11,1)</f>
        <v/>
      </c>
      <c r="R25" s="492" t="str">
        <f>+MID('Input data'!$C$34,12,1)</f>
        <v/>
      </c>
      <c r="S25" s="492" t="str">
        <f>+MID('Input data'!$C$34,13,1)</f>
        <v/>
      </c>
      <c r="T25" s="492" t="str">
        <f>+MID('Input data'!$C$34,14,1)</f>
        <v/>
      </c>
      <c r="U25" s="492" t="str">
        <f>+MID('Input data'!$C$34,15,1)</f>
        <v/>
      </c>
      <c r="V25" s="492" t="str">
        <f>+MID('Input data'!$C$34,16,1)</f>
        <v/>
      </c>
      <c r="W25" s="492" t="str">
        <f>+MID('Input data'!$C$34,17,1)</f>
        <v/>
      </c>
      <c r="X25" s="492" t="str">
        <f>+MID('Input data'!$C$34,18,1)</f>
        <v/>
      </c>
      <c r="Y25" s="492" t="str">
        <f>+MID('Input data'!$C$34,19,1)</f>
        <v/>
      </c>
      <c r="Z25" s="492" t="str">
        <f>+MID('Input data'!$C$34,20,1)</f>
        <v/>
      </c>
      <c r="AA25" s="492" t="str">
        <f>+MID('Input data'!$C$34,21,1)</f>
        <v/>
      </c>
      <c r="AB25" s="492" t="str">
        <f>+MID('Input data'!$C$34,22,1)</f>
        <v/>
      </c>
      <c r="AC25" s="492" t="str">
        <f>+MID('Input data'!$C$34,23,1)</f>
        <v/>
      </c>
      <c r="AD25" s="492" t="str">
        <f>+MID('Input data'!$C$34,24,1)</f>
        <v/>
      </c>
      <c r="AE25" s="492" t="str">
        <f>+MID('Input data'!$C$34,25,1)</f>
        <v/>
      </c>
      <c r="AF25" s="492" t="str">
        <f>+MID('Input data'!$C$34,26,1)</f>
        <v/>
      </c>
      <c r="AG25" s="492" t="str">
        <f>+MID('Input data'!$C$34,27,1)</f>
        <v/>
      </c>
      <c r="AH25" s="492" t="str">
        <f>+MID('Input data'!$C$34,28,1)</f>
        <v/>
      </c>
      <c r="AI25" s="492" t="str">
        <f>+MID('Input data'!$C$34,29,1)</f>
        <v/>
      </c>
      <c r="AJ25" s="492" t="str">
        <f>+MID('Input data'!$C$34,30,1)</f>
        <v/>
      </c>
      <c r="AK25" s="499" t="str">
        <f>+MID('Input data'!$C$34,31,1)</f>
        <v/>
      </c>
    </row>
    <row r="26" spans="1:43" x14ac:dyDescent="0.25">
      <c r="A26" s="497" t="s">
        <v>1502</v>
      </c>
      <c r="B26" s="455"/>
      <c r="C26" s="455"/>
      <c r="D26" s="455"/>
      <c r="E26" s="455"/>
      <c r="F26" s="455"/>
      <c r="G26" s="496"/>
      <c r="H26" s="496"/>
      <c r="I26" s="496"/>
      <c r="J26" s="496"/>
      <c r="K26" s="496"/>
      <c r="L26" s="496"/>
      <c r="M26" s="496"/>
      <c r="N26" s="455"/>
      <c r="O26" s="496" t="s">
        <v>1503</v>
      </c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49"/>
    </row>
    <row r="27" spans="1:43" s="582" customFormat="1" ht="19.5" customHeight="1" x14ac:dyDescent="0.25">
      <c r="A27" s="495">
        <v>0</v>
      </c>
      <c r="B27" s="492" t="str">
        <f>+LEFT('Input data'!$C$36,1)</f>
        <v>2</v>
      </c>
      <c r="C27" s="492" t="str">
        <f>+MID('Input data'!$C$36,2,1)</f>
        <v/>
      </c>
      <c r="D27" s="492" t="str">
        <f>+MID('Input data'!$C$36,3,1)</f>
        <v/>
      </c>
      <c r="E27" s="492" t="s">
        <v>1176</v>
      </c>
      <c r="F27" s="492" t="str">
        <f>+LEFT('Input data'!$C$38,1)</f>
        <v>4</v>
      </c>
      <c r="G27" s="492" t="str">
        <f>+MID('Input data'!$C$38,2,1)</f>
        <v>9</v>
      </c>
      <c r="H27" s="492" t="str">
        <f>+MID('Input data'!$C$38,3,1)</f>
        <v>3</v>
      </c>
      <c r="I27" s="492" t="str">
        <f>+MID('Input data'!$C$38,4,1)</f>
        <v>0</v>
      </c>
      <c r="J27" s="492" t="str">
        <f>+MID('Input data'!$C$38,5,1)</f>
        <v>0</v>
      </c>
      <c r="K27" s="492" t="str">
        <f>+MID('Input data'!$C$38,6,1)</f>
        <v>5</v>
      </c>
      <c r="L27" s="492" t="str">
        <f>+MID('Input data'!$C$38,7,1)</f>
        <v>1</v>
      </c>
      <c r="M27" s="492" t="str">
        <f>+MID('Input data'!$C$38,8,1)</f>
        <v>3</v>
      </c>
      <c r="N27" s="494"/>
      <c r="O27" s="493">
        <v>0</v>
      </c>
      <c r="P27" s="492" t="str">
        <f>+LEFT('Input data'!$C$36,1)</f>
        <v>2</v>
      </c>
      <c r="Q27" s="492" t="str">
        <f>+MID('Input data'!$C$36,2,1)</f>
        <v/>
      </c>
      <c r="R27" s="492" t="str">
        <f>+MID('Input data'!$C$36,3,1)</f>
        <v/>
      </c>
      <c r="S27" s="492" t="s">
        <v>1176</v>
      </c>
      <c r="T27" s="492" t="str">
        <f>+LEFT('Input data'!$C$40,1)</f>
        <v>4</v>
      </c>
      <c r="U27" s="492" t="str">
        <f>+MID('Input data'!$C$40,2,1)</f>
        <v>9</v>
      </c>
      <c r="V27" s="492" t="str">
        <f>+MID('Input data'!$C$40,3,1)</f>
        <v>3</v>
      </c>
      <c r="W27" s="492" t="str">
        <f>+MID('Input data'!$C$40,4,1)</f>
        <v>0</v>
      </c>
      <c r="X27" s="492" t="str">
        <f>+MID('Input data'!$C$40,5,1)</f>
        <v>0</v>
      </c>
      <c r="Y27" s="492" t="str">
        <f>+MID('Input data'!$C$40,6,1)</f>
        <v>5</v>
      </c>
      <c r="Z27" s="492" t="str">
        <f>+MID('Input data'!$C$40,7,1)</f>
        <v>5</v>
      </c>
      <c r="AA27" s="492" t="str">
        <f>+MID('Input data'!$C$40,8,1)</f>
        <v>0</v>
      </c>
      <c r="AB27" s="492"/>
      <c r="AC27" s="492"/>
      <c r="AD27" s="492"/>
      <c r="AE27" s="450"/>
      <c r="AF27" s="450"/>
      <c r="AG27" s="450"/>
      <c r="AH27" s="450"/>
      <c r="AI27" s="450"/>
      <c r="AJ27" s="450"/>
      <c r="AK27" s="449"/>
      <c r="AQ27" s="582" t="s">
        <v>1177</v>
      </c>
    </row>
    <row r="28" spans="1:43" s="442" customFormat="1" x14ac:dyDescent="0.25">
      <c r="A28" s="454" t="s">
        <v>1504</v>
      </c>
      <c r="B28" s="453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  <c r="O28" s="453"/>
      <c r="P28" s="453"/>
      <c r="Q28" s="453"/>
      <c r="R28" s="453"/>
      <c r="S28" s="453"/>
      <c r="T28" s="453"/>
      <c r="U28" s="453"/>
      <c r="V28" s="453"/>
      <c r="W28" s="450"/>
      <c r="X28" s="450"/>
      <c r="Y28" s="450"/>
      <c r="Z28" s="450"/>
      <c r="AA28" s="450"/>
      <c r="AB28" s="450"/>
      <c r="AC28" s="450"/>
      <c r="AD28" s="450"/>
      <c r="AE28" s="450"/>
      <c r="AF28" s="450"/>
      <c r="AG28" s="450"/>
      <c r="AH28" s="450"/>
      <c r="AI28" s="450"/>
      <c r="AJ28" s="450"/>
      <c r="AK28" s="449"/>
    </row>
    <row r="29" spans="1:43" s="582" customFormat="1" ht="19.5" customHeight="1" thickBot="1" x14ac:dyDescent="0.3">
      <c r="A29" s="491" t="str">
        <f>+LEFT('Input data'!$B$42,1)</f>
        <v/>
      </c>
      <c r="B29" s="490" t="str">
        <f>+MID('Input data'!$B$42,2,1)</f>
        <v/>
      </c>
      <c r="C29" s="490" t="str">
        <f>+MID('Input data'!$B$42,3,1)</f>
        <v/>
      </c>
      <c r="D29" s="490" t="str">
        <f>+MID('Input data'!$B$42,4,1)</f>
        <v/>
      </c>
      <c r="E29" s="490" t="str">
        <f>+MID('Input data'!$B$42,5,1)</f>
        <v/>
      </c>
      <c r="F29" s="490" t="str">
        <f>+MID('Input data'!$B$42,6,1)</f>
        <v/>
      </c>
      <c r="G29" s="490" t="str">
        <f>+MID('Input data'!$B$42,7,1)</f>
        <v/>
      </c>
      <c r="H29" s="490" t="str">
        <f>+MID('Input data'!$B$42,8,1)</f>
        <v/>
      </c>
      <c r="I29" s="490" t="str">
        <f>+MID('Input data'!$B$42,9,1)</f>
        <v/>
      </c>
      <c r="J29" s="490" t="str">
        <f>+MID('Input data'!$B$42,10,1)</f>
        <v/>
      </c>
      <c r="K29" s="490" t="str">
        <f>+MID('Input data'!$B$42,11,1)</f>
        <v/>
      </c>
      <c r="L29" s="490" t="str">
        <f>+MID('Input data'!$B$42,12,1)</f>
        <v/>
      </c>
      <c r="M29" s="490" t="str">
        <f>+MID('Input data'!$B$42,13,1)</f>
        <v/>
      </c>
      <c r="N29" s="490" t="str">
        <f>+MID('Input data'!$B$42,14,1)</f>
        <v/>
      </c>
      <c r="O29" s="490" t="str">
        <f>+MID('Input data'!$B$42,15,1)</f>
        <v/>
      </c>
      <c r="P29" s="490" t="str">
        <f>+MID('Input data'!$B$42,16,1)</f>
        <v/>
      </c>
      <c r="Q29" s="490" t="str">
        <f>+MID('Input data'!$B$42,17,1)</f>
        <v/>
      </c>
      <c r="R29" s="490" t="str">
        <f>+MID('Input data'!$B$42,18,1)</f>
        <v/>
      </c>
      <c r="S29" s="490" t="str">
        <f>+MID('Input data'!$B$42,19,1)</f>
        <v/>
      </c>
      <c r="T29" s="490" t="str">
        <f>+MID('Input data'!$B$42,20,1)</f>
        <v/>
      </c>
      <c r="U29" s="490" t="str">
        <f>+MID('Input data'!$B$42,21,1)</f>
        <v/>
      </c>
      <c r="V29" s="490" t="str">
        <f>+MID('Input data'!$B$42,22,1)</f>
        <v/>
      </c>
      <c r="W29" s="490" t="str">
        <f>+MID('Input data'!$B$42,23,1)</f>
        <v/>
      </c>
      <c r="X29" s="490" t="str">
        <f>+MID('Input data'!$B$42,24,1)</f>
        <v/>
      </c>
      <c r="Y29" s="490" t="str">
        <f>+MID('Input data'!$B$42,25,1)</f>
        <v/>
      </c>
      <c r="Z29" s="490" t="str">
        <f>+MID('Input data'!$B$42,26,1)</f>
        <v/>
      </c>
      <c r="AA29" s="490" t="str">
        <f>+MID('Input data'!$B$42,27,1)</f>
        <v/>
      </c>
      <c r="AB29" s="490" t="str">
        <f>+MID('Input data'!$B$42,28,1)</f>
        <v/>
      </c>
      <c r="AC29" s="490" t="str">
        <f>+MID('Input data'!$B$42,29,1)</f>
        <v/>
      </c>
      <c r="AD29" s="490" t="str">
        <f>+MID('Input data'!$B$42,30,1)</f>
        <v/>
      </c>
      <c r="AE29" s="490" t="str">
        <f>+MID('Input data'!$B$42,31,1)</f>
        <v/>
      </c>
      <c r="AF29" s="490" t="str">
        <f>+MID('Input data'!$B$42,32,1)</f>
        <v/>
      </c>
      <c r="AG29" s="490" t="str">
        <f>+MID('Input data'!$B$42,33,1)</f>
        <v/>
      </c>
      <c r="AH29" s="490" t="str">
        <f>+MID('Input data'!$B$42,34,1)</f>
        <v/>
      </c>
      <c r="AI29" s="490" t="str">
        <f>+MID('Input data'!$B$42,35,1)</f>
        <v/>
      </c>
      <c r="AJ29" s="490" t="str">
        <f>+MID('Input data'!$B$42,36,1)</f>
        <v/>
      </c>
      <c r="AK29" s="489" t="str">
        <f>+MID('Input data'!$B$42,37,1)</f>
        <v/>
      </c>
    </row>
    <row r="30" spans="1:43" s="442" customFormat="1" ht="4.5" customHeight="1" thickBot="1" x14ac:dyDescent="0.3">
      <c r="W30" s="443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443"/>
      <c r="AI30" s="443"/>
      <c r="AJ30" s="443"/>
      <c r="AK30" s="443"/>
    </row>
    <row r="31" spans="1:43" s="485" customFormat="1" ht="12.75" customHeight="1" x14ac:dyDescent="0.25">
      <c r="A31" s="488" t="s">
        <v>1403</v>
      </c>
      <c r="B31" s="487"/>
      <c r="C31" s="487"/>
      <c r="D31" s="487"/>
      <c r="E31" s="487"/>
      <c r="F31" s="487"/>
      <c r="G31" s="487"/>
      <c r="H31" s="487"/>
      <c r="I31" s="487"/>
      <c r="J31" s="487"/>
      <c r="K31" s="880"/>
      <c r="L31" s="880"/>
      <c r="M31" s="1404" t="s">
        <v>1505</v>
      </c>
      <c r="N31" s="1405"/>
      <c r="O31" s="1405"/>
      <c r="P31" s="1405"/>
      <c r="Q31" s="1405"/>
      <c r="R31" s="1405"/>
      <c r="S31" s="1405"/>
      <c r="T31" s="1405"/>
      <c r="U31" s="1410"/>
      <c r="V31" s="991" t="s">
        <v>1506</v>
      </c>
      <c r="W31" s="991"/>
      <c r="X31" s="991"/>
      <c r="Y31" s="991"/>
      <c r="Z31" s="991"/>
      <c r="AA31" s="991"/>
      <c r="AB31" s="991"/>
      <c r="AC31" s="992"/>
      <c r="AD31" s="1404" t="s">
        <v>1507</v>
      </c>
      <c r="AE31" s="1405"/>
      <c r="AF31" s="1405"/>
      <c r="AG31" s="1405"/>
      <c r="AH31" s="1405"/>
      <c r="AI31" s="1405"/>
      <c r="AJ31" s="1405"/>
      <c r="AK31" s="1405"/>
      <c r="AL31" s="1406"/>
    </row>
    <row r="32" spans="1:43" s="442" customFormat="1" ht="19.5" customHeight="1" x14ac:dyDescent="0.25">
      <c r="A32" s="471" t="str">
        <f>LEFT(TEXT('Input data'!F25,"dd.m.yyyy"),1)</f>
        <v>1</v>
      </c>
      <c r="B32" s="470" t="str">
        <f>MID(TEXT('Input data'!$F$25,"dd.mm.yyyy"),2,1)</f>
        <v>3</v>
      </c>
      <c r="C32" s="469" t="s">
        <v>1147</v>
      </c>
      <c r="D32" s="470" t="str">
        <f>MID(TEXT('Input data'!$F$25,"dd.mm.yyyy"),4,1)</f>
        <v>0</v>
      </c>
      <c r="E32" s="470" t="str">
        <f>MID(TEXT('Input data'!$F$25,"dd.mm.yyyy"),5,1)</f>
        <v>6</v>
      </c>
      <c r="F32" s="469" t="s">
        <v>1147</v>
      </c>
      <c r="G32" s="470" t="str">
        <f>MID(TEXT('Input data'!$F$25,"dd.mm.yyyy"),7,1)</f>
        <v>2</v>
      </c>
      <c r="H32" s="470" t="str">
        <f>MID(TEXT('Input data'!$F$25,"dd.mm.yyyy"),8,1)</f>
        <v>0</v>
      </c>
      <c r="I32" s="470" t="str">
        <f>MID(TEXT('Input data'!$F$25,"dd.mm.yyyy"),9,1)</f>
        <v>1</v>
      </c>
      <c r="J32" s="470" t="str">
        <f>MID(TEXT('Input data'!$F$25,"dd.mm.yyyy"),10,1)</f>
        <v>4</v>
      </c>
      <c r="K32" s="881"/>
      <c r="L32" s="477"/>
      <c r="M32" s="1407"/>
      <c r="N32" s="1408"/>
      <c r="O32" s="1408"/>
      <c r="P32" s="1408"/>
      <c r="Q32" s="1408"/>
      <c r="R32" s="1408"/>
      <c r="S32" s="1408"/>
      <c r="T32" s="1408"/>
      <c r="U32" s="1411"/>
      <c r="V32" s="994"/>
      <c r="W32" s="994"/>
      <c r="X32" s="994"/>
      <c r="Y32" s="994"/>
      <c r="Z32" s="994"/>
      <c r="AA32" s="994"/>
      <c r="AB32" s="994"/>
      <c r="AC32" s="995"/>
      <c r="AD32" s="1407"/>
      <c r="AE32" s="1408"/>
      <c r="AF32" s="1408"/>
      <c r="AG32" s="1408"/>
      <c r="AH32" s="1408"/>
      <c r="AI32" s="1408"/>
      <c r="AJ32" s="1408"/>
      <c r="AK32" s="1408"/>
      <c r="AL32" s="1409"/>
      <c r="AP32" s="581"/>
    </row>
    <row r="33" spans="1:38" s="442" customFormat="1" ht="12.75" customHeight="1" x14ac:dyDescent="0.25">
      <c r="A33" s="483"/>
      <c r="B33" s="482"/>
      <c r="C33" s="482"/>
      <c r="D33" s="482"/>
      <c r="E33" s="482"/>
      <c r="F33" s="482"/>
      <c r="G33" s="482"/>
      <c r="H33" s="482"/>
      <c r="I33" s="482"/>
      <c r="J33" s="482"/>
      <c r="K33" s="882"/>
      <c r="L33" s="882"/>
      <c r="M33" s="1407"/>
      <c r="N33" s="1408"/>
      <c r="O33" s="1408"/>
      <c r="P33" s="1408"/>
      <c r="Q33" s="1408"/>
      <c r="R33" s="1408"/>
      <c r="S33" s="1408"/>
      <c r="T33" s="1408"/>
      <c r="U33" s="1411"/>
      <c r="V33" s="994"/>
      <c r="W33" s="994"/>
      <c r="X33" s="994"/>
      <c r="Y33" s="994"/>
      <c r="Z33" s="994"/>
      <c r="AA33" s="994"/>
      <c r="AB33" s="994"/>
      <c r="AC33" s="995"/>
      <c r="AD33" s="1407"/>
      <c r="AE33" s="1408"/>
      <c r="AF33" s="1408"/>
      <c r="AG33" s="1408"/>
      <c r="AH33" s="1408"/>
      <c r="AI33" s="1408"/>
      <c r="AJ33" s="1408"/>
      <c r="AK33" s="1408"/>
      <c r="AL33" s="1409"/>
    </row>
    <row r="34" spans="1:38" s="442" customFormat="1" x14ac:dyDescent="0.2">
      <c r="A34" s="454" t="s">
        <v>1401</v>
      </c>
      <c r="B34" s="453"/>
      <c r="C34" s="453"/>
      <c r="D34" s="453"/>
      <c r="E34" s="453"/>
      <c r="F34" s="453"/>
      <c r="G34" s="453"/>
      <c r="H34" s="453"/>
      <c r="I34" s="453"/>
      <c r="J34" s="453"/>
      <c r="K34" s="477"/>
      <c r="L34" s="883"/>
      <c r="M34" s="477"/>
      <c r="N34" s="477"/>
      <c r="O34" s="477"/>
      <c r="P34" s="477"/>
      <c r="Q34" s="477"/>
      <c r="R34" s="477"/>
      <c r="S34" s="477"/>
      <c r="T34" s="453"/>
      <c r="U34" s="475"/>
      <c r="V34" s="476"/>
      <c r="W34" s="476"/>
      <c r="X34" s="476"/>
      <c r="Y34" s="476"/>
      <c r="Z34" s="476"/>
      <c r="AA34" s="450"/>
      <c r="AB34" s="476"/>
      <c r="AC34" s="475"/>
      <c r="AD34" s="474"/>
      <c r="AE34" s="473"/>
      <c r="AF34" s="473"/>
      <c r="AG34" s="473"/>
      <c r="AH34" s="473"/>
      <c r="AI34" s="473"/>
      <c r="AJ34" s="473"/>
      <c r="AK34" s="473"/>
      <c r="AL34" s="472"/>
    </row>
    <row r="35" spans="1:38" s="442" customFormat="1" ht="19.5" customHeight="1" x14ac:dyDescent="0.25">
      <c r="A35" s="471" t="str">
        <f>IF('Input data'!$F$27="","",LEFT(TEXT('Input data'!$F$27,"dd.mm.yyyy"),1))</f>
        <v/>
      </c>
      <c r="B35" s="470" t="str">
        <f>IF('Input data'!$F$27="","",MID(TEXT('Input data'!$F$27,"dd.mm.yyyy"),2,1))</f>
        <v/>
      </c>
      <c r="C35" s="469" t="s">
        <v>1147</v>
      </c>
      <c r="D35" s="470" t="str">
        <f>IF('Input data'!$F$27="","",MID(TEXT('Input data'!$F$27,"dd.mm.yyyy"),4,1))</f>
        <v/>
      </c>
      <c r="E35" s="470" t="str">
        <f>IF('Input data'!$F$27="","",MID(TEXT('Input data'!$F$27,"dd.mm.yyyy"),5,1))</f>
        <v/>
      </c>
      <c r="F35" s="469" t="s">
        <v>1147</v>
      </c>
      <c r="G35" s="468" t="str">
        <f>IF('Input data'!$F$27="","",MID(TEXT('Input data'!$F$27,"dd.mm.yyyy"),7,1))</f>
        <v/>
      </c>
      <c r="H35" s="468" t="str">
        <f>IF('Input data'!$F$27="","",MID(TEXT('Input data'!$F$27,"dd.mm.yyyy"),8,1))</f>
        <v/>
      </c>
      <c r="I35" s="468" t="str">
        <f>IF('Input data'!$F$27="","",MID(TEXT('Input data'!$F$27,"dd.mm.yyyy"),9,1))</f>
        <v/>
      </c>
      <c r="J35" s="468" t="str">
        <f>IF('Input data'!$F$27="","",MID(TEXT('Input data'!$F$27,"dd.mm.yyyy"),10,1))</f>
        <v/>
      </c>
      <c r="K35" s="884"/>
      <c r="L35" s="580"/>
      <c r="M35" s="453"/>
      <c r="N35" s="453"/>
      <c r="O35" s="453"/>
      <c r="P35" s="453"/>
      <c r="Q35" s="453"/>
      <c r="R35" s="453"/>
      <c r="S35" s="453"/>
      <c r="T35" s="453"/>
      <c r="U35" s="580"/>
      <c r="V35" s="453"/>
      <c r="W35" s="450"/>
      <c r="X35" s="450"/>
      <c r="Y35" s="450"/>
      <c r="Z35" s="450"/>
      <c r="AA35" s="450"/>
      <c r="AB35" s="450"/>
      <c r="AC35" s="579"/>
      <c r="AD35" s="450"/>
      <c r="AE35" s="450"/>
      <c r="AF35" s="450"/>
      <c r="AG35" s="450"/>
      <c r="AH35" s="450"/>
      <c r="AI35" s="450"/>
      <c r="AJ35" s="450"/>
      <c r="AK35" s="450"/>
      <c r="AL35" s="449"/>
    </row>
    <row r="36" spans="1:38" s="448" customFormat="1" thickBot="1" x14ac:dyDescent="0.3">
      <c r="A36" s="463"/>
      <c r="B36" s="462"/>
      <c r="C36" s="462"/>
      <c r="D36" s="462"/>
      <c r="E36" s="462"/>
      <c r="F36" s="462"/>
      <c r="G36" s="462"/>
      <c r="H36" s="462"/>
      <c r="I36" s="462"/>
      <c r="J36" s="462"/>
      <c r="K36" s="462"/>
      <c r="L36" s="461"/>
      <c r="M36" s="998">
        <f>'Input data'!F31</f>
        <v>0</v>
      </c>
      <c r="N36" s="999"/>
      <c r="O36" s="999"/>
      <c r="P36" s="999"/>
      <c r="Q36" s="999"/>
      <c r="R36" s="999"/>
      <c r="S36" s="999"/>
      <c r="T36" s="999"/>
      <c r="U36" s="1000"/>
      <c r="V36" s="998">
        <f>'Input data'!F35</f>
        <v>0</v>
      </c>
      <c r="W36" s="999"/>
      <c r="X36" s="999"/>
      <c r="Y36" s="999"/>
      <c r="Z36" s="999"/>
      <c r="AA36" s="999"/>
      <c r="AB36" s="999"/>
      <c r="AC36" s="1000"/>
      <c r="AD36" s="1001">
        <f>'Input data'!F39</f>
        <v>0</v>
      </c>
      <c r="AE36" s="999"/>
      <c r="AF36" s="999"/>
      <c r="AG36" s="999"/>
      <c r="AH36" s="999"/>
      <c r="AI36" s="999"/>
      <c r="AJ36" s="999"/>
      <c r="AK36" s="999"/>
      <c r="AL36" s="1002"/>
    </row>
    <row r="37" spans="1:38" s="448" customFormat="1" x14ac:dyDescent="0.25">
      <c r="W37" s="443"/>
      <c r="X37" s="443"/>
      <c r="Y37" s="443"/>
      <c r="Z37" s="443"/>
      <c r="AA37" s="443"/>
      <c r="AB37" s="443"/>
      <c r="AC37" s="443"/>
      <c r="AD37" s="443"/>
      <c r="AE37" s="443"/>
      <c r="AF37" s="443"/>
      <c r="AG37" s="443"/>
      <c r="AH37" s="443"/>
      <c r="AI37" s="443"/>
      <c r="AJ37" s="443"/>
      <c r="AK37" s="443"/>
    </row>
    <row r="38" spans="1:38" s="448" customFormat="1" x14ac:dyDescent="0.25">
      <c r="W38" s="443"/>
      <c r="X38" s="443"/>
      <c r="Y38" s="443"/>
      <c r="Z38" s="443"/>
      <c r="AA38" s="443"/>
      <c r="AB38" s="443"/>
      <c r="AC38" s="443"/>
      <c r="AD38" s="443"/>
      <c r="AE38" s="443"/>
      <c r="AF38" s="443"/>
      <c r="AG38" s="443"/>
      <c r="AH38" s="443"/>
      <c r="AI38" s="443"/>
      <c r="AJ38" s="443"/>
      <c r="AK38" s="443"/>
    </row>
    <row r="39" spans="1:38" s="448" customFormat="1" x14ac:dyDescent="0.25"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</row>
    <row r="40" spans="1:38" ht="13.5" thickBot="1" x14ac:dyDescent="0.3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38" s="448" customFormat="1" x14ac:dyDescent="0.25">
      <c r="B41" s="460" t="s">
        <v>1508</v>
      </c>
      <c r="C41" s="459"/>
      <c r="D41" s="459"/>
      <c r="E41" s="459"/>
      <c r="F41" s="459"/>
      <c r="G41" s="459"/>
      <c r="H41" s="459"/>
      <c r="I41" s="459"/>
      <c r="J41" s="459"/>
      <c r="K41" s="459"/>
      <c r="L41" s="459"/>
      <c r="M41" s="459"/>
      <c r="N41" s="459"/>
      <c r="O41" s="459"/>
      <c r="P41" s="459"/>
      <c r="Q41" s="459"/>
      <c r="R41" s="459"/>
      <c r="S41" s="459"/>
      <c r="T41" s="459"/>
      <c r="U41" s="459"/>
      <c r="V41" s="459"/>
      <c r="W41" s="458"/>
      <c r="X41" s="458"/>
      <c r="Y41" s="458"/>
      <c r="Z41" s="458"/>
      <c r="AA41" s="458"/>
      <c r="AB41" s="458"/>
      <c r="AC41" s="458"/>
      <c r="AD41" s="458"/>
      <c r="AE41" s="458"/>
      <c r="AF41" s="458"/>
      <c r="AG41" s="458"/>
      <c r="AH41" s="458"/>
      <c r="AI41" s="458"/>
      <c r="AJ41" s="457"/>
      <c r="AK41" s="443"/>
    </row>
    <row r="42" spans="1:38" s="448" customFormat="1" x14ac:dyDescent="0.25">
      <c r="B42" s="452"/>
      <c r="C42" s="451"/>
      <c r="D42" s="451"/>
      <c r="E42" s="451"/>
      <c r="F42" s="451"/>
      <c r="G42" s="451"/>
      <c r="H42" s="451"/>
      <c r="I42" s="451"/>
      <c r="J42" s="451"/>
      <c r="K42" s="451"/>
      <c r="L42" s="451"/>
      <c r="M42" s="451"/>
      <c r="N42" s="451"/>
      <c r="O42" s="451"/>
      <c r="P42" s="451"/>
      <c r="Q42" s="451"/>
      <c r="R42" s="451"/>
      <c r="S42" s="451"/>
      <c r="T42" s="451"/>
      <c r="U42" s="451"/>
      <c r="V42" s="451"/>
      <c r="W42" s="450"/>
      <c r="X42" s="450"/>
      <c r="Y42" s="450"/>
      <c r="Z42" s="450"/>
      <c r="AA42" s="450"/>
      <c r="AB42" s="450"/>
      <c r="AC42" s="450"/>
      <c r="AD42" s="450"/>
      <c r="AE42" s="450"/>
      <c r="AF42" s="450"/>
      <c r="AG42" s="450"/>
      <c r="AH42" s="450"/>
      <c r="AI42" s="450"/>
      <c r="AJ42" s="449"/>
      <c r="AK42" s="443"/>
    </row>
    <row r="43" spans="1:38" x14ac:dyDescent="0.25">
      <c r="B43" s="456"/>
      <c r="C43" s="455"/>
      <c r="D43" s="455"/>
      <c r="E43" s="455"/>
      <c r="F43" s="455"/>
      <c r="G43" s="455"/>
      <c r="H43" s="455"/>
      <c r="I43" s="455"/>
      <c r="J43" s="455"/>
      <c r="K43" s="455"/>
      <c r="L43" s="455"/>
      <c r="M43" s="455"/>
      <c r="N43" s="455"/>
      <c r="O43" s="455"/>
      <c r="P43" s="455"/>
      <c r="Q43" s="455"/>
      <c r="R43" s="455"/>
      <c r="S43" s="455"/>
      <c r="T43" s="455"/>
      <c r="U43" s="455"/>
      <c r="V43" s="455"/>
      <c r="W43" s="450"/>
      <c r="X43" s="450"/>
      <c r="Y43" s="450"/>
      <c r="Z43" s="450"/>
      <c r="AA43" s="450"/>
      <c r="AB43" s="450"/>
      <c r="AC43" s="450"/>
      <c r="AD43" s="450"/>
      <c r="AE43" s="450"/>
      <c r="AF43" s="450"/>
      <c r="AG43" s="450"/>
      <c r="AH43" s="450"/>
      <c r="AI43" s="450"/>
      <c r="AJ43" s="449"/>
      <c r="AK43" s="443"/>
    </row>
    <row r="44" spans="1:38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8" s="442" customFormat="1" x14ac:dyDescent="0.25">
      <c r="B45" s="454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8" s="442" customFormat="1" x14ac:dyDescent="0.25">
      <c r="B46" s="454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8" s="448" customFormat="1" x14ac:dyDescent="0.25">
      <c r="B47" s="452"/>
      <c r="C47" s="451"/>
      <c r="D47" s="451"/>
      <c r="E47" s="451"/>
      <c r="F47" s="451"/>
      <c r="G47" s="451"/>
      <c r="H47" s="451"/>
      <c r="I47" s="451"/>
      <c r="J47" s="451"/>
      <c r="K47" s="451"/>
      <c r="L47" s="451"/>
      <c r="M47" s="451"/>
      <c r="N47" s="451"/>
      <c r="O47" s="451"/>
      <c r="P47" s="451"/>
      <c r="Q47" s="451"/>
      <c r="R47" s="451"/>
      <c r="S47" s="451"/>
      <c r="T47" s="451"/>
      <c r="U47" s="451"/>
      <c r="V47" s="451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8" s="448" customFormat="1" x14ac:dyDescent="0.25">
      <c r="B48" s="452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2" customFormat="1" ht="13.5" thickBot="1" x14ac:dyDescent="0.3">
      <c r="B51" s="447"/>
      <c r="C51" s="446"/>
      <c r="D51" s="446"/>
      <c r="E51" s="446"/>
      <c r="F51" s="446"/>
      <c r="G51" s="446" t="s">
        <v>1509</v>
      </c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 t="s">
        <v>1510</v>
      </c>
      <c r="V51" s="446"/>
      <c r="W51" s="445"/>
      <c r="X51" s="445"/>
      <c r="Y51" s="445"/>
      <c r="Z51" s="445"/>
      <c r="AA51" s="445"/>
      <c r="AB51" s="445"/>
      <c r="AC51" s="445"/>
      <c r="AD51" s="445"/>
      <c r="AE51" s="445"/>
      <c r="AF51" s="445"/>
      <c r="AG51" s="445"/>
      <c r="AH51" s="445"/>
      <c r="AI51" s="445"/>
      <c r="AJ51" s="444"/>
      <c r="AK51" s="443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24219/3/2008/1&amp;RPage 1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J66"/>
  <sheetViews>
    <sheetView view="pageBreakPreview" zoomScaleNormal="100" zoomScaleSheetLayoutView="100" workbookViewId="0"/>
  </sheetViews>
  <sheetFormatPr defaultRowHeight="10.5" x14ac:dyDescent="0.25"/>
  <cols>
    <col min="1" max="1" width="4.42578125" style="587" customWidth="1"/>
    <col min="2" max="2" width="35" style="587" customWidth="1"/>
    <col min="3" max="3" width="3.5703125" style="587" customWidth="1"/>
    <col min="4" max="4" width="6.85546875" style="587" customWidth="1"/>
    <col min="5" max="6" width="29.5703125" style="587" customWidth="1"/>
    <col min="7" max="16384" width="9.140625" style="587"/>
  </cols>
  <sheetData>
    <row r="1" spans="1:10" s="553" customFormat="1" ht="7.5" customHeight="1" x14ac:dyDescent="0.25">
      <c r="A1" s="552"/>
      <c r="H1" s="496"/>
      <c r="I1" s="496"/>
    </row>
    <row r="2" spans="1:10" s="553" customFormat="1" ht="17.25" customHeight="1" x14ac:dyDescent="0.25">
      <c r="A2" s="552"/>
      <c r="B2" s="578" t="s">
        <v>1589</v>
      </c>
      <c r="C2" s="909"/>
      <c r="D2" s="910" t="s">
        <v>1511</v>
      </c>
      <c r="E2" s="911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2  0  2  1  8  7  0  2  9  0</v>
      </c>
    </row>
    <row r="3" spans="1:10" s="553" customFormat="1" ht="7.5" customHeight="1" thickBot="1" x14ac:dyDescent="0.3">
      <c r="A3" s="552"/>
      <c r="B3" s="632"/>
      <c r="C3" s="496"/>
      <c r="D3" s="496"/>
    </row>
    <row r="4" spans="1:10" s="612" customFormat="1" ht="11.25" customHeight="1" x14ac:dyDescent="0.25">
      <c r="A4" s="631"/>
      <c r="B4" s="630"/>
      <c r="C4" s="629"/>
      <c r="D4" s="628"/>
      <c r="E4" s="1461" t="s">
        <v>1594</v>
      </c>
      <c r="F4" s="1485"/>
    </row>
    <row r="5" spans="1:10" s="612" customFormat="1" ht="33.75" customHeight="1" x14ac:dyDescent="0.25">
      <c r="A5" s="836" t="s">
        <v>1512</v>
      </c>
      <c r="B5" s="834" t="s">
        <v>1385</v>
      </c>
      <c r="C5" s="625"/>
      <c r="D5" s="842" t="s">
        <v>1595</v>
      </c>
      <c r="E5" s="840" t="s">
        <v>1596</v>
      </c>
      <c r="F5" s="622" t="s">
        <v>1597</v>
      </c>
    </row>
    <row r="6" spans="1:10" s="612" customFormat="1" ht="29.65" customHeight="1" x14ac:dyDescent="0.25">
      <c r="A6" s="844" t="s">
        <v>813</v>
      </c>
      <c r="B6" s="593" t="s">
        <v>1598</v>
      </c>
      <c r="C6" s="592"/>
      <c r="D6" s="839" t="s">
        <v>814</v>
      </c>
      <c r="E6" s="843">
        <f>'P&amp;L'!D9</f>
        <v>0</v>
      </c>
      <c r="F6" s="591">
        <f>'P&amp;L'!E9</f>
        <v>0</v>
      </c>
    </row>
    <row r="7" spans="1:10" s="612" customFormat="1" ht="29.65" customHeight="1" x14ac:dyDescent="0.25">
      <c r="A7" s="844" t="s">
        <v>815</v>
      </c>
      <c r="B7" s="593" t="s">
        <v>1599</v>
      </c>
      <c r="C7" s="592"/>
      <c r="D7" s="839" t="s">
        <v>817</v>
      </c>
      <c r="E7" s="843">
        <f>'P&amp;L'!D10</f>
        <v>0</v>
      </c>
      <c r="F7" s="591">
        <f>'P&amp;L'!E10</f>
        <v>0</v>
      </c>
    </row>
    <row r="8" spans="1:10" s="617" customFormat="1" ht="29.65" customHeight="1" x14ac:dyDescent="0.25">
      <c r="A8" s="846" t="s">
        <v>818</v>
      </c>
      <c r="B8" s="595" t="s">
        <v>819</v>
      </c>
      <c r="C8" s="594"/>
      <c r="D8" s="845" t="s">
        <v>820</v>
      </c>
      <c r="E8" s="843">
        <f>'P&amp;L'!D11</f>
        <v>3335719</v>
      </c>
      <c r="F8" s="591">
        <f>'P&amp;L'!E11</f>
        <v>1864966</v>
      </c>
    </row>
    <row r="9" spans="1:10" s="617" customFormat="1" ht="29.65" customHeight="1" x14ac:dyDescent="0.25">
      <c r="A9" s="846" t="s">
        <v>821</v>
      </c>
      <c r="B9" s="595" t="s">
        <v>822</v>
      </c>
      <c r="C9" s="594"/>
      <c r="D9" s="845" t="s">
        <v>823</v>
      </c>
      <c r="E9" s="843">
        <f>'P&amp;L'!D12</f>
        <v>3335719</v>
      </c>
      <c r="F9" s="591">
        <f>'P&amp;L'!E12</f>
        <v>1864966</v>
      </c>
    </row>
    <row r="10" spans="1:10" s="612" customFormat="1" ht="29.65" customHeight="1" x14ac:dyDescent="0.25">
      <c r="A10" s="837" t="s">
        <v>824</v>
      </c>
      <c r="B10" s="593" t="s">
        <v>825</v>
      </c>
      <c r="C10" s="592"/>
      <c r="D10" s="839" t="s">
        <v>826</v>
      </c>
      <c r="E10" s="843">
        <f>'P&amp;L'!D13</f>
        <v>0</v>
      </c>
      <c r="F10" s="591">
        <f>'P&amp;L'!E13</f>
        <v>0</v>
      </c>
    </row>
    <row r="11" spans="1:10" s="612" customFormat="1" ht="29.65" customHeight="1" x14ac:dyDescent="0.25">
      <c r="A11" s="837" t="s">
        <v>532</v>
      </c>
      <c r="B11" s="593" t="s">
        <v>827</v>
      </c>
      <c r="C11" s="592"/>
      <c r="D11" s="839" t="s">
        <v>828</v>
      </c>
      <c r="E11" s="843">
        <f>'P&amp;L'!D14</f>
        <v>0</v>
      </c>
      <c r="F11" s="591">
        <f>'P&amp;L'!E14</f>
        <v>0</v>
      </c>
    </row>
    <row r="12" spans="1:10" s="612" customFormat="1" ht="29.65" customHeight="1" x14ac:dyDescent="0.25">
      <c r="A12" s="837" t="s">
        <v>535</v>
      </c>
      <c r="B12" s="593" t="s">
        <v>829</v>
      </c>
      <c r="C12" s="592"/>
      <c r="D12" s="839" t="s">
        <v>830</v>
      </c>
      <c r="E12" s="843">
        <f>'P&amp;L'!D15</f>
        <v>0</v>
      </c>
      <c r="F12" s="591">
        <f>'P&amp;L'!E15</f>
        <v>0</v>
      </c>
    </row>
    <row r="13" spans="1:10" s="617" customFormat="1" ht="29.65" customHeight="1" x14ac:dyDescent="0.25">
      <c r="A13" s="846" t="s">
        <v>594</v>
      </c>
      <c r="B13" s="595" t="s">
        <v>831</v>
      </c>
      <c r="C13" s="594"/>
      <c r="D13" s="845" t="s">
        <v>832</v>
      </c>
      <c r="E13" s="843">
        <f>'P&amp;L'!D16</f>
        <v>3179745</v>
      </c>
      <c r="F13" s="591">
        <f>'P&amp;L'!E16</f>
        <v>1740561</v>
      </c>
      <c r="J13" s="612"/>
    </row>
    <row r="14" spans="1:10" s="612" customFormat="1" ht="29.65" customHeight="1" x14ac:dyDescent="0.25">
      <c r="A14" s="844" t="s">
        <v>833</v>
      </c>
      <c r="B14" s="593" t="s">
        <v>834</v>
      </c>
      <c r="C14" s="592"/>
      <c r="D14" s="839" t="s">
        <v>835</v>
      </c>
      <c r="E14" s="843">
        <f>'P&amp;L'!D17</f>
        <v>332</v>
      </c>
      <c r="F14" s="591">
        <f>'P&amp;L'!E17</f>
        <v>156</v>
      </c>
    </row>
    <row r="15" spans="1:10" s="612" customFormat="1" ht="29.65" customHeight="1" x14ac:dyDescent="0.25">
      <c r="A15" s="844" t="s">
        <v>836</v>
      </c>
      <c r="B15" s="593" t="s">
        <v>837</v>
      </c>
      <c r="C15" s="592"/>
      <c r="D15" s="839" t="s">
        <v>838</v>
      </c>
      <c r="E15" s="843">
        <f>'P&amp;L'!D18</f>
        <v>3179413</v>
      </c>
      <c r="F15" s="591">
        <f>'P&amp;L'!E18</f>
        <v>1740405</v>
      </c>
    </row>
    <row r="16" spans="1:10" s="617" customFormat="1" ht="29.65" customHeight="1" x14ac:dyDescent="0.25">
      <c r="A16" s="846" t="s">
        <v>818</v>
      </c>
      <c r="B16" s="595" t="s">
        <v>839</v>
      </c>
      <c r="C16" s="594"/>
      <c r="D16" s="845" t="s">
        <v>840</v>
      </c>
      <c r="E16" s="843">
        <f>'P&amp;L'!D19</f>
        <v>155974</v>
      </c>
      <c r="F16" s="591">
        <f>'P&amp;L'!E19</f>
        <v>124405</v>
      </c>
    </row>
    <row r="17" spans="1:6" s="612" customFormat="1" ht="29.65" customHeight="1" x14ac:dyDescent="0.25">
      <c r="A17" s="844" t="s">
        <v>663</v>
      </c>
      <c r="B17" s="593" t="s">
        <v>841</v>
      </c>
      <c r="C17" s="592"/>
      <c r="D17" s="839" t="s">
        <v>842</v>
      </c>
      <c r="E17" s="843">
        <f>'P&amp;L'!D20</f>
        <v>78751</v>
      </c>
      <c r="F17" s="591">
        <f>'P&amp;L'!E20</f>
        <v>58436</v>
      </c>
    </row>
    <row r="18" spans="1:6" s="612" customFormat="1" ht="29.65" customHeight="1" x14ac:dyDescent="0.25">
      <c r="A18" s="844" t="s">
        <v>666</v>
      </c>
      <c r="B18" s="593" t="s">
        <v>843</v>
      </c>
      <c r="C18" s="592"/>
      <c r="D18" s="839" t="s">
        <v>844</v>
      </c>
      <c r="E18" s="843">
        <f>'P&amp;L'!D21</f>
        <v>60002</v>
      </c>
      <c r="F18" s="591">
        <f>'P&amp;L'!E21</f>
        <v>43184</v>
      </c>
    </row>
    <row r="19" spans="1:6" s="612" customFormat="1" ht="29.65" customHeight="1" x14ac:dyDescent="0.25">
      <c r="A19" s="844" t="s">
        <v>836</v>
      </c>
      <c r="B19" s="593" t="s">
        <v>845</v>
      </c>
      <c r="C19" s="592"/>
      <c r="D19" s="839" t="s">
        <v>846</v>
      </c>
      <c r="E19" s="843">
        <f>'P&amp;L'!D22</f>
        <v>0</v>
      </c>
      <c r="F19" s="591">
        <f>'P&amp;L'!E22</f>
        <v>0</v>
      </c>
    </row>
    <row r="20" spans="1:6" s="612" customFormat="1" ht="29.65" customHeight="1" x14ac:dyDescent="0.25">
      <c r="A20" s="844" t="s">
        <v>847</v>
      </c>
      <c r="B20" s="593" t="s">
        <v>848</v>
      </c>
      <c r="C20" s="592"/>
      <c r="D20" s="839" t="s">
        <v>849</v>
      </c>
      <c r="E20" s="843">
        <f>'P&amp;L'!D23</f>
        <v>17531</v>
      </c>
      <c r="F20" s="591">
        <f>'P&amp;L'!E23</f>
        <v>14141</v>
      </c>
    </row>
    <row r="21" spans="1:6" s="612" customFormat="1" ht="29.65" customHeight="1" x14ac:dyDescent="0.25">
      <c r="A21" s="844" t="s">
        <v>850</v>
      </c>
      <c r="B21" s="593" t="s">
        <v>851</v>
      </c>
      <c r="C21" s="592"/>
      <c r="D21" s="839" t="s">
        <v>852</v>
      </c>
      <c r="E21" s="843">
        <f>'P&amp;L'!D24</f>
        <v>1218</v>
      </c>
      <c r="F21" s="591">
        <f>'P&amp;L'!E24</f>
        <v>1111</v>
      </c>
    </row>
    <row r="22" spans="1:6" s="612" customFormat="1" ht="29.65" customHeight="1" x14ac:dyDescent="0.25">
      <c r="A22" s="844" t="s">
        <v>853</v>
      </c>
      <c r="B22" s="593" t="s">
        <v>854</v>
      </c>
      <c r="C22" s="592"/>
      <c r="D22" s="839" t="s">
        <v>855</v>
      </c>
      <c r="E22" s="843">
        <f>'P&amp;L'!D25</f>
        <v>0</v>
      </c>
      <c r="F22" s="591">
        <f>'P&amp;L'!E25</f>
        <v>83</v>
      </c>
    </row>
    <row r="23" spans="1:6" s="612" customFormat="1" ht="29.65" customHeight="1" x14ac:dyDescent="0.25">
      <c r="A23" s="844" t="s">
        <v>856</v>
      </c>
      <c r="B23" s="593" t="s">
        <v>857</v>
      </c>
      <c r="C23" s="592"/>
      <c r="D23" s="839" t="s">
        <v>858</v>
      </c>
      <c r="E23" s="843">
        <f>'P&amp;L'!D26</f>
        <v>0</v>
      </c>
      <c r="F23" s="591">
        <f>'P&amp;L'!E26</f>
        <v>0</v>
      </c>
    </row>
    <row r="24" spans="1:6" s="612" customFormat="1" ht="29.65" customHeight="1" x14ac:dyDescent="0.25">
      <c r="A24" s="844" t="s">
        <v>859</v>
      </c>
      <c r="B24" s="593" t="s">
        <v>860</v>
      </c>
      <c r="C24" s="592"/>
      <c r="D24" s="839" t="s">
        <v>861</v>
      </c>
      <c r="E24" s="843">
        <f>'P&amp;L'!D27</f>
        <v>0</v>
      </c>
      <c r="F24" s="591">
        <f>'P&amp;L'!E27</f>
        <v>0</v>
      </c>
    </row>
    <row r="25" spans="1:6" s="612" customFormat="1" ht="29.65" customHeight="1" x14ac:dyDescent="0.25">
      <c r="A25" s="844" t="s">
        <v>862</v>
      </c>
      <c r="B25" s="593" t="s">
        <v>863</v>
      </c>
      <c r="C25" s="592"/>
      <c r="D25" s="839" t="s">
        <v>864</v>
      </c>
      <c r="E25" s="843">
        <f>'P&amp;L'!D28</f>
        <v>0</v>
      </c>
      <c r="F25" s="591">
        <f>'P&amp;L'!E28</f>
        <v>0</v>
      </c>
    </row>
    <row r="26" spans="1:6" s="612" customFormat="1" ht="29.65" customHeight="1" x14ac:dyDescent="0.25">
      <c r="A26" s="844" t="s">
        <v>865</v>
      </c>
      <c r="B26" s="621" t="s">
        <v>866</v>
      </c>
      <c r="C26" s="620"/>
      <c r="D26" s="839" t="s">
        <v>867</v>
      </c>
      <c r="E26" s="843">
        <f>'P&amp;L'!D29</f>
        <v>0</v>
      </c>
      <c r="F26" s="591">
        <f>'P&amp;L'!E29</f>
        <v>-55000</v>
      </c>
    </row>
    <row r="27" spans="1:6" s="612" customFormat="1" ht="29.65" customHeight="1" x14ac:dyDescent="0.25">
      <c r="A27" s="844" t="s">
        <v>868</v>
      </c>
      <c r="B27" s="593" t="s">
        <v>1600</v>
      </c>
      <c r="C27" s="592"/>
      <c r="D27" s="839" t="s">
        <v>870</v>
      </c>
      <c r="E27" s="843">
        <f>'P&amp;L'!D30</f>
        <v>17</v>
      </c>
      <c r="F27" s="591">
        <f>'P&amp;L'!E30</f>
        <v>23348</v>
      </c>
    </row>
    <row r="28" spans="1:6" s="612" customFormat="1" ht="29.65" customHeight="1" x14ac:dyDescent="0.25">
      <c r="A28" s="844" t="s">
        <v>871</v>
      </c>
      <c r="B28" s="621" t="s">
        <v>1601</v>
      </c>
      <c r="C28" s="620"/>
      <c r="D28" s="839" t="s">
        <v>873</v>
      </c>
      <c r="E28" s="843">
        <f>'P&amp;L'!D31</f>
        <v>21</v>
      </c>
      <c r="F28" s="591">
        <f>'P&amp;L'!E31</f>
        <v>155</v>
      </c>
    </row>
    <row r="29" spans="1:6" s="612" customFormat="1" ht="29.65" customHeight="1" x14ac:dyDescent="0.25">
      <c r="A29" s="844" t="s">
        <v>874</v>
      </c>
      <c r="B29" s="593" t="s">
        <v>875</v>
      </c>
      <c r="C29" s="592"/>
      <c r="D29" s="839" t="s">
        <v>876</v>
      </c>
      <c r="E29" s="843">
        <f>'P&amp;L'!D32</f>
        <v>0</v>
      </c>
      <c r="F29" s="591">
        <f>'P&amp;L'!E32</f>
        <v>0</v>
      </c>
    </row>
    <row r="30" spans="1:6" s="612" customFormat="1" ht="29.65" customHeight="1" x14ac:dyDescent="0.25">
      <c r="A30" s="844" t="s">
        <v>877</v>
      </c>
      <c r="B30" s="593" t="s">
        <v>878</v>
      </c>
      <c r="C30" s="592"/>
      <c r="D30" s="839" t="s">
        <v>879</v>
      </c>
      <c r="E30" s="843">
        <f>'P&amp;L'!D33</f>
        <v>0</v>
      </c>
      <c r="F30" s="591">
        <f>'P&amp;L'!E33</f>
        <v>0</v>
      </c>
    </row>
    <row r="31" spans="1:6" s="617" customFormat="1" ht="33.75" customHeight="1" x14ac:dyDescent="0.25">
      <c r="A31" s="846" t="s">
        <v>880</v>
      </c>
      <c r="B31" s="619" t="s">
        <v>881</v>
      </c>
      <c r="C31" s="618"/>
      <c r="D31" s="845" t="s">
        <v>882</v>
      </c>
      <c r="E31" s="843">
        <f>'P&amp;L'!D34</f>
        <v>77219</v>
      </c>
      <c r="F31" s="591">
        <f>'P&amp;L'!E34</f>
        <v>144079</v>
      </c>
    </row>
    <row r="32" spans="1:6" s="612" customFormat="1" ht="29.65" customHeight="1" thickBot="1" x14ac:dyDescent="0.3">
      <c r="A32" s="616" t="s">
        <v>883</v>
      </c>
      <c r="B32" s="615" t="s">
        <v>884</v>
      </c>
      <c r="C32" s="614"/>
      <c r="D32" s="613" t="s">
        <v>885</v>
      </c>
      <c r="E32" s="912">
        <f>'P&amp;L'!D35</f>
        <v>0</v>
      </c>
      <c r="F32" s="913">
        <f>'P&amp;L'!E35</f>
        <v>0</v>
      </c>
    </row>
    <row r="33" spans="1:6" ht="24.75" customHeight="1" x14ac:dyDescent="0.25">
      <c r="A33" s="604" t="s">
        <v>886</v>
      </c>
      <c r="B33" s="603" t="s">
        <v>887</v>
      </c>
      <c r="C33" s="602"/>
      <c r="D33" s="838" t="s">
        <v>888</v>
      </c>
      <c r="E33" s="891">
        <f>'P&amp;L'!D36</f>
        <v>0</v>
      </c>
      <c r="F33" s="914">
        <f>'P&amp;L'!E36</f>
        <v>0</v>
      </c>
    </row>
    <row r="34" spans="1:6" ht="30.75" customHeight="1" x14ac:dyDescent="0.25">
      <c r="A34" s="604" t="s">
        <v>889</v>
      </c>
      <c r="B34" s="611" t="s">
        <v>1602</v>
      </c>
      <c r="C34" s="610"/>
      <c r="D34" s="838" t="s">
        <v>891</v>
      </c>
      <c r="E34" s="891">
        <f>'P&amp;L'!D37</f>
        <v>0</v>
      </c>
      <c r="F34" s="914">
        <f>'P&amp;L'!E37</f>
        <v>0</v>
      </c>
    </row>
    <row r="35" spans="1:6" ht="36.75" customHeight="1" x14ac:dyDescent="0.25">
      <c r="A35" s="844" t="s">
        <v>892</v>
      </c>
      <c r="B35" s="593" t="s">
        <v>893</v>
      </c>
      <c r="C35" s="592"/>
      <c r="D35" s="839" t="s">
        <v>894</v>
      </c>
      <c r="E35" s="843">
        <f>'P&amp;L'!D38</f>
        <v>0</v>
      </c>
      <c r="F35" s="591">
        <f>'P&amp;L'!E38</f>
        <v>0</v>
      </c>
    </row>
    <row r="36" spans="1:6" ht="30.75" customHeight="1" x14ac:dyDescent="0.25">
      <c r="A36" s="844" t="s">
        <v>895</v>
      </c>
      <c r="B36" s="593" t="s">
        <v>896</v>
      </c>
      <c r="C36" s="592"/>
      <c r="D36" s="839" t="s">
        <v>897</v>
      </c>
      <c r="E36" s="843">
        <f>'P&amp;L'!D39</f>
        <v>0</v>
      </c>
      <c r="F36" s="591">
        <f>'P&amp;L'!E39</f>
        <v>0</v>
      </c>
    </row>
    <row r="37" spans="1:6" ht="30" customHeight="1" x14ac:dyDescent="0.25">
      <c r="A37" s="844" t="s">
        <v>898</v>
      </c>
      <c r="B37" s="593" t="s">
        <v>899</v>
      </c>
      <c r="C37" s="592"/>
      <c r="D37" s="839" t="s">
        <v>900</v>
      </c>
      <c r="E37" s="843">
        <f>'P&amp;L'!D40</f>
        <v>0</v>
      </c>
      <c r="F37" s="591">
        <f>'P&amp;L'!E40</f>
        <v>0</v>
      </c>
    </row>
    <row r="38" spans="1:6" ht="26.25" customHeight="1" x14ac:dyDescent="0.25">
      <c r="A38" s="844" t="s">
        <v>901</v>
      </c>
      <c r="B38" s="593" t="s">
        <v>902</v>
      </c>
      <c r="C38" s="592"/>
      <c r="D38" s="839" t="s">
        <v>903</v>
      </c>
      <c r="E38" s="843">
        <f>'P&amp;L'!D41</f>
        <v>0</v>
      </c>
      <c r="F38" s="591">
        <f>'P&amp;L'!E41</f>
        <v>0</v>
      </c>
    </row>
    <row r="39" spans="1:6" ht="22.5" customHeight="1" x14ac:dyDescent="0.25">
      <c r="A39" s="844" t="s">
        <v>904</v>
      </c>
      <c r="B39" s="593" t="s">
        <v>905</v>
      </c>
      <c r="C39" s="592"/>
      <c r="D39" s="839" t="s">
        <v>906</v>
      </c>
      <c r="E39" s="843">
        <f>'P&amp;L'!D42</f>
        <v>0</v>
      </c>
      <c r="F39" s="591">
        <f>'P&amp;L'!E42</f>
        <v>0</v>
      </c>
    </row>
    <row r="40" spans="1:6" ht="30.75" customHeight="1" x14ac:dyDescent="0.25">
      <c r="A40" s="844" t="s">
        <v>907</v>
      </c>
      <c r="B40" s="593" t="s">
        <v>908</v>
      </c>
      <c r="C40" s="592"/>
      <c r="D40" s="839" t="s">
        <v>909</v>
      </c>
      <c r="E40" s="843">
        <f>'P&amp;L'!D43</f>
        <v>0</v>
      </c>
      <c r="F40" s="591">
        <f>'P&amp;L'!E43</f>
        <v>0</v>
      </c>
    </row>
    <row r="41" spans="1:6" ht="30" customHeight="1" x14ac:dyDescent="0.25">
      <c r="A41" s="844" t="s">
        <v>910</v>
      </c>
      <c r="B41" s="593" t="s">
        <v>911</v>
      </c>
      <c r="C41" s="592"/>
      <c r="D41" s="839" t="s">
        <v>912</v>
      </c>
      <c r="E41" s="843">
        <f>'P&amp;L'!D44</f>
        <v>0</v>
      </c>
      <c r="F41" s="591">
        <f>'P&amp;L'!E44</f>
        <v>0</v>
      </c>
    </row>
    <row r="42" spans="1:6" ht="32.25" customHeight="1" x14ac:dyDescent="0.25">
      <c r="A42" s="844" t="s">
        <v>913</v>
      </c>
      <c r="B42" s="593" t="s">
        <v>914</v>
      </c>
      <c r="C42" s="592"/>
      <c r="D42" s="839" t="s">
        <v>915</v>
      </c>
      <c r="E42" s="843">
        <f>'P&amp;L'!D45</f>
        <v>0</v>
      </c>
      <c r="F42" s="591">
        <f>'P&amp;L'!E45</f>
        <v>0</v>
      </c>
    </row>
    <row r="43" spans="1:6" ht="24" customHeight="1" x14ac:dyDescent="0.25">
      <c r="A43" s="844" t="s">
        <v>916</v>
      </c>
      <c r="B43" s="593" t="s">
        <v>917</v>
      </c>
      <c r="C43" s="592"/>
      <c r="D43" s="839" t="s">
        <v>918</v>
      </c>
      <c r="E43" s="843">
        <f>'P&amp;L'!D46</f>
        <v>4</v>
      </c>
      <c r="F43" s="591">
        <f>'P&amp;L'!E46</f>
        <v>35</v>
      </c>
    </row>
    <row r="44" spans="1:6" ht="26.25" customHeight="1" x14ac:dyDescent="0.25">
      <c r="A44" s="844" t="s">
        <v>919</v>
      </c>
      <c r="B44" s="593" t="s">
        <v>920</v>
      </c>
      <c r="C44" s="592"/>
      <c r="D44" s="839" t="s">
        <v>921</v>
      </c>
      <c r="E44" s="843">
        <f>'P&amp;L'!D47</f>
        <v>0</v>
      </c>
      <c r="F44" s="591">
        <f>'P&amp;L'!E47</f>
        <v>0</v>
      </c>
    </row>
    <row r="45" spans="1:6" ht="24.75" customHeight="1" x14ac:dyDescent="0.25">
      <c r="A45" s="844" t="s">
        <v>922</v>
      </c>
      <c r="B45" s="593" t="s">
        <v>923</v>
      </c>
      <c r="C45" s="592"/>
      <c r="D45" s="839" t="s">
        <v>924</v>
      </c>
      <c r="E45" s="843">
        <f>'P&amp;L'!D48</f>
        <v>0</v>
      </c>
      <c r="F45" s="591">
        <f>'P&amp;L'!E48</f>
        <v>3</v>
      </c>
    </row>
    <row r="46" spans="1:6" ht="27" customHeight="1" x14ac:dyDescent="0.25">
      <c r="A46" s="844" t="s">
        <v>925</v>
      </c>
      <c r="B46" s="593" t="s">
        <v>926</v>
      </c>
      <c r="C46" s="592"/>
      <c r="D46" s="839" t="s">
        <v>927</v>
      </c>
      <c r="E46" s="843">
        <f>'P&amp;L'!D49</f>
        <v>16</v>
      </c>
      <c r="F46" s="591">
        <f>'P&amp;L'!E49</f>
        <v>18</v>
      </c>
    </row>
    <row r="47" spans="1:6" ht="29.25" customHeight="1" x14ac:dyDescent="0.25">
      <c r="A47" s="844" t="s">
        <v>928</v>
      </c>
      <c r="B47" s="593" t="s">
        <v>929</v>
      </c>
      <c r="C47" s="592"/>
      <c r="D47" s="839" t="s">
        <v>930</v>
      </c>
      <c r="E47" s="843">
        <f>'P&amp;L'!D50</f>
        <v>0</v>
      </c>
      <c r="F47" s="591">
        <f>'P&amp;L'!E50</f>
        <v>0</v>
      </c>
    </row>
    <row r="48" spans="1:6" ht="27.75" customHeight="1" x14ac:dyDescent="0.25">
      <c r="A48" s="844" t="s">
        <v>931</v>
      </c>
      <c r="B48" s="593" t="s">
        <v>932</v>
      </c>
      <c r="C48" s="592"/>
      <c r="D48" s="839" t="s">
        <v>933</v>
      </c>
      <c r="E48" s="843">
        <f>'P&amp;L'!D51</f>
        <v>1150</v>
      </c>
      <c r="F48" s="591">
        <f>'P&amp;L'!E51</f>
        <v>1734</v>
      </c>
    </row>
    <row r="49" spans="1:6" ht="27.75" customHeight="1" x14ac:dyDescent="0.25">
      <c r="A49" s="844" t="s">
        <v>934</v>
      </c>
      <c r="B49" s="593" t="s">
        <v>935</v>
      </c>
      <c r="C49" s="592"/>
      <c r="D49" s="839" t="s">
        <v>936</v>
      </c>
      <c r="E49" s="843">
        <f>'P&amp;L'!D52</f>
        <v>0</v>
      </c>
      <c r="F49" s="591">
        <f>'P&amp;L'!E52</f>
        <v>0</v>
      </c>
    </row>
    <row r="50" spans="1:6" ht="27.75" customHeight="1" x14ac:dyDescent="0.25">
      <c r="A50" s="844" t="s">
        <v>937</v>
      </c>
      <c r="B50" s="593" t="s">
        <v>938</v>
      </c>
      <c r="C50" s="592"/>
      <c r="D50" s="839" t="s">
        <v>939</v>
      </c>
      <c r="E50" s="843">
        <f>'P&amp;L'!D53</f>
        <v>0</v>
      </c>
      <c r="F50" s="591">
        <f>'P&amp;L'!E53</f>
        <v>0</v>
      </c>
    </row>
    <row r="51" spans="1:6" s="588" customFormat="1" ht="44.25" customHeight="1" x14ac:dyDescent="0.25">
      <c r="A51" s="607" t="s">
        <v>880</v>
      </c>
      <c r="B51" s="609" t="s">
        <v>1603</v>
      </c>
      <c r="C51" s="608"/>
      <c r="D51" s="845" t="s">
        <v>941</v>
      </c>
      <c r="E51" s="843">
        <f>'P&amp;L'!D54</f>
        <v>-1162</v>
      </c>
      <c r="F51" s="591">
        <f>'P&amp;L'!E54</f>
        <v>-1714</v>
      </c>
    </row>
    <row r="52" spans="1:6" s="588" customFormat="1" ht="29.25" customHeight="1" x14ac:dyDescent="0.25">
      <c r="A52" s="607" t="s">
        <v>942</v>
      </c>
      <c r="B52" s="606" t="s">
        <v>943</v>
      </c>
      <c r="C52" s="605"/>
      <c r="D52" s="845" t="s">
        <v>944</v>
      </c>
      <c r="E52" s="843">
        <f>'P&amp;L'!D55</f>
        <v>76057</v>
      </c>
      <c r="F52" s="591">
        <f>'P&amp;L'!E55</f>
        <v>142365</v>
      </c>
    </row>
    <row r="53" spans="1:6" ht="30.75" customHeight="1" x14ac:dyDescent="0.25">
      <c r="A53" s="844" t="s">
        <v>945</v>
      </c>
      <c r="B53" s="593" t="s">
        <v>946</v>
      </c>
      <c r="C53" s="592"/>
      <c r="D53" s="839" t="s">
        <v>947</v>
      </c>
      <c r="E53" s="843">
        <f>'P&amp;L'!D56</f>
        <v>25374</v>
      </c>
      <c r="F53" s="591">
        <f>'P&amp;L'!E56</f>
        <v>22105</v>
      </c>
    </row>
    <row r="54" spans="1:6" ht="28.5" customHeight="1" x14ac:dyDescent="0.25">
      <c r="A54" s="847" t="s">
        <v>948</v>
      </c>
      <c r="B54" s="593" t="s">
        <v>1604</v>
      </c>
      <c r="C54" s="592"/>
      <c r="D54" s="839" t="s">
        <v>950</v>
      </c>
      <c r="E54" s="843">
        <f>'P&amp;L'!D57</f>
        <v>67655</v>
      </c>
      <c r="F54" s="591">
        <f>'P&amp;L'!E57</f>
        <v>13072</v>
      </c>
    </row>
    <row r="55" spans="1:6" ht="28.5" customHeight="1" x14ac:dyDescent="0.25">
      <c r="A55" s="844" t="s">
        <v>836</v>
      </c>
      <c r="B55" s="593" t="s">
        <v>1605</v>
      </c>
      <c r="C55" s="592"/>
      <c r="D55" s="839" t="s">
        <v>952</v>
      </c>
      <c r="E55" s="843">
        <f>'P&amp;L'!D58</f>
        <v>-42281</v>
      </c>
      <c r="F55" s="591">
        <f>'P&amp;L'!E58</f>
        <v>9033</v>
      </c>
    </row>
    <row r="56" spans="1:6" s="588" customFormat="1" ht="31.5" customHeight="1" x14ac:dyDescent="0.25">
      <c r="A56" s="607" t="s">
        <v>942</v>
      </c>
      <c r="B56" s="606" t="s">
        <v>1606</v>
      </c>
      <c r="C56" s="605"/>
      <c r="D56" s="845" t="s">
        <v>954</v>
      </c>
      <c r="E56" s="843">
        <f>'P&amp;L'!D59</f>
        <v>50683</v>
      </c>
      <c r="F56" s="591">
        <f>'P&amp;L'!E59</f>
        <v>120260</v>
      </c>
    </row>
    <row r="57" spans="1:6" ht="29.25" customHeight="1" x14ac:dyDescent="0.25">
      <c r="A57" s="844" t="s">
        <v>955</v>
      </c>
      <c r="B57" s="593" t="s">
        <v>956</v>
      </c>
      <c r="C57" s="592"/>
      <c r="D57" s="839" t="s">
        <v>957</v>
      </c>
      <c r="E57" s="843">
        <f>'P&amp;L'!D60</f>
        <v>0</v>
      </c>
      <c r="F57" s="591">
        <f>'P&amp;L'!E60</f>
        <v>0</v>
      </c>
    </row>
    <row r="58" spans="1:6" ht="28.5" customHeight="1" x14ac:dyDescent="0.25">
      <c r="A58" s="844" t="s">
        <v>958</v>
      </c>
      <c r="B58" s="593" t="s">
        <v>959</v>
      </c>
      <c r="C58" s="592"/>
      <c r="D58" s="839" t="s">
        <v>960</v>
      </c>
      <c r="E58" s="843">
        <f>'P&amp;L'!D61</f>
        <v>0</v>
      </c>
      <c r="F58" s="591">
        <f>'P&amp;L'!E61</f>
        <v>0</v>
      </c>
    </row>
    <row r="59" spans="1:6" ht="30.75" customHeight="1" thickBot="1" x14ac:dyDescent="0.3">
      <c r="A59" s="563" t="s">
        <v>880</v>
      </c>
      <c r="B59" s="590" t="s">
        <v>961</v>
      </c>
      <c r="C59" s="589"/>
      <c r="D59" s="562" t="s">
        <v>962</v>
      </c>
      <c r="E59" s="912">
        <f>'P&amp;L'!D62</f>
        <v>0</v>
      </c>
      <c r="F59" s="913">
        <f>'P&amp;L'!E62</f>
        <v>0</v>
      </c>
    </row>
    <row r="60" spans="1:6" ht="27.75" customHeight="1" x14ac:dyDescent="0.25">
      <c r="A60" s="604" t="s">
        <v>963</v>
      </c>
      <c r="B60" s="603" t="s">
        <v>964</v>
      </c>
      <c r="C60" s="602"/>
      <c r="D60" s="838" t="s">
        <v>965</v>
      </c>
      <c r="E60" s="891">
        <f>'P&amp;L'!D63</f>
        <v>0</v>
      </c>
      <c r="F60" s="914">
        <f>'P&amp;L'!E63</f>
        <v>0</v>
      </c>
    </row>
    <row r="61" spans="1:6" ht="27.75" customHeight="1" x14ac:dyDescent="0.25">
      <c r="A61" s="847" t="s">
        <v>966</v>
      </c>
      <c r="B61" s="593" t="s">
        <v>1607</v>
      </c>
      <c r="C61" s="592"/>
      <c r="D61" s="839" t="s">
        <v>968</v>
      </c>
      <c r="E61" s="843">
        <f>'P&amp;L'!D64</f>
        <v>0</v>
      </c>
      <c r="F61" s="591">
        <f>'P&amp;L'!E64</f>
        <v>0</v>
      </c>
    </row>
    <row r="62" spans="1:6" ht="27.75" customHeight="1" x14ac:dyDescent="0.25">
      <c r="A62" s="844" t="s">
        <v>836</v>
      </c>
      <c r="B62" s="593" t="s">
        <v>1608</v>
      </c>
      <c r="C62" s="592"/>
      <c r="D62" s="839" t="s">
        <v>970</v>
      </c>
      <c r="E62" s="843">
        <f>'P&amp;L'!D65</f>
        <v>0</v>
      </c>
      <c r="F62" s="591">
        <f>'P&amp;L'!E65</f>
        <v>0</v>
      </c>
    </row>
    <row r="63" spans="1:6" s="588" customFormat="1" ht="27.75" customHeight="1" x14ac:dyDescent="0.25">
      <c r="A63" s="599" t="s">
        <v>880</v>
      </c>
      <c r="B63" s="598" t="s">
        <v>971</v>
      </c>
      <c r="C63" s="597"/>
      <c r="D63" s="849" t="s">
        <v>972</v>
      </c>
      <c r="E63" s="891">
        <f>'P&amp;L'!D66</f>
        <v>0</v>
      </c>
      <c r="F63" s="914">
        <f>'P&amp;L'!E66</f>
        <v>0</v>
      </c>
    </row>
    <row r="64" spans="1:6" s="588" customFormat="1" ht="27.75" customHeight="1" x14ac:dyDescent="0.25">
      <c r="A64" s="846" t="s">
        <v>973</v>
      </c>
      <c r="B64" s="595" t="s">
        <v>974</v>
      </c>
      <c r="C64" s="594"/>
      <c r="D64" s="845" t="s">
        <v>975</v>
      </c>
      <c r="E64" s="843">
        <f>'P&amp;L'!D67</f>
        <v>76057</v>
      </c>
      <c r="F64" s="591">
        <f>'P&amp;L'!E67</f>
        <v>142365</v>
      </c>
    </row>
    <row r="65" spans="1:6" ht="27.75" customHeight="1" x14ac:dyDescent="0.25">
      <c r="A65" s="844" t="s">
        <v>976</v>
      </c>
      <c r="B65" s="593" t="s">
        <v>1609</v>
      </c>
      <c r="C65" s="592"/>
      <c r="D65" s="839" t="s">
        <v>978</v>
      </c>
      <c r="E65" s="843">
        <f>'P&amp;L'!D68</f>
        <v>0</v>
      </c>
      <c r="F65" s="591">
        <f>'P&amp;L'!E68</f>
        <v>0</v>
      </c>
    </row>
    <row r="66" spans="1:6" s="588" customFormat="1" ht="27.75" customHeight="1" thickBot="1" x14ac:dyDescent="0.3">
      <c r="A66" s="563" t="s">
        <v>973</v>
      </c>
      <c r="B66" s="590" t="s">
        <v>979</v>
      </c>
      <c r="C66" s="589"/>
      <c r="D66" s="562" t="s">
        <v>980</v>
      </c>
      <c r="E66" s="912">
        <f>'P&amp;L'!D69</f>
        <v>50683</v>
      </c>
      <c r="F66" s="913">
        <f>'P&amp;L'!E69</f>
        <v>120260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24219/3/2008/1&amp;RPage &amp;P</oddFooter>
  </headerFooter>
  <rowBreaks count="2" manualBreakCount="2">
    <brk id="32" max="5" man="1"/>
    <brk id="59" max="5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2"/>
  <sheetViews>
    <sheetView showGridLines="0" view="pageBreakPreview" zoomScaleNormal="100" zoomScaleSheetLayoutView="100" workbookViewId="0"/>
  </sheetViews>
  <sheetFormatPr defaultRowHeight="12.75" x14ac:dyDescent="0.25"/>
  <cols>
    <col min="1" max="10" width="2.5703125" style="866" customWidth="1"/>
    <col min="11" max="11" width="3.42578125" style="866" customWidth="1"/>
    <col min="12" max="36" width="2.5703125" style="866" customWidth="1"/>
    <col min="37" max="37" width="2.140625" style="866" customWidth="1"/>
    <col min="38" max="38" width="1.85546875" style="866" customWidth="1"/>
    <col min="39" max="39" width="2.140625" style="866" customWidth="1"/>
    <col min="40" max="45" width="2.5703125" style="866" customWidth="1"/>
    <col min="46" max="46" width="7.7109375" style="866" customWidth="1"/>
    <col min="47" max="61" width="2.5703125" style="866" customWidth="1"/>
    <col min="62" max="16384" width="9.140625" style="866"/>
  </cols>
  <sheetData>
    <row r="1" spans="1:38" s="551" customFormat="1" ht="10.5" thickBot="1" x14ac:dyDescent="0.3">
      <c r="C1" s="865" t="s">
        <v>1143</v>
      </c>
    </row>
    <row r="2" spans="1:38" s="448" customFormat="1" ht="21" customHeight="1" thickBot="1" x14ac:dyDescent="0.3">
      <c r="C2" s="867" t="s">
        <v>1612</v>
      </c>
      <c r="D2" s="868"/>
      <c r="E2" s="868"/>
      <c r="F2" s="868"/>
      <c r="G2" s="868"/>
      <c r="H2" s="868"/>
      <c r="I2" s="868"/>
      <c r="J2" s="869"/>
      <c r="Q2" s="547" t="s">
        <v>1613</v>
      </c>
    </row>
    <row r="3" spans="1:38" ht="13.5" thickBot="1" x14ac:dyDescent="0.3"/>
    <row r="4" spans="1:38" ht="28.5" customHeight="1" thickBot="1" x14ac:dyDescent="0.3">
      <c r="K4" s="915" t="s">
        <v>1614</v>
      </c>
      <c r="L4" s="545" t="str">
        <f>+MID('Input data'!$B$11,1,1)</f>
        <v>3</v>
      </c>
      <c r="M4" s="545" t="str">
        <f>+MID('Input data'!$B$11,2,1)</f>
        <v>1</v>
      </c>
      <c r="N4" s="545" t="s">
        <v>1147</v>
      </c>
      <c r="O4" s="545" t="str">
        <f>LEFT('Input data'!B13,1)</f>
        <v>1</v>
      </c>
      <c r="P4" s="545" t="str">
        <f>RIGHT('Input data'!B13,1)</f>
        <v>2</v>
      </c>
      <c r="Q4" s="545" t="s">
        <v>1147</v>
      </c>
      <c r="R4" s="545" t="str">
        <f>+LEFT('Input data'!$B$14,1)</f>
        <v>2</v>
      </c>
      <c r="S4" s="545" t="str">
        <f>+MID('Input data'!$B$14,2,1)</f>
        <v>0</v>
      </c>
      <c r="T4" s="545" t="str">
        <f>+MID('Input data'!$B$14,3,1)</f>
        <v>1</v>
      </c>
      <c r="U4" s="545" t="str">
        <f>+MID('Input data'!$B$14,4,1)</f>
        <v>3</v>
      </c>
      <c r="V4" s="1557" t="s">
        <v>1615</v>
      </c>
      <c r="W4" s="1558"/>
      <c r="X4" s="1558"/>
      <c r="Y4" s="1558"/>
      <c r="Z4" s="1558"/>
      <c r="AA4" s="1559"/>
    </row>
    <row r="5" spans="1:38" ht="7.5" customHeight="1" thickBot="1" x14ac:dyDescent="0.3"/>
    <row r="6" spans="1:38" s="538" customFormat="1" ht="14.25" customHeight="1" x14ac:dyDescent="0.25">
      <c r="A6" s="541" t="s">
        <v>1616</v>
      </c>
      <c r="B6" s="541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39"/>
      <c r="T6" s="540"/>
      <c r="U6" s="540"/>
      <c r="V6" s="540"/>
      <c r="W6" s="540"/>
      <c r="X6" s="540"/>
      <c r="Y6" s="540"/>
      <c r="Z6" s="540"/>
      <c r="AA6" s="540"/>
      <c r="AB6" s="540"/>
      <c r="AC6" s="540"/>
      <c r="AD6" s="540"/>
      <c r="AE6" s="540"/>
      <c r="AF6" s="540"/>
      <c r="AG6" s="540"/>
      <c r="AH6" s="540"/>
      <c r="AI6" s="540"/>
      <c r="AJ6" s="540"/>
      <c r="AK6" s="540"/>
      <c r="AL6" s="539"/>
    </row>
    <row r="7" spans="1:38" s="538" customFormat="1" ht="14.25" customHeight="1" x14ac:dyDescent="0.25">
      <c r="A7" s="916" t="s">
        <v>1617</v>
      </c>
      <c r="B7" s="916"/>
      <c r="C7" s="917"/>
      <c r="D7" s="917"/>
      <c r="E7" s="917"/>
      <c r="F7" s="917"/>
      <c r="G7" s="917"/>
      <c r="H7" s="917"/>
      <c r="I7" s="917"/>
      <c r="J7" s="917"/>
      <c r="K7" s="917"/>
      <c r="L7" s="917"/>
      <c r="M7" s="917"/>
      <c r="N7" s="917"/>
      <c r="O7" s="917"/>
      <c r="P7" s="917"/>
      <c r="Q7" s="917"/>
      <c r="R7" s="917"/>
      <c r="S7" s="917"/>
      <c r="T7" s="917"/>
      <c r="U7" s="917"/>
      <c r="V7" s="917"/>
      <c r="W7" s="917"/>
      <c r="X7" s="917"/>
      <c r="Y7" s="917"/>
      <c r="Z7" s="917"/>
      <c r="AA7" s="917"/>
      <c r="AB7" s="917"/>
      <c r="AC7" s="917"/>
      <c r="AD7" s="917"/>
      <c r="AE7" s="917"/>
      <c r="AF7" s="917"/>
      <c r="AG7" s="917"/>
      <c r="AH7" s="917"/>
      <c r="AI7" s="917"/>
      <c r="AJ7" s="917"/>
      <c r="AK7" s="917"/>
      <c r="AL7" s="918"/>
    </row>
    <row r="8" spans="1:38" s="922" customFormat="1" ht="15" customHeight="1" x14ac:dyDescent="0.25">
      <c r="A8" s="919" t="s">
        <v>1618</v>
      </c>
      <c r="B8" s="919"/>
      <c r="C8" s="920"/>
      <c r="D8" s="920"/>
      <c r="E8" s="920"/>
      <c r="F8" s="920"/>
      <c r="G8" s="920"/>
      <c r="H8" s="920"/>
      <c r="I8" s="920"/>
      <c r="J8" s="920"/>
      <c r="K8" s="920"/>
      <c r="L8" s="920"/>
      <c r="M8" s="920"/>
      <c r="N8" s="920"/>
      <c r="O8" s="920"/>
      <c r="P8" s="920"/>
      <c r="Q8" s="920"/>
      <c r="R8" s="920"/>
      <c r="S8" s="921"/>
      <c r="T8" s="920"/>
      <c r="U8" s="920"/>
      <c r="V8" s="920"/>
      <c r="W8" s="920"/>
      <c r="X8" s="920"/>
      <c r="Y8" s="920"/>
      <c r="Z8" s="920"/>
      <c r="AA8" s="920"/>
      <c r="AB8" s="920"/>
      <c r="AC8" s="920"/>
      <c r="AD8" s="920"/>
      <c r="AE8" s="920"/>
      <c r="AF8" s="920"/>
      <c r="AG8" s="920"/>
      <c r="AH8" s="920"/>
      <c r="AI8" s="920"/>
      <c r="AJ8" s="920"/>
      <c r="AK8" s="920"/>
      <c r="AL8" s="918"/>
    </row>
    <row r="9" spans="1:38" s="533" customFormat="1" ht="18" customHeight="1" thickBot="1" x14ac:dyDescent="0.3">
      <c r="A9" s="536" t="s">
        <v>1619</v>
      </c>
      <c r="B9" s="536"/>
      <c r="C9" s="535"/>
      <c r="D9" s="535"/>
      <c r="E9" s="536"/>
      <c r="F9" s="535"/>
      <c r="G9" s="535"/>
      <c r="H9" s="535"/>
      <c r="I9" s="535"/>
      <c r="J9" s="535"/>
      <c r="K9" s="535"/>
      <c r="L9" s="535"/>
      <c r="M9" s="535"/>
      <c r="N9" s="535"/>
      <c r="O9" s="535"/>
      <c r="P9" s="535"/>
      <c r="Q9" s="535"/>
      <c r="R9" s="535"/>
      <c r="S9" s="534"/>
      <c r="T9" s="535"/>
      <c r="U9" s="535"/>
      <c r="V9" s="535"/>
      <c r="W9" s="535"/>
      <c r="X9" s="535"/>
      <c r="Y9" s="535"/>
      <c r="Z9" s="535"/>
      <c r="AA9" s="535"/>
      <c r="AB9" s="535"/>
      <c r="AC9" s="535"/>
      <c r="AD9" s="535"/>
      <c r="AE9" s="535"/>
      <c r="AF9" s="535"/>
      <c r="AG9" s="535"/>
      <c r="AH9" s="535"/>
      <c r="AI9" s="535"/>
      <c r="AJ9" s="535"/>
      <c r="AK9" s="535"/>
      <c r="AL9" s="534"/>
    </row>
    <row r="10" spans="1:38" s="513" customFormat="1" ht="3.75" customHeight="1" thickBot="1" x14ac:dyDescent="0.3"/>
    <row r="11" spans="1:38" s="513" customFormat="1" ht="14.25" customHeight="1" x14ac:dyDescent="0.25">
      <c r="A11" s="515" t="s">
        <v>1620</v>
      </c>
      <c r="B11" s="514"/>
      <c r="C11" s="514"/>
      <c r="D11" s="514"/>
      <c r="E11" s="514"/>
      <c r="F11" s="514"/>
      <c r="G11" s="514"/>
      <c r="H11" s="514"/>
      <c r="I11" s="458"/>
      <c r="J11" s="900"/>
      <c r="K11" s="531" t="s">
        <v>1621</v>
      </c>
      <c r="L11" s="514"/>
      <c r="M11" s="532"/>
      <c r="N11" s="532"/>
      <c r="O11" s="532"/>
      <c r="P11" s="514"/>
      <c r="Q11" s="531" t="s">
        <v>1621</v>
      </c>
      <c r="R11" s="514"/>
      <c r="S11" s="458"/>
      <c r="T11" s="514"/>
      <c r="U11" s="514"/>
      <c r="V11" s="901"/>
      <c r="W11" s="514"/>
      <c r="X11" s="514"/>
      <c r="Y11" s="514"/>
      <c r="Z11" s="514"/>
      <c r="AA11" s="514"/>
      <c r="AB11" s="514"/>
      <c r="AC11" s="514"/>
      <c r="AD11" s="531" t="s">
        <v>1622</v>
      </c>
      <c r="AE11" s="531"/>
      <c r="AF11" s="531"/>
      <c r="AG11" s="531" t="s">
        <v>1623</v>
      </c>
      <c r="AH11" s="514"/>
      <c r="AI11" s="514"/>
      <c r="AJ11" s="514"/>
      <c r="AK11" s="514"/>
      <c r="AL11" s="530"/>
    </row>
    <row r="12" spans="1:38" s="513" customFormat="1" ht="19.5" customHeight="1" x14ac:dyDescent="0.2">
      <c r="A12" s="527" t="str">
        <f>LEFT('Input data'!C24,1)</f>
        <v>2</v>
      </c>
      <c r="B12" s="492" t="str">
        <f>MID('Input data'!$C$24,2,1)</f>
        <v>0</v>
      </c>
      <c r="C12" s="492" t="str">
        <f>MID('Input data'!$C$24,3,1)</f>
        <v>2</v>
      </c>
      <c r="D12" s="492" t="str">
        <f>MID('Input data'!$C$24,4,1)</f>
        <v>1</v>
      </c>
      <c r="E12" s="492" t="str">
        <f>MID('Input data'!$C$24,5,1)</f>
        <v>8</v>
      </c>
      <c r="F12" s="492" t="str">
        <f>MID('Input data'!$C$24,6,1)</f>
        <v>7</v>
      </c>
      <c r="G12" s="492" t="str">
        <f>MID('Input data'!$C$24,7,1)</f>
        <v>0</v>
      </c>
      <c r="H12" s="492" t="str">
        <f>MID('Input data'!$C$24,8,1)</f>
        <v>2</v>
      </c>
      <c r="I12" s="492" t="str">
        <f>MID('Input data'!$C$24,9,1)</f>
        <v>9</v>
      </c>
      <c r="J12" s="902" t="str">
        <f>MID('Input data'!$C$24,10,1)</f>
        <v>0</v>
      </c>
      <c r="K12" s="903"/>
      <c r="L12" s="516"/>
      <c r="M12" s="516"/>
      <c r="N12" s="516"/>
      <c r="O12" s="516"/>
      <c r="P12" s="516"/>
      <c r="Q12" s="516"/>
      <c r="R12" s="516"/>
      <c r="S12" s="516"/>
      <c r="T12" s="516"/>
      <c r="U12" s="516"/>
      <c r="V12" s="904"/>
      <c r="W12" s="521" t="s">
        <v>1624</v>
      </c>
      <c r="X12" s="516"/>
      <c r="Y12" s="516"/>
      <c r="Z12" s="516"/>
      <c r="AA12" s="516"/>
      <c r="AB12" s="521" t="s">
        <v>1625</v>
      </c>
      <c r="AC12" s="516"/>
      <c r="AD12" s="492" t="str">
        <f>MID('Input data'!$B$8,1,1)</f>
        <v>0</v>
      </c>
      <c r="AE12" s="492" t="str">
        <f>MID('Input data'!$B$8,2,1)</f>
        <v>1</v>
      </c>
      <c r="AF12" s="492"/>
      <c r="AG12" s="492" t="str">
        <f>MID('Input data'!$B$9,1,1)</f>
        <v>2</v>
      </c>
      <c r="AH12" s="492" t="str">
        <f>MID('Input data'!$B$9,2,1)</f>
        <v>0</v>
      </c>
      <c r="AI12" s="492" t="str">
        <f>MID('Input data'!$B$9,3,1)</f>
        <v>1</v>
      </c>
      <c r="AJ12" s="492" t="str">
        <f>MID('Input data'!$B$9,4,1)</f>
        <v>3</v>
      </c>
      <c r="AK12" s="516"/>
      <c r="AL12" s="522"/>
    </row>
    <row r="13" spans="1:38" s="513" customFormat="1" ht="19.5" customHeight="1" x14ac:dyDescent="0.25">
      <c r="A13" s="454" t="s">
        <v>1626</v>
      </c>
      <c r="B13" s="516"/>
      <c r="C13" s="516"/>
      <c r="D13" s="516"/>
      <c r="E13" s="516"/>
      <c r="F13" s="516"/>
      <c r="G13" s="516"/>
      <c r="H13" s="450"/>
      <c r="I13" s="450"/>
      <c r="J13" s="579"/>
      <c r="K13" s="529" t="str">
        <f>IF('Input data'!D7="x","x"," ")</f>
        <v>x</v>
      </c>
      <c r="L13" s="521" t="s">
        <v>1627</v>
      </c>
      <c r="N13" s="523"/>
      <c r="O13" s="523"/>
      <c r="P13" s="523"/>
      <c r="Q13" s="523"/>
      <c r="R13" s="529" t="str">
        <f>IF('Input data'!D16="x","x"," ")</f>
        <v>x</v>
      </c>
      <c r="S13" s="521" t="s">
        <v>1628</v>
      </c>
      <c r="T13" s="516"/>
      <c r="U13" s="516"/>
      <c r="V13" s="904"/>
      <c r="W13" s="873"/>
      <c r="X13" s="874"/>
      <c r="Y13" s="874"/>
      <c r="Z13" s="874"/>
      <c r="AA13" s="874"/>
      <c r="AB13" s="875" t="s">
        <v>1629</v>
      </c>
      <c r="AC13" s="874"/>
      <c r="AD13" s="876" t="str">
        <f>MID('Input data'!$B$13,1,1)</f>
        <v>1</v>
      </c>
      <c r="AE13" s="876" t="str">
        <f>MID('Input data'!$B$13,2,1)</f>
        <v>2</v>
      </c>
      <c r="AF13" s="876"/>
      <c r="AG13" s="876" t="str">
        <f>MID('Input data'!$B$14,1,1)</f>
        <v>2</v>
      </c>
      <c r="AH13" s="876" t="str">
        <f>MID('Input data'!$B$14,2,1)</f>
        <v>0</v>
      </c>
      <c r="AI13" s="876" t="str">
        <f>MID('Input data'!$B$14,3,1)</f>
        <v>1</v>
      </c>
      <c r="AJ13" s="876" t="str">
        <f>MID('Input data'!$B$14,4,1)</f>
        <v>3</v>
      </c>
      <c r="AK13" s="874"/>
      <c r="AL13" s="877"/>
    </row>
    <row r="14" spans="1:38" s="513" customFormat="1" ht="19.5" customHeight="1" x14ac:dyDescent="0.2">
      <c r="A14" s="923" t="str">
        <f>LEFT('Input data'!C26,1)</f>
        <v>3</v>
      </c>
      <c r="B14" s="525" t="str">
        <f>MID('Input data'!$C$26,2,1)</f>
        <v>5</v>
      </c>
      <c r="C14" s="525" t="str">
        <f>MID('Input data'!$C$26,3,1)</f>
        <v>8</v>
      </c>
      <c r="D14" s="525" t="str">
        <f>MID('Input data'!$C$26,4,1)</f>
        <v>9</v>
      </c>
      <c r="E14" s="525" t="str">
        <f>MID('Input data'!$C$26,5,1)</f>
        <v>6</v>
      </c>
      <c r="F14" s="525" t="str">
        <f>MID('Input data'!$C$26,6,1)</f>
        <v>2</v>
      </c>
      <c r="G14" s="525" t="str">
        <f>MID('Input data'!$C$26,7,1)</f>
        <v>8</v>
      </c>
      <c r="H14" s="525" t="str">
        <f>MID('Input data'!$C$26,8,1)</f>
        <v>1</v>
      </c>
      <c r="I14" s="450"/>
      <c r="J14" s="579"/>
      <c r="K14" s="450" t="str">
        <f>IF('Input data'!D8="x","x", "")</f>
        <v/>
      </c>
      <c r="L14" s="521" t="s">
        <v>1630</v>
      </c>
      <c r="M14" s="521"/>
      <c r="N14" s="523"/>
      <c r="O14" s="523"/>
      <c r="P14" s="523"/>
      <c r="Q14" s="523"/>
      <c r="R14" s="523" t="str">
        <f>IF('Input data'!D17="x","x"," ")</f>
        <v xml:space="preserve"> </v>
      </c>
      <c r="S14" s="521" t="s">
        <v>1631</v>
      </c>
      <c r="T14" s="516"/>
      <c r="U14" s="516"/>
      <c r="V14" s="904"/>
      <c r="W14" s="521"/>
      <c r="X14" s="516"/>
      <c r="Y14" s="453"/>
      <c r="Z14" s="450"/>
      <c r="AA14" s="450"/>
      <c r="AB14" s="523"/>
      <c r="AC14" s="450"/>
      <c r="AD14" s="525"/>
      <c r="AE14" s="525"/>
      <c r="AF14" s="525"/>
      <c r="AG14" s="525"/>
      <c r="AH14" s="525"/>
      <c r="AI14" s="525"/>
      <c r="AJ14" s="525"/>
      <c r="AK14" s="450"/>
      <c r="AL14" s="522"/>
    </row>
    <row r="15" spans="1:38" s="513" customFormat="1" ht="19.5" customHeight="1" x14ac:dyDescent="0.2">
      <c r="A15" s="454" t="s">
        <v>1165</v>
      </c>
      <c r="B15" s="516"/>
      <c r="C15" s="516"/>
      <c r="D15" s="516"/>
      <c r="E15" s="516"/>
      <c r="F15" s="469"/>
      <c r="G15" s="516"/>
      <c r="H15" s="516"/>
      <c r="I15" s="450"/>
      <c r="J15" s="579"/>
      <c r="K15" s="903"/>
      <c r="L15" s="450"/>
      <c r="M15" s="521"/>
      <c r="N15" s="523"/>
      <c r="O15" s="523"/>
      <c r="P15" s="523"/>
      <c r="Q15" s="523"/>
      <c r="R15" s="924" t="s">
        <v>1632</v>
      </c>
      <c r="S15" s="523"/>
      <c r="T15" s="516"/>
      <c r="U15" s="516"/>
      <c r="V15" s="904"/>
      <c r="W15" s="521" t="s">
        <v>1633</v>
      </c>
      <c r="X15" s="516"/>
      <c r="Y15" s="453"/>
      <c r="Z15" s="450"/>
      <c r="AA15" s="450"/>
      <c r="AB15" s="521" t="s">
        <v>1625</v>
      </c>
      <c r="AC15" s="450"/>
      <c r="AD15" s="492" t="str">
        <f>MID('Input data'!$B$18,1,1)</f>
        <v>0</v>
      </c>
      <c r="AE15" s="492" t="str">
        <f>MID('Input data'!$B$18,2,1)</f>
        <v>1</v>
      </c>
      <c r="AF15" s="492"/>
      <c r="AG15" s="492" t="str">
        <f>MID('Input data'!$B$19,1,1)</f>
        <v>2</v>
      </c>
      <c r="AH15" s="492" t="str">
        <f>MID('Input data'!$B$19,2,1)</f>
        <v>0</v>
      </c>
      <c r="AI15" s="492" t="str">
        <f>MID('Input data'!$B$19,3,1)</f>
        <v>1</v>
      </c>
      <c r="AJ15" s="492" t="str">
        <f>MID('Input data'!$B$19,4,1)</f>
        <v>2</v>
      </c>
      <c r="AK15" s="450"/>
      <c r="AL15" s="522"/>
    </row>
    <row r="16" spans="1:38" s="513" customFormat="1" ht="19.5" customHeight="1" thickBot="1" x14ac:dyDescent="0.25">
      <c r="A16" s="520" t="str">
        <f>'BS-SK Cover sheet'!A15</f>
        <v>7</v>
      </c>
      <c r="B16" s="445" t="str">
        <f>'BS-SK Cover sheet'!B15</f>
        <v>3</v>
      </c>
      <c r="C16" s="518" t="s">
        <v>1147</v>
      </c>
      <c r="D16" s="445" t="str">
        <f>'BS-SK Cover sheet'!D15</f>
        <v>1</v>
      </c>
      <c r="E16" s="445" t="str">
        <f>'BS-SK Cover sheet'!E15</f>
        <v>1</v>
      </c>
      <c r="F16" s="518" t="s">
        <v>1147</v>
      </c>
      <c r="G16" s="445" t="str">
        <f>'BS-SK Cover sheet'!G15</f>
        <v>0</v>
      </c>
      <c r="H16" s="445"/>
      <c r="I16" s="445"/>
      <c r="J16" s="906"/>
      <c r="K16" s="907"/>
      <c r="L16" s="445"/>
      <c r="M16" s="445"/>
      <c r="N16" s="445"/>
      <c r="O16" s="445"/>
      <c r="P16" s="445"/>
      <c r="Q16" s="445"/>
      <c r="R16" s="445"/>
      <c r="S16" s="445"/>
      <c r="T16" s="518"/>
      <c r="U16" s="518"/>
      <c r="V16" s="908"/>
      <c r="W16" s="517"/>
      <c r="X16" s="518"/>
      <c r="Y16" s="446"/>
      <c r="Z16" s="445"/>
      <c r="AA16" s="445"/>
      <c r="AB16" s="517" t="s">
        <v>1629</v>
      </c>
      <c r="AC16" s="445"/>
      <c r="AD16" s="490" t="str">
        <f>MID('Input data'!$B$21,1,1)</f>
        <v>1</v>
      </c>
      <c r="AE16" s="490" t="str">
        <f>MID('Input data'!$B$21,2,1)</f>
        <v>2</v>
      </c>
      <c r="AF16" s="490"/>
      <c r="AG16" s="490" t="str">
        <f>MID('Input data'!$B$22,1,1)</f>
        <v>2</v>
      </c>
      <c r="AH16" s="490" t="str">
        <f>MID('Input data'!$B$22,2,1)</f>
        <v>0</v>
      </c>
      <c r="AI16" s="490" t="str">
        <f>MID('Input data'!$B$22,3,1)</f>
        <v>1</v>
      </c>
      <c r="AJ16" s="490" t="str">
        <f>MID('Input data'!$B$22,4,1)</f>
        <v>2</v>
      </c>
      <c r="AK16" s="445"/>
      <c r="AL16" s="519"/>
    </row>
    <row r="17" spans="1:39" s="513" customFormat="1" ht="4.5" customHeight="1" x14ac:dyDescent="0.25">
      <c r="A17" s="516"/>
      <c r="B17" s="516"/>
      <c r="C17" s="516"/>
      <c r="D17" s="516"/>
      <c r="E17" s="516"/>
      <c r="F17" s="516"/>
      <c r="G17" s="516"/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516"/>
      <c r="U17" s="516"/>
      <c r="V17" s="450"/>
      <c r="W17" s="450"/>
      <c r="X17" s="450"/>
      <c r="Y17" s="450"/>
      <c r="Z17" s="450"/>
      <c r="AA17" s="450"/>
      <c r="AB17" s="450"/>
      <c r="AC17" s="450"/>
      <c r="AD17" s="450"/>
      <c r="AE17" s="450"/>
      <c r="AF17" s="450"/>
      <c r="AG17" s="450"/>
      <c r="AH17" s="450"/>
      <c r="AI17" s="450"/>
      <c r="AJ17" s="450"/>
      <c r="AK17" s="450"/>
      <c r="AL17" s="516"/>
      <c r="AM17" s="516"/>
    </row>
    <row r="18" spans="1:39" s="513" customFormat="1" ht="3" customHeight="1" thickBot="1" x14ac:dyDescent="0.3">
      <c r="A18" s="925"/>
      <c r="B18" s="516"/>
      <c r="C18" s="516"/>
      <c r="D18" s="516"/>
      <c r="E18" s="516"/>
      <c r="F18" s="516"/>
      <c r="G18" s="516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0"/>
      <c r="T18" s="516"/>
      <c r="U18" s="516"/>
      <c r="V18" s="516"/>
      <c r="W18" s="450"/>
      <c r="X18" s="450"/>
      <c r="Y18" s="450"/>
      <c r="Z18" s="450"/>
      <c r="AA18" s="450"/>
      <c r="AB18" s="450"/>
      <c r="AC18" s="450"/>
      <c r="AD18" s="450"/>
      <c r="AE18" s="450"/>
      <c r="AF18" s="450"/>
      <c r="AG18" s="450"/>
      <c r="AH18" s="450"/>
      <c r="AI18" s="450"/>
      <c r="AJ18" s="450"/>
      <c r="AK18" s="450"/>
      <c r="AL18" s="516"/>
      <c r="AM18" s="516"/>
    </row>
    <row r="19" spans="1:39" s="513" customFormat="1" ht="16.5" x14ac:dyDescent="0.25">
      <c r="A19" s="515" t="s">
        <v>1634</v>
      </c>
      <c r="B19" s="514"/>
      <c r="C19" s="514"/>
      <c r="D19" s="514"/>
      <c r="E19" s="514"/>
      <c r="F19" s="514"/>
      <c r="G19" s="514"/>
      <c r="H19" s="458"/>
      <c r="I19" s="458"/>
      <c r="J19" s="458"/>
      <c r="K19" s="458"/>
      <c r="L19" s="458"/>
      <c r="M19" s="458"/>
      <c r="N19" s="458"/>
      <c r="O19" s="458"/>
      <c r="P19" s="458"/>
      <c r="Q19" s="458"/>
      <c r="R19" s="458"/>
      <c r="S19" s="458"/>
      <c r="T19" s="514"/>
      <c r="U19" s="514"/>
      <c r="V19" s="514"/>
      <c r="W19" s="458"/>
      <c r="X19" s="458"/>
      <c r="Y19" s="458"/>
      <c r="Z19" s="458"/>
      <c r="AA19" s="458"/>
      <c r="AB19" s="458"/>
      <c r="AC19" s="458"/>
      <c r="AD19" s="458"/>
      <c r="AE19" s="458"/>
      <c r="AF19" s="458"/>
      <c r="AG19" s="458"/>
      <c r="AH19" s="458"/>
      <c r="AI19" s="458"/>
      <c r="AJ19" s="458"/>
      <c r="AK19" s="458"/>
      <c r="AL19" s="530"/>
    </row>
    <row r="20" spans="1:39" s="513" customFormat="1" ht="19.5" customHeight="1" x14ac:dyDescent="0.25">
      <c r="A20" s="500" t="str">
        <f>+LEFT('Input data'!$F$3,1)</f>
        <v>V</v>
      </c>
      <c r="B20" s="492" t="str">
        <f>+MID('Input data'!$F$3,2,1)</f>
        <v>i</v>
      </c>
      <c r="C20" s="492" t="str">
        <f>+MID('Input data'!$F$3,3,1)</f>
        <v>z</v>
      </c>
      <c r="D20" s="492" t="str">
        <f>+MID('Input data'!$F$3,4,1)</f>
        <v>e</v>
      </c>
      <c r="E20" s="492" t="str">
        <f>+MID('Input data'!$F$3,5,1)</f>
        <v>u</v>
      </c>
      <c r="F20" s="492" t="str">
        <f>+MID('Input data'!$F$3,6,1)</f>
        <v>m</v>
      </c>
      <c r="G20" s="492" t="str">
        <f>+MID('Input data'!$F$3,7,1)</f>
        <v xml:space="preserve"> </v>
      </c>
      <c r="H20" s="492" t="str">
        <f>+MID('Input data'!$F$3,8,1)</f>
        <v>S</v>
      </c>
      <c r="I20" s="492" t="str">
        <f>+MID('Input data'!$F$3,9,1)</f>
        <v>l</v>
      </c>
      <c r="J20" s="492" t="str">
        <f>+MID('Input data'!$F$3,10,1)</f>
        <v>o</v>
      </c>
      <c r="K20" s="492" t="str">
        <f>+MID('Input data'!$F$3,11,1)</f>
        <v>v</v>
      </c>
      <c r="L20" s="492" t="str">
        <f>+MID('Input data'!$F$3,12,1)</f>
        <v>a</v>
      </c>
      <c r="M20" s="492" t="str">
        <f>+MID('Input data'!$F$3,13,1)</f>
        <v>k</v>
      </c>
      <c r="N20" s="492" t="str">
        <f>+MID('Input data'!$F$3,14,1)</f>
        <v>i</v>
      </c>
      <c r="O20" s="492" t="str">
        <f>+MID('Input data'!$F$3,15,1)</f>
        <v>a</v>
      </c>
      <c r="P20" s="492" t="str">
        <f>+MID('Input data'!$F$3,16,1)</f>
        <v>,</v>
      </c>
      <c r="Q20" s="492" t="str">
        <f>+MID('Input data'!$F$3,17,1)</f>
        <v xml:space="preserve"> </v>
      </c>
      <c r="R20" s="492" t="str">
        <f>+MID('Input data'!$F$3,18,1)</f>
        <v>s</v>
      </c>
      <c r="S20" s="492" t="str">
        <f>+MID('Input data'!$F$3,19,1)</f>
        <v>.</v>
      </c>
      <c r="T20" s="492" t="str">
        <f>+MID('Input data'!$F$3,20,1)</f>
        <v>r</v>
      </c>
      <c r="U20" s="492" t="str">
        <f>+MID('Input data'!$F$3,21,1)</f>
        <v>.</v>
      </c>
      <c r="V20" s="492" t="str">
        <f>+MID('Input data'!$F$3,22,1)</f>
        <v>o</v>
      </c>
      <c r="W20" s="492" t="str">
        <f>+MID('Input data'!$F$3,23,1)</f>
        <v>.</v>
      </c>
      <c r="X20" s="492" t="str">
        <f>+MID('Input data'!$F$3,24,1)</f>
        <v/>
      </c>
      <c r="Y20" s="492" t="str">
        <f>+MID('Input data'!$F$3,25,1)</f>
        <v/>
      </c>
      <c r="Z20" s="492" t="str">
        <f>+MID('Input data'!$F$3,26,1)</f>
        <v/>
      </c>
      <c r="AA20" s="492" t="str">
        <f>+MID('Input data'!$F$3,27,1)</f>
        <v/>
      </c>
      <c r="AB20" s="492" t="str">
        <f>+MID('Input data'!$F$3,28,1)</f>
        <v/>
      </c>
      <c r="AC20" s="492" t="str">
        <f>+MID('Input data'!$F$3,29,1)</f>
        <v/>
      </c>
      <c r="AD20" s="492" t="str">
        <f>+MID('Input data'!$F$3,30,1)</f>
        <v/>
      </c>
      <c r="AE20" s="492" t="str">
        <f>+MID('Input data'!$F$3,31,1)</f>
        <v/>
      </c>
      <c r="AF20" s="492" t="str">
        <f>+MID('Input data'!$F$3,32,1)</f>
        <v/>
      </c>
      <c r="AG20" s="492" t="str">
        <f>+MID('Input data'!$F$3,33,1)</f>
        <v/>
      </c>
      <c r="AH20" s="492" t="str">
        <f>+MID('Input data'!$E$3,34,1)</f>
        <v/>
      </c>
      <c r="AI20" s="492" t="str">
        <f>+MID('Input data'!$E$3,35,1)</f>
        <v/>
      </c>
      <c r="AJ20" s="492" t="str">
        <f>+MID('Input data'!$E$3,36,1)</f>
        <v/>
      </c>
      <c r="AK20" s="492" t="str">
        <f>+MID('Input data'!$E$3,37,1)</f>
        <v/>
      </c>
      <c r="AL20" s="522"/>
    </row>
    <row r="21" spans="1:39" s="582" customFormat="1" ht="19.5" customHeight="1" x14ac:dyDescent="0.25">
      <c r="A21" s="500" t="str">
        <f>+MID('Input data'!$E$3,38,1)</f>
        <v/>
      </c>
      <c r="B21" s="492" t="str">
        <f>+MID('Input data'!$E$3,39,1)</f>
        <v/>
      </c>
      <c r="C21" s="492" t="str">
        <f>+MID('Input data'!$E$3,40,1)</f>
        <v/>
      </c>
      <c r="D21" s="492" t="str">
        <f>+MID('Input data'!$E$3,41,1)</f>
        <v/>
      </c>
      <c r="E21" s="492" t="str">
        <f>+MID('Input data'!$E$3,42,1)</f>
        <v/>
      </c>
      <c r="F21" s="492" t="str">
        <f>+MID('Input data'!$E$3,43,1)</f>
        <v/>
      </c>
      <c r="G21" s="492" t="str">
        <f>+MID('Input data'!$E$3,44,1)</f>
        <v/>
      </c>
      <c r="H21" s="492" t="str">
        <f>+MID('Input data'!$E$3,45,1)</f>
        <v/>
      </c>
      <c r="I21" s="492" t="str">
        <f>+MID('Input data'!$E$3,46,1)</f>
        <v/>
      </c>
      <c r="J21" s="492" t="str">
        <f>+MID('Input data'!$E$3,47,1)</f>
        <v/>
      </c>
      <c r="K21" s="492" t="str">
        <f>+MID('Input data'!$E$3,48,1)</f>
        <v/>
      </c>
      <c r="L21" s="492" t="str">
        <f>+MID('Input data'!$E$3,49,1)</f>
        <v/>
      </c>
      <c r="M21" s="492" t="str">
        <f>+MID('Input data'!$E$3,50,1)</f>
        <v/>
      </c>
      <c r="N21" s="492" t="str">
        <f>+MID('Input data'!$E$3,51,1)</f>
        <v/>
      </c>
      <c r="O21" s="492" t="str">
        <f>+MID('Input data'!$E$3,52,1)</f>
        <v/>
      </c>
      <c r="P21" s="492" t="str">
        <f>+MID('Input data'!$E$3,53,1)</f>
        <v/>
      </c>
      <c r="Q21" s="492" t="str">
        <f>+MID('Input data'!$E$3,54,1)</f>
        <v/>
      </c>
      <c r="R21" s="492" t="str">
        <f>+MID('Input data'!$E$3,55,1)</f>
        <v/>
      </c>
      <c r="S21" s="492" t="str">
        <f>+MID('Input data'!$E$3,56,1)</f>
        <v/>
      </c>
      <c r="T21" s="492" t="str">
        <f>+MID('Input data'!$E$3,57,1)</f>
        <v/>
      </c>
      <c r="U21" s="492" t="str">
        <f>+MID('Input data'!$E$3,58,1)</f>
        <v/>
      </c>
      <c r="V21" s="492" t="str">
        <f>+MID('Input data'!$E$3,59,1)</f>
        <v/>
      </c>
      <c r="W21" s="492" t="str">
        <f>+MID('Input data'!$E$3,60,1)</f>
        <v/>
      </c>
      <c r="X21" s="492" t="str">
        <f>+MID('Input data'!$E$3,61,1)</f>
        <v/>
      </c>
      <c r="Y21" s="492" t="str">
        <f>+MID('Input data'!$E$3,62,1)</f>
        <v/>
      </c>
      <c r="Z21" s="492" t="str">
        <f>+MID('Input data'!$E$3,63,1)</f>
        <v/>
      </c>
      <c r="AA21" s="492" t="str">
        <f>+MID('Input data'!$E$3,64,1)</f>
        <v/>
      </c>
      <c r="AB21" s="492" t="str">
        <f>+MID('Input data'!$E$3,65,1)</f>
        <v/>
      </c>
      <c r="AC21" s="492" t="str">
        <f>+MID('Input data'!$E$3,66,1)</f>
        <v/>
      </c>
      <c r="AD21" s="492" t="str">
        <f>+MID('Input data'!$E$3,67,1)</f>
        <v/>
      </c>
      <c r="AE21" s="492" t="str">
        <f>+MID('Input data'!$E$3,68,1)</f>
        <v/>
      </c>
      <c r="AF21" s="492" t="str">
        <f>+MID('Input data'!$E$3,69,1)</f>
        <v/>
      </c>
      <c r="AG21" s="492" t="str">
        <f>+MID('Input data'!$E$3,70,1)</f>
        <v/>
      </c>
      <c r="AH21" s="492" t="str">
        <f>+MID('Input data'!$E$3,71,1)</f>
        <v/>
      </c>
      <c r="AI21" s="492" t="str">
        <f>+MID('Input data'!$E$3,72,1)</f>
        <v/>
      </c>
      <c r="AJ21" s="492" t="str">
        <f>+MID('Input data'!$E$3,73,1)</f>
        <v/>
      </c>
      <c r="AK21" s="492" t="str">
        <f>+MID('Input data'!$E$3,74,1)</f>
        <v/>
      </c>
      <c r="AL21" s="926"/>
    </row>
    <row r="22" spans="1:39" s="501" customFormat="1" ht="14.25" customHeight="1" x14ac:dyDescent="0.25">
      <c r="A22" s="927" t="s">
        <v>1635</v>
      </c>
      <c r="B22" s="928"/>
      <c r="C22" s="928"/>
      <c r="D22" s="928"/>
      <c r="E22" s="928"/>
      <c r="F22" s="928"/>
      <c r="G22" s="928"/>
      <c r="H22" s="928"/>
      <c r="I22" s="928"/>
      <c r="J22" s="928"/>
      <c r="K22" s="928"/>
      <c r="L22" s="928"/>
      <c r="M22" s="928"/>
      <c r="N22" s="928"/>
      <c r="O22" s="928"/>
      <c r="P22" s="928"/>
      <c r="Q22" s="928"/>
      <c r="R22" s="928"/>
      <c r="S22" s="928"/>
      <c r="T22" s="928"/>
      <c r="U22" s="928"/>
      <c r="V22" s="928"/>
      <c r="W22" s="510"/>
      <c r="X22" s="510"/>
      <c r="Y22" s="510"/>
      <c r="Z22" s="510"/>
      <c r="AA22" s="510"/>
      <c r="AB22" s="510"/>
      <c r="AC22" s="510"/>
      <c r="AD22" s="510"/>
      <c r="AE22" s="510"/>
      <c r="AF22" s="510"/>
      <c r="AG22" s="510"/>
      <c r="AH22" s="510"/>
      <c r="AI22" s="510"/>
      <c r="AJ22" s="510"/>
      <c r="AK22" s="510"/>
      <c r="AL22" s="929"/>
    </row>
    <row r="23" spans="1:39" x14ac:dyDescent="0.25">
      <c r="A23" s="497" t="s">
        <v>1636</v>
      </c>
      <c r="B23" s="871"/>
      <c r="C23" s="871"/>
      <c r="D23" s="871"/>
      <c r="E23" s="871"/>
      <c r="F23" s="871"/>
      <c r="G23" s="871"/>
      <c r="H23" s="871"/>
      <c r="I23" s="871"/>
      <c r="J23" s="871"/>
      <c r="K23" s="871"/>
      <c r="L23" s="871"/>
      <c r="M23" s="871"/>
      <c r="N23" s="871"/>
      <c r="O23" s="871"/>
      <c r="P23" s="871"/>
      <c r="Q23" s="871"/>
      <c r="R23" s="871"/>
      <c r="S23" s="871"/>
      <c r="T23" s="871"/>
      <c r="U23" s="871"/>
      <c r="V23" s="871"/>
      <c r="W23" s="450"/>
      <c r="X23" s="450"/>
      <c r="Y23" s="450"/>
      <c r="Z23" s="450"/>
      <c r="AA23" s="450"/>
      <c r="AB23" s="871"/>
      <c r="AC23" s="450"/>
      <c r="AD23" s="453" t="s">
        <v>1637</v>
      </c>
      <c r="AE23" s="450"/>
      <c r="AF23" s="450"/>
      <c r="AG23" s="450"/>
      <c r="AH23" s="450"/>
      <c r="AI23" s="450"/>
      <c r="AJ23" s="450"/>
      <c r="AK23" s="450"/>
      <c r="AL23" s="930"/>
    </row>
    <row r="24" spans="1:39" s="582" customFormat="1" ht="19.5" customHeight="1" x14ac:dyDescent="0.25">
      <c r="A24" s="500" t="str">
        <f>+LEFT('Input data'!$C$28,1)</f>
        <v>T</v>
      </c>
      <c r="B24" s="492" t="str">
        <f>+MID('Input data'!$C$28,2,1)</f>
        <v>e</v>
      </c>
      <c r="C24" s="492" t="str">
        <f>+MID('Input data'!$C$28,3,1)</f>
        <v>s</v>
      </c>
      <c r="D24" s="492" t="str">
        <f>+MID('Input data'!$C$28,4,1)</f>
        <v>l</v>
      </c>
      <c r="E24" s="492" t="str">
        <f>+MID('Input data'!$C$28,5,1)</f>
        <v>o</v>
      </c>
      <c r="F24" s="492" t="str">
        <f>+MID('Input data'!$C$28,6,1)</f>
        <v>v</v>
      </c>
      <c r="G24" s="492" t="str">
        <f>+MID('Input data'!$C$28,7,1)</f>
        <v>a</v>
      </c>
      <c r="H24" s="492" t="str">
        <f>+MID('Input data'!$C$28,8,1)</f>
        <v/>
      </c>
      <c r="I24" s="492" t="str">
        <f>+MID('Input data'!$C$28,9,1)</f>
        <v/>
      </c>
      <c r="J24" s="492" t="str">
        <f>+MID('Input data'!$C$28,10,1)</f>
        <v/>
      </c>
      <c r="K24" s="492" t="str">
        <f>+MID('Input data'!$C$28,11,1)</f>
        <v/>
      </c>
      <c r="L24" s="492" t="str">
        <f>+MID('Input data'!$C$28,12,1)</f>
        <v/>
      </c>
      <c r="M24" s="492" t="str">
        <f>+MID('Input data'!$C$28,13,1)</f>
        <v/>
      </c>
      <c r="N24" s="492" t="str">
        <f>+MID('Input data'!$C$28,14,1)</f>
        <v/>
      </c>
      <c r="O24" s="492" t="str">
        <f>+MID('Input data'!$C$28,15,1)</f>
        <v/>
      </c>
      <c r="P24" s="492" t="str">
        <f>+MID('Input data'!$C$28,16,1)</f>
        <v/>
      </c>
      <c r="Q24" s="492" t="str">
        <f>+MID('Input data'!$C$28,17,1)</f>
        <v/>
      </c>
      <c r="R24" s="492" t="str">
        <f>+MID('Input data'!$C$28,18,1)</f>
        <v/>
      </c>
      <c r="S24" s="492" t="str">
        <f>+MID('Input data'!$C$28,19,1)</f>
        <v/>
      </c>
      <c r="T24" s="492" t="str">
        <f>+MID('Input data'!$C$28,20,1)</f>
        <v/>
      </c>
      <c r="U24" s="492" t="str">
        <f>+MID('Input data'!$C$28,21,1)</f>
        <v/>
      </c>
      <c r="V24" s="492" t="str">
        <f>+MID('Input data'!$C$28,22,1)</f>
        <v/>
      </c>
      <c r="W24" s="492" t="str">
        <f>+MID('Input data'!$C$28,23,1)</f>
        <v/>
      </c>
      <c r="X24" s="492" t="str">
        <f>+MID('Input data'!$C$28,24,1)</f>
        <v/>
      </c>
      <c r="Y24" s="492" t="str">
        <f>+MID('Input data'!$C$28,25,1)</f>
        <v/>
      </c>
      <c r="Z24" s="492" t="str">
        <f>+MID('Input data'!$C$28,26,1)</f>
        <v/>
      </c>
      <c r="AA24" s="492" t="str">
        <f>+MID('Input data'!$C$28,27,1)</f>
        <v/>
      </c>
      <c r="AB24" s="492" t="str">
        <f>+MID('Input data'!$C$28,28,1)</f>
        <v/>
      </c>
      <c r="AC24" s="494"/>
      <c r="AD24" s="492" t="str">
        <f>+LEFT('Input data'!$C$30,1)</f>
        <v>2</v>
      </c>
      <c r="AE24" s="492" t="str">
        <f>+MID('Input data'!$C$30,2,1)</f>
        <v>0</v>
      </c>
      <c r="AF24" s="492" t="str">
        <f>+MID('Input data'!$C$30,3,1)</f>
        <v/>
      </c>
      <c r="AG24" s="492" t="str">
        <f>+MID('Input data'!$C$30,4,1)</f>
        <v/>
      </c>
      <c r="AH24" s="492" t="str">
        <f>+MID('Input data'!$C$30,5,1)</f>
        <v/>
      </c>
      <c r="AI24" s="492" t="str">
        <f>+MID('Input data'!$C$30,6,1)</f>
        <v/>
      </c>
      <c r="AJ24" s="492" t="str">
        <f>+MID('Input data'!$C$30,7,1)</f>
        <v/>
      </c>
      <c r="AK24" s="492" t="str">
        <f>+MID('Input data'!$C$30,8,1)</f>
        <v/>
      </c>
      <c r="AL24" s="926"/>
    </row>
    <row r="25" spans="1:39" x14ac:dyDescent="0.25">
      <c r="A25" s="497" t="s">
        <v>1638</v>
      </c>
      <c r="B25" s="871"/>
      <c r="C25" s="871"/>
      <c r="D25" s="871"/>
      <c r="E25" s="871"/>
      <c r="F25" s="871"/>
      <c r="G25" s="496" t="s">
        <v>1639</v>
      </c>
      <c r="H25" s="496"/>
      <c r="I25" s="496"/>
      <c r="J25" s="496"/>
      <c r="K25" s="496"/>
      <c r="L25" s="496"/>
      <c r="M25" s="496"/>
      <c r="N25" s="496"/>
      <c r="O25" s="496"/>
      <c r="P25" s="496"/>
      <c r="Q25" s="496"/>
      <c r="R25" s="496"/>
      <c r="S25" s="496"/>
      <c r="T25" s="496"/>
      <c r="U25" s="496"/>
      <c r="V25" s="496"/>
      <c r="W25" s="496"/>
      <c r="X25" s="496"/>
      <c r="Y25" s="496"/>
      <c r="Z25" s="496"/>
      <c r="AA25" s="496"/>
      <c r="AB25" s="496"/>
      <c r="AC25" s="496"/>
      <c r="AD25" s="496"/>
      <c r="AE25" s="450"/>
      <c r="AF25" s="450"/>
      <c r="AG25" s="450"/>
      <c r="AH25" s="450"/>
      <c r="AI25" s="450"/>
      <c r="AJ25" s="450"/>
      <c r="AK25" s="450"/>
      <c r="AL25" s="930"/>
    </row>
    <row r="26" spans="1:39" s="582" customFormat="1" ht="19.5" customHeight="1" x14ac:dyDescent="0.25">
      <c r="A26" s="500" t="str">
        <f>+LEFT('Input data'!$C$32,1)</f>
        <v>8</v>
      </c>
      <c r="B26" s="492" t="str">
        <f>+MID('Input data'!$C$32,2,1)</f>
        <v>2</v>
      </c>
      <c r="C26" s="492" t="str">
        <f>+MID('Input data'!$C$32,3,1)</f>
        <v>1</v>
      </c>
      <c r="D26" s="492" t="str">
        <f>+MID('Input data'!$C$32,4,1)</f>
        <v>0</v>
      </c>
      <c r="E26" s="492" t="str">
        <f>+MID('Input data'!$C$32,5,1)</f>
        <v>2</v>
      </c>
      <c r="F26" s="492"/>
      <c r="G26" s="492" t="str">
        <f>+LEFT('Input data'!$C$34,1)</f>
        <v>B</v>
      </c>
      <c r="H26" s="492" t="str">
        <f>+MID('Input data'!$C$34,2,1)</f>
        <v>r</v>
      </c>
      <c r="I26" s="492" t="str">
        <f>+MID('Input data'!$C$34,3,1)</f>
        <v>a</v>
      </c>
      <c r="J26" s="492" t="str">
        <f>+MID('Input data'!$C$34,4,1)</f>
        <v>t</v>
      </c>
      <c r="K26" s="492" t="str">
        <f>+MID('Input data'!$C$34,5,1)</f>
        <v>u</v>
      </c>
      <c r="L26" s="492" t="str">
        <f>+MID('Input data'!$C$34,6,1)</f>
        <v>s</v>
      </c>
      <c r="M26" s="492" t="str">
        <f>+MID('Input data'!$C$34,7,1)</f>
        <v>l</v>
      </c>
      <c r="N26" s="492" t="str">
        <f>+MID('Input data'!$C$34,8,1)</f>
        <v>a</v>
      </c>
      <c r="O26" s="492" t="str">
        <f>+MID('Input data'!$C$34,9,1)</f>
        <v>v</v>
      </c>
      <c r="P26" s="492" t="str">
        <f>+MID('Input data'!$C$34,10,1)</f>
        <v>a</v>
      </c>
      <c r="Q26" s="492" t="str">
        <f>+MID('Input data'!$C$34,11,1)</f>
        <v/>
      </c>
      <c r="R26" s="492" t="str">
        <f>+MID('Input data'!$C$34,12,1)</f>
        <v/>
      </c>
      <c r="S26" s="492" t="str">
        <f>+MID('Input data'!$C$34,13,1)</f>
        <v/>
      </c>
      <c r="T26" s="492" t="str">
        <f>+MID('Input data'!$C$34,14,1)</f>
        <v/>
      </c>
      <c r="U26" s="492" t="str">
        <f>+MID('Input data'!$C$34,15,1)</f>
        <v/>
      </c>
      <c r="V26" s="492" t="str">
        <f>+MID('Input data'!$C$34,16,1)</f>
        <v/>
      </c>
      <c r="W26" s="492" t="str">
        <f>+MID('Input data'!$C$34,17,1)</f>
        <v/>
      </c>
      <c r="X26" s="492" t="str">
        <f>+MID('Input data'!$C$34,18,1)</f>
        <v/>
      </c>
      <c r="Y26" s="492" t="str">
        <f>+MID('Input data'!$C$34,19,1)</f>
        <v/>
      </c>
      <c r="Z26" s="492" t="str">
        <f>+MID('Input data'!$C$34,20,1)</f>
        <v/>
      </c>
      <c r="AA26" s="492" t="str">
        <f>+MID('Input data'!$C$34,21,1)</f>
        <v/>
      </c>
      <c r="AB26" s="492" t="str">
        <f>+MID('Input data'!$C$34,22,1)</f>
        <v/>
      </c>
      <c r="AC26" s="492" t="str">
        <f>+MID('Input data'!$C$34,23,1)</f>
        <v/>
      </c>
      <c r="AD26" s="492" t="str">
        <f>+MID('Input data'!$C$34,24,1)</f>
        <v/>
      </c>
      <c r="AE26" s="492" t="str">
        <f>+MID('Input data'!$C$34,25,1)</f>
        <v/>
      </c>
      <c r="AF26" s="492" t="str">
        <f>+MID('Input data'!$C$34,26,1)</f>
        <v/>
      </c>
      <c r="AG26" s="492" t="str">
        <f>+MID('Input data'!$C$34,27,1)</f>
        <v/>
      </c>
      <c r="AH26" s="492" t="str">
        <f>+MID('Input data'!$C$34,28,1)</f>
        <v/>
      </c>
      <c r="AI26" s="492" t="str">
        <f>+MID('Input data'!$C$34,29,1)</f>
        <v/>
      </c>
      <c r="AJ26" s="492" t="str">
        <f>+MID('Input data'!$C$34,30,1)</f>
        <v/>
      </c>
      <c r="AK26" s="492" t="str">
        <f>+MID('Input data'!$C$34,31,1)</f>
        <v/>
      </c>
      <c r="AL26" s="926"/>
    </row>
    <row r="27" spans="1:39" x14ac:dyDescent="0.25">
      <c r="A27" s="497" t="s">
        <v>1640</v>
      </c>
      <c r="B27" s="871"/>
      <c r="C27" s="871"/>
      <c r="D27" s="871"/>
      <c r="E27" s="871"/>
      <c r="F27" s="871"/>
      <c r="G27" s="496"/>
      <c r="H27" s="496"/>
      <c r="I27" s="496"/>
      <c r="J27" s="496"/>
      <c r="K27" s="496"/>
      <c r="L27" s="496"/>
      <c r="M27" s="496"/>
      <c r="N27" s="871"/>
      <c r="O27" s="496" t="s">
        <v>1641</v>
      </c>
      <c r="P27" s="496"/>
      <c r="Q27" s="496"/>
      <c r="R27" s="496"/>
      <c r="S27" s="496"/>
      <c r="T27" s="496"/>
      <c r="U27" s="496"/>
      <c r="V27" s="496"/>
      <c r="W27" s="496"/>
      <c r="X27" s="496"/>
      <c r="Y27" s="496"/>
      <c r="Z27" s="496"/>
      <c r="AA27" s="496"/>
      <c r="AB27" s="496"/>
      <c r="AC27" s="496"/>
      <c r="AD27" s="496"/>
      <c r="AE27" s="450"/>
      <c r="AF27" s="450"/>
      <c r="AG27" s="450"/>
      <c r="AH27" s="450"/>
      <c r="AI27" s="450"/>
      <c r="AJ27" s="450"/>
      <c r="AK27" s="450"/>
      <c r="AL27" s="930"/>
    </row>
    <row r="28" spans="1:39" s="582" customFormat="1" ht="19.5" customHeight="1" x14ac:dyDescent="0.25">
      <c r="A28" s="495">
        <v>0</v>
      </c>
      <c r="B28" s="492" t="str">
        <f>+LEFT('Input data'!$C$36,1)</f>
        <v>2</v>
      </c>
      <c r="C28" s="492" t="str">
        <f>+MID('Input data'!$C$36,2,1)</f>
        <v/>
      </c>
      <c r="D28" s="492" t="str">
        <f>+MID('Input data'!$C$36,3,1)</f>
        <v/>
      </c>
      <c r="E28" s="492" t="s">
        <v>1176</v>
      </c>
      <c r="F28" s="492" t="str">
        <f>+LEFT('Input data'!$C$38,1)</f>
        <v>4</v>
      </c>
      <c r="G28" s="492" t="str">
        <f>+MID('Input data'!$C$38,2,1)</f>
        <v>9</v>
      </c>
      <c r="H28" s="492" t="str">
        <f>+MID('Input data'!$C$38,3,1)</f>
        <v>3</v>
      </c>
      <c r="I28" s="492" t="str">
        <f>+MID('Input data'!$C$38,4,1)</f>
        <v>0</v>
      </c>
      <c r="J28" s="492" t="str">
        <f>+MID('Input data'!$C$38,5,1)</f>
        <v>0</v>
      </c>
      <c r="K28" s="492" t="str">
        <f>+MID('Input data'!$C$38,6,1)</f>
        <v>5</v>
      </c>
      <c r="L28" s="492" t="str">
        <f>+MID('Input data'!$C$38,7,1)</f>
        <v>1</v>
      </c>
      <c r="M28" s="492" t="str">
        <f>+MID('Input data'!$C$38,8,1)</f>
        <v>3</v>
      </c>
      <c r="N28" s="494"/>
      <c r="O28" s="493">
        <v>0</v>
      </c>
      <c r="P28" s="492" t="str">
        <f>+LEFT('Input data'!$C$36,1)</f>
        <v>2</v>
      </c>
      <c r="Q28" s="492" t="str">
        <f>+MID('Input data'!$C$36,2,1)</f>
        <v/>
      </c>
      <c r="R28" s="492" t="str">
        <f>+MID('Input data'!$C$36,3,1)</f>
        <v/>
      </c>
      <c r="S28" s="492" t="s">
        <v>1176</v>
      </c>
      <c r="T28" s="492" t="str">
        <f>+LEFT('Input data'!$C$40,1)</f>
        <v>4</v>
      </c>
      <c r="U28" s="492" t="str">
        <f>+MID('Input data'!$C$40,2,1)</f>
        <v>9</v>
      </c>
      <c r="V28" s="492" t="str">
        <f>+MID('Input data'!$C$40,3,1)</f>
        <v>3</v>
      </c>
      <c r="W28" s="492" t="str">
        <f>+MID('Input data'!$C$40,4,1)</f>
        <v>0</v>
      </c>
      <c r="X28" s="492" t="str">
        <f>+MID('Input data'!$C$40,5,1)</f>
        <v>0</v>
      </c>
      <c r="Y28" s="492" t="str">
        <f>+MID('Input data'!$C$40,6,1)</f>
        <v>5</v>
      </c>
      <c r="Z28" s="492" t="str">
        <f>+MID('Input data'!$C$40,7,1)</f>
        <v>5</v>
      </c>
      <c r="AA28" s="492" t="str">
        <f>+MID('Input data'!$C$40,8,1)</f>
        <v>0</v>
      </c>
      <c r="AB28" s="492"/>
      <c r="AC28" s="492"/>
      <c r="AD28" s="492"/>
      <c r="AE28" s="450"/>
      <c r="AF28" s="450"/>
      <c r="AG28" s="450"/>
      <c r="AH28" s="450"/>
      <c r="AI28" s="450"/>
      <c r="AJ28" s="450"/>
      <c r="AK28" s="450"/>
      <c r="AL28" s="926"/>
    </row>
    <row r="29" spans="1:39" s="442" customFormat="1" x14ac:dyDescent="0.25">
      <c r="A29" s="454" t="s">
        <v>1642</v>
      </c>
      <c r="B29" s="453"/>
      <c r="C29" s="453"/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453"/>
      <c r="S29" s="453"/>
      <c r="T29" s="453"/>
      <c r="U29" s="453"/>
      <c r="V29" s="453"/>
      <c r="W29" s="450"/>
      <c r="X29" s="450"/>
      <c r="Y29" s="450"/>
      <c r="Z29" s="450"/>
      <c r="AA29" s="450"/>
      <c r="AB29" s="450"/>
      <c r="AC29" s="450"/>
      <c r="AD29" s="450"/>
      <c r="AE29" s="450"/>
      <c r="AF29" s="450"/>
      <c r="AG29" s="450"/>
      <c r="AH29" s="450"/>
      <c r="AI29" s="450"/>
      <c r="AJ29" s="450"/>
      <c r="AK29" s="450"/>
      <c r="AL29" s="537"/>
    </row>
    <row r="30" spans="1:39" s="582" customFormat="1" ht="19.5" customHeight="1" thickBot="1" x14ac:dyDescent="0.3">
      <c r="A30" s="491" t="str">
        <f>+LEFT('Input data'!$B$42,1)</f>
        <v/>
      </c>
      <c r="B30" s="490" t="str">
        <f>+MID('Input data'!$B$42,2,1)</f>
        <v/>
      </c>
      <c r="C30" s="490" t="str">
        <f>+MID('Input data'!$B$42,3,1)</f>
        <v/>
      </c>
      <c r="D30" s="490" t="str">
        <f>+MID('Input data'!$B$42,4,1)</f>
        <v/>
      </c>
      <c r="E30" s="490" t="str">
        <f>+MID('Input data'!$B$42,5,1)</f>
        <v/>
      </c>
      <c r="F30" s="490" t="str">
        <f>+MID('Input data'!$B$42,6,1)</f>
        <v/>
      </c>
      <c r="G30" s="490" t="str">
        <f>+MID('Input data'!$B$42,7,1)</f>
        <v/>
      </c>
      <c r="H30" s="490" t="str">
        <f>+MID('Input data'!$B$42,8,1)</f>
        <v/>
      </c>
      <c r="I30" s="490" t="str">
        <f>+MID('Input data'!$B$42,9,1)</f>
        <v/>
      </c>
      <c r="J30" s="490" t="str">
        <f>+MID('Input data'!$B$42,10,1)</f>
        <v/>
      </c>
      <c r="K30" s="490" t="str">
        <f>+MID('Input data'!$B$42,11,1)</f>
        <v/>
      </c>
      <c r="L30" s="490" t="str">
        <f>+MID('Input data'!$B$42,12,1)</f>
        <v/>
      </c>
      <c r="M30" s="490" t="str">
        <f>+MID('Input data'!$B$42,13,1)</f>
        <v/>
      </c>
      <c r="N30" s="490" t="str">
        <f>+MID('Input data'!$B$42,14,1)</f>
        <v/>
      </c>
      <c r="O30" s="490" t="str">
        <f>+MID('Input data'!$B$42,15,1)</f>
        <v/>
      </c>
      <c r="P30" s="490" t="str">
        <f>+MID('Input data'!$B$42,16,1)</f>
        <v/>
      </c>
      <c r="Q30" s="490" t="str">
        <f>+MID('Input data'!$B$42,17,1)</f>
        <v/>
      </c>
      <c r="R30" s="490" t="str">
        <f>+MID('Input data'!$B$42,18,1)</f>
        <v/>
      </c>
      <c r="S30" s="490" t="str">
        <f>+MID('Input data'!$B$42,19,1)</f>
        <v/>
      </c>
      <c r="T30" s="490" t="str">
        <f>+MID('Input data'!$B$42,20,1)</f>
        <v/>
      </c>
      <c r="U30" s="490" t="str">
        <f>+MID('Input data'!$B$42,21,1)</f>
        <v/>
      </c>
      <c r="V30" s="490" t="str">
        <f>+MID('Input data'!$B$42,22,1)</f>
        <v/>
      </c>
      <c r="W30" s="490" t="str">
        <f>+MID('Input data'!$B$42,23,1)</f>
        <v/>
      </c>
      <c r="X30" s="490" t="str">
        <f>+MID('Input data'!$B$42,24,1)</f>
        <v/>
      </c>
      <c r="Y30" s="490" t="str">
        <f>+MID('Input data'!$B$42,25,1)</f>
        <v/>
      </c>
      <c r="Z30" s="490" t="str">
        <f>+MID('Input data'!$B$42,26,1)</f>
        <v/>
      </c>
      <c r="AA30" s="490" t="str">
        <f>+MID('Input data'!$B$42,27,1)</f>
        <v/>
      </c>
      <c r="AB30" s="490" t="str">
        <f>+MID('Input data'!$B$42,28,1)</f>
        <v/>
      </c>
      <c r="AC30" s="490" t="str">
        <f>+MID('Input data'!$B$42,29,1)</f>
        <v/>
      </c>
      <c r="AD30" s="490" t="str">
        <f>+MID('Input data'!$B$42,30,1)</f>
        <v/>
      </c>
      <c r="AE30" s="490" t="str">
        <f>+MID('Input data'!$B$42,31,1)</f>
        <v/>
      </c>
      <c r="AF30" s="490" t="str">
        <f>+MID('Input data'!$B$42,32,1)</f>
        <v/>
      </c>
      <c r="AG30" s="490" t="str">
        <f>+MID('Input data'!$B$42,33,1)</f>
        <v/>
      </c>
      <c r="AH30" s="490" t="str">
        <f>+MID('Input data'!$B$42,34,1)</f>
        <v/>
      </c>
      <c r="AI30" s="490" t="str">
        <f>+MID('Input data'!$B$42,35,1)</f>
        <v/>
      </c>
      <c r="AJ30" s="490" t="str">
        <f>+MID('Input data'!$B$42,36,1)</f>
        <v/>
      </c>
      <c r="AK30" s="490" t="str">
        <f>+MID('Input data'!$B$42,37,1)</f>
        <v/>
      </c>
      <c r="AL30" s="931"/>
    </row>
    <row r="31" spans="1:39" s="442" customFormat="1" ht="4.5" customHeight="1" thickBot="1" x14ac:dyDescent="0.3">
      <c r="A31" s="453"/>
      <c r="B31" s="453"/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0"/>
      <c r="X31" s="450"/>
      <c r="Y31" s="450"/>
      <c r="Z31" s="450"/>
      <c r="AA31" s="450"/>
      <c r="AB31" s="450"/>
      <c r="AC31" s="450"/>
      <c r="AD31" s="450"/>
      <c r="AE31" s="450"/>
      <c r="AF31" s="450"/>
      <c r="AG31" s="450"/>
      <c r="AH31" s="450"/>
      <c r="AI31" s="450"/>
      <c r="AJ31" s="450"/>
      <c r="AK31" s="450"/>
      <c r="AL31" s="453"/>
      <c r="AM31" s="453"/>
    </row>
    <row r="32" spans="1:39" s="485" customFormat="1" ht="12.75" customHeight="1" x14ac:dyDescent="0.25">
      <c r="A32" s="488" t="s">
        <v>1643</v>
      </c>
      <c r="B32" s="487"/>
      <c r="C32" s="487"/>
      <c r="D32" s="487"/>
      <c r="E32" s="487"/>
      <c r="F32" s="487"/>
      <c r="G32" s="487"/>
      <c r="H32" s="487"/>
      <c r="I32" s="487"/>
      <c r="J32" s="487"/>
      <c r="K32" s="880"/>
      <c r="L32" s="880"/>
      <c r="M32" s="1404" t="s">
        <v>1644</v>
      </c>
      <c r="N32" s="1405"/>
      <c r="O32" s="1405"/>
      <c r="P32" s="1405"/>
      <c r="Q32" s="1405"/>
      <c r="R32" s="1405"/>
      <c r="S32" s="1405"/>
      <c r="T32" s="1405"/>
      <c r="U32" s="1410"/>
      <c r="V32" s="1404" t="s">
        <v>1645</v>
      </c>
      <c r="W32" s="1405"/>
      <c r="X32" s="1405"/>
      <c r="Y32" s="1405"/>
      <c r="Z32" s="1405"/>
      <c r="AA32" s="1405"/>
      <c r="AB32" s="1405"/>
      <c r="AC32" s="1410"/>
      <c r="AD32" s="1404" t="s">
        <v>1646</v>
      </c>
      <c r="AE32" s="1405"/>
      <c r="AF32" s="1405"/>
      <c r="AG32" s="1405"/>
      <c r="AH32" s="1405"/>
      <c r="AI32" s="1405"/>
      <c r="AJ32" s="1405"/>
      <c r="AK32" s="1405"/>
      <c r="AL32" s="1406"/>
    </row>
    <row r="33" spans="1:38" s="442" customFormat="1" ht="19.5" customHeight="1" x14ac:dyDescent="0.25">
      <c r="A33" s="471" t="str">
        <f>LEFT(TEXT('Input data'!F25,"dd.m.yyyy"),1)</f>
        <v>1</v>
      </c>
      <c r="B33" s="470" t="str">
        <f>MID(TEXT('Input data'!$F$25,"dd.mm.yyyy"),2,1)</f>
        <v>3</v>
      </c>
      <c r="C33" s="469" t="s">
        <v>1147</v>
      </c>
      <c r="D33" s="470" t="str">
        <f>MID(TEXT('Input data'!$F$25,"dd.mm.yyyy"),4,1)</f>
        <v>0</v>
      </c>
      <c r="E33" s="470" t="str">
        <f>MID(TEXT('Input data'!$F$25,"dd.mm.yyyy"),5,1)</f>
        <v>6</v>
      </c>
      <c r="F33" s="469" t="s">
        <v>1147</v>
      </c>
      <c r="G33" s="470" t="str">
        <f>MID(TEXT('Input data'!$F$25,"dd.mm.yyyy"),7,1)</f>
        <v>2</v>
      </c>
      <c r="H33" s="470" t="str">
        <f>MID(TEXT('Input data'!$F$25,"dd.mm.yyyy"),8,1)</f>
        <v>0</v>
      </c>
      <c r="I33" s="470" t="str">
        <f>MID(TEXT('Input data'!$F$25,"dd.mm.yyyy"),9,1)</f>
        <v>1</v>
      </c>
      <c r="J33" s="470" t="str">
        <f>MID(TEXT('Input data'!$F$25,"dd.mm.yyyy"),10,1)</f>
        <v>4</v>
      </c>
      <c r="K33" s="932"/>
      <c r="L33" s="477"/>
      <c r="M33" s="1407"/>
      <c r="N33" s="1408"/>
      <c r="O33" s="1408"/>
      <c r="P33" s="1408"/>
      <c r="Q33" s="1408"/>
      <c r="R33" s="1408"/>
      <c r="S33" s="1408"/>
      <c r="T33" s="1408"/>
      <c r="U33" s="1411"/>
      <c r="V33" s="1407"/>
      <c r="W33" s="1408"/>
      <c r="X33" s="1408"/>
      <c r="Y33" s="1408"/>
      <c r="Z33" s="1408"/>
      <c r="AA33" s="1408"/>
      <c r="AB33" s="1408"/>
      <c r="AC33" s="1411"/>
      <c r="AD33" s="1407"/>
      <c r="AE33" s="1408"/>
      <c r="AF33" s="1408"/>
      <c r="AG33" s="1408"/>
      <c r="AH33" s="1408"/>
      <c r="AI33" s="1408"/>
      <c r="AJ33" s="1408"/>
      <c r="AK33" s="1408"/>
      <c r="AL33" s="1409"/>
    </row>
    <row r="34" spans="1:38" s="442" customFormat="1" ht="12.75" customHeight="1" x14ac:dyDescent="0.25">
      <c r="A34" s="483"/>
      <c r="B34" s="482"/>
      <c r="C34" s="482"/>
      <c r="D34" s="482"/>
      <c r="E34" s="482"/>
      <c r="F34" s="482"/>
      <c r="G34" s="482"/>
      <c r="H34" s="482"/>
      <c r="I34" s="482"/>
      <c r="J34" s="482"/>
      <c r="K34" s="882"/>
      <c r="L34" s="882"/>
      <c r="M34" s="1407"/>
      <c r="N34" s="1408"/>
      <c r="O34" s="1408"/>
      <c r="P34" s="1408"/>
      <c r="Q34" s="1408"/>
      <c r="R34" s="1408"/>
      <c r="S34" s="1408"/>
      <c r="T34" s="1408"/>
      <c r="U34" s="1411"/>
      <c r="V34" s="1407"/>
      <c r="W34" s="1408"/>
      <c r="X34" s="1408"/>
      <c r="Y34" s="1408"/>
      <c r="Z34" s="1408"/>
      <c r="AA34" s="1408"/>
      <c r="AB34" s="1408"/>
      <c r="AC34" s="1411"/>
      <c r="AD34" s="1407"/>
      <c r="AE34" s="1408"/>
      <c r="AF34" s="1408"/>
      <c r="AG34" s="1408"/>
      <c r="AH34" s="1408"/>
      <c r="AI34" s="1408"/>
      <c r="AJ34" s="1408"/>
      <c r="AK34" s="1408"/>
      <c r="AL34" s="1409"/>
    </row>
    <row r="35" spans="1:38" s="442" customFormat="1" x14ac:dyDescent="0.2">
      <c r="A35" s="454" t="s">
        <v>1647</v>
      </c>
      <c r="B35" s="453"/>
      <c r="C35" s="453"/>
      <c r="D35" s="453"/>
      <c r="E35" s="453"/>
      <c r="F35" s="453"/>
      <c r="G35" s="453"/>
      <c r="H35" s="453"/>
      <c r="I35" s="453"/>
      <c r="J35" s="453"/>
      <c r="K35" s="477"/>
      <c r="L35" s="883"/>
      <c r="M35" s="477"/>
      <c r="N35" s="477"/>
      <c r="O35" s="477"/>
      <c r="P35" s="477"/>
      <c r="Q35" s="477"/>
      <c r="R35" s="477"/>
      <c r="S35" s="477"/>
      <c r="T35" s="453"/>
      <c r="U35" s="475"/>
      <c r="V35" s="476"/>
      <c r="W35" s="476"/>
      <c r="X35" s="476"/>
      <c r="Y35" s="476"/>
      <c r="Z35" s="476"/>
      <c r="AA35" s="450"/>
      <c r="AB35" s="476"/>
      <c r="AC35" s="475"/>
      <c r="AD35" s="474"/>
      <c r="AE35" s="473"/>
      <c r="AF35" s="473"/>
      <c r="AG35" s="473"/>
      <c r="AH35" s="473"/>
      <c r="AI35" s="473"/>
      <c r="AJ35" s="473"/>
      <c r="AK35" s="473"/>
      <c r="AL35" s="472"/>
    </row>
    <row r="36" spans="1:38" s="442" customFormat="1" ht="19.5" customHeight="1" x14ac:dyDescent="0.25">
      <c r="A36" s="471" t="str">
        <f>IF('Input data'!$F$27="","",LEFT(TEXT('Input data'!$F$27,"dd.mm.yyyy"),1))</f>
        <v/>
      </c>
      <c r="B36" s="470" t="str">
        <f>IF('Input data'!$F$27="","",MID(TEXT('Input data'!$F$27,"dd.mm.yyyy"),2,1))</f>
        <v/>
      </c>
      <c r="C36" s="469" t="s">
        <v>1147</v>
      </c>
      <c r="D36" s="470" t="str">
        <f>IF('Input data'!$F$27="","",MID(TEXT('Input data'!$F$27,"dd.mm.yyyy"),4,1))</f>
        <v/>
      </c>
      <c r="E36" s="470" t="str">
        <f>IF('Input data'!$F$27="","",MID(TEXT('Input data'!$F$27,"dd.mm.yyyy"),5,1))</f>
        <v/>
      </c>
      <c r="F36" s="469" t="s">
        <v>1147</v>
      </c>
      <c r="G36" s="468" t="str">
        <f>IF('Input data'!$F$27="","",MID(TEXT('Input data'!$F$27,"dd.mm.yyyy"),7,1))</f>
        <v/>
      </c>
      <c r="H36" s="468" t="str">
        <f>IF('Input data'!$F$27="","",MID(TEXT('Input data'!$F$27,"dd.mm.yyyy"),8,1))</f>
        <v/>
      </c>
      <c r="I36" s="468" t="str">
        <f>IF('Input data'!$F$27="","",MID(TEXT('Input data'!$F$27,"dd.mm.yyyy"),9,1))</f>
        <v/>
      </c>
      <c r="J36" s="468" t="str">
        <f>IF('Input data'!$F$27="","",MID(TEXT('Input data'!$F$27,"dd.mm.yyyy"),10,1))</f>
        <v/>
      </c>
      <c r="K36" s="884"/>
      <c r="L36" s="580"/>
      <c r="M36" s="453"/>
      <c r="N36" s="453"/>
      <c r="O36" s="453"/>
      <c r="P36" s="453"/>
      <c r="Q36" s="453"/>
      <c r="R36" s="453"/>
      <c r="S36" s="453"/>
      <c r="T36" s="453"/>
      <c r="U36" s="580"/>
      <c r="V36" s="453"/>
      <c r="W36" s="450"/>
      <c r="X36" s="450"/>
      <c r="Y36" s="450"/>
      <c r="Z36" s="450"/>
      <c r="AA36" s="450"/>
      <c r="AB36" s="450"/>
      <c r="AC36" s="579"/>
      <c r="AD36" s="450"/>
      <c r="AE36" s="450"/>
      <c r="AF36" s="450"/>
      <c r="AG36" s="450"/>
      <c r="AH36" s="450"/>
      <c r="AI36" s="450"/>
      <c r="AJ36" s="450"/>
      <c r="AK36" s="450"/>
      <c r="AL36" s="449"/>
    </row>
    <row r="37" spans="1:38" s="448" customFormat="1" thickBot="1" x14ac:dyDescent="0.3">
      <c r="A37" s="463"/>
      <c r="B37" s="462"/>
      <c r="C37" s="462"/>
      <c r="D37" s="462"/>
      <c r="E37" s="462"/>
      <c r="F37" s="462"/>
      <c r="G37" s="462"/>
      <c r="H37" s="462"/>
      <c r="I37" s="462"/>
      <c r="J37" s="462"/>
      <c r="K37" s="462"/>
      <c r="L37" s="461"/>
      <c r="M37" s="998">
        <f>'Input data'!F31</f>
        <v>0</v>
      </c>
      <c r="N37" s="999"/>
      <c r="O37" s="999"/>
      <c r="P37" s="999"/>
      <c r="Q37" s="999"/>
      <c r="R37" s="999"/>
      <c r="S37" s="999"/>
      <c r="T37" s="999"/>
      <c r="U37" s="1000"/>
      <c r="V37" s="998">
        <f>'Input data'!F35</f>
        <v>0</v>
      </c>
      <c r="W37" s="999"/>
      <c r="X37" s="999"/>
      <c r="Y37" s="999"/>
      <c r="Z37" s="999"/>
      <c r="AA37" s="999"/>
      <c r="AB37" s="999"/>
      <c r="AC37" s="1000"/>
      <c r="AD37" s="1001">
        <f>'Input data'!F39</f>
        <v>0</v>
      </c>
      <c r="AE37" s="999"/>
      <c r="AF37" s="999"/>
      <c r="AG37" s="999"/>
      <c r="AH37" s="999"/>
      <c r="AI37" s="999"/>
      <c r="AJ37" s="999"/>
      <c r="AK37" s="999"/>
      <c r="AL37" s="1002"/>
    </row>
    <row r="38" spans="1:38" s="448" customFormat="1" x14ac:dyDescent="0.2">
      <c r="A38" s="451"/>
      <c r="B38" s="451"/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933"/>
      <c r="N38" s="933"/>
      <c r="O38" s="933"/>
      <c r="P38" s="933"/>
      <c r="Q38" s="933"/>
      <c r="R38" s="933"/>
      <c r="S38" s="933"/>
      <c r="T38" s="933"/>
      <c r="U38" s="933"/>
      <c r="V38" s="451"/>
      <c r="W38" s="450"/>
      <c r="X38" s="450"/>
      <c r="Y38" s="450"/>
      <c r="Z38" s="450"/>
      <c r="AA38" s="450"/>
      <c r="AB38" s="450"/>
      <c r="AC38" s="450"/>
      <c r="AD38" s="451"/>
      <c r="AE38" s="451"/>
      <c r="AF38" s="451"/>
      <c r="AG38" s="451"/>
      <c r="AH38" s="451"/>
      <c r="AI38" s="451"/>
      <c r="AJ38" s="451"/>
      <c r="AK38" s="451"/>
      <c r="AL38" s="451"/>
    </row>
    <row r="39" spans="1:38" s="448" customFormat="1" x14ac:dyDescent="0.2">
      <c r="A39" s="451"/>
      <c r="B39" s="451"/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933"/>
      <c r="N39" s="933"/>
      <c r="O39" s="933"/>
      <c r="P39" s="933"/>
      <c r="Q39" s="933"/>
      <c r="R39" s="933"/>
      <c r="S39" s="933"/>
      <c r="T39" s="933"/>
      <c r="U39" s="933"/>
      <c r="V39" s="451"/>
      <c r="W39" s="450"/>
      <c r="X39" s="450"/>
      <c r="Y39" s="450"/>
      <c r="Z39" s="450"/>
      <c r="AA39" s="450"/>
      <c r="AB39" s="450"/>
      <c r="AC39" s="450"/>
      <c r="AD39" s="451"/>
      <c r="AE39" s="451"/>
      <c r="AF39" s="451"/>
      <c r="AG39" s="451"/>
      <c r="AH39" s="451"/>
      <c r="AI39" s="451"/>
      <c r="AJ39" s="451"/>
      <c r="AK39" s="451"/>
      <c r="AL39" s="451"/>
    </row>
    <row r="40" spans="1:38" s="448" customFormat="1" x14ac:dyDescent="0.25"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</row>
    <row r="41" spans="1:38" ht="13.5" thickBot="1" x14ac:dyDescent="0.3"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</row>
    <row r="42" spans="1:38" s="448" customFormat="1" x14ac:dyDescent="0.25">
      <c r="B42" s="460" t="s">
        <v>1648</v>
      </c>
      <c r="C42" s="459"/>
      <c r="D42" s="459"/>
      <c r="E42" s="459"/>
      <c r="F42" s="459"/>
      <c r="G42" s="459"/>
      <c r="H42" s="459"/>
      <c r="I42" s="459"/>
      <c r="J42" s="459"/>
      <c r="K42" s="459"/>
      <c r="L42" s="459"/>
      <c r="M42" s="459"/>
      <c r="N42" s="459"/>
      <c r="O42" s="459"/>
      <c r="P42" s="459"/>
      <c r="Q42" s="459"/>
      <c r="R42" s="459"/>
      <c r="S42" s="459"/>
      <c r="T42" s="459"/>
      <c r="U42" s="459"/>
      <c r="V42" s="459"/>
      <c r="W42" s="458"/>
      <c r="X42" s="458"/>
      <c r="Y42" s="458"/>
      <c r="Z42" s="458"/>
      <c r="AA42" s="458"/>
      <c r="AB42" s="458"/>
      <c r="AC42" s="458"/>
      <c r="AD42" s="458"/>
      <c r="AE42" s="458"/>
      <c r="AF42" s="458"/>
      <c r="AG42" s="458"/>
      <c r="AH42" s="458"/>
      <c r="AI42" s="458"/>
      <c r="AJ42" s="457"/>
      <c r="AK42" s="443"/>
    </row>
    <row r="43" spans="1:38" s="448" customFormat="1" x14ac:dyDescent="0.25">
      <c r="B43" s="452"/>
      <c r="C43" s="451"/>
      <c r="D43" s="451"/>
      <c r="E43" s="451"/>
      <c r="F43" s="451"/>
      <c r="G43" s="451"/>
      <c r="H43" s="451"/>
      <c r="I43" s="451"/>
      <c r="J43" s="451"/>
      <c r="K43" s="451"/>
      <c r="L43" s="451"/>
      <c r="M43" s="451"/>
      <c r="N43" s="451"/>
      <c r="O43" s="451"/>
      <c r="P43" s="451"/>
      <c r="Q43" s="451"/>
      <c r="R43" s="451"/>
      <c r="S43" s="451"/>
      <c r="T43" s="451"/>
      <c r="U43" s="451"/>
      <c r="V43" s="451"/>
      <c r="W43" s="450"/>
      <c r="X43" s="450"/>
      <c r="Y43" s="450"/>
      <c r="Z43" s="450"/>
      <c r="AA43" s="450"/>
      <c r="AB43" s="450"/>
      <c r="AC43" s="450"/>
      <c r="AD43" s="450"/>
      <c r="AE43" s="450"/>
      <c r="AF43" s="450"/>
      <c r="AG43" s="450"/>
      <c r="AH43" s="450"/>
      <c r="AI43" s="450"/>
      <c r="AJ43" s="449"/>
      <c r="AK43" s="443"/>
    </row>
    <row r="44" spans="1:38" x14ac:dyDescent="0.25">
      <c r="B44" s="456"/>
      <c r="C44" s="871"/>
      <c r="D44" s="871"/>
      <c r="E44" s="871"/>
      <c r="F44" s="871"/>
      <c r="G44" s="871"/>
      <c r="H44" s="871"/>
      <c r="I44" s="871"/>
      <c r="J44" s="871"/>
      <c r="K44" s="871"/>
      <c r="L44" s="871"/>
      <c r="M44" s="871"/>
      <c r="N44" s="871"/>
      <c r="O44" s="871"/>
      <c r="P44" s="871"/>
      <c r="Q44" s="871"/>
      <c r="R44" s="871"/>
      <c r="S44" s="871"/>
      <c r="T44" s="871"/>
      <c r="U44" s="871"/>
      <c r="V44" s="87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8" s="448" customFormat="1" x14ac:dyDescent="0.25">
      <c r="B45" s="452"/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1"/>
      <c r="P45" s="451"/>
      <c r="Q45" s="451"/>
      <c r="R45" s="451"/>
      <c r="S45" s="451"/>
      <c r="T45" s="451"/>
      <c r="U45" s="451"/>
      <c r="V45" s="451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8" s="442" customFormat="1" x14ac:dyDescent="0.25">
      <c r="B46" s="454"/>
      <c r="C46" s="453"/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3"/>
      <c r="R46" s="453"/>
      <c r="S46" s="453"/>
      <c r="T46" s="453"/>
      <c r="U46" s="453"/>
      <c r="V46" s="453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8" s="442" customFormat="1" x14ac:dyDescent="0.25">
      <c r="B47" s="454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8" s="448" customFormat="1" x14ac:dyDescent="0.25">
      <c r="B48" s="452"/>
      <c r="C48" s="451"/>
      <c r="D48" s="451"/>
      <c r="E48" s="451"/>
      <c r="F48" s="451"/>
      <c r="G48" s="451"/>
      <c r="H48" s="451"/>
      <c r="I48" s="451"/>
      <c r="J48" s="451"/>
      <c r="K48" s="451"/>
      <c r="L48" s="451"/>
      <c r="M48" s="451"/>
      <c r="N48" s="451"/>
      <c r="O48" s="451"/>
      <c r="P48" s="451"/>
      <c r="Q48" s="451"/>
      <c r="R48" s="451"/>
      <c r="S48" s="451"/>
      <c r="T48" s="451"/>
      <c r="U48" s="451"/>
      <c r="V48" s="451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8" customFormat="1" x14ac:dyDescent="0.25">
      <c r="B51" s="452"/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0"/>
      <c r="AJ51" s="449"/>
      <c r="AK51" s="443"/>
    </row>
    <row r="52" spans="2:37" s="442" customFormat="1" ht="13.5" thickBot="1" x14ac:dyDescent="0.3">
      <c r="B52" s="447"/>
      <c r="C52" s="446"/>
      <c r="D52" s="446"/>
      <c r="E52" s="446"/>
      <c r="F52" s="446"/>
      <c r="G52" s="446" t="s">
        <v>1649</v>
      </c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 t="s">
        <v>1650</v>
      </c>
      <c r="V52" s="446"/>
      <c r="W52" s="445"/>
      <c r="X52" s="445"/>
      <c r="Y52" s="445"/>
      <c r="Z52" s="445"/>
      <c r="AA52" s="445"/>
      <c r="AB52" s="445"/>
      <c r="AC52" s="445"/>
      <c r="AD52" s="445"/>
      <c r="AE52" s="445"/>
      <c r="AF52" s="445"/>
      <c r="AG52" s="445"/>
      <c r="AH52" s="445"/>
      <c r="AI52" s="445"/>
      <c r="AJ52" s="444"/>
      <c r="AK52" s="443"/>
    </row>
  </sheetData>
  <mergeCells count="7">
    <mergeCell ref="V4:AA4"/>
    <mergeCell ref="M32:U34"/>
    <mergeCell ref="V32:AC34"/>
    <mergeCell ref="AD32:AL34"/>
    <mergeCell ref="M37:U37"/>
    <mergeCell ref="V37:AC37"/>
    <mergeCell ref="AD37:AL37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25947/1/2010&amp;RSeite 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  <pageSetUpPr fitToPage="1"/>
  </sheetPr>
  <dimension ref="A2:I201"/>
  <sheetViews>
    <sheetView showGridLines="0" zoomScale="60" zoomScaleNormal="60" zoomScaleSheetLayoutView="55" workbookViewId="0"/>
  </sheetViews>
  <sheetFormatPr defaultColWidth="10.28515625" defaultRowHeight="18" x14ac:dyDescent="0.25"/>
  <cols>
    <col min="1" max="1" width="10.42578125" style="301" customWidth="1"/>
    <col min="2" max="2" width="140.42578125" style="303" customWidth="1"/>
    <col min="3" max="3" width="4.28515625" style="303" customWidth="1"/>
    <col min="4" max="4" width="19.42578125" style="304" customWidth="1"/>
    <col min="5" max="5" width="19.7109375" style="304" customWidth="1"/>
    <col min="6" max="6" width="3" style="301" customWidth="1"/>
    <col min="7" max="7" width="57.140625" style="301" hidden="1" customWidth="1"/>
    <col min="8" max="8" width="11.5703125" style="305" bestFit="1" customWidth="1"/>
    <col min="9" max="9" width="11.5703125" style="307" bestFit="1" customWidth="1"/>
    <col min="10" max="16384" width="10.28515625" style="307"/>
  </cols>
  <sheetData>
    <row r="2" spans="1:9" ht="33.75" x14ac:dyDescent="0.5">
      <c r="B2" s="302" t="s">
        <v>981</v>
      </c>
      <c r="I2" s="306"/>
    </row>
    <row r="3" spans="1:9" ht="24" customHeight="1" x14ac:dyDescent="0.4">
      <c r="B3" s="308" t="s">
        <v>1972</v>
      </c>
      <c r="C3" s="308"/>
      <c r="D3" s="309"/>
      <c r="F3" s="310"/>
      <c r="G3" s="311"/>
    </row>
    <row r="4" spans="1:9" ht="24" customHeight="1" x14ac:dyDescent="0.4">
      <c r="B4" s="312" t="s">
        <v>982</v>
      </c>
      <c r="C4" s="308"/>
      <c r="D4" s="309"/>
      <c r="F4" s="310"/>
      <c r="G4" s="311"/>
      <c r="H4" s="306"/>
      <c r="I4" s="306"/>
    </row>
    <row r="5" spans="1:9" ht="24" customHeight="1" x14ac:dyDescent="0.4">
      <c r="B5" s="312"/>
      <c r="C5" s="308"/>
      <c r="D5" s="309"/>
      <c r="F5" s="310"/>
      <c r="G5" s="311"/>
      <c r="H5" s="306"/>
      <c r="I5" s="306"/>
    </row>
    <row r="6" spans="1:9" ht="24" customHeight="1" x14ac:dyDescent="0.4">
      <c r="B6" s="313"/>
      <c r="C6" s="308"/>
      <c r="D6" s="309"/>
      <c r="F6" s="310"/>
      <c r="G6" s="311"/>
      <c r="H6" s="306"/>
      <c r="I6" s="306"/>
    </row>
    <row r="7" spans="1:9" ht="20.100000000000001" customHeight="1" thickBot="1" x14ac:dyDescent="0.35">
      <c r="A7" s="314"/>
      <c r="B7" s="315"/>
      <c r="F7" s="316"/>
      <c r="G7" s="315"/>
    </row>
    <row r="8" spans="1:9" s="322" customFormat="1" ht="40.5" customHeight="1" x14ac:dyDescent="0.25">
      <c r="A8" s="317" t="s">
        <v>983</v>
      </c>
      <c r="B8" s="318" t="s">
        <v>984</v>
      </c>
      <c r="C8" s="319"/>
      <c r="D8" s="1353" t="s">
        <v>985</v>
      </c>
      <c r="E8" s="1354"/>
      <c r="F8" s="320"/>
      <c r="G8" s="321"/>
      <c r="H8" s="305"/>
    </row>
    <row r="9" spans="1:9" s="322" customFormat="1" x14ac:dyDescent="0.25">
      <c r="A9" s="323"/>
      <c r="B9" s="324"/>
      <c r="C9" s="324"/>
      <c r="D9" s="1355" t="s">
        <v>986</v>
      </c>
      <c r="E9" s="1356" t="s">
        <v>987</v>
      </c>
      <c r="F9" s="320"/>
      <c r="G9" s="321"/>
      <c r="H9" s="305"/>
    </row>
    <row r="10" spans="1:9" s="322" customFormat="1" x14ac:dyDescent="0.25">
      <c r="A10" s="323" t="s">
        <v>518</v>
      </c>
      <c r="B10" s="324" t="s">
        <v>519</v>
      </c>
      <c r="C10" s="324" t="s">
        <v>520</v>
      </c>
      <c r="D10" s="1355"/>
      <c r="E10" s="1356"/>
      <c r="F10" s="320"/>
      <c r="G10" s="321"/>
      <c r="H10" s="305"/>
    </row>
    <row r="11" spans="1:9" s="322" customFormat="1" ht="23.25" customHeight="1" thickBot="1" x14ac:dyDescent="0.3">
      <c r="A11" s="325"/>
      <c r="B11" s="326"/>
      <c r="C11" s="326"/>
      <c r="D11" s="327"/>
      <c r="E11" s="328"/>
      <c r="F11" s="320"/>
      <c r="G11" s="329"/>
      <c r="H11" s="305"/>
    </row>
    <row r="12" spans="1:9" s="322" customFormat="1" ht="20.25" customHeight="1" x14ac:dyDescent="0.25">
      <c r="A12" s="330"/>
      <c r="B12" s="331"/>
      <c r="C12" s="332"/>
      <c r="D12" s="333"/>
      <c r="E12" s="334"/>
      <c r="F12" s="335"/>
      <c r="G12" s="336"/>
      <c r="H12" s="305"/>
    </row>
    <row r="13" spans="1:9" s="322" customFormat="1" ht="27.95" customHeight="1" x14ac:dyDescent="0.25">
      <c r="A13" s="337" t="s">
        <v>988</v>
      </c>
      <c r="B13" s="338" t="s">
        <v>989</v>
      </c>
      <c r="C13" s="339"/>
      <c r="D13" s="340">
        <f>'P&amp;L'!D55</f>
        <v>76057</v>
      </c>
      <c r="E13" s="340">
        <f>'P&amp;L'!E55</f>
        <v>142365</v>
      </c>
      <c r="F13" s="335"/>
      <c r="G13" s="336"/>
      <c r="H13" s="305"/>
    </row>
    <row r="14" spans="1:9" s="322" customFormat="1" ht="21.95" customHeight="1" x14ac:dyDescent="0.25">
      <c r="A14" s="341"/>
      <c r="B14" s="342"/>
      <c r="C14" s="343"/>
      <c r="D14" s="344"/>
      <c r="E14" s="345"/>
      <c r="F14" s="335"/>
      <c r="G14" s="336"/>
      <c r="H14" s="305"/>
    </row>
    <row r="15" spans="1:9" s="322" customFormat="1" ht="21.95" customHeight="1" x14ac:dyDescent="0.25">
      <c r="A15" s="346" t="s">
        <v>990</v>
      </c>
      <c r="B15" s="347" t="s">
        <v>991</v>
      </c>
      <c r="C15" s="348"/>
      <c r="D15" s="826">
        <f>SUM(D16:D28)</f>
        <v>175513</v>
      </c>
      <c r="E15" s="827">
        <v>-79735</v>
      </c>
      <c r="F15" s="351"/>
      <c r="G15" s="352"/>
      <c r="H15" s="305"/>
    </row>
    <row r="16" spans="1:9" s="322" customFormat="1" ht="21.95" customHeight="1" x14ac:dyDescent="0.25">
      <c r="A16" s="346" t="s">
        <v>992</v>
      </c>
      <c r="B16" s="347" t="s">
        <v>993</v>
      </c>
      <c r="C16" s="348"/>
      <c r="D16" s="353"/>
      <c r="E16" s="354"/>
      <c r="F16" s="351"/>
      <c r="G16" s="352"/>
      <c r="H16" s="305"/>
    </row>
    <row r="17" spans="1:9" s="322" customFormat="1" ht="21.95" customHeight="1" x14ac:dyDescent="0.25">
      <c r="A17" s="346" t="s">
        <v>994</v>
      </c>
      <c r="B17" s="347" t="s">
        <v>995</v>
      </c>
      <c r="C17" s="348"/>
      <c r="D17" s="353"/>
      <c r="E17" s="354"/>
      <c r="F17" s="351"/>
      <c r="G17" s="352"/>
      <c r="H17" s="305"/>
    </row>
    <row r="18" spans="1:9" s="322" customFormat="1" ht="21.95" customHeight="1" x14ac:dyDescent="0.25">
      <c r="A18" s="346" t="s">
        <v>996</v>
      </c>
      <c r="B18" s="347" t="s">
        <v>997</v>
      </c>
      <c r="C18" s="348"/>
      <c r="D18" s="353"/>
      <c r="E18" s="354"/>
      <c r="F18" s="351"/>
      <c r="G18" s="352"/>
      <c r="H18" s="305"/>
      <c r="I18" s="355"/>
    </row>
    <row r="19" spans="1:9" s="322" customFormat="1" ht="21.95" customHeight="1" x14ac:dyDescent="0.25">
      <c r="A19" s="346" t="s">
        <v>998</v>
      </c>
      <c r="B19" s="347" t="s">
        <v>1973</v>
      </c>
      <c r="C19" s="348"/>
      <c r="D19" s="353">
        <v>175518</v>
      </c>
      <c r="E19" s="354">
        <v>-1369</v>
      </c>
      <c r="F19" s="351"/>
      <c r="G19" s="352"/>
      <c r="H19" s="305"/>
      <c r="I19" s="355"/>
    </row>
    <row r="20" spans="1:9" s="322" customFormat="1" ht="21.95" customHeight="1" x14ac:dyDescent="0.25">
      <c r="A20" s="346" t="s">
        <v>999</v>
      </c>
      <c r="B20" s="347" t="s">
        <v>1000</v>
      </c>
      <c r="C20" s="348"/>
      <c r="D20" s="353"/>
      <c r="E20" s="354">
        <v>-55000</v>
      </c>
      <c r="F20" s="351"/>
      <c r="G20" s="352"/>
      <c r="H20" s="305"/>
      <c r="I20" s="355"/>
    </row>
    <row r="21" spans="1:9" s="322" customFormat="1" ht="21.95" customHeight="1" x14ac:dyDescent="0.25">
      <c r="A21" s="346" t="s">
        <v>1001</v>
      </c>
      <c r="B21" s="347" t="s">
        <v>1002</v>
      </c>
      <c r="C21" s="348"/>
      <c r="D21" s="344">
        <v>-1</v>
      </c>
      <c r="E21" s="354">
        <v>15</v>
      </c>
      <c r="F21" s="351"/>
      <c r="G21" s="352"/>
      <c r="H21" s="305"/>
      <c r="I21" s="355"/>
    </row>
    <row r="22" spans="1:9" s="322" customFormat="1" ht="21.95" customHeight="1" x14ac:dyDescent="0.25">
      <c r="A22" s="346" t="s">
        <v>1003</v>
      </c>
      <c r="B22" s="347" t="s">
        <v>1004</v>
      </c>
      <c r="C22" s="348"/>
      <c r="D22" s="353"/>
      <c r="E22" s="354"/>
      <c r="F22" s="351"/>
      <c r="G22" s="352"/>
      <c r="H22" s="305"/>
      <c r="I22" s="355"/>
    </row>
    <row r="23" spans="1:9" s="322" customFormat="1" ht="21.95" customHeight="1" x14ac:dyDescent="0.25">
      <c r="A23" s="346" t="s">
        <v>1005</v>
      </c>
      <c r="B23" s="347" t="s">
        <v>1006</v>
      </c>
      <c r="C23" s="348"/>
      <c r="D23" s="353"/>
      <c r="E23" s="354"/>
      <c r="F23" s="351"/>
      <c r="G23" s="352"/>
      <c r="H23" s="305"/>
      <c r="I23" s="355"/>
    </row>
    <row r="24" spans="1:9" s="322" customFormat="1" ht="21.95" customHeight="1" x14ac:dyDescent="0.25">
      <c r="A24" s="346" t="s">
        <v>1007</v>
      </c>
      <c r="B24" s="347" t="s">
        <v>1008</v>
      </c>
      <c r="C24" s="348"/>
      <c r="D24" s="344">
        <v>-4</v>
      </c>
      <c r="E24" s="354">
        <v>-35</v>
      </c>
      <c r="F24" s="351"/>
      <c r="G24" s="352"/>
      <c r="H24" s="305"/>
      <c r="I24" s="355"/>
    </row>
    <row r="25" spans="1:9" s="322" customFormat="1" ht="21.95" customHeight="1" x14ac:dyDescent="0.25">
      <c r="A25" s="346" t="s">
        <v>1009</v>
      </c>
      <c r="B25" s="347" t="s">
        <v>1010</v>
      </c>
      <c r="C25" s="348"/>
      <c r="D25" s="353"/>
      <c r="E25" s="354"/>
      <c r="F25" s="351"/>
      <c r="G25" s="352"/>
      <c r="H25" s="305"/>
      <c r="I25" s="355"/>
    </row>
    <row r="26" spans="1:9" s="322" customFormat="1" ht="21.95" customHeight="1" x14ac:dyDescent="0.25">
      <c r="A26" s="346" t="s">
        <v>1011</v>
      </c>
      <c r="B26" s="347" t="s">
        <v>1012</v>
      </c>
      <c r="C26" s="348"/>
      <c r="D26" s="353"/>
      <c r="E26" s="354"/>
      <c r="F26" s="351"/>
      <c r="G26" s="352"/>
      <c r="H26" s="305"/>
      <c r="I26" s="355"/>
    </row>
    <row r="27" spans="1:9" s="322" customFormat="1" ht="21.95" customHeight="1" x14ac:dyDescent="0.25">
      <c r="A27" s="346" t="s">
        <v>1013</v>
      </c>
      <c r="B27" s="347" t="s">
        <v>1014</v>
      </c>
      <c r="C27" s="348"/>
      <c r="D27" s="353"/>
      <c r="E27" s="354"/>
      <c r="F27" s="351"/>
      <c r="G27" s="352"/>
      <c r="H27" s="305"/>
      <c r="I27" s="355"/>
    </row>
    <row r="28" spans="1:9" s="322" customFormat="1" ht="21.95" customHeight="1" x14ac:dyDescent="0.25">
      <c r="A28" s="346" t="s">
        <v>1015</v>
      </c>
      <c r="B28" s="347" t="s">
        <v>1016</v>
      </c>
      <c r="C28" s="348"/>
      <c r="D28" s="353"/>
      <c r="E28" s="354">
        <v>-23346</v>
      </c>
      <c r="F28" s="351"/>
      <c r="G28" s="352"/>
      <c r="H28" s="305"/>
      <c r="I28" s="355"/>
    </row>
    <row r="29" spans="1:9" s="322" customFormat="1" ht="21.95" customHeight="1" x14ac:dyDescent="0.25">
      <c r="A29" s="346" t="s">
        <v>1017</v>
      </c>
      <c r="B29" s="347" t="s">
        <v>1018</v>
      </c>
      <c r="C29" s="348"/>
      <c r="D29" s="826">
        <f>SUM(D30:D33)</f>
        <v>-124057</v>
      </c>
      <c r="E29" s="1570">
        <v>-61452</v>
      </c>
      <c r="F29" s="335"/>
      <c r="G29" s="336"/>
      <c r="H29" s="356"/>
    </row>
    <row r="30" spans="1:9" s="322" customFormat="1" ht="21.95" customHeight="1" x14ac:dyDescent="0.25">
      <c r="A30" s="346" t="s">
        <v>1019</v>
      </c>
      <c r="B30" s="347" t="s">
        <v>1020</v>
      </c>
      <c r="C30" s="348"/>
      <c r="D30" s="344">
        <v>-124753</v>
      </c>
      <c r="E30" s="345">
        <v>-67853</v>
      </c>
      <c r="F30" s="335"/>
      <c r="G30" s="336"/>
      <c r="H30" s="356"/>
      <c r="I30" s="357"/>
    </row>
    <row r="31" spans="1:9" s="322" customFormat="1" ht="21.95" customHeight="1" x14ac:dyDescent="0.25">
      <c r="A31" s="346" t="s">
        <v>1021</v>
      </c>
      <c r="B31" s="347" t="s">
        <v>1022</v>
      </c>
      <c r="C31" s="348"/>
      <c r="D31" s="344">
        <v>696</v>
      </c>
      <c r="E31" s="345">
        <v>6401</v>
      </c>
      <c r="F31" s="335"/>
      <c r="G31" s="336"/>
      <c r="H31" s="356"/>
    </row>
    <row r="32" spans="1:9" s="322" customFormat="1" ht="21.95" customHeight="1" x14ac:dyDescent="0.25">
      <c r="A32" s="346" t="s">
        <v>1023</v>
      </c>
      <c r="B32" s="347" t="s">
        <v>1024</v>
      </c>
      <c r="C32" s="348"/>
      <c r="D32" s="353"/>
      <c r="E32" s="354"/>
      <c r="F32" s="335"/>
      <c r="G32" s="336"/>
      <c r="H32" s="356"/>
    </row>
    <row r="33" spans="1:9" s="322" customFormat="1" ht="21.95" customHeight="1" x14ac:dyDescent="0.25">
      <c r="A33" s="346" t="s">
        <v>1025</v>
      </c>
      <c r="B33" s="347" t="s">
        <v>1026</v>
      </c>
      <c r="C33" s="348"/>
      <c r="D33" s="353"/>
      <c r="E33" s="354"/>
      <c r="F33" s="335"/>
      <c r="G33" s="336"/>
      <c r="H33" s="356"/>
    </row>
    <row r="34" spans="1:9" s="322" customFormat="1" ht="21.95" customHeight="1" x14ac:dyDescent="0.25">
      <c r="A34" s="346" t="s">
        <v>1027</v>
      </c>
      <c r="B34" s="347" t="s">
        <v>1028</v>
      </c>
      <c r="C34" s="348"/>
      <c r="D34" s="344">
        <v>4</v>
      </c>
      <c r="E34" s="354">
        <v>35</v>
      </c>
      <c r="F34" s="335"/>
      <c r="G34" s="336"/>
      <c r="H34" s="356"/>
    </row>
    <row r="35" spans="1:9" s="322" customFormat="1" ht="21.95" customHeight="1" x14ac:dyDescent="0.25">
      <c r="A35" s="346" t="s">
        <v>1029</v>
      </c>
      <c r="B35" s="347" t="s">
        <v>1030</v>
      </c>
      <c r="C35" s="348"/>
      <c r="D35" s="353"/>
      <c r="E35" s="354"/>
      <c r="F35" s="335"/>
      <c r="G35" s="336"/>
      <c r="H35" s="356"/>
    </row>
    <row r="36" spans="1:9" s="322" customFormat="1" ht="21.95" customHeight="1" x14ac:dyDescent="0.25">
      <c r="A36" s="346" t="s">
        <v>1031</v>
      </c>
      <c r="B36" s="347" t="s">
        <v>1032</v>
      </c>
      <c r="C36" s="348"/>
      <c r="D36" s="353"/>
      <c r="E36" s="354"/>
      <c r="F36" s="335"/>
      <c r="G36" s="336"/>
      <c r="H36" s="356"/>
    </row>
    <row r="37" spans="1:9" s="322" customFormat="1" ht="21.95" customHeight="1" x14ac:dyDescent="0.25">
      <c r="A37" s="346" t="s">
        <v>1033</v>
      </c>
      <c r="B37" s="347" t="s">
        <v>1034</v>
      </c>
      <c r="C37" s="348"/>
      <c r="D37" s="353"/>
      <c r="E37" s="354"/>
      <c r="F37" s="335"/>
      <c r="G37" s="336"/>
      <c r="H37" s="356"/>
    </row>
    <row r="38" spans="1:9" s="322" customFormat="1" ht="21.95" customHeight="1" x14ac:dyDescent="0.25">
      <c r="A38" s="346" t="s">
        <v>1035</v>
      </c>
      <c r="B38" s="342" t="s">
        <v>1036</v>
      </c>
      <c r="C38" s="348"/>
      <c r="D38" s="344">
        <v>-20799</v>
      </c>
      <c r="E38" s="354">
        <v>-12527</v>
      </c>
      <c r="F38" s="335"/>
      <c r="G38" s="336"/>
      <c r="H38" s="356"/>
    </row>
    <row r="39" spans="1:9" s="322" customFormat="1" ht="21.95" customHeight="1" x14ac:dyDescent="0.25">
      <c r="A39" s="346" t="s">
        <v>1037</v>
      </c>
      <c r="B39" s="342" t="s">
        <v>1038</v>
      </c>
      <c r="C39" s="348"/>
      <c r="D39" s="353"/>
      <c r="E39" s="354"/>
      <c r="F39" s="335"/>
      <c r="G39" s="336"/>
      <c r="H39" s="356"/>
    </row>
    <row r="40" spans="1:9" s="322" customFormat="1" ht="21.95" customHeight="1" x14ac:dyDescent="0.25">
      <c r="A40" s="346" t="s">
        <v>1039</v>
      </c>
      <c r="B40" s="342" t="s">
        <v>1040</v>
      </c>
      <c r="C40" s="348"/>
      <c r="D40" s="353"/>
      <c r="E40" s="354"/>
      <c r="F40" s="335"/>
      <c r="G40" s="336"/>
      <c r="H40" s="356"/>
    </row>
    <row r="41" spans="1:9" s="361" customFormat="1" ht="27.95" customHeight="1" x14ac:dyDescent="0.25">
      <c r="A41" s="337" t="s">
        <v>523</v>
      </c>
      <c r="B41" s="338" t="s">
        <v>1041</v>
      </c>
      <c r="C41" s="339"/>
      <c r="D41" s="828">
        <f>D13+D15+D29+SUM(D34:D40)</f>
        <v>106718</v>
      </c>
      <c r="E41" s="829">
        <f>E13+E15+E29+SUM(E34:E40)</f>
        <v>-11314</v>
      </c>
      <c r="F41" s="358"/>
      <c r="G41" s="359"/>
      <c r="H41" s="360"/>
    </row>
    <row r="42" spans="1:9" s="322" customFormat="1" ht="21.95" customHeight="1" x14ac:dyDescent="0.25">
      <c r="A42" s="341" t="s">
        <v>833</v>
      </c>
      <c r="B42" s="342" t="s">
        <v>1042</v>
      </c>
      <c r="C42" s="343"/>
      <c r="D42" s="344"/>
      <c r="E42" s="345"/>
      <c r="F42" s="335"/>
      <c r="G42" s="359"/>
      <c r="H42" s="356"/>
    </row>
    <row r="43" spans="1:9" s="322" customFormat="1" ht="21.95" customHeight="1" x14ac:dyDescent="0.25">
      <c r="A43" s="341" t="s">
        <v>1043</v>
      </c>
      <c r="B43" s="342" t="s">
        <v>1044</v>
      </c>
      <c r="C43" s="343"/>
      <c r="D43" s="344"/>
      <c r="E43" s="345"/>
      <c r="F43" s="335"/>
      <c r="G43" s="359"/>
      <c r="H43" s="356"/>
    </row>
    <row r="44" spans="1:9" s="322" customFormat="1" ht="21.95" customHeight="1" x14ac:dyDescent="0.25">
      <c r="A44" s="341" t="s">
        <v>1045</v>
      </c>
      <c r="B44" s="342" t="s">
        <v>1046</v>
      </c>
      <c r="C44" s="343"/>
      <c r="D44" s="344"/>
      <c r="E44" s="345"/>
      <c r="F44" s="335"/>
      <c r="G44" s="359"/>
      <c r="H44" s="356"/>
    </row>
    <row r="45" spans="1:9" s="322" customFormat="1" ht="21.95" customHeight="1" x14ac:dyDescent="0.25">
      <c r="A45" s="341" t="s">
        <v>1047</v>
      </c>
      <c r="B45" s="342" t="s">
        <v>1048</v>
      </c>
      <c r="C45" s="343"/>
      <c r="D45" s="344"/>
      <c r="E45" s="345"/>
      <c r="F45" s="335"/>
      <c r="G45" s="359"/>
      <c r="H45" s="356"/>
    </row>
    <row r="46" spans="1:9" s="322" customFormat="1" ht="21.95" customHeight="1" x14ac:dyDescent="0.25">
      <c r="A46" s="341" t="s">
        <v>1049</v>
      </c>
      <c r="B46" s="342" t="s">
        <v>1050</v>
      </c>
      <c r="C46" s="343"/>
      <c r="D46" s="344"/>
      <c r="E46" s="345"/>
      <c r="F46" s="335"/>
      <c r="G46" s="359"/>
      <c r="H46" s="356"/>
    </row>
    <row r="47" spans="1:9" s="322" customFormat="1" ht="21.95" customHeight="1" x14ac:dyDescent="0.25">
      <c r="A47" s="341" t="s">
        <v>1051</v>
      </c>
      <c r="B47" s="342" t="s">
        <v>1052</v>
      </c>
      <c r="C47" s="343"/>
      <c r="D47" s="344"/>
      <c r="E47" s="345"/>
      <c r="F47" s="335"/>
      <c r="G47" s="359"/>
      <c r="H47" s="356"/>
    </row>
    <row r="48" spans="1:9" s="322" customFormat="1" ht="21.95" customHeight="1" x14ac:dyDescent="0.25">
      <c r="A48" s="341" t="s">
        <v>1053</v>
      </c>
      <c r="B48" s="342" t="s">
        <v>1054</v>
      </c>
      <c r="C48" s="343"/>
      <c r="D48" s="344"/>
      <c r="E48" s="345"/>
      <c r="F48" s="335"/>
      <c r="G48" s="336"/>
      <c r="H48" s="356"/>
      <c r="I48" s="357"/>
    </row>
    <row r="49" spans="1:8" s="322" customFormat="1" ht="21.95" customHeight="1" x14ac:dyDescent="0.25">
      <c r="A49" s="341" t="s">
        <v>1055</v>
      </c>
      <c r="B49" s="342" t="s">
        <v>1056</v>
      </c>
      <c r="C49" s="343"/>
      <c r="D49" s="344"/>
      <c r="E49" s="345"/>
      <c r="F49" s="335"/>
      <c r="G49" s="336"/>
      <c r="H49" s="356"/>
    </row>
    <row r="50" spans="1:8" s="322" customFormat="1" ht="21.95" customHeight="1" x14ac:dyDescent="0.25">
      <c r="A50" s="341" t="s">
        <v>1057</v>
      </c>
      <c r="B50" s="342" t="s">
        <v>1058</v>
      </c>
      <c r="C50" s="343"/>
      <c r="D50" s="344"/>
      <c r="E50" s="345"/>
      <c r="F50" s="335"/>
      <c r="G50" s="336"/>
      <c r="H50" s="356"/>
    </row>
    <row r="51" spans="1:8" s="322" customFormat="1" ht="21.95" customHeight="1" x14ac:dyDescent="0.25">
      <c r="A51" s="341" t="s">
        <v>1059</v>
      </c>
      <c r="B51" s="342" t="s">
        <v>1060</v>
      </c>
      <c r="C51" s="343"/>
      <c r="D51" s="344"/>
      <c r="E51" s="345"/>
      <c r="F51" s="335"/>
      <c r="G51" s="336"/>
      <c r="H51" s="356"/>
    </row>
    <row r="52" spans="1:8" s="322" customFormat="1" ht="21.95" customHeight="1" x14ac:dyDescent="0.25">
      <c r="A52" s="341" t="s">
        <v>1061</v>
      </c>
      <c r="B52" s="342" t="s">
        <v>1062</v>
      </c>
      <c r="C52" s="343"/>
      <c r="D52" s="344"/>
      <c r="E52" s="345"/>
      <c r="F52" s="335"/>
      <c r="G52" s="336"/>
      <c r="H52" s="356"/>
    </row>
    <row r="53" spans="1:8" s="322" customFormat="1" ht="21.95" customHeight="1" x14ac:dyDescent="0.25">
      <c r="A53" s="341" t="s">
        <v>1063</v>
      </c>
      <c r="B53" s="342" t="s">
        <v>1064</v>
      </c>
      <c r="C53" s="343"/>
      <c r="D53" s="344"/>
      <c r="E53" s="345"/>
      <c r="F53" s="335"/>
      <c r="G53" s="336"/>
      <c r="H53" s="356"/>
    </row>
    <row r="54" spans="1:8" s="322" customFormat="1" ht="21.95" customHeight="1" x14ac:dyDescent="0.25">
      <c r="A54" s="341" t="s">
        <v>1065</v>
      </c>
      <c r="B54" s="342" t="s">
        <v>1066</v>
      </c>
      <c r="C54" s="343"/>
      <c r="D54" s="344"/>
      <c r="E54" s="345"/>
      <c r="F54" s="335"/>
      <c r="G54" s="336"/>
      <c r="H54" s="356"/>
    </row>
    <row r="55" spans="1:8" s="322" customFormat="1" ht="21.95" customHeight="1" x14ac:dyDescent="0.25">
      <c r="A55" s="341" t="s">
        <v>1067</v>
      </c>
      <c r="B55" s="342" t="s">
        <v>1068</v>
      </c>
      <c r="C55" s="343"/>
      <c r="D55" s="344"/>
      <c r="E55" s="345"/>
      <c r="F55" s="335"/>
      <c r="G55" s="336"/>
      <c r="H55" s="356"/>
    </row>
    <row r="56" spans="1:8" s="322" customFormat="1" ht="21.95" customHeight="1" x14ac:dyDescent="0.25">
      <c r="A56" s="341" t="s">
        <v>1069</v>
      </c>
      <c r="B56" s="342" t="s">
        <v>1070</v>
      </c>
      <c r="C56" s="343"/>
      <c r="D56" s="344"/>
      <c r="E56" s="345"/>
      <c r="F56" s="335"/>
      <c r="G56" s="336"/>
      <c r="H56" s="356"/>
    </row>
    <row r="57" spans="1:8" s="322" customFormat="1" ht="21.95" customHeight="1" x14ac:dyDescent="0.25">
      <c r="A57" s="341" t="s">
        <v>1071</v>
      </c>
      <c r="B57" s="342" t="s">
        <v>1072</v>
      </c>
      <c r="C57" s="343"/>
      <c r="D57" s="344"/>
      <c r="E57" s="345"/>
      <c r="F57" s="335"/>
      <c r="G57" s="336"/>
      <c r="H57" s="356"/>
    </row>
    <row r="58" spans="1:8" s="322" customFormat="1" ht="21.95" customHeight="1" x14ac:dyDescent="0.25">
      <c r="A58" s="341" t="s">
        <v>1073</v>
      </c>
      <c r="B58" s="342" t="s">
        <v>1074</v>
      </c>
      <c r="C58" s="343"/>
      <c r="D58" s="344"/>
      <c r="E58" s="345"/>
      <c r="F58" s="335"/>
      <c r="G58" s="336"/>
      <c r="H58" s="356"/>
    </row>
    <row r="59" spans="1:8" s="322" customFormat="1" ht="21.95" customHeight="1" x14ac:dyDescent="0.25">
      <c r="A59" s="341" t="s">
        <v>1075</v>
      </c>
      <c r="B59" s="342" t="s">
        <v>1076</v>
      </c>
      <c r="C59" s="343"/>
      <c r="D59" s="344"/>
      <c r="E59" s="345"/>
      <c r="F59" s="335"/>
      <c r="G59" s="336"/>
      <c r="H59" s="356"/>
    </row>
    <row r="60" spans="1:8" s="322" customFormat="1" ht="21.95" customHeight="1" x14ac:dyDescent="0.25">
      <c r="A60" s="341" t="s">
        <v>1077</v>
      </c>
      <c r="B60" s="342" t="s">
        <v>1078</v>
      </c>
      <c r="C60" s="343"/>
      <c r="D60" s="344"/>
      <c r="E60" s="345"/>
      <c r="F60" s="335"/>
      <c r="G60" s="336"/>
      <c r="H60" s="356"/>
    </row>
    <row r="61" spans="1:8" s="361" customFormat="1" ht="27.95" customHeight="1" x14ac:dyDescent="0.25">
      <c r="A61" s="337" t="s">
        <v>594</v>
      </c>
      <c r="B61" s="338" t="s">
        <v>1079</v>
      </c>
      <c r="C61" s="339"/>
      <c r="D61" s="828">
        <f>SUM(D42:D60)</f>
        <v>0</v>
      </c>
      <c r="E61" s="829">
        <f>SUM(E42:E60)</f>
        <v>0</v>
      </c>
      <c r="F61" s="358"/>
      <c r="G61" s="359"/>
      <c r="H61" s="360"/>
    </row>
    <row r="62" spans="1:8" s="361" customFormat="1" ht="22.5" customHeight="1" x14ac:dyDescent="0.25">
      <c r="A62" s="341" t="s">
        <v>666</v>
      </c>
      <c r="B62" s="342" t="s">
        <v>1080</v>
      </c>
      <c r="C62" s="343"/>
      <c r="D62" s="349">
        <v>-107192</v>
      </c>
      <c r="E62" s="350"/>
      <c r="F62" s="358"/>
      <c r="G62" s="359"/>
      <c r="H62" s="360"/>
    </row>
    <row r="63" spans="1:8" s="361" customFormat="1" ht="22.5" customHeight="1" x14ac:dyDescent="0.25">
      <c r="A63" s="341" t="s">
        <v>1081</v>
      </c>
      <c r="B63" s="342" t="s">
        <v>1082</v>
      </c>
      <c r="C63" s="343"/>
      <c r="D63" s="362"/>
      <c r="E63" s="363"/>
      <c r="F63" s="358"/>
      <c r="G63" s="359"/>
      <c r="H63" s="360"/>
    </row>
    <row r="64" spans="1:8" s="361" customFormat="1" ht="22.5" customHeight="1" x14ac:dyDescent="0.25">
      <c r="A64" s="341" t="s">
        <v>1083</v>
      </c>
      <c r="B64" s="342" t="s">
        <v>1084</v>
      </c>
      <c r="C64" s="343"/>
      <c r="D64" s="362"/>
      <c r="E64" s="363"/>
      <c r="F64" s="358"/>
      <c r="G64" s="359"/>
      <c r="H64" s="360"/>
    </row>
    <row r="65" spans="1:8" s="361" customFormat="1" ht="22.5" customHeight="1" x14ac:dyDescent="0.25">
      <c r="A65" s="341" t="s">
        <v>1085</v>
      </c>
      <c r="B65" s="342" t="s">
        <v>1086</v>
      </c>
      <c r="C65" s="343"/>
      <c r="D65" s="362"/>
      <c r="E65" s="363"/>
      <c r="F65" s="358"/>
      <c r="G65" s="359"/>
      <c r="H65" s="360"/>
    </row>
    <row r="66" spans="1:8" s="361" customFormat="1" ht="22.5" customHeight="1" x14ac:dyDescent="0.25">
      <c r="A66" s="341" t="s">
        <v>1087</v>
      </c>
      <c r="B66" s="342" t="s">
        <v>1088</v>
      </c>
      <c r="C66" s="343"/>
      <c r="D66" s="362"/>
      <c r="E66" s="363"/>
      <c r="F66" s="358"/>
      <c r="G66" s="359"/>
      <c r="H66" s="360"/>
    </row>
    <row r="67" spans="1:8" s="361" customFormat="1" ht="22.5" customHeight="1" x14ac:dyDescent="0.25">
      <c r="A67" s="341" t="s">
        <v>1089</v>
      </c>
      <c r="B67" s="342" t="s">
        <v>1090</v>
      </c>
      <c r="C67" s="343"/>
      <c r="D67" s="362"/>
      <c r="E67" s="363"/>
      <c r="F67" s="358"/>
      <c r="G67" s="359"/>
      <c r="H67" s="360"/>
    </row>
    <row r="68" spans="1:8" s="361" customFormat="1" ht="22.5" customHeight="1" x14ac:dyDescent="0.25">
      <c r="A68" s="341" t="s">
        <v>1091</v>
      </c>
      <c r="B68" s="342" t="s">
        <v>1092</v>
      </c>
      <c r="C68" s="343"/>
      <c r="D68" s="362"/>
      <c r="E68" s="363"/>
      <c r="F68" s="358"/>
      <c r="G68" s="359"/>
      <c r="H68" s="360"/>
    </row>
    <row r="69" spans="1:8" s="361" customFormat="1" ht="22.5" customHeight="1" x14ac:dyDescent="0.25">
      <c r="A69" s="341" t="s">
        <v>1093</v>
      </c>
      <c r="B69" s="342" t="s">
        <v>1094</v>
      </c>
      <c r="C69" s="343"/>
      <c r="D69" s="362">
        <v>-107192</v>
      </c>
      <c r="E69" s="363"/>
      <c r="F69" s="358"/>
      <c r="G69" s="359"/>
      <c r="H69" s="360"/>
    </row>
    <row r="70" spans="1:8" s="361" customFormat="1" ht="22.5" customHeight="1" x14ac:dyDescent="0.25">
      <c r="A70" s="341" t="s">
        <v>1095</v>
      </c>
      <c r="B70" s="342" t="s">
        <v>1096</v>
      </c>
      <c r="C70" s="343"/>
      <c r="D70" s="362"/>
      <c r="E70" s="363"/>
      <c r="F70" s="358"/>
      <c r="G70" s="359"/>
      <c r="H70" s="360"/>
    </row>
    <row r="71" spans="1:8" s="361" customFormat="1" ht="22.5" customHeight="1" x14ac:dyDescent="0.25">
      <c r="A71" s="341" t="s">
        <v>1097</v>
      </c>
      <c r="B71" s="342" t="s">
        <v>1098</v>
      </c>
      <c r="C71" s="343"/>
      <c r="D71" s="826">
        <f>SUM(D72:D80)</f>
        <v>0</v>
      </c>
      <c r="E71" s="826">
        <f>SUM(E72:E80)</f>
        <v>0</v>
      </c>
      <c r="F71" s="358"/>
      <c r="G71" s="359"/>
      <c r="H71" s="360"/>
    </row>
    <row r="72" spans="1:8" s="361" customFormat="1" ht="22.5" customHeight="1" x14ac:dyDescent="0.25">
      <c r="A72" s="341" t="s">
        <v>1099</v>
      </c>
      <c r="B72" s="342" t="s">
        <v>1100</v>
      </c>
      <c r="C72" s="343"/>
      <c r="D72" s="362"/>
      <c r="E72" s="363">
        <v>0</v>
      </c>
      <c r="F72" s="358"/>
      <c r="G72" s="359"/>
      <c r="H72" s="360"/>
    </row>
    <row r="73" spans="1:8" s="361" customFormat="1" ht="22.5" customHeight="1" x14ac:dyDescent="0.25">
      <c r="A73" s="341" t="s">
        <v>1101</v>
      </c>
      <c r="B73" s="342" t="s">
        <v>1102</v>
      </c>
      <c r="C73" s="343"/>
      <c r="D73" s="362"/>
      <c r="E73" s="363">
        <v>0</v>
      </c>
      <c r="F73" s="358"/>
      <c r="G73" s="359"/>
      <c r="H73" s="360"/>
    </row>
    <row r="74" spans="1:8" s="361" customFormat="1" ht="22.5" customHeight="1" x14ac:dyDescent="0.25">
      <c r="A74" s="341" t="s">
        <v>1103</v>
      </c>
      <c r="B74" s="342" t="s">
        <v>1104</v>
      </c>
      <c r="C74" s="343"/>
      <c r="D74" s="362"/>
      <c r="E74" s="363">
        <v>0</v>
      </c>
      <c r="F74" s="358"/>
      <c r="G74" s="359"/>
      <c r="H74" s="360"/>
    </row>
    <row r="75" spans="1:8" s="361" customFormat="1" ht="22.5" customHeight="1" x14ac:dyDescent="0.25">
      <c r="A75" s="341" t="s">
        <v>1105</v>
      </c>
      <c r="B75" s="342" t="s">
        <v>1106</v>
      </c>
      <c r="C75" s="343"/>
      <c r="D75" s="362"/>
      <c r="E75" s="363">
        <v>0</v>
      </c>
      <c r="F75" s="358"/>
      <c r="G75" s="359"/>
      <c r="H75" s="360"/>
    </row>
    <row r="76" spans="1:8" s="361" customFormat="1" ht="22.5" customHeight="1" x14ac:dyDescent="0.25">
      <c r="A76" s="341" t="s">
        <v>1107</v>
      </c>
      <c r="B76" s="342" t="s">
        <v>1108</v>
      </c>
      <c r="C76" s="343"/>
      <c r="D76" s="362"/>
      <c r="E76" s="363"/>
      <c r="F76" s="358"/>
      <c r="G76" s="359"/>
      <c r="H76" s="360"/>
    </row>
    <row r="77" spans="1:8" s="361" customFormat="1" ht="22.5" customHeight="1" x14ac:dyDescent="0.25">
      <c r="A77" s="341" t="s">
        <v>1109</v>
      </c>
      <c r="B77" s="342" t="s">
        <v>1110</v>
      </c>
      <c r="C77" s="343"/>
      <c r="D77" s="362"/>
      <c r="E77" s="363">
        <v>0</v>
      </c>
      <c r="F77" s="358"/>
      <c r="G77" s="359"/>
      <c r="H77" s="360"/>
    </row>
    <row r="78" spans="1:8" s="361" customFormat="1" ht="22.5" customHeight="1" x14ac:dyDescent="0.25">
      <c r="A78" s="341" t="s">
        <v>1111</v>
      </c>
      <c r="B78" s="342" t="s">
        <v>1112</v>
      </c>
      <c r="C78" s="343"/>
      <c r="D78" s="362"/>
      <c r="E78" s="363">
        <v>0</v>
      </c>
      <c r="F78" s="358"/>
      <c r="G78" s="359"/>
      <c r="H78" s="360"/>
    </row>
    <row r="79" spans="1:8" s="361" customFormat="1" ht="22.5" customHeight="1" x14ac:dyDescent="0.25">
      <c r="A79" s="341" t="s">
        <v>1113</v>
      </c>
      <c r="B79" s="342" t="s">
        <v>1114</v>
      </c>
      <c r="C79" s="343"/>
      <c r="D79" s="362"/>
      <c r="E79" s="363"/>
      <c r="F79" s="358"/>
      <c r="G79" s="359"/>
      <c r="H79" s="360"/>
    </row>
    <row r="80" spans="1:8" s="361" customFormat="1" ht="22.5" customHeight="1" x14ac:dyDescent="0.25">
      <c r="A80" s="341" t="s">
        <v>1115</v>
      </c>
      <c r="B80" s="342" t="s">
        <v>1116</v>
      </c>
      <c r="C80" s="343"/>
      <c r="D80" s="362"/>
      <c r="E80" s="363"/>
      <c r="F80" s="358"/>
      <c r="G80" s="359"/>
      <c r="H80" s="360"/>
    </row>
    <row r="81" spans="1:8" s="361" customFormat="1" ht="22.5" customHeight="1" x14ac:dyDescent="0.25">
      <c r="A81" s="341" t="s">
        <v>1117</v>
      </c>
      <c r="B81" s="342" t="s">
        <v>1118</v>
      </c>
      <c r="C81" s="343"/>
      <c r="D81" s="362"/>
      <c r="E81" s="363"/>
      <c r="F81" s="358"/>
      <c r="G81" s="359"/>
      <c r="H81" s="360"/>
    </row>
    <row r="82" spans="1:8" s="361" customFormat="1" ht="22.5" customHeight="1" x14ac:dyDescent="0.25">
      <c r="A82" s="341" t="s">
        <v>1119</v>
      </c>
      <c r="B82" s="342" t="s">
        <v>1120</v>
      </c>
      <c r="C82" s="343"/>
      <c r="D82" s="362"/>
      <c r="E82" s="363"/>
      <c r="F82" s="358"/>
      <c r="G82" s="359"/>
      <c r="H82" s="360"/>
    </row>
    <row r="83" spans="1:8" s="361" customFormat="1" ht="22.5" customHeight="1" x14ac:dyDescent="0.25">
      <c r="A83" s="341" t="s">
        <v>1121</v>
      </c>
      <c r="B83" s="342" t="s">
        <v>1122</v>
      </c>
      <c r="C83" s="343"/>
      <c r="D83" s="362"/>
      <c r="E83" s="363"/>
      <c r="F83" s="358"/>
      <c r="G83" s="359"/>
      <c r="H83" s="360"/>
    </row>
    <row r="84" spans="1:8" s="361" customFormat="1" ht="22.5" customHeight="1" x14ac:dyDescent="0.25">
      <c r="A84" s="341" t="s">
        <v>1123</v>
      </c>
      <c r="B84" s="342" t="s">
        <v>1124</v>
      </c>
      <c r="C84" s="343"/>
      <c r="D84" s="362"/>
      <c r="E84" s="363"/>
      <c r="F84" s="358"/>
      <c r="G84" s="359"/>
      <c r="H84" s="360"/>
    </row>
    <row r="85" spans="1:8" s="361" customFormat="1" ht="22.5" customHeight="1" x14ac:dyDescent="0.25">
      <c r="A85" s="341" t="s">
        <v>1125</v>
      </c>
      <c r="B85" s="342" t="s">
        <v>1126</v>
      </c>
      <c r="C85" s="343"/>
      <c r="D85" s="362"/>
      <c r="E85" s="363"/>
      <c r="F85" s="358"/>
      <c r="G85" s="359"/>
      <c r="H85" s="360"/>
    </row>
    <row r="86" spans="1:8" s="361" customFormat="1" ht="22.5" customHeight="1" x14ac:dyDescent="0.25">
      <c r="A86" s="341" t="s">
        <v>1127</v>
      </c>
      <c r="B86" s="342" t="s">
        <v>1128</v>
      </c>
      <c r="C86" s="343"/>
      <c r="D86" s="362"/>
      <c r="E86" s="363"/>
      <c r="F86" s="358"/>
      <c r="G86" s="359"/>
      <c r="H86" s="360"/>
    </row>
    <row r="87" spans="1:8" s="361" customFormat="1" ht="22.5" customHeight="1" x14ac:dyDescent="0.25">
      <c r="A87" s="341" t="s">
        <v>1129</v>
      </c>
      <c r="B87" s="342" t="s">
        <v>1130</v>
      </c>
      <c r="C87" s="343"/>
      <c r="D87" s="362"/>
      <c r="E87" s="363"/>
      <c r="F87" s="358"/>
      <c r="G87" s="359"/>
      <c r="H87" s="360"/>
    </row>
    <row r="88" spans="1:8" s="361" customFormat="1" ht="27.95" customHeight="1" x14ac:dyDescent="0.25">
      <c r="A88" s="337" t="s">
        <v>663</v>
      </c>
      <c r="B88" s="338" t="s">
        <v>1131</v>
      </c>
      <c r="C88" s="339"/>
      <c r="D88" s="828">
        <f>D62+D71+SUM(D81:D87)</f>
        <v>-107192</v>
      </c>
      <c r="E88" s="829">
        <v>0</v>
      </c>
      <c r="F88" s="358"/>
      <c r="G88" s="359"/>
      <c r="H88" s="360"/>
    </row>
    <row r="89" spans="1:8" s="322" customFormat="1" ht="27.95" customHeight="1" x14ac:dyDescent="0.25">
      <c r="A89" s="337" t="s">
        <v>853</v>
      </c>
      <c r="B89" s="338" t="s">
        <v>1132</v>
      </c>
      <c r="C89" s="339"/>
      <c r="D89" s="828">
        <f>D41+D61+D88</f>
        <v>-474</v>
      </c>
      <c r="E89" s="829">
        <f>E41+E61+E88</f>
        <v>-11314</v>
      </c>
      <c r="F89" s="335"/>
      <c r="G89" s="336"/>
      <c r="H89" s="356"/>
    </row>
    <row r="90" spans="1:8" s="361" customFormat="1" ht="27.95" customHeight="1" x14ac:dyDescent="0.25">
      <c r="A90" s="337" t="s">
        <v>856</v>
      </c>
      <c r="B90" s="338" t="s">
        <v>1133</v>
      </c>
      <c r="C90" s="339"/>
      <c r="D90" s="828">
        <f>BS!G64</f>
        <v>684</v>
      </c>
      <c r="E90" s="829">
        <v>11998</v>
      </c>
      <c r="F90" s="358"/>
      <c r="G90" s="359"/>
      <c r="H90" s="360"/>
    </row>
    <row r="91" spans="1:8" s="361" customFormat="1" ht="27.95" customHeight="1" x14ac:dyDescent="0.25">
      <c r="A91" s="337" t="s">
        <v>862</v>
      </c>
      <c r="B91" s="338" t="s">
        <v>1134</v>
      </c>
      <c r="C91" s="339"/>
      <c r="D91" s="828">
        <f>BS!F64</f>
        <v>210</v>
      </c>
      <c r="E91" s="828">
        <f>BS!G64</f>
        <v>684</v>
      </c>
      <c r="F91" s="358"/>
      <c r="G91" s="364"/>
      <c r="H91" s="360"/>
    </row>
    <row r="92" spans="1:8" s="322" customFormat="1" ht="27.95" customHeight="1" x14ac:dyDescent="0.25">
      <c r="A92" s="337" t="s">
        <v>865</v>
      </c>
      <c r="B92" s="365" t="s">
        <v>1135</v>
      </c>
      <c r="C92" s="339"/>
      <c r="D92" s="366"/>
      <c r="E92" s="367"/>
      <c r="F92" s="335"/>
      <c r="G92" s="336"/>
      <c r="H92" s="356"/>
    </row>
    <row r="93" spans="1:8" s="361" customFormat="1" ht="27.95" customHeight="1" thickBot="1" x14ac:dyDescent="0.3">
      <c r="A93" s="368" t="s">
        <v>871</v>
      </c>
      <c r="B93" s="369" t="s">
        <v>1136</v>
      </c>
      <c r="C93" s="370"/>
      <c r="D93" s="830">
        <f>D89+D90+D92</f>
        <v>210</v>
      </c>
      <c r="E93" s="831">
        <f>E89+E90+E92</f>
        <v>684</v>
      </c>
      <c r="F93" s="358"/>
      <c r="G93" s="371"/>
      <c r="H93" s="360"/>
    </row>
    <row r="94" spans="1:8" s="322" customFormat="1" ht="14.1" customHeight="1" x14ac:dyDescent="0.25">
      <c r="A94" s="335"/>
      <c r="B94" s="372"/>
      <c r="C94" s="373"/>
      <c r="D94" s="374"/>
      <c r="E94" s="375"/>
      <c r="F94" s="335"/>
      <c r="G94" s="376"/>
      <c r="H94" s="356"/>
    </row>
    <row r="95" spans="1:8" s="322" customFormat="1" ht="14.1" customHeight="1" x14ac:dyDescent="0.25">
      <c r="A95" s="335"/>
      <c r="B95" s="335"/>
      <c r="C95" s="373"/>
      <c r="D95" s="374"/>
      <c r="E95" s="375"/>
      <c r="F95" s="335"/>
      <c r="G95" s="376"/>
      <c r="H95" s="356"/>
    </row>
    <row r="96" spans="1:8" s="322" customFormat="1" ht="14.1" customHeight="1" x14ac:dyDescent="0.25">
      <c r="A96" s="376"/>
      <c r="B96" s="377"/>
      <c r="C96" s="377"/>
      <c r="D96" s="378"/>
      <c r="E96" s="379"/>
      <c r="F96" s="335"/>
      <c r="G96" s="376"/>
      <c r="H96" s="356"/>
    </row>
    <row r="97" spans="1:8" s="322" customFormat="1" ht="14.1" customHeight="1" x14ac:dyDescent="0.25">
      <c r="A97" s="376"/>
      <c r="B97" s="377"/>
      <c r="C97" s="377"/>
      <c r="D97" s="378"/>
      <c r="E97" s="379"/>
      <c r="F97" s="335"/>
      <c r="G97" s="376"/>
      <c r="H97" s="356"/>
    </row>
    <row r="98" spans="1:8" s="322" customFormat="1" ht="14.1" customHeight="1" x14ac:dyDescent="0.25">
      <c r="A98" s="376"/>
      <c r="B98" s="377"/>
      <c r="C98" s="377"/>
      <c r="D98" s="378"/>
      <c r="E98" s="379"/>
      <c r="F98" s="335"/>
      <c r="G98" s="376"/>
      <c r="H98" s="356"/>
    </row>
    <row r="99" spans="1:8" s="322" customFormat="1" ht="20.25" customHeight="1" x14ac:dyDescent="0.25">
      <c r="A99" s="376"/>
      <c r="B99" s="380" t="s">
        <v>1137</v>
      </c>
      <c r="C99" s="380"/>
      <c r="D99" s="381">
        <f>D91-D93</f>
        <v>0</v>
      </c>
      <c r="E99" s="381">
        <f>E91-E93</f>
        <v>0</v>
      </c>
      <c r="F99" s="335"/>
      <c r="G99" s="376"/>
      <c r="H99" s="356"/>
    </row>
    <row r="100" spans="1:8" s="322" customFormat="1" ht="14.1" customHeight="1" x14ac:dyDescent="0.25">
      <c r="A100" s="376"/>
      <c r="B100" s="377"/>
      <c r="C100" s="377"/>
      <c r="D100" s="378"/>
      <c r="E100" s="379"/>
      <c r="F100" s="335"/>
      <c r="G100" s="376"/>
      <c r="H100" s="356"/>
    </row>
    <row r="101" spans="1:8" s="322" customFormat="1" ht="14.1" customHeight="1" x14ac:dyDescent="0.25">
      <c r="A101" s="376"/>
      <c r="B101" s="377"/>
      <c r="C101" s="377"/>
      <c r="D101" s="378"/>
      <c r="E101" s="379"/>
      <c r="F101" s="335"/>
      <c r="G101" s="376"/>
      <c r="H101" s="356"/>
    </row>
    <row r="102" spans="1:8" s="322" customFormat="1" ht="14.1" customHeight="1" x14ac:dyDescent="0.25">
      <c r="A102" s="376"/>
      <c r="B102" s="377"/>
      <c r="C102" s="377"/>
      <c r="D102" s="378"/>
      <c r="E102" s="379"/>
      <c r="F102" s="335"/>
      <c r="G102" s="376"/>
      <c r="H102" s="356"/>
    </row>
    <row r="103" spans="1:8" s="322" customFormat="1" ht="14.1" customHeight="1" x14ac:dyDescent="0.25">
      <c r="A103" s="376"/>
      <c r="B103" s="377"/>
      <c r="C103" s="377"/>
      <c r="D103" s="378"/>
      <c r="E103" s="379"/>
      <c r="F103" s="335"/>
      <c r="G103" s="376"/>
      <c r="H103" s="356"/>
    </row>
    <row r="104" spans="1:8" s="322" customFormat="1" ht="14.1" customHeight="1" x14ac:dyDescent="0.25">
      <c r="A104" s="376"/>
      <c r="B104" s="377"/>
      <c r="C104" s="377"/>
      <c r="D104" s="378"/>
      <c r="E104" s="379"/>
      <c r="F104" s="335"/>
      <c r="G104" s="376"/>
      <c r="H104" s="356"/>
    </row>
    <row r="105" spans="1:8" s="322" customFormat="1" ht="14.1" customHeight="1" x14ac:dyDescent="0.25">
      <c r="A105" s="376"/>
      <c r="B105" s="377"/>
      <c r="C105" s="377"/>
      <c r="D105" s="378"/>
      <c r="E105" s="379"/>
      <c r="F105" s="335"/>
      <c r="G105" s="376"/>
      <c r="H105" s="356"/>
    </row>
    <row r="106" spans="1:8" s="322" customFormat="1" ht="14.1" customHeight="1" x14ac:dyDescent="0.25">
      <c r="A106" s="376"/>
      <c r="B106" s="377"/>
      <c r="C106" s="377"/>
      <c r="D106" s="378"/>
      <c r="E106" s="379"/>
      <c r="F106" s="335"/>
      <c r="G106" s="376"/>
      <c r="H106" s="356"/>
    </row>
    <row r="107" spans="1:8" s="322" customFormat="1" ht="14.1" customHeight="1" x14ac:dyDescent="0.25">
      <c r="A107" s="376"/>
      <c r="B107" s="377"/>
      <c r="C107" s="377"/>
      <c r="D107" s="378"/>
      <c r="E107" s="379"/>
      <c r="F107" s="335"/>
      <c r="G107" s="376"/>
      <c r="H107" s="356"/>
    </row>
    <row r="108" spans="1:8" s="322" customFormat="1" ht="14.1" customHeight="1" x14ac:dyDescent="0.25">
      <c r="A108" s="376"/>
      <c r="B108" s="377"/>
      <c r="C108" s="377"/>
      <c r="D108" s="378"/>
      <c r="E108" s="379"/>
      <c r="F108" s="335"/>
      <c r="G108" s="376"/>
      <c r="H108" s="356"/>
    </row>
    <row r="109" spans="1:8" s="322" customFormat="1" ht="14.1" customHeight="1" x14ac:dyDescent="0.25">
      <c r="A109" s="376"/>
      <c r="B109" s="377"/>
      <c r="C109" s="377"/>
      <c r="D109" s="378"/>
      <c r="E109" s="379"/>
      <c r="F109" s="335"/>
      <c r="G109" s="376"/>
      <c r="H109" s="356"/>
    </row>
    <row r="110" spans="1:8" s="322" customFormat="1" ht="14.1" customHeight="1" x14ac:dyDescent="0.25">
      <c r="A110" s="376"/>
      <c r="B110" s="377"/>
      <c r="C110" s="377"/>
      <c r="D110" s="378"/>
      <c r="E110" s="379"/>
      <c r="F110" s="335"/>
      <c r="G110" s="376"/>
      <c r="H110" s="356"/>
    </row>
    <row r="111" spans="1:8" s="322" customFormat="1" ht="14.1" customHeight="1" x14ac:dyDescent="0.25">
      <c r="A111" s="376"/>
      <c r="B111" s="377"/>
      <c r="C111" s="377"/>
      <c r="D111" s="378"/>
      <c r="E111" s="379"/>
      <c r="F111" s="335"/>
      <c r="G111" s="376"/>
      <c r="H111" s="356"/>
    </row>
    <row r="112" spans="1:8" s="322" customFormat="1" ht="14.1" customHeight="1" x14ac:dyDescent="0.25">
      <c r="A112" s="376"/>
      <c r="B112" s="377"/>
      <c r="C112" s="377"/>
      <c r="D112" s="378"/>
      <c r="E112" s="379"/>
      <c r="F112" s="335"/>
      <c r="G112" s="376"/>
      <c r="H112" s="356"/>
    </row>
    <row r="113" spans="1:8" s="322" customFormat="1" ht="14.1" customHeight="1" x14ac:dyDescent="0.25">
      <c r="A113" s="376"/>
      <c r="B113" s="377"/>
      <c r="C113" s="377"/>
      <c r="D113" s="378"/>
      <c r="E113" s="379"/>
      <c r="F113" s="335"/>
      <c r="G113" s="376"/>
      <c r="H113" s="356"/>
    </row>
    <row r="114" spans="1:8" s="322" customFormat="1" ht="14.1" customHeight="1" x14ac:dyDescent="0.25">
      <c r="A114" s="376"/>
      <c r="B114" s="377"/>
      <c r="C114" s="377"/>
      <c r="D114" s="378"/>
      <c r="E114" s="379"/>
      <c r="F114" s="335"/>
      <c r="G114" s="376"/>
      <c r="H114" s="356"/>
    </row>
    <row r="115" spans="1:8" s="322" customFormat="1" ht="14.1" customHeight="1" x14ac:dyDescent="0.25">
      <c r="A115" s="376"/>
      <c r="B115" s="377"/>
      <c r="C115" s="377"/>
      <c r="D115" s="378"/>
      <c r="E115" s="379"/>
      <c r="F115" s="335"/>
      <c r="G115" s="376"/>
      <c r="H115" s="356"/>
    </row>
    <row r="116" spans="1:8" s="322" customFormat="1" ht="14.1" customHeight="1" x14ac:dyDescent="0.25">
      <c r="A116" s="1357"/>
      <c r="B116" s="1357"/>
      <c r="C116" s="1357"/>
      <c r="D116" s="1357"/>
      <c r="E116" s="1357"/>
      <c r="F116" s="335"/>
      <c r="G116" s="376"/>
      <c r="H116" s="356"/>
    </row>
    <row r="117" spans="1:8" x14ac:dyDescent="0.25">
      <c r="A117" s="382"/>
      <c r="B117" s="383"/>
      <c r="C117" s="383"/>
      <c r="D117" s="379"/>
      <c r="E117" s="379"/>
      <c r="F117" s="384"/>
      <c r="G117" s="382"/>
      <c r="H117" s="356"/>
    </row>
    <row r="118" spans="1:8" x14ac:dyDescent="0.25">
      <c r="A118" s="382"/>
      <c r="B118" s="383"/>
      <c r="C118" s="383"/>
      <c r="D118" s="379"/>
      <c r="E118" s="379"/>
      <c r="F118" s="384"/>
      <c r="G118" s="382"/>
      <c r="H118" s="356"/>
    </row>
    <row r="119" spans="1:8" x14ac:dyDescent="0.25">
      <c r="A119" s="382"/>
      <c r="B119" s="383"/>
      <c r="C119" s="383"/>
      <c r="D119" s="379"/>
      <c r="E119" s="379"/>
      <c r="F119" s="384"/>
      <c r="G119" s="382"/>
      <c r="H119" s="356"/>
    </row>
    <row r="120" spans="1:8" x14ac:dyDescent="0.25">
      <c r="A120" s="382"/>
      <c r="B120" s="383"/>
      <c r="C120" s="383"/>
      <c r="D120" s="379"/>
      <c r="E120" s="379"/>
      <c r="F120" s="384"/>
      <c r="G120" s="382"/>
      <c r="H120" s="356"/>
    </row>
    <row r="121" spans="1:8" x14ac:dyDescent="0.25">
      <c r="A121" s="382"/>
      <c r="B121" s="383"/>
      <c r="C121" s="383"/>
      <c r="D121" s="379"/>
      <c r="E121" s="379"/>
      <c r="F121" s="384"/>
      <c r="G121" s="382"/>
      <c r="H121" s="356"/>
    </row>
    <row r="122" spans="1:8" x14ac:dyDescent="0.25">
      <c r="A122" s="382"/>
      <c r="B122" s="383"/>
      <c r="C122" s="383"/>
      <c r="D122" s="379"/>
      <c r="E122" s="379"/>
      <c r="F122" s="384"/>
      <c r="G122" s="382"/>
      <c r="H122" s="356"/>
    </row>
    <row r="123" spans="1:8" x14ac:dyDescent="0.25">
      <c r="A123" s="382"/>
      <c r="B123" s="383"/>
      <c r="C123" s="383"/>
      <c r="D123" s="379"/>
      <c r="E123" s="379"/>
      <c r="F123" s="384"/>
      <c r="G123" s="382"/>
      <c r="H123" s="356"/>
    </row>
    <row r="124" spans="1:8" x14ac:dyDescent="0.25">
      <c r="A124" s="382"/>
      <c r="B124" s="383"/>
      <c r="C124" s="383"/>
      <c r="D124" s="379"/>
      <c r="E124" s="379"/>
      <c r="F124" s="384"/>
      <c r="G124" s="382"/>
      <c r="H124" s="356"/>
    </row>
    <row r="125" spans="1:8" x14ac:dyDescent="0.25">
      <c r="A125" s="382"/>
      <c r="B125" s="383"/>
      <c r="C125" s="383"/>
      <c r="D125" s="379"/>
      <c r="E125" s="379"/>
      <c r="F125" s="384"/>
      <c r="G125" s="382"/>
      <c r="H125" s="356"/>
    </row>
    <row r="126" spans="1:8" x14ac:dyDescent="0.25">
      <c r="A126" s="382"/>
      <c r="B126" s="383"/>
      <c r="C126" s="383"/>
      <c r="D126" s="379"/>
      <c r="E126" s="379"/>
      <c r="F126" s="382"/>
      <c r="G126" s="382"/>
      <c r="H126" s="356"/>
    </row>
    <row r="127" spans="1:8" x14ac:dyDescent="0.25">
      <c r="A127" s="382"/>
      <c r="B127" s="383"/>
      <c r="C127" s="383"/>
      <c r="D127" s="379"/>
      <c r="E127" s="379"/>
      <c r="F127" s="382"/>
      <c r="G127" s="382"/>
      <c r="H127" s="356"/>
    </row>
    <row r="128" spans="1:8" x14ac:dyDescent="0.25">
      <c r="A128" s="382"/>
      <c r="B128" s="383"/>
      <c r="C128" s="383"/>
      <c r="D128" s="379"/>
      <c r="E128" s="379"/>
      <c r="F128" s="382"/>
      <c r="G128" s="382"/>
      <c r="H128" s="356"/>
    </row>
    <row r="129" spans="1:8" x14ac:dyDescent="0.25">
      <c r="A129" s="382"/>
      <c r="B129" s="383"/>
      <c r="C129" s="383"/>
      <c r="D129" s="379"/>
      <c r="E129" s="379"/>
      <c r="F129" s="382"/>
      <c r="G129" s="382"/>
      <c r="H129" s="356"/>
    </row>
    <row r="130" spans="1:8" x14ac:dyDescent="0.25">
      <c r="A130" s="382"/>
      <c r="B130" s="383"/>
      <c r="C130" s="383"/>
      <c r="D130" s="379"/>
      <c r="E130" s="379"/>
      <c r="F130" s="382"/>
      <c r="G130" s="382"/>
      <c r="H130" s="356"/>
    </row>
    <row r="131" spans="1:8" x14ac:dyDescent="0.25">
      <c r="A131" s="382"/>
      <c r="B131" s="383"/>
      <c r="C131" s="383"/>
      <c r="D131" s="379"/>
      <c r="E131" s="379"/>
      <c r="F131" s="382"/>
      <c r="G131" s="382"/>
      <c r="H131" s="356"/>
    </row>
    <row r="132" spans="1:8" x14ac:dyDescent="0.25">
      <c r="A132" s="382"/>
      <c r="B132" s="383"/>
      <c r="C132" s="383"/>
      <c r="D132" s="379"/>
      <c r="E132" s="379"/>
      <c r="F132" s="382"/>
      <c r="G132" s="382"/>
      <c r="H132" s="356"/>
    </row>
    <row r="133" spans="1:8" x14ac:dyDescent="0.25">
      <c r="A133" s="382"/>
      <c r="B133" s="383"/>
      <c r="C133" s="383"/>
      <c r="D133" s="379"/>
      <c r="E133" s="379"/>
      <c r="F133" s="382"/>
      <c r="G133" s="382"/>
      <c r="H133" s="356"/>
    </row>
    <row r="134" spans="1:8" x14ac:dyDescent="0.25">
      <c r="A134" s="382"/>
      <c r="B134" s="383"/>
      <c r="C134" s="383"/>
      <c r="D134" s="379"/>
      <c r="E134" s="379"/>
      <c r="F134" s="382"/>
      <c r="G134" s="382"/>
      <c r="H134" s="356"/>
    </row>
    <row r="135" spans="1:8" x14ac:dyDescent="0.25">
      <c r="A135" s="382"/>
      <c r="B135" s="383"/>
      <c r="C135" s="383"/>
      <c r="D135" s="379"/>
      <c r="E135" s="379"/>
      <c r="F135" s="382"/>
      <c r="G135" s="382"/>
      <c r="H135" s="356"/>
    </row>
    <row r="136" spans="1:8" x14ac:dyDescent="0.25">
      <c r="A136" s="382"/>
      <c r="B136" s="383"/>
      <c r="C136" s="383"/>
      <c r="D136" s="379"/>
      <c r="E136" s="379"/>
      <c r="F136" s="382"/>
      <c r="G136" s="382"/>
      <c r="H136" s="356"/>
    </row>
    <row r="137" spans="1:8" x14ac:dyDescent="0.25">
      <c r="A137" s="382"/>
      <c r="B137" s="383"/>
      <c r="C137" s="383"/>
      <c r="D137" s="379"/>
      <c r="E137" s="379"/>
      <c r="F137" s="382"/>
      <c r="G137" s="382"/>
      <c r="H137" s="356"/>
    </row>
    <row r="138" spans="1:8" x14ac:dyDescent="0.25">
      <c r="A138" s="382"/>
      <c r="B138" s="383"/>
      <c r="C138" s="383"/>
      <c r="D138" s="379"/>
      <c r="E138" s="379"/>
      <c r="F138" s="382"/>
      <c r="G138" s="382"/>
      <c r="H138" s="356"/>
    </row>
    <row r="139" spans="1:8" x14ac:dyDescent="0.25">
      <c r="A139" s="382"/>
      <c r="B139" s="383"/>
      <c r="C139" s="383"/>
      <c r="D139" s="379"/>
      <c r="E139" s="379"/>
      <c r="F139" s="382"/>
      <c r="G139" s="382"/>
      <c r="H139" s="356"/>
    </row>
    <row r="140" spans="1:8" x14ac:dyDescent="0.25">
      <c r="A140" s="382"/>
      <c r="B140" s="383"/>
      <c r="C140" s="383"/>
      <c r="D140" s="379"/>
      <c r="E140" s="379"/>
      <c r="F140" s="382"/>
      <c r="G140" s="382"/>
      <c r="H140" s="356"/>
    </row>
    <row r="141" spans="1:8" x14ac:dyDescent="0.25">
      <c r="A141" s="382"/>
      <c r="B141" s="383"/>
      <c r="C141" s="383"/>
      <c r="D141" s="379"/>
      <c r="E141" s="379"/>
      <c r="F141" s="382"/>
      <c r="G141" s="382"/>
      <c r="H141" s="356"/>
    </row>
    <row r="142" spans="1:8" x14ac:dyDescent="0.25">
      <c r="A142" s="382"/>
      <c r="B142" s="383"/>
      <c r="C142" s="383"/>
      <c r="D142" s="379"/>
      <c r="E142" s="379"/>
      <c r="F142" s="382"/>
      <c r="G142" s="382"/>
      <c r="H142" s="356"/>
    </row>
    <row r="143" spans="1:8" x14ac:dyDescent="0.25">
      <c r="A143" s="382"/>
      <c r="B143" s="383"/>
      <c r="C143" s="383"/>
      <c r="D143" s="379"/>
      <c r="E143" s="379"/>
      <c r="F143" s="382"/>
      <c r="G143" s="382"/>
      <c r="H143" s="356"/>
    </row>
    <row r="144" spans="1:8" x14ac:dyDescent="0.25">
      <c r="A144" s="382"/>
      <c r="B144" s="383"/>
      <c r="C144" s="383"/>
      <c r="D144" s="379"/>
      <c r="E144" s="379"/>
      <c r="F144" s="382"/>
      <c r="G144" s="382"/>
      <c r="H144" s="356"/>
    </row>
    <row r="145" spans="1:8" x14ac:dyDescent="0.25">
      <c r="A145" s="382"/>
      <c r="B145" s="383"/>
      <c r="C145" s="383"/>
      <c r="D145" s="379"/>
      <c r="E145" s="379"/>
      <c r="F145" s="382"/>
      <c r="G145" s="382"/>
      <c r="H145" s="356"/>
    </row>
    <row r="146" spans="1:8" x14ac:dyDescent="0.25">
      <c r="A146" s="382"/>
      <c r="B146" s="383"/>
      <c r="C146" s="383"/>
      <c r="D146" s="379"/>
      <c r="E146" s="379"/>
      <c r="F146" s="382"/>
      <c r="G146" s="382"/>
      <c r="H146" s="356"/>
    </row>
    <row r="147" spans="1:8" x14ac:dyDescent="0.25">
      <c r="A147" s="382"/>
      <c r="B147" s="383"/>
      <c r="C147" s="383"/>
      <c r="D147" s="379"/>
      <c r="E147" s="379"/>
      <c r="F147" s="382"/>
      <c r="G147" s="382"/>
      <c r="H147" s="356"/>
    </row>
    <row r="148" spans="1:8" x14ac:dyDescent="0.25">
      <c r="A148" s="382"/>
      <c r="B148" s="383"/>
      <c r="C148" s="383"/>
      <c r="D148" s="379"/>
      <c r="E148" s="379"/>
      <c r="F148" s="382"/>
      <c r="G148" s="382"/>
      <c r="H148" s="356"/>
    </row>
    <row r="149" spans="1:8" x14ac:dyDescent="0.25">
      <c r="A149" s="382"/>
      <c r="B149" s="383"/>
      <c r="C149" s="383"/>
      <c r="D149" s="379"/>
      <c r="E149" s="379"/>
      <c r="F149" s="382"/>
      <c r="G149" s="382"/>
      <c r="H149" s="356"/>
    </row>
    <row r="150" spans="1:8" x14ac:dyDescent="0.25">
      <c r="A150" s="382"/>
      <c r="B150" s="383"/>
      <c r="C150" s="383"/>
      <c r="D150" s="379"/>
      <c r="E150" s="379"/>
      <c r="F150" s="382"/>
      <c r="G150" s="382"/>
      <c r="H150" s="356"/>
    </row>
    <row r="151" spans="1:8" x14ac:dyDescent="0.25">
      <c r="A151" s="382"/>
      <c r="B151" s="383"/>
      <c r="C151" s="383"/>
      <c r="D151" s="379"/>
      <c r="E151" s="379"/>
      <c r="F151" s="382"/>
      <c r="G151" s="382"/>
      <c r="H151" s="356"/>
    </row>
    <row r="152" spans="1:8" x14ac:dyDescent="0.25">
      <c r="A152" s="382"/>
      <c r="B152" s="383"/>
      <c r="C152" s="383"/>
      <c r="D152" s="379"/>
      <c r="E152" s="379"/>
      <c r="F152" s="382"/>
      <c r="G152" s="382"/>
      <c r="H152" s="356"/>
    </row>
    <row r="153" spans="1:8" x14ac:dyDescent="0.25">
      <c r="A153" s="382"/>
      <c r="B153" s="383"/>
      <c r="C153" s="383"/>
      <c r="D153" s="379"/>
      <c r="E153" s="379"/>
      <c r="F153" s="382"/>
      <c r="G153" s="382"/>
      <c r="H153" s="356"/>
    </row>
    <row r="154" spans="1:8" x14ac:dyDescent="0.25">
      <c r="A154" s="382"/>
      <c r="B154" s="383"/>
      <c r="C154" s="383"/>
      <c r="D154" s="379"/>
      <c r="E154" s="379"/>
      <c r="F154" s="382"/>
      <c r="G154" s="382"/>
      <c r="H154" s="356"/>
    </row>
    <row r="155" spans="1:8" x14ac:dyDescent="0.25">
      <c r="A155" s="382"/>
      <c r="B155" s="383"/>
      <c r="C155" s="383"/>
      <c r="D155" s="379"/>
      <c r="E155" s="379"/>
      <c r="F155" s="382"/>
      <c r="G155" s="382"/>
      <c r="H155" s="356"/>
    </row>
    <row r="156" spans="1:8" x14ac:dyDescent="0.25">
      <c r="A156" s="382"/>
      <c r="B156" s="383"/>
      <c r="C156" s="383"/>
      <c r="D156" s="379"/>
      <c r="E156" s="379"/>
      <c r="F156" s="382"/>
      <c r="G156" s="382"/>
      <c r="H156" s="356"/>
    </row>
    <row r="157" spans="1:8" x14ac:dyDescent="0.25">
      <c r="A157" s="382"/>
      <c r="B157" s="383"/>
      <c r="C157" s="383"/>
      <c r="D157" s="379"/>
      <c r="E157" s="379"/>
      <c r="F157" s="382"/>
      <c r="G157" s="382"/>
      <c r="H157" s="356"/>
    </row>
    <row r="158" spans="1:8" x14ac:dyDescent="0.25">
      <c r="A158" s="382"/>
      <c r="B158" s="383"/>
      <c r="C158" s="383"/>
      <c r="D158" s="379"/>
      <c r="E158" s="379"/>
      <c r="F158" s="382"/>
      <c r="G158" s="382"/>
      <c r="H158" s="356"/>
    </row>
    <row r="159" spans="1:8" x14ac:dyDescent="0.25">
      <c r="A159" s="382"/>
      <c r="B159" s="383"/>
      <c r="C159" s="383"/>
      <c r="D159" s="379"/>
      <c r="E159" s="379"/>
      <c r="F159" s="382"/>
      <c r="G159" s="382"/>
      <c r="H159" s="356"/>
    </row>
    <row r="160" spans="1:8" x14ac:dyDescent="0.25">
      <c r="A160" s="382"/>
      <c r="B160" s="383"/>
      <c r="C160" s="383"/>
      <c r="D160" s="379"/>
      <c r="E160" s="379"/>
      <c r="F160" s="382"/>
      <c r="G160" s="382"/>
      <c r="H160" s="356"/>
    </row>
    <row r="161" spans="1:8" x14ac:dyDescent="0.25">
      <c r="A161" s="382"/>
      <c r="B161" s="383"/>
      <c r="C161" s="383"/>
      <c r="D161" s="379"/>
      <c r="E161" s="379"/>
      <c r="F161" s="382"/>
      <c r="G161" s="382"/>
      <c r="H161" s="356"/>
    </row>
    <row r="162" spans="1:8" x14ac:dyDescent="0.25">
      <c r="A162" s="382"/>
      <c r="B162" s="383"/>
      <c r="C162" s="383"/>
      <c r="D162" s="379"/>
      <c r="E162" s="379"/>
      <c r="F162" s="382"/>
      <c r="G162" s="382"/>
      <c r="H162" s="356"/>
    </row>
    <row r="163" spans="1:8" x14ac:dyDescent="0.25">
      <c r="A163" s="382"/>
      <c r="B163" s="383"/>
      <c r="C163" s="383"/>
      <c r="D163" s="379"/>
      <c r="E163" s="379"/>
      <c r="F163" s="382"/>
      <c r="G163" s="382"/>
      <c r="H163" s="356"/>
    </row>
    <row r="164" spans="1:8" x14ac:dyDescent="0.25">
      <c r="A164" s="382"/>
      <c r="B164" s="383"/>
      <c r="C164" s="383"/>
      <c r="D164" s="379"/>
      <c r="E164" s="379"/>
      <c r="F164" s="382"/>
      <c r="G164" s="382"/>
      <c r="H164" s="356"/>
    </row>
    <row r="165" spans="1:8" x14ac:dyDescent="0.25">
      <c r="A165" s="382"/>
      <c r="B165" s="383"/>
      <c r="C165" s="383"/>
      <c r="D165" s="379"/>
      <c r="E165" s="379"/>
      <c r="F165" s="382"/>
      <c r="G165" s="382"/>
      <c r="H165" s="356"/>
    </row>
    <row r="166" spans="1:8" x14ac:dyDescent="0.25">
      <c r="A166" s="382"/>
      <c r="B166" s="383"/>
      <c r="C166" s="383"/>
      <c r="D166" s="379"/>
      <c r="E166" s="379"/>
      <c r="F166" s="382"/>
      <c r="G166" s="382"/>
      <c r="H166" s="356"/>
    </row>
    <row r="167" spans="1:8" x14ac:dyDescent="0.25">
      <c r="A167" s="382"/>
      <c r="B167" s="383"/>
      <c r="C167" s="383"/>
      <c r="D167" s="379"/>
      <c r="E167" s="379"/>
      <c r="F167" s="382"/>
      <c r="G167" s="382"/>
      <c r="H167" s="356"/>
    </row>
    <row r="168" spans="1:8" x14ac:dyDescent="0.25">
      <c r="A168" s="382"/>
      <c r="B168" s="383"/>
      <c r="C168" s="383"/>
      <c r="D168" s="379"/>
      <c r="E168" s="379"/>
      <c r="F168" s="382"/>
      <c r="G168" s="382"/>
      <c r="H168" s="356"/>
    </row>
    <row r="169" spans="1:8" x14ac:dyDescent="0.25">
      <c r="A169" s="382"/>
      <c r="B169" s="383"/>
      <c r="C169" s="383"/>
      <c r="D169" s="379"/>
      <c r="E169" s="379"/>
      <c r="F169" s="382"/>
      <c r="G169" s="382"/>
      <c r="H169" s="356"/>
    </row>
    <row r="170" spans="1:8" x14ac:dyDescent="0.25">
      <c r="A170" s="382"/>
      <c r="B170" s="383"/>
      <c r="C170" s="383"/>
      <c r="D170" s="379"/>
      <c r="E170" s="379"/>
      <c r="F170" s="382"/>
      <c r="G170" s="382"/>
      <c r="H170" s="356"/>
    </row>
    <row r="171" spans="1:8" x14ac:dyDescent="0.25">
      <c r="A171" s="382"/>
      <c r="B171" s="383"/>
      <c r="C171" s="383"/>
      <c r="D171" s="379"/>
      <c r="E171" s="379"/>
      <c r="F171" s="382"/>
      <c r="G171" s="382"/>
      <c r="H171" s="356"/>
    </row>
    <row r="172" spans="1:8" x14ac:dyDescent="0.25">
      <c r="A172" s="382"/>
      <c r="B172" s="383"/>
      <c r="C172" s="383"/>
      <c r="D172" s="379"/>
      <c r="E172" s="379"/>
      <c r="F172" s="382"/>
      <c r="G172" s="382"/>
      <c r="H172" s="356"/>
    </row>
    <row r="173" spans="1:8" x14ac:dyDescent="0.25">
      <c r="A173" s="382"/>
      <c r="B173" s="383"/>
      <c r="C173" s="383"/>
      <c r="D173" s="379"/>
      <c r="E173" s="379"/>
      <c r="F173" s="382"/>
      <c r="G173" s="382"/>
      <c r="H173" s="356"/>
    </row>
    <row r="174" spans="1:8" x14ac:dyDescent="0.25">
      <c r="A174" s="382"/>
      <c r="B174" s="383"/>
      <c r="C174" s="383"/>
      <c r="D174" s="379"/>
      <c r="E174" s="379"/>
      <c r="F174" s="382"/>
      <c r="G174" s="382"/>
      <c r="H174" s="356"/>
    </row>
    <row r="175" spans="1:8" x14ac:dyDescent="0.25">
      <c r="A175" s="382"/>
      <c r="B175" s="383"/>
      <c r="C175" s="383"/>
      <c r="D175" s="379"/>
      <c r="E175" s="379"/>
      <c r="F175" s="382"/>
      <c r="G175" s="382"/>
      <c r="H175" s="356"/>
    </row>
    <row r="176" spans="1:8" x14ac:dyDescent="0.25">
      <c r="A176" s="382"/>
      <c r="B176" s="383"/>
      <c r="C176" s="383"/>
      <c r="D176" s="379"/>
      <c r="E176" s="379"/>
      <c r="F176" s="382"/>
      <c r="G176" s="382"/>
      <c r="H176" s="356"/>
    </row>
    <row r="177" spans="1:8" x14ac:dyDescent="0.25">
      <c r="A177" s="382"/>
      <c r="B177" s="383"/>
      <c r="C177" s="383"/>
      <c r="D177" s="379"/>
      <c r="E177" s="379"/>
      <c r="F177" s="382"/>
      <c r="G177" s="382"/>
      <c r="H177" s="356"/>
    </row>
    <row r="178" spans="1:8" x14ac:dyDescent="0.25">
      <c r="A178" s="382"/>
      <c r="B178" s="383"/>
      <c r="C178" s="383"/>
      <c r="D178" s="379"/>
      <c r="E178" s="379"/>
      <c r="F178" s="382"/>
      <c r="G178" s="382"/>
      <c r="H178" s="356"/>
    </row>
    <row r="179" spans="1:8" x14ac:dyDescent="0.25">
      <c r="A179" s="382"/>
      <c r="B179" s="383"/>
      <c r="C179" s="383"/>
      <c r="D179" s="379"/>
      <c r="E179" s="379"/>
      <c r="F179" s="382"/>
      <c r="G179" s="382"/>
      <c r="H179" s="356"/>
    </row>
    <row r="180" spans="1:8" x14ac:dyDescent="0.25">
      <c r="A180" s="382"/>
      <c r="B180" s="383"/>
      <c r="C180" s="383"/>
      <c r="D180" s="379"/>
      <c r="E180" s="379"/>
      <c r="F180" s="382"/>
      <c r="G180" s="382"/>
      <c r="H180" s="356"/>
    </row>
    <row r="181" spans="1:8" x14ac:dyDescent="0.25">
      <c r="A181" s="382"/>
      <c r="B181" s="383"/>
      <c r="C181" s="383"/>
      <c r="D181" s="379"/>
      <c r="E181" s="379"/>
      <c r="F181" s="382"/>
      <c r="G181" s="382"/>
      <c r="H181" s="356"/>
    </row>
    <row r="182" spans="1:8" x14ac:dyDescent="0.25">
      <c r="A182" s="382"/>
      <c r="B182" s="383"/>
      <c r="C182" s="383"/>
      <c r="D182" s="379"/>
      <c r="E182" s="379"/>
      <c r="F182" s="382"/>
      <c r="G182" s="382"/>
      <c r="H182" s="356"/>
    </row>
    <row r="183" spans="1:8" x14ac:dyDescent="0.25">
      <c r="A183" s="382"/>
      <c r="B183" s="383"/>
      <c r="C183" s="383"/>
      <c r="D183" s="379"/>
      <c r="E183" s="379"/>
      <c r="F183" s="382"/>
      <c r="G183" s="382"/>
      <c r="H183" s="356"/>
    </row>
    <row r="184" spans="1:8" x14ac:dyDescent="0.25">
      <c r="A184" s="382"/>
      <c r="B184" s="383"/>
      <c r="C184" s="383"/>
      <c r="D184" s="379"/>
      <c r="E184" s="379"/>
      <c r="F184" s="382"/>
      <c r="G184" s="382"/>
      <c r="H184" s="356"/>
    </row>
    <row r="185" spans="1:8" x14ac:dyDescent="0.25">
      <c r="A185" s="382"/>
      <c r="B185" s="383"/>
      <c r="C185" s="383"/>
      <c r="D185" s="379"/>
      <c r="E185" s="379"/>
      <c r="F185" s="382"/>
      <c r="G185" s="382"/>
      <c r="H185" s="356"/>
    </row>
    <row r="186" spans="1:8" x14ac:dyDescent="0.25">
      <c r="A186" s="382"/>
      <c r="B186" s="383"/>
      <c r="C186" s="383"/>
      <c r="D186" s="379"/>
      <c r="E186" s="379"/>
      <c r="F186" s="382"/>
      <c r="G186" s="382"/>
      <c r="H186" s="356"/>
    </row>
    <row r="187" spans="1:8" x14ac:dyDescent="0.25">
      <c r="A187" s="382"/>
      <c r="B187" s="383"/>
      <c r="C187" s="383"/>
      <c r="D187" s="379"/>
      <c r="E187" s="379"/>
      <c r="F187" s="382"/>
      <c r="G187" s="382"/>
      <c r="H187" s="356"/>
    </row>
    <row r="188" spans="1:8" x14ac:dyDescent="0.25">
      <c r="A188" s="382"/>
      <c r="B188" s="383"/>
      <c r="C188" s="383"/>
      <c r="D188" s="379"/>
      <c r="E188" s="379"/>
      <c r="F188" s="382"/>
      <c r="G188" s="382"/>
      <c r="H188" s="356"/>
    </row>
    <row r="189" spans="1:8" x14ac:dyDescent="0.25">
      <c r="A189" s="382"/>
      <c r="B189" s="383"/>
      <c r="C189" s="383"/>
      <c r="D189" s="379"/>
      <c r="E189" s="379"/>
      <c r="F189" s="382"/>
      <c r="G189" s="382"/>
      <c r="H189" s="356"/>
    </row>
    <row r="190" spans="1:8" x14ac:dyDescent="0.25">
      <c r="A190" s="382"/>
      <c r="B190" s="383"/>
      <c r="C190" s="383"/>
      <c r="D190" s="379"/>
      <c r="E190" s="379"/>
      <c r="F190" s="382"/>
      <c r="G190" s="382"/>
      <c r="H190" s="356"/>
    </row>
    <row r="191" spans="1:8" x14ac:dyDescent="0.25">
      <c r="A191" s="382"/>
      <c r="B191" s="383"/>
      <c r="C191" s="383"/>
      <c r="D191" s="379"/>
      <c r="E191" s="379"/>
      <c r="F191" s="382"/>
      <c r="G191" s="382"/>
      <c r="H191" s="356"/>
    </row>
    <row r="192" spans="1:8" x14ac:dyDescent="0.25">
      <c r="A192" s="382"/>
      <c r="B192" s="383"/>
      <c r="C192" s="383"/>
      <c r="D192" s="379"/>
      <c r="E192" s="379"/>
      <c r="F192" s="382"/>
      <c r="G192" s="382"/>
      <c r="H192" s="356"/>
    </row>
    <row r="193" spans="1:8" x14ac:dyDescent="0.25">
      <c r="A193" s="382"/>
      <c r="B193" s="383"/>
      <c r="C193" s="383"/>
      <c r="D193" s="379"/>
      <c r="E193" s="379"/>
      <c r="F193" s="382"/>
      <c r="G193" s="382"/>
      <c r="H193" s="356"/>
    </row>
    <row r="194" spans="1:8" x14ac:dyDescent="0.25">
      <c r="A194" s="382"/>
      <c r="B194" s="383"/>
      <c r="C194" s="383"/>
      <c r="D194" s="379"/>
      <c r="E194" s="379"/>
      <c r="F194" s="382"/>
      <c r="G194" s="382"/>
      <c r="H194" s="356"/>
    </row>
    <row r="195" spans="1:8" x14ac:dyDescent="0.25">
      <c r="A195" s="382"/>
      <c r="B195" s="383"/>
      <c r="C195" s="383"/>
      <c r="D195" s="379"/>
      <c r="E195" s="379"/>
      <c r="F195" s="382"/>
      <c r="G195" s="382"/>
      <c r="H195" s="356"/>
    </row>
    <row r="196" spans="1:8" x14ac:dyDescent="0.25">
      <c r="A196" s="382"/>
      <c r="B196" s="383"/>
      <c r="C196" s="383"/>
      <c r="D196" s="379"/>
      <c r="E196" s="379"/>
      <c r="F196" s="382"/>
      <c r="G196" s="382"/>
      <c r="H196" s="356"/>
    </row>
    <row r="197" spans="1:8" x14ac:dyDescent="0.25">
      <c r="A197" s="382"/>
      <c r="B197" s="383"/>
      <c r="C197" s="383"/>
      <c r="D197" s="379"/>
      <c r="E197" s="379"/>
      <c r="F197" s="382"/>
      <c r="G197" s="382"/>
      <c r="H197" s="356"/>
    </row>
    <row r="198" spans="1:8" x14ac:dyDescent="0.25">
      <c r="A198" s="382"/>
      <c r="B198" s="383"/>
      <c r="C198" s="383"/>
      <c r="D198" s="379"/>
      <c r="E198" s="379"/>
      <c r="F198" s="382"/>
      <c r="G198" s="382"/>
      <c r="H198" s="356"/>
    </row>
    <row r="199" spans="1:8" x14ac:dyDescent="0.25">
      <c r="A199" s="382"/>
      <c r="B199" s="383"/>
      <c r="C199" s="383"/>
      <c r="D199" s="379"/>
      <c r="E199" s="379"/>
      <c r="F199" s="382"/>
      <c r="G199" s="382"/>
      <c r="H199" s="356"/>
    </row>
    <row r="200" spans="1:8" x14ac:dyDescent="0.25">
      <c r="A200" s="382"/>
      <c r="B200" s="383"/>
      <c r="C200" s="383"/>
      <c r="D200" s="379"/>
      <c r="E200" s="379"/>
      <c r="F200" s="382"/>
      <c r="G200" s="382"/>
      <c r="H200" s="356"/>
    </row>
    <row r="201" spans="1:8" x14ac:dyDescent="0.25">
      <c r="A201" s="382"/>
      <c r="B201" s="383"/>
      <c r="C201" s="383"/>
      <c r="D201" s="379"/>
      <c r="E201" s="379"/>
      <c r="F201" s="382"/>
      <c r="G201" s="382"/>
      <c r="H201" s="356"/>
    </row>
  </sheetData>
  <mergeCells count="4">
    <mergeCell ref="D8:E8"/>
    <mergeCell ref="D9:D10"/>
    <mergeCell ref="E9:E10"/>
    <mergeCell ref="A116:E116"/>
  </mergeCells>
  <pageMargins left="0.4" right="0.27559055118110237" top="0.74803149606299213" bottom="0.47244094488188981" header="0.11811023622047245" footer="0.51181102362204722"/>
  <pageSetup paperSize="9" scale="51" fitToHeight="2" orientation="portrait" r:id="rId1"/>
  <headerFooter alignWithMargins="0"/>
  <rowBreaks count="1" manualBreakCount="1">
    <brk id="96" max="7" man="1"/>
  </row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3"/>
  <sheetViews>
    <sheetView zoomScaleNormal="100" zoomScaleSheetLayoutView="100" workbookViewId="0"/>
  </sheetViews>
  <sheetFormatPr defaultRowHeight="11.25" x14ac:dyDescent="0.25"/>
  <cols>
    <col min="1" max="1" width="5.5703125" style="553" customWidth="1"/>
    <col min="2" max="2" width="18.7109375" style="553" customWidth="1"/>
    <col min="3" max="3" width="3.7109375" style="553" customWidth="1"/>
    <col min="4" max="4" width="3.5703125" style="553" customWidth="1"/>
    <col min="5" max="5" width="12.42578125" style="553" customWidth="1"/>
    <col min="6" max="6" width="12.140625" style="553" customWidth="1"/>
    <col min="7" max="7" width="14.7109375" style="553" customWidth="1"/>
    <col min="8" max="8" width="3.5703125" style="553" customWidth="1"/>
    <col min="9" max="9" width="10.5703125" style="553" customWidth="1"/>
    <col min="10" max="10" width="14.42578125" style="553" customWidth="1"/>
    <col min="11" max="16384" width="9.140625" style="553"/>
  </cols>
  <sheetData>
    <row r="1" spans="1:13" ht="7.5" customHeight="1" x14ac:dyDescent="0.25">
      <c r="A1" s="552"/>
      <c r="F1" s="496"/>
      <c r="G1" s="496"/>
      <c r="H1" s="496"/>
      <c r="I1" s="496"/>
    </row>
    <row r="2" spans="1:13" ht="17.25" customHeight="1" x14ac:dyDescent="0.25">
      <c r="A2" s="552"/>
      <c r="B2" s="1497" t="s">
        <v>1612</v>
      </c>
      <c r="C2" s="1498"/>
      <c r="E2" s="496"/>
      <c r="F2" s="934" t="s">
        <v>1651</v>
      </c>
      <c r="G2" s="885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2  0  2  1  8  7  0  2  9  0</v>
      </c>
      <c r="H2" s="575"/>
      <c r="I2" s="574"/>
    </row>
    <row r="3" spans="1:13" ht="7.5" customHeight="1" thickBot="1" x14ac:dyDescent="0.3">
      <c r="A3" s="552"/>
    </row>
    <row r="4" spans="1:13" s="571" customFormat="1" ht="11.25" customHeight="1" x14ac:dyDescent="0.25">
      <c r="A4" s="1502" t="s">
        <v>1652</v>
      </c>
      <c r="B4" s="1504" t="s">
        <v>1653</v>
      </c>
      <c r="C4" s="1506" t="s">
        <v>1654</v>
      </c>
      <c r="D4" s="1431" t="s">
        <v>1655</v>
      </c>
      <c r="E4" s="1432"/>
      <c r="F4" s="1432"/>
      <c r="G4" s="1432"/>
      <c r="H4" s="1433"/>
      <c r="I4" s="1429" t="s">
        <v>1633</v>
      </c>
      <c r="J4" s="1430"/>
    </row>
    <row r="5" spans="1:13" s="571" customFormat="1" ht="11.25" customHeight="1" x14ac:dyDescent="0.25">
      <c r="A5" s="1503"/>
      <c r="B5" s="1505"/>
      <c r="C5" s="1507"/>
      <c r="D5" s="1450">
        <v>1</v>
      </c>
      <c r="E5" s="1417" t="s">
        <v>1656</v>
      </c>
      <c r="F5" s="1509"/>
      <c r="G5" s="1565" t="s">
        <v>1262</v>
      </c>
      <c r="H5" s="1566"/>
      <c r="I5" s="1419"/>
      <c r="J5" s="1428"/>
    </row>
    <row r="6" spans="1:13" s="571" customFormat="1" ht="12" customHeight="1" x14ac:dyDescent="0.25">
      <c r="A6" s="1471"/>
      <c r="B6" s="1470"/>
      <c r="C6" s="1477"/>
      <c r="D6" s="1508"/>
      <c r="E6" s="1417" t="s">
        <v>1657</v>
      </c>
      <c r="F6" s="1509"/>
      <c r="G6" s="1567"/>
      <c r="H6" s="1568"/>
      <c r="I6" s="1417" t="s">
        <v>1260</v>
      </c>
      <c r="J6" s="1418"/>
    </row>
    <row r="7" spans="1:13" s="573" customFormat="1" ht="27.95" customHeight="1" x14ac:dyDescent="0.25">
      <c r="A7" s="1462"/>
      <c r="B7" s="1564" t="s">
        <v>1658</v>
      </c>
      <c r="C7" s="1458" t="s">
        <v>522</v>
      </c>
      <c r="D7" s="1416">
        <f>BS!D10</f>
        <v>911119</v>
      </c>
      <c r="E7" s="1416"/>
      <c r="F7" s="1416"/>
      <c r="G7" s="1412">
        <f>BS!F10</f>
        <v>911119</v>
      </c>
      <c r="H7" s="1413"/>
      <c r="I7" s="1415"/>
      <c r="J7" s="572"/>
    </row>
    <row r="8" spans="1:13" s="573" customFormat="1" ht="27.95" customHeight="1" x14ac:dyDescent="0.25">
      <c r="A8" s="1462"/>
      <c r="B8" s="1512"/>
      <c r="C8" s="1458"/>
      <c r="D8" s="1416">
        <f>BS!E10</f>
        <v>0</v>
      </c>
      <c r="E8" s="1416"/>
      <c r="F8" s="1416"/>
      <c r="G8" s="851"/>
      <c r="H8" s="1412">
        <f>BS!G10</f>
        <v>744558</v>
      </c>
      <c r="I8" s="1413"/>
      <c r="J8" s="1414"/>
      <c r="M8" s="573" t="s">
        <v>1177</v>
      </c>
    </row>
    <row r="9" spans="1:13" s="573" customFormat="1" ht="27.95" customHeight="1" x14ac:dyDescent="0.25">
      <c r="A9" s="1456" t="s">
        <v>523</v>
      </c>
      <c r="B9" s="1569" t="s">
        <v>1659</v>
      </c>
      <c r="C9" s="1458" t="s">
        <v>525</v>
      </c>
      <c r="D9" s="1416">
        <f>BS!D11</f>
        <v>0</v>
      </c>
      <c r="E9" s="1416"/>
      <c r="F9" s="1416"/>
      <c r="G9" s="1412">
        <f>BS!F11</f>
        <v>0</v>
      </c>
      <c r="H9" s="1413"/>
      <c r="I9" s="1415"/>
      <c r="J9" s="572"/>
    </row>
    <row r="10" spans="1:13" s="573" customFormat="1" ht="27.95" customHeight="1" x14ac:dyDescent="0.25">
      <c r="A10" s="1456"/>
      <c r="B10" s="1478"/>
      <c r="C10" s="1458"/>
      <c r="D10" s="1416">
        <f>BS!E11</f>
        <v>0</v>
      </c>
      <c r="E10" s="1416"/>
      <c r="F10" s="1416"/>
      <c r="G10" s="851"/>
      <c r="H10" s="1412">
        <f>BS!G11</f>
        <v>0</v>
      </c>
      <c r="I10" s="1413"/>
      <c r="J10" s="1414"/>
    </row>
    <row r="11" spans="1:13" s="573" customFormat="1" ht="27.95" customHeight="1" x14ac:dyDescent="0.25">
      <c r="A11" s="1456" t="s">
        <v>526</v>
      </c>
      <c r="B11" s="1569" t="s">
        <v>1660</v>
      </c>
      <c r="C11" s="1458" t="s">
        <v>528</v>
      </c>
      <c r="D11" s="1416">
        <f>BS!D12</f>
        <v>0</v>
      </c>
      <c r="E11" s="1416"/>
      <c r="F11" s="1416"/>
      <c r="G11" s="1412">
        <f>BS!F12</f>
        <v>0</v>
      </c>
      <c r="H11" s="1413"/>
      <c r="I11" s="1415"/>
      <c r="J11" s="888"/>
    </row>
    <row r="12" spans="1:13" s="573" customFormat="1" ht="27.95" customHeight="1" x14ac:dyDescent="0.25">
      <c r="A12" s="1456"/>
      <c r="B12" s="1478"/>
      <c r="C12" s="1458"/>
      <c r="D12" s="1416">
        <f>BS!E12</f>
        <v>0</v>
      </c>
      <c r="E12" s="1416"/>
      <c r="F12" s="1416"/>
      <c r="G12" s="851"/>
      <c r="H12" s="1412">
        <f>BS!G12</f>
        <v>0</v>
      </c>
      <c r="I12" s="1413"/>
      <c r="J12" s="1414"/>
    </row>
    <row r="13" spans="1:13" s="571" customFormat="1" ht="27.95" customHeight="1" x14ac:dyDescent="0.25">
      <c r="A13" s="1452" t="s">
        <v>529</v>
      </c>
      <c r="B13" s="1529" t="s">
        <v>1661</v>
      </c>
      <c r="C13" s="1454" t="s">
        <v>531</v>
      </c>
      <c r="D13" s="1416">
        <f>BS!D13</f>
        <v>0</v>
      </c>
      <c r="E13" s="1416"/>
      <c r="F13" s="1416"/>
      <c r="G13" s="1412">
        <f>BS!F13</f>
        <v>0</v>
      </c>
      <c r="H13" s="1413"/>
      <c r="I13" s="1415"/>
      <c r="J13" s="572"/>
    </row>
    <row r="14" spans="1:13" s="571" customFormat="1" ht="27.95" customHeight="1" x14ac:dyDescent="0.25">
      <c r="A14" s="1453"/>
      <c r="B14" s="1481"/>
      <c r="C14" s="1455"/>
      <c r="D14" s="1416">
        <f>BS!E13</f>
        <v>0</v>
      </c>
      <c r="E14" s="1416"/>
      <c r="F14" s="1416"/>
      <c r="G14" s="851"/>
      <c r="H14" s="1412">
        <f>BS!G13</f>
        <v>0</v>
      </c>
      <c r="I14" s="1413"/>
      <c r="J14" s="1414"/>
    </row>
    <row r="15" spans="1:13" s="571" customFormat="1" ht="27.95" customHeight="1" x14ac:dyDescent="0.25">
      <c r="A15" s="1451" t="s">
        <v>532</v>
      </c>
      <c r="B15" s="1529" t="s">
        <v>1662</v>
      </c>
      <c r="C15" s="1454" t="s">
        <v>534</v>
      </c>
      <c r="D15" s="1416">
        <f>BS!D14</f>
        <v>0</v>
      </c>
      <c r="E15" s="1416"/>
      <c r="F15" s="1416"/>
      <c r="G15" s="1412">
        <f>BS!F14</f>
        <v>0</v>
      </c>
      <c r="H15" s="1413"/>
      <c r="I15" s="1415"/>
      <c r="J15" s="572"/>
    </row>
    <row r="16" spans="1:13" s="571" customFormat="1" ht="27.95" customHeight="1" x14ac:dyDescent="0.25">
      <c r="A16" s="1451"/>
      <c r="B16" s="1481"/>
      <c r="C16" s="1455"/>
      <c r="D16" s="1416">
        <f>BS!E14</f>
        <v>0</v>
      </c>
      <c r="E16" s="1416"/>
      <c r="F16" s="1416"/>
      <c r="G16" s="851"/>
      <c r="H16" s="1412">
        <f>BS!G14</f>
        <v>0</v>
      </c>
      <c r="I16" s="1413"/>
      <c r="J16" s="1414"/>
    </row>
    <row r="17" spans="1:10" s="571" customFormat="1" ht="27.95" customHeight="1" x14ac:dyDescent="0.25">
      <c r="A17" s="1451" t="s">
        <v>535</v>
      </c>
      <c r="B17" s="1529" t="s">
        <v>1663</v>
      </c>
      <c r="C17" s="1454" t="s">
        <v>537</v>
      </c>
      <c r="D17" s="1416">
        <f>BS!D15</f>
        <v>0</v>
      </c>
      <c r="E17" s="1416"/>
      <c r="F17" s="1416"/>
      <c r="G17" s="1412">
        <f>BS!F15</f>
        <v>0</v>
      </c>
      <c r="H17" s="1413"/>
      <c r="I17" s="1415"/>
      <c r="J17" s="572"/>
    </row>
    <row r="18" spans="1:10" s="571" customFormat="1" ht="27.95" customHeight="1" x14ac:dyDescent="0.25">
      <c r="A18" s="1451"/>
      <c r="B18" s="1481"/>
      <c r="C18" s="1455"/>
      <c r="D18" s="1416">
        <f>BS!E15</f>
        <v>0</v>
      </c>
      <c r="E18" s="1416"/>
      <c r="F18" s="1416"/>
      <c r="G18" s="851"/>
      <c r="H18" s="1412">
        <f>BS!G15</f>
        <v>0</v>
      </c>
      <c r="I18" s="1413"/>
      <c r="J18" s="1414"/>
    </row>
    <row r="19" spans="1:10" s="571" customFormat="1" ht="27.95" customHeight="1" x14ac:dyDescent="0.25">
      <c r="A19" s="1451" t="s">
        <v>538</v>
      </c>
      <c r="B19" s="1529" t="s">
        <v>1664</v>
      </c>
      <c r="C19" s="1454" t="s">
        <v>540</v>
      </c>
      <c r="D19" s="1416">
        <f>BS!D16</f>
        <v>0</v>
      </c>
      <c r="E19" s="1416"/>
      <c r="F19" s="1416"/>
      <c r="G19" s="1412">
        <f>BS!F16</f>
        <v>0</v>
      </c>
      <c r="H19" s="1413"/>
      <c r="I19" s="1415"/>
      <c r="J19" s="572"/>
    </row>
    <row r="20" spans="1:10" s="571" customFormat="1" ht="27.95" customHeight="1" x14ac:dyDescent="0.25">
      <c r="A20" s="1451"/>
      <c r="B20" s="1481"/>
      <c r="C20" s="1455"/>
      <c r="D20" s="1416">
        <f>BS!E16</f>
        <v>0</v>
      </c>
      <c r="E20" s="1416"/>
      <c r="F20" s="1416"/>
      <c r="G20" s="851"/>
      <c r="H20" s="1412">
        <f>BS!G16</f>
        <v>0</v>
      </c>
      <c r="I20" s="1413"/>
      <c r="J20" s="1414"/>
    </row>
    <row r="21" spans="1:10" s="571" customFormat="1" ht="27.95" customHeight="1" x14ac:dyDescent="0.25">
      <c r="A21" s="1451" t="s">
        <v>541</v>
      </c>
      <c r="B21" s="1529" t="s">
        <v>1665</v>
      </c>
      <c r="C21" s="1454" t="s">
        <v>543</v>
      </c>
      <c r="D21" s="1416">
        <f>BS!D17</f>
        <v>0</v>
      </c>
      <c r="E21" s="1416"/>
      <c r="F21" s="1416"/>
      <c r="G21" s="1412">
        <f>BS!F17</f>
        <v>0</v>
      </c>
      <c r="H21" s="1413"/>
      <c r="I21" s="1415"/>
      <c r="J21" s="572"/>
    </row>
    <row r="22" spans="1:10" s="571" customFormat="1" ht="27.95" customHeight="1" x14ac:dyDescent="0.25">
      <c r="A22" s="1451"/>
      <c r="B22" s="1481"/>
      <c r="C22" s="1455"/>
      <c r="D22" s="1416">
        <f>BS!E17</f>
        <v>0</v>
      </c>
      <c r="E22" s="1416"/>
      <c r="F22" s="1416"/>
      <c r="G22" s="851"/>
      <c r="H22" s="1412">
        <f>BS!G17</f>
        <v>0</v>
      </c>
      <c r="I22" s="1413"/>
      <c r="J22" s="1414"/>
    </row>
    <row r="23" spans="1:10" s="571" customFormat="1" ht="27.95" customHeight="1" x14ac:dyDescent="0.25">
      <c r="A23" s="1451" t="s">
        <v>544</v>
      </c>
      <c r="B23" s="1529" t="s">
        <v>1666</v>
      </c>
      <c r="C23" s="1454" t="s">
        <v>546</v>
      </c>
      <c r="D23" s="1416">
        <f>BS!D18</f>
        <v>0</v>
      </c>
      <c r="E23" s="1416"/>
      <c r="F23" s="1416"/>
      <c r="G23" s="1412">
        <f>BS!F18</f>
        <v>0</v>
      </c>
      <c r="H23" s="1413"/>
      <c r="I23" s="1415"/>
      <c r="J23" s="572"/>
    </row>
    <row r="24" spans="1:10" s="571" customFormat="1" ht="27.95" customHeight="1" x14ac:dyDescent="0.25">
      <c r="A24" s="1451"/>
      <c r="B24" s="1481"/>
      <c r="C24" s="1455"/>
      <c r="D24" s="1416">
        <f>BS!E18</f>
        <v>0</v>
      </c>
      <c r="E24" s="1416"/>
      <c r="F24" s="1416"/>
      <c r="G24" s="851"/>
      <c r="H24" s="1412">
        <f>BS!G18</f>
        <v>0</v>
      </c>
      <c r="I24" s="1413"/>
      <c r="J24" s="1414"/>
    </row>
    <row r="25" spans="1:10" s="571" customFormat="1" ht="27.95" customHeight="1" x14ac:dyDescent="0.25">
      <c r="A25" s="1451" t="s">
        <v>547</v>
      </c>
      <c r="B25" s="1529" t="s">
        <v>1667</v>
      </c>
      <c r="C25" s="1454" t="s">
        <v>549</v>
      </c>
      <c r="D25" s="1416">
        <f>BS!D19</f>
        <v>0</v>
      </c>
      <c r="E25" s="1416"/>
      <c r="F25" s="1416"/>
      <c r="G25" s="1412">
        <f>BS!F19</f>
        <v>0</v>
      </c>
      <c r="H25" s="1413"/>
      <c r="I25" s="1415"/>
      <c r="J25" s="572"/>
    </row>
    <row r="26" spans="1:10" s="571" customFormat="1" ht="27.95" customHeight="1" x14ac:dyDescent="0.25">
      <c r="A26" s="1451"/>
      <c r="B26" s="1481"/>
      <c r="C26" s="1455"/>
      <c r="D26" s="1416">
        <f>BS!E19</f>
        <v>0</v>
      </c>
      <c r="E26" s="1416"/>
      <c r="F26" s="1416"/>
      <c r="G26" s="851"/>
      <c r="H26" s="1412">
        <f>BS!G19</f>
        <v>0</v>
      </c>
      <c r="I26" s="1413"/>
      <c r="J26" s="1414"/>
    </row>
    <row r="27" spans="1:10" s="573" customFormat="1" ht="27.95" customHeight="1" x14ac:dyDescent="0.25">
      <c r="A27" s="1465" t="s">
        <v>550</v>
      </c>
      <c r="B27" s="1564" t="s">
        <v>1668</v>
      </c>
      <c r="C27" s="1466" t="s">
        <v>552</v>
      </c>
      <c r="D27" s="1416">
        <f>BS!D20</f>
        <v>0</v>
      </c>
      <c r="E27" s="1416"/>
      <c r="F27" s="1416"/>
      <c r="G27" s="1412">
        <f>BS!F20</f>
        <v>0</v>
      </c>
      <c r="H27" s="1413"/>
      <c r="I27" s="1415"/>
      <c r="J27" s="572"/>
    </row>
    <row r="28" spans="1:10" s="573" customFormat="1" ht="27.95" customHeight="1" x14ac:dyDescent="0.25">
      <c r="A28" s="1456"/>
      <c r="B28" s="1512"/>
      <c r="C28" s="1467"/>
      <c r="D28" s="1416">
        <f>BS!E20</f>
        <v>0</v>
      </c>
      <c r="E28" s="1416"/>
      <c r="F28" s="1416"/>
      <c r="G28" s="851"/>
      <c r="H28" s="1412">
        <f>BS!G20</f>
        <v>0</v>
      </c>
      <c r="I28" s="1413"/>
      <c r="J28" s="1414"/>
    </row>
    <row r="29" spans="1:10" s="571" customFormat="1" ht="27.95" customHeight="1" x14ac:dyDescent="0.25">
      <c r="A29" s="1452" t="s">
        <v>553</v>
      </c>
      <c r="B29" s="1529" t="s">
        <v>1669</v>
      </c>
      <c r="C29" s="1454" t="s">
        <v>555</v>
      </c>
      <c r="D29" s="1416">
        <f>BS!D21</f>
        <v>0</v>
      </c>
      <c r="E29" s="1416"/>
      <c r="F29" s="1416"/>
      <c r="G29" s="1412">
        <f>BS!F21</f>
        <v>0</v>
      </c>
      <c r="H29" s="1413"/>
      <c r="I29" s="1415"/>
      <c r="J29" s="572"/>
    </row>
    <row r="30" spans="1:10" s="571" customFormat="1" ht="27.95" customHeight="1" x14ac:dyDescent="0.25">
      <c r="A30" s="1468"/>
      <c r="B30" s="1481"/>
      <c r="C30" s="1455"/>
      <c r="D30" s="1416">
        <f>BS!E21</f>
        <v>0</v>
      </c>
      <c r="E30" s="1416"/>
      <c r="F30" s="1416"/>
      <c r="G30" s="851"/>
      <c r="H30" s="1412">
        <f>BS!G21</f>
        <v>0</v>
      </c>
      <c r="I30" s="1413"/>
      <c r="J30" s="1414"/>
    </row>
    <row r="31" spans="1:10" s="571" customFormat="1" ht="27.95" customHeight="1" x14ac:dyDescent="0.25">
      <c r="A31" s="1451" t="s">
        <v>532</v>
      </c>
      <c r="B31" s="1529" t="s">
        <v>1670</v>
      </c>
      <c r="C31" s="1454" t="s">
        <v>557</v>
      </c>
      <c r="D31" s="1416">
        <f>BS!D22</f>
        <v>0</v>
      </c>
      <c r="E31" s="1416"/>
      <c r="F31" s="1416"/>
      <c r="G31" s="1520">
        <f>BS!F22</f>
        <v>0</v>
      </c>
      <c r="H31" s="1521"/>
      <c r="I31" s="1522"/>
      <c r="J31" s="572"/>
    </row>
    <row r="32" spans="1:10" s="571" customFormat="1" ht="27.95" customHeight="1" thickBot="1" x14ac:dyDescent="0.3">
      <c r="A32" s="1451"/>
      <c r="B32" s="1481"/>
      <c r="C32" s="1455"/>
      <c r="D32" s="1416">
        <f>BS!E22</f>
        <v>0</v>
      </c>
      <c r="E32" s="1416"/>
      <c r="F32" s="1416"/>
      <c r="G32" s="851"/>
      <c r="H32" s="1412">
        <f>BS!G22</f>
        <v>0</v>
      </c>
      <c r="I32" s="1413"/>
      <c r="J32" s="1414"/>
    </row>
    <row r="33" spans="1:10" s="571" customFormat="1" ht="11.25" customHeight="1" x14ac:dyDescent="0.25">
      <c r="A33" s="1502" t="s">
        <v>1652</v>
      </c>
      <c r="B33" s="1504" t="s">
        <v>1653</v>
      </c>
      <c r="C33" s="1506" t="s">
        <v>1654</v>
      </c>
      <c r="D33" s="1431" t="s">
        <v>1655</v>
      </c>
      <c r="E33" s="1432"/>
      <c r="F33" s="1432"/>
      <c r="G33" s="1432"/>
      <c r="H33" s="1433"/>
      <c r="I33" s="1429" t="s">
        <v>1633</v>
      </c>
      <c r="J33" s="1430"/>
    </row>
    <row r="34" spans="1:10" s="571" customFormat="1" ht="11.25" customHeight="1" x14ac:dyDescent="0.25">
      <c r="A34" s="1503"/>
      <c r="B34" s="1505"/>
      <c r="C34" s="1507"/>
      <c r="D34" s="1450">
        <v>1</v>
      </c>
      <c r="E34" s="1417" t="s">
        <v>1656</v>
      </c>
      <c r="F34" s="1509"/>
      <c r="G34" s="1565" t="s">
        <v>1262</v>
      </c>
      <c r="H34" s="1566"/>
      <c r="I34" s="1419"/>
      <c r="J34" s="1428"/>
    </row>
    <row r="35" spans="1:10" s="571" customFormat="1" ht="12" customHeight="1" x14ac:dyDescent="0.25">
      <c r="A35" s="1471"/>
      <c r="B35" s="1470"/>
      <c r="C35" s="1477"/>
      <c r="D35" s="1508"/>
      <c r="E35" s="1417" t="s">
        <v>1657</v>
      </c>
      <c r="F35" s="1509"/>
      <c r="G35" s="1567"/>
      <c r="H35" s="1568"/>
      <c r="I35" s="1417" t="s">
        <v>1260</v>
      </c>
      <c r="J35" s="1418"/>
    </row>
    <row r="36" spans="1:10" ht="27.95" customHeight="1" x14ac:dyDescent="0.25">
      <c r="A36" s="1480" t="s">
        <v>535</v>
      </c>
      <c r="B36" s="1529" t="s">
        <v>1671</v>
      </c>
      <c r="C36" s="1455" t="s">
        <v>559</v>
      </c>
      <c r="D36" s="1523">
        <f>BS!D23</f>
        <v>0</v>
      </c>
      <c r="E36" s="1523"/>
      <c r="F36" s="1523"/>
      <c r="G36" s="1524">
        <f>BS!F23</f>
        <v>0</v>
      </c>
      <c r="H36" s="1525"/>
      <c r="I36" s="1526"/>
      <c r="J36" s="889"/>
    </row>
    <row r="37" spans="1:10" ht="27.95" customHeight="1" x14ac:dyDescent="0.25">
      <c r="A37" s="1451"/>
      <c r="B37" s="1481"/>
      <c r="C37" s="1446"/>
      <c r="D37" s="1416">
        <f>BS!E23</f>
        <v>0</v>
      </c>
      <c r="E37" s="1416"/>
      <c r="F37" s="1416"/>
      <c r="G37" s="890"/>
      <c r="H37" s="1412">
        <f>BS!G23</f>
        <v>0</v>
      </c>
      <c r="I37" s="1413"/>
      <c r="J37" s="1414"/>
    </row>
    <row r="38" spans="1:10" ht="27.95" customHeight="1" x14ac:dyDescent="0.25">
      <c r="A38" s="1451" t="s">
        <v>538</v>
      </c>
      <c r="B38" s="1529" t="s">
        <v>1672</v>
      </c>
      <c r="C38" s="1446" t="s">
        <v>561</v>
      </c>
      <c r="D38" s="1416">
        <f>BS!D24</f>
        <v>0</v>
      </c>
      <c r="E38" s="1416"/>
      <c r="F38" s="1416"/>
      <c r="G38" s="1412">
        <f>BS!F24</f>
        <v>0</v>
      </c>
      <c r="H38" s="1413"/>
      <c r="I38" s="1415"/>
      <c r="J38" s="889"/>
    </row>
    <row r="39" spans="1:10" ht="27.95" customHeight="1" x14ac:dyDescent="0.25">
      <c r="A39" s="1451"/>
      <c r="B39" s="1481"/>
      <c r="C39" s="1446"/>
      <c r="D39" s="1416">
        <f>BS!E24</f>
        <v>0</v>
      </c>
      <c r="E39" s="1416"/>
      <c r="F39" s="1416"/>
      <c r="G39" s="890"/>
      <c r="H39" s="1412">
        <f>BS!G24</f>
        <v>0</v>
      </c>
      <c r="I39" s="1413"/>
      <c r="J39" s="1414"/>
    </row>
    <row r="40" spans="1:10" ht="27.95" customHeight="1" x14ac:dyDescent="0.25">
      <c r="A40" s="1451" t="s">
        <v>541</v>
      </c>
      <c r="B40" s="1529" t="s">
        <v>1673</v>
      </c>
      <c r="C40" s="1455" t="s">
        <v>563</v>
      </c>
      <c r="D40" s="1416">
        <f>BS!D25</f>
        <v>0</v>
      </c>
      <c r="E40" s="1416"/>
      <c r="F40" s="1416"/>
      <c r="G40" s="1412">
        <f>BS!F25</f>
        <v>0</v>
      </c>
      <c r="H40" s="1413"/>
      <c r="I40" s="1415"/>
      <c r="J40" s="889"/>
    </row>
    <row r="41" spans="1:10" ht="27.95" customHeight="1" x14ac:dyDescent="0.25">
      <c r="A41" s="1451"/>
      <c r="B41" s="1481"/>
      <c r="C41" s="1446"/>
      <c r="D41" s="1416">
        <f>BS!E25</f>
        <v>0</v>
      </c>
      <c r="E41" s="1416"/>
      <c r="F41" s="1416"/>
      <c r="G41" s="890"/>
      <c r="H41" s="1412">
        <f>BS!G25</f>
        <v>0</v>
      </c>
      <c r="I41" s="1413"/>
      <c r="J41" s="1414"/>
    </row>
    <row r="42" spans="1:10" ht="27.95" customHeight="1" x14ac:dyDescent="0.25">
      <c r="A42" s="1451" t="s">
        <v>544</v>
      </c>
      <c r="B42" s="1529" t="s">
        <v>1674</v>
      </c>
      <c r="C42" s="1446" t="s">
        <v>565</v>
      </c>
      <c r="D42" s="1416">
        <f>BS!D26</f>
        <v>0</v>
      </c>
      <c r="E42" s="1416"/>
      <c r="F42" s="1416"/>
      <c r="G42" s="1412">
        <f>BS!F26</f>
        <v>0</v>
      </c>
      <c r="H42" s="1413"/>
      <c r="I42" s="1415"/>
      <c r="J42" s="889"/>
    </row>
    <row r="43" spans="1:10" ht="27.95" customHeight="1" x14ac:dyDescent="0.25">
      <c r="A43" s="1451"/>
      <c r="B43" s="1481"/>
      <c r="C43" s="1446"/>
      <c r="D43" s="1416">
        <f>BS!E26</f>
        <v>0</v>
      </c>
      <c r="E43" s="1416"/>
      <c r="F43" s="1416"/>
      <c r="G43" s="890"/>
      <c r="H43" s="1412">
        <f>BS!G26</f>
        <v>0</v>
      </c>
      <c r="I43" s="1413"/>
      <c r="J43" s="1414"/>
    </row>
    <row r="44" spans="1:10" ht="27.95" customHeight="1" x14ac:dyDescent="0.25">
      <c r="A44" s="1451" t="s">
        <v>547</v>
      </c>
      <c r="B44" s="1529" t="s">
        <v>1675</v>
      </c>
      <c r="C44" s="1455" t="s">
        <v>567</v>
      </c>
      <c r="D44" s="1416">
        <f>BS!D27</f>
        <v>0</v>
      </c>
      <c r="E44" s="1416"/>
      <c r="F44" s="1416"/>
      <c r="G44" s="1412">
        <f>BS!F27</f>
        <v>0</v>
      </c>
      <c r="H44" s="1413"/>
      <c r="I44" s="1415"/>
      <c r="J44" s="889"/>
    </row>
    <row r="45" spans="1:10" ht="27.95" customHeight="1" x14ac:dyDescent="0.25">
      <c r="A45" s="1451"/>
      <c r="B45" s="1481"/>
      <c r="C45" s="1446"/>
      <c r="D45" s="1416">
        <f>BS!E27</f>
        <v>0</v>
      </c>
      <c r="E45" s="1416"/>
      <c r="F45" s="1416"/>
      <c r="G45" s="890"/>
      <c r="H45" s="1412">
        <f>BS!G27</f>
        <v>0</v>
      </c>
      <c r="I45" s="1413"/>
      <c r="J45" s="1414"/>
    </row>
    <row r="46" spans="1:10" ht="27.95" customHeight="1" x14ac:dyDescent="0.25">
      <c r="A46" s="1451" t="s">
        <v>568</v>
      </c>
      <c r="B46" s="1529" t="s">
        <v>1676</v>
      </c>
      <c r="C46" s="1446" t="s">
        <v>570</v>
      </c>
      <c r="D46" s="1416">
        <f>BS!D28</f>
        <v>0</v>
      </c>
      <c r="E46" s="1416"/>
      <c r="F46" s="1416"/>
      <c r="G46" s="1412">
        <f>BS!F28</f>
        <v>0</v>
      </c>
      <c r="H46" s="1413"/>
      <c r="I46" s="1415"/>
      <c r="J46" s="889"/>
    </row>
    <row r="47" spans="1:10" ht="27.95" customHeight="1" x14ac:dyDescent="0.25">
      <c r="A47" s="1451"/>
      <c r="B47" s="1481"/>
      <c r="C47" s="1446"/>
      <c r="D47" s="1416">
        <f>BS!E28</f>
        <v>0</v>
      </c>
      <c r="E47" s="1416"/>
      <c r="F47" s="1416"/>
      <c r="G47" s="890"/>
      <c r="H47" s="1412">
        <f>BS!G28</f>
        <v>0</v>
      </c>
      <c r="I47" s="1413"/>
      <c r="J47" s="1414"/>
    </row>
    <row r="48" spans="1:10" ht="27.95" customHeight="1" x14ac:dyDescent="0.25">
      <c r="A48" s="1451" t="s">
        <v>571</v>
      </c>
      <c r="B48" s="1529" t="s">
        <v>1677</v>
      </c>
      <c r="C48" s="1455" t="s">
        <v>573</v>
      </c>
      <c r="D48" s="1416">
        <f>BS!D29</f>
        <v>0</v>
      </c>
      <c r="E48" s="1416"/>
      <c r="F48" s="1416"/>
      <c r="G48" s="1412">
        <f>BS!F29</f>
        <v>0</v>
      </c>
      <c r="H48" s="1413"/>
      <c r="I48" s="1415"/>
      <c r="J48" s="889"/>
    </row>
    <row r="49" spans="1:10" ht="27.95" customHeight="1" x14ac:dyDescent="0.25">
      <c r="A49" s="1451"/>
      <c r="B49" s="1481"/>
      <c r="C49" s="1446"/>
      <c r="D49" s="1416">
        <f>BS!E29</f>
        <v>0</v>
      </c>
      <c r="E49" s="1416"/>
      <c r="F49" s="1416"/>
      <c r="G49" s="891"/>
      <c r="H49" s="1412">
        <f>BS!G29</f>
        <v>0</v>
      </c>
      <c r="I49" s="1413"/>
      <c r="J49" s="1414"/>
    </row>
    <row r="50" spans="1:10" ht="27.95" customHeight="1" x14ac:dyDescent="0.25">
      <c r="A50" s="1465" t="s">
        <v>574</v>
      </c>
      <c r="B50" s="1569" t="s">
        <v>1678</v>
      </c>
      <c r="C50" s="1446" t="s">
        <v>576</v>
      </c>
      <c r="D50" s="1416">
        <f>BS!D30</f>
        <v>0</v>
      </c>
      <c r="E50" s="1416"/>
      <c r="F50" s="1416"/>
      <c r="G50" s="1412">
        <f>BS!F30</f>
        <v>0</v>
      </c>
      <c r="H50" s="1413"/>
      <c r="I50" s="1415"/>
      <c r="J50" s="889"/>
    </row>
    <row r="51" spans="1:10" ht="27.95" customHeight="1" x14ac:dyDescent="0.25">
      <c r="A51" s="1465"/>
      <c r="B51" s="1478"/>
      <c r="C51" s="1446"/>
      <c r="D51" s="1416">
        <f>BS!E30</f>
        <v>0</v>
      </c>
      <c r="E51" s="1416"/>
      <c r="F51" s="1416"/>
      <c r="G51" s="891"/>
      <c r="H51" s="1412">
        <f>BS!G30</f>
        <v>0</v>
      </c>
      <c r="I51" s="1413"/>
      <c r="J51" s="1414"/>
    </row>
    <row r="52" spans="1:10" s="501" customFormat="1" ht="27.95" customHeight="1" x14ac:dyDescent="0.25">
      <c r="A52" s="1469" t="s">
        <v>577</v>
      </c>
      <c r="B52" s="1529" t="s">
        <v>1679</v>
      </c>
      <c r="C52" s="1455" t="s">
        <v>579</v>
      </c>
      <c r="D52" s="1416">
        <f>BS!D31</f>
        <v>0</v>
      </c>
      <c r="E52" s="1416"/>
      <c r="F52" s="1416"/>
      <c r="G52" s="1412">
        <f>BS!F31</f>
        <v>0</v>
      </c>
      <c r="H52" s="1413"/>
      <c r="I52" s="1415"/>
      <c r="J52" s="889"/>
    </row>
    <row r="53" spans="1:10" s="501" customFormat="1" ht="27.95" customHeight="1" x14ac:dyDescent="0.25">
      <c r="A53" s="1469"/>
      <c r="B53" s="1481"/>
      <c r="C53" s="1446"/>
      <c r="D53" s="1416">
        <f>BS!E31</f>
        <v>0</v>
      </c>
      <c r="E53" s="1416"/>
      <c r="F53" s="1416"/>
      <c r="G53" s="891"/>
      <c r="H53" s="1412">
        <f>BS!G31</f>
        <v>0</v>
      </c>
      <c r="I53" s="1413"/>
      <c r="J53" s="1414"/>
    </row>
    <row r="54" spans="1:10" ht="27.95" customHeight="1" x14ac:dyDescent="0.25">
      <c r="A54" s="1451" t="s">
        <v>532</v>
      </c>
      <c r="B54" s="1529" t="s">
        <v>1680</v>
      </c>
      <c r="C54" s="1446" t="s">
        <v>581</v>
      </c>
      <c r="D54" s="1416">
        <f>BS!D32</f>
        <v>0</v>
      </c>
      <c r="E54" s="1416"/>
      <c r="F54" s="1416"/>
      <c r="G54" s="1412">
        <f>BS!F32</f>
        <v>0</v>
      </c>
      <c r="H54" s="1413"/>
      <c r="I54" s="1415"/>
      <c r="J54" s="889"/>
    </row>
    <row r="55" spans="1:10" ht="27.95" customHeight="1" x14ac:dyDescent="0.25">
      <c r="A55" s="1451"/>
      <c r="B55" s="1481"/>
      <c r="C55" s="1446"/>
      <c r="D55" s="1416">
        <f>BS!E32</f>
        <v>0</v>
      </c>
      <c r="E55" s="1416"/>
      <c r="F55" s="1416"/>
      <c r="G55" s="891"/>
      <c r="H55" s="1412">
        <f>BS!G32</f>
        <v>0</v>
      </c>
      <c r="I55" s="1413"/>
      <c r="J55" s="1414"/>
    </row>
    <row r="56" spans="1:10" ht="27.95" customHeight="1" x14ac:dyDescent="0.25">
      <c r="A56" s="1451" t="s">
        <v>535</v>
      </c>
      <c r="B56" s="1529" t="s">
        <v>1681</v>
      </c>
      <c r="C56" s="1455" t="s">
        <v>583</v>
      </c>
      <c r="D56" s="1416">
        <f>BS!D33</f>
        <v>0</v>
      </c>
      <c r="E56" s="1416"/>
      <c r="F56" s="1416"/>
      <c r="G56" s="1412">
        <f>BS!F33</f>
        <v>0</v>
      </c>
      <c r="H56" s="1413"/>
      <c r="I56" s="1415"/>
      <c r="J56" s="889"/>
    </row>
    <row r="57" spans="1:10" ht="27.95" customHeight="1" x14ac:dyDescent="0.25">
      <c r="A57" s="1451"/>
      <c r="B57" s="1481"/>
      <c r="C57" s="1446"/>
      <c r="D57" s="1416">
        <f>BS!E33</f>
        <v>0</v>
      </c>
      <c r="E57" s="1416"/>
      <c r="F57" s="1416"/>
      <c r="G57" s="891"/>
      <c r="H57" s="1412">
        <f>BS!G33</f>
        <v>0</v>
      </c>
      <c r="I57" s="1413"/>
      <c r="J57" s="1414"/>
    </row>
    <row r="58" spans="1:10" ht="27.95" customHeight="1" x14ac:dyDescent="0.25">
      <c r="A58" s="1451" t="s">
        <v>538</v>
      </c>
      <c r="B58" s="1529" t="s">
        <v>1682</v>
      </c>
      <c r="C58" s="1446" t="s">
        <v>585</v>
      </c>
      <c r="D58" s="1416">
        <f>BS!D34</f>
        <v>0</v>
      </c>
      <c r="E58" s="1416"/>
      <c r="F58" s="1416"/>
      <c r="G58" s="1412">
        <f>BS!F34</f>
        <v>0</v>
      </c>
      <c r="H58" s="1413"/>
      <c r="I58" s="1415"/>
      <c r="J58" s="889"/>
    </row>
    <row r="59" spans="1:10" ht="27.95" customHeight="1" x14ac:dyDescent="0.25">
      <c r="A59" s="1451"/>
      <c r="B59" s="1481"/>
      <c r="C59" s="1446"/>
      <c r="D59" s="1416">
        <f>BS!E34</f>
        <v>0</v>
      </c>
      <c r="E59" s="1416"/>
      <c r="F59" s="1416"/>
      <c r="G59" s="891"/>
      <c r="H59" s="1412">
        <f>BS!G34</f>
        <v>0</v>
      </c>
      <c r="I59" s="1413"/>
      <c r="J59" s="1414"/>
    </row>
    <row r="60" spans="1:10" ht="27.95" customHeight="1" x14ac:dyDescent="0.25">
      <c r="A60" s="1451" t="s">
        <v>541</v>
      </c>
      <c r="B60" s="1529" t="s">
        <v>1683</v>
      </c>
      <c r="C60" s="1455" t="s">
        <v>587</v>
      </c>
      <c r="D60" s="1416">
        <f>BS!D35</f>
        <v>0</v>
      </c>
      <c r="E60" s="1416"/>
      <c r="F60" s="1416"/>
      <c r="G60" s="1412">
        <f>BS!F35</f>
        <v>0</v>
      </c>
      <c r="H60" s="1413"/>
      <c r="I60" s="1415"/>
      <c r="J60" s="889"/>
    </row>
    <row r="61" spans="1:10" ht="27.95" customHeight="1" x14ac:dyDescent="0.25">
      <c r="A61" s="1451"/>
      <c r="B61" s="1481"/>
      <c r="C61" s="1446"/>
      <c r="D61" s="1416">
        <f>BS!E35</f>
        <v>0</v>
      </c>
      <c r="E61" s="1416"/>
      <c r="F61" s="1416"/>
      <c r="G61" s="891"/>
      <c r="H61" s="1412">
        <f>BS!G35</f>
        <v>0</v>
      </c>
      <c r="I61" s="1413"/>
      <c r="J61" s="1414"/>
    </row>
    <row r="62" spans="1:10" ht="27.95" customHeight="1" x14ac:dyDescent="0.25">
      <c r="A62" s="1451" t="s">
        <v>544</v>
      </c>
      <c r="B62" s="1529" t="s">
        <v>1684</v>
      </c>
      <c r="C62" s="1446" t="s">
        <v>589</v>
      </c>
      <c r="D62" s="1416">
        <f>BS!D36</f>
        <v>0</v>
      </c>
      <c r="E62" s="1416"/>
      <c r="F62" s="1416"/>
      <c r="G62" s="1412">
        <f>BS!F36</f>
        <v>0</v>
      </c>
      <c r="H62" s="1413"/>
      <c r="I62" s="1415"/>
      <c r="J62" s="889"/>
    </row>
    <row r="63" spans="1:10" ht="27.95" customHeight="1" thickBot="1" x14ac:dyDescent="0.3">
      <c r="A63" s="1451"/>
      <c r="B63" s="1481"/>
      <c r="C63" s="1446"/>
      <c r="D63" s="1416">
        <f>BS!E36</f>
        <v>0</v>
      </c>
      <c r="E63" s="1416"/>
      <c r="F63" s="1416"/>
      <c r="G63" s="851"/>
      <c r="H63" s="1412">
        <f>BS!G36</f>
        <v>0</v>
      </c>
      <c r="I63" s="1413"/>
      <c r="J63" s="1414"/>
    </row>
    <row r="64" spans="1:10" ht="11.25" customHeight="1" x14ac:dyDescent="0.25">
      <c r="A64" s="1502" t="s">
        <v>1652</v>
      </c>
      <c r="B64" s="1504" t="s">
        <v>1653</v>
      </c>
      <c r="C64" s="1506" t="s">
        <v>1654</v>
      </c>
      <c r="D64" s="1431" t="s">
        <v>1655</v>
      </c>
      <c r="E64" s="1432"/>
      <c r="F64" s="1432"/>
      <c r="G64" s="1432"/>
      <c r="H64" s="1433"/>
      <c r="I64" s="1429" t="s">
        <v>1633</v>
      </c>
      <c r="J64" s="1430"/>
    </row>
    <row r="65" spans="1:10" ht="11.25" customHeight="1" x14ac:dyDescent="0.25">
      <c r="A65" s="1503"/>
      <c r="B65" s="1505"/>
      <c r="C65" s="1507"/>
      <c r="D65" s="1450">
        <v>1</v>
      </c>
      <c r="E65" s="1417" t="s">
        <v>1656</v>
      </c>
      <c r="F65" s="1509"/>
      <c r="G65" s="1565" t="s">
        <v>1262</v>
      </c>
      <c r="H65" s="1566"/>
      <c r="I65" s="1419"/>
      <c r="J65" s="1428"/>
    </row>
    <row r="66" spans="1:10" ht="11.25" customHeight="1" x14ac:dyDescent="0.25">
      <c r="A66" s="1471"/>
      <c r="B66" s="1470"/>
      <c r="C66" s="1477"/>
      <c r="D66" s="1508"/>
      <c r="E66" s="1417" t="s">
        <v>1657</v>
      </c>
      <c r="F66" s="1509"/>
      <c r="G66" s="1567"/>
      <c r="H66" s="1568"/>
      <c r="I66" s="1417" t="s">
        <v>1260</v>
      </c>
      <c r="J66" s="1418"/>
    </row>
    <row r="67" spans="1:10" ht="27.95" customHeight="1" x14ac:dyDescent="0.25">
      <c r="A67" s="1451" t="s">
        <v>547</v>
      </c>
      <c r="B67" s="1529" t="s">
        <v>1685</v>
      </c>
      <c r="C67" s="1446" t="s">
        <v>888</v>
      </c>
      <c r="D67" s="1416">
        <f>BS!D37</f>
        <v>0</v>
      </c>
      <c r="E67" s="1416"/>
      <c r="F67" s="1412"/>
      <c r="G67" s="1412">
        <f>BS!F37</f>
        <v>0</v>
      </c>
      <c r="H67" s="1413"/>
      <c r="I67" s="1415"/>
      <c r="J67" s="889"/>
    </row>
    <row r="68" spans="1:10" ht="27.95" customHeight="1" x14ac:dyDescent="0.25">
      <c r="A68" s="1451"/>
      <c r="B68" s="1481"/>
      <c r="C68" s="1446"/>
      <c r="D68" s="1416">
        <f>BS!E37</f>
        <v>0</v>
      </c>
      <c r="E68" s="1416"/>
      <c r="F68" s="1416"/>
      <c r="G68" s="892"/>
      <c r="H68" s="1412">
        <f>BS!G37</f>
        <v>0</v>
      </c>
      <c r="I68" s="1413"/>
      <c r="J68" s="1414"/>
    </row>
    <row r="69" spans="1:10" ht="27.95" customHeight="1" x14ac:dyDescent="0.25">
      <c r="A69" s="1451" t="s">
        <v>568</v>
      </c>
      <c r="B69" s="1529" t="s">
        <v>1686</v>
      </c>
      <c r="C69" s="1446" t="s">
        <v>891</v>
      </c>
      <c r="D69" s="1416">
        <f>BS!D38</f>
        <v>0</v>
      </c>
      <c r="E69" s="1416"/>
      <c r="F69" s="1412"/>
      <c r="G69" s="1412">
        <f>BS!F38</f>
        <v>0</v>
      </c>
      <c r="H69" s="1413"/>
      <c r="I69" s="1415"/>
      <c r="J69" s="889"/>
    </row>
    <row r="70" spans="1:10" ht="27.95" customHeight="1" x14ac:dyDescent="0.25">
      <c r="A70" s="1451"/>
      <c r="B70" s="1481"/>
      <c r="C70" s="1446"/>
      <c r="D70" s="1416">
        <f>BS!E38</f>
        <v>0</v>
      </c>
      <c r="E70" s="1416"/>
      <c r="F70" s="1416"/>
      <c r="G70" s="892"/>
      <c r="H70" s="1412">
        <f>BS!G38</f>
        <v>0</v>
      </c>
      <c r="I70" s="1413"/>
      <c r="J70" s="1414"/>
    </row>
    <row r="71" spans="1:10" ht="27.95" customHeight="1" x14ac:dyDescent="0.25">
      <c r="A71" s="1456" t="s">
        <v>594</v>
      </c>
      <c r="B71" s="1569" t="s">
        <v>1687</v>
      </c>
      <c r="C71" s="1446" t="s">
        <v>894</v>
      </c>
      <c r="D71" s="1416">
        <f>BS!D39</f>
        <v>911113</v>
      </c>
      <c r="E71" s="1416"/>
      <c r="F71" s="1412"/>
      <c r="G71" s="1412">
        <f>BS!F39</f>
        <v>911113</v>
      </c>
      <c r="H71" s="1413"/>
      <c r="I71" s="1415"/>
      <c r="J71" s="889"/>
    </row>
    <row r="72" spans="1:10" ht="27.95" customHeight="1" x14ac:dyDescent="0.25">
      <c r="A72" s="1456"/>
      <c r="B72" s="1478"/>
      <c r="C72" s="1446"/>
      <c r="D72" s="1416">
        <f>BS!E39</f>
        <v>0</v>
      </c>
      <c r="E72" s="1416"/>
      <c r="F72" s="1416"/>
      <c r="G72" s="892"/>
      <c r="H72" s="1412">
        <f>BS!G39</f>
        <v>744553</v>
      </c>
      <c r="I72" s="1413"/>
      <c r="J72" s="1414"/>
    </row>
    <row r="73" spans="1:10" s="501" customFormat="1" ht="27.95" customHeight="1" x14ac:dyDescent="0.25">
      <c r="A73" s="1465" t="s">
        <v>597</v>
      </c>
      <c r="B73" s="1569" t="s">
        <v>1688</v>
      </c>
      <c r="C73" s="1446" t="s">
        <v>897</v>
      </c>
      <c r="D73" s="1416">
        <f>BS!D40</f>
        <v>0</v>
      </c>
      <c r="E73" s="1416"/>
      <c r="F73" s="1412"/>
      <c r="G73" s="1412">
        <f>BS!F40</f>
        <v>0</v>
      </c>
      <c r="H73" s="1413"/>
      <c r="I73" s="1415"/>
      <c r="J73" s="889"/>
    </row>
    <row r="74" spans="1:10" s="501" customFormat="1" ht="27.95" customHeight="1" x14ac:dyDescent="0.25">
      <c r="A74" s="1456"/>
      <c r="B74" s="1478"/>
      <c r="C74" s="1446"/>
      <c r="D74" s="1416">
        <f>BS!E40</f>
        <v>0</v>
      </c>
      <c r="E74" s="1416"/>
      <c r="F74" s="1416"/>
      <c r="G74" s="892"/>
      <c r="H74" s="1412">
        <f>BS!G40</f>
        <v>0</v>
      </c>
      <c r="I74" s="1413"/>
      <c r="J74" s="1414"/>
    </row>
    <row r="75" spans="1:10" s="501" customFormat="1" ht="27.95" customHeight="1" x14ac:dyDescent="0.25">
      <c r="A75" s="1452" t="s">
        <v>600</v>
      </c>
      <c r="B75" s="1529" t="s">
        <v>1689</v>
      </c>
      <c r="C75" s="1446" t="s">
        <v>900</v>
      </c>
      <c r="D75" s="1416">
        <f>BS!D41</f>
        <v>0</v>
      </c>
      <c r="E75" s="1416"/>
      <c r="F75" s="1412"/>
      <c r="G75" s="1412">
        <f>BS!F41</f>
        <v>0</v>
      </c>
      <c r="H75" s="1413"/>
      <c r="I75" s="1415"/>
      <c r="J75" s="889"/>
    </row>
    <row r="76" spans="1:10" s="501" customFormat="1" ht="27.95" customHeight="1" x14ac:dyDescent="0.25">
      <c r="A76" s="1468"/>
      <c r="B76" s="1481"/>
      <c r="C76" s="1446"/>
      <c r="D76" s="1416">
        <f>BS!E41</f>
        <v>0</v>
      </c>
      <c r="E76" s="1416"/>
      <c r="F76" s="1416"/>
      <c r="G76" s="892"/>
      <c r="H76" s="1412">
        <f>BS!G41</f>
        <v>0</v>
      </c>
      <c r="I76" s="1413"/>
      <c r="J76" s="1414"/>
    </row>
    <row r="77" spans="1:10" ht="27.95" customHeight="1" x14ac:dyDescent="0.25">
      <c r="A77" s="1451" t="s">
        <v>532</v>
      </c>
      <c r="B77" s="1529" t="s">
        <v>1690</v>
      </c>
      <c r="C77" s="1446" t="s">
        <v>903</v>
      </c>
      <c r="D77" s="1416">
        <f>BS!D42</f>
        <v>0</v>
      </c>
      <c r="E77" s="1416"/>
      <c r="F77" s="1412"/>
      <c r="G77" s="1412">
        <f>BS!F42</f>
        <v>0</v>
      </c>
      <c r="H77" s="1413"/>
      <c r="I77" s="1415"/>
      <c r="J77" s="889"/>
    </row>
    <row r="78" spans="1:10" ht="27.95" customHeight="1" x14ac:dyDescent="0.25">
      <c r="A78" s="1451"/>
      <c r="B78" s="1481"/>
      <c r="C78" s="1446"/>
      <c r="D78" s="1416">
        <f>BS!E42</f>
        <v>0</v>
      </c>
      <c r="E78" s="1416"/>
      <c r="F78" s="1416"/>
      <c r="G78" s="892"/>
      <c r="H78" s="1412">
        <f>BS!G42</f>
        <v>0</v>
      </c>
      <c r="I78" s="1413"/>
      <c r="J78" s="1414"/>
    </row>
    <row r="79" spans="1:10" ht="27.95" customHeight="1" x14ac:dyDescent="0.25">
      <c r="A79" s="1451" t="s">
        <v>535</v>
      </c>
      <c r="B79" s="1529" t="s">
        <v>1691</v>
      </c>
      <c r="C79" s="1446" t="s">
        <v>906</v>
      </c>
      <c r="D79" s="1416">
        <f>BS!D43</f>
        <v>0</v>
      </c>
      <c r="E79" s="1416"/>
      <c r="F79" s="1412"/>
      <c r="G79" s="1412">
        <f>BS!F43</f>
        <v>0</v>
      </c>
      <c r="H79" s="1413"/>
      <c r="I79" s="1415"/>
      <c r="J79" s="889"/>
    </row>
    <row r="80" spans="1:10" ht="27.95" customHeight="1" x14ac:dyDescent="0.25">
      <c r="A80" s="1451"/>
      <c r="B80" s="1481"/>
      <c r="C80" s="1446"/>
      <c r="D80" s="1416">
        <f>BS!E43</f>
        <v>0</v>
      </c>
      <c r="E80" s="1416"/>
      <c r="F80" s="1416"/>
      <c r="G80" s="892"/>
      <c r="H80" s="1412">
        <f>BS!G43</f>
        <v>0</v>
      </c>
      <c r="I80" s="1413"/>
      <c r="J80" s="1414"/>
    </row>
    <row r="81" spans="1:10" ht="27.95" customHeight="1" x14ac:dyDescent="0.25">
      <c r="A81" s="1451" t="s">
        <v>538</v>
      </c>
      <c r="B81" s="1529" t="s">
        <v>1692</v>
      </c>
      <c r="C81" s="1446" t="s">
        <v>909</v>
      </c>
      <c r="D81" s="1416">
        <f>BS!D44</f>
        <v>0</v>
      </c>
      <c r="E81" s="1416"/>
      <c r="F81" s="1412"/>
      <c r="G81" s="1412">
        <f>BS!F44</f>
        <v>0</v>
      </c>
      <c r="H81" s="1413"/>
      <c r="I81" s="1415"/>
      <c r="J81" s="889"/>
    </row>
    <row r="82" spans="1:10" ht="27.95" customHeight="1" x14ac:dyDescent="0.25">
      <c r="A82" s="1451"/>
      <c r="B82" s="1481"/>
      <c r="C82" s="1446"/>
      <c r="D82" s="1416">
        <f>BS!E44</f>
        <v>0</v>
      </c>
      <c r="E82" s="1416"/>
      <c r="F82" s="1416"/>
      <c r="G82" s="892"/>
      <c r="H82" s="1412">
        <f>BS!G44</f>
        <v>0</v>
      </c>
      <c r="I82" s="1413"/>
      <c r="J82" s="1414"/>
    </row>
    <row r="83" spans="1:10" ht="27.95" customHeight="1" x14ac:dyDescent="0.25">
      <c r="A83" s="1451" t="s">
        <v>541</v>
      </c>
      <c r="B83" s="1529" t="s">
        <v>1693</v>
      </c>
      <c r="C83" s="1446" t="s">
        <v>912</v>
      </c>
      <c r="D83" s="1416">
        <f>BS!D45</f>
        <v>0</v>
      </c>
      <c r="E83" s="1416"/>
      <c r="F83" s="1412"/>
      <c r="G83" s="1412">
        <f>BS!F45</f>
        <v>0</v>
      </c>
      <c r="H83" s="1413"/>
      <c r="I83" s="1415"/>
      <c r="J83" s="889"/>
    </row>
    <row r="84" spans="1:10" ht="27.95" customHeight="1" x14ac:dyDescent="0.25">
      <c r="A84" s="1451"/>
      <c r="B84" s="1481"/>
      <c r="C84" s="1446"/>
      <c r="D84" s="1416">
        <f>BS!E45</f>
        <v>0</v>
      </c>
      <c r="E84" s="1416"/>
      <c r="F84" s="1416"/>
      <c r="G84" s="892"/>
      <c r="H84" s="1412">
        <f>BS!G45</f>
        <v>0</v>
      </c>
      <c r="I84" s="1413"/>
      <c r="J84" s="1414"/>
    </row>
    <row r="85" spans="1:10" ht="27.95" customHeight="1" x14ac:dyDescent="0.25">
      <c r="A85" s="1451" t="s">
        <v>544</v>
      </c>
      <c r="B85" s="1529" t="s">
        <v>1694</v>
      </c>
      <c r="C85" s="1446" t="s">
        <v>915</v>
      </c>
      <c r="D85" s="1416">
        <f>BS!D46</f>
        <v>0</v>
      </c>
      <c r="E85" s="1416"/>
      <c r="F85" s="1412"/>
      <c r="G85" s="1412">
        <f>BS!F46</f>
        <v>0</v>
      </c>
      <c r="H85" s="1413"/>
      <c r="I85" s="1415"/>
      <c r="J85" s="889"/>
    </row>
    <row r="86" spans="1:10" ht="27.95" customHeight="1" x14ac:dyDescent="0.25">
      <c r="A86" s="1451"/>
      <c r="B86" s="1481"/>
      <c r="C86" s="1446"/>
      <c r="D86" s="1416">
        <f>BS!E46</f>
        <v>0</v>
      </c>
      <c r="E86" s="1416"/>
      <c r="F86" s="1416"/>
      <c r="G86" s="892"/>
      <c r="H86" s="1412">
        <f>BS!G46</f>
        <v>0</v>
      </c>
      <c r="I86" s="1413"/>
      <c r="J86" s="1414"/>
    </row>
    <row r="87" spans="1:10" ht="27.95" customHeight="1" x14ac:dyDescent="0.25">
      <c r="A87" s="1465" t="s">
        <v>613</v>
      </c>
      <c r="B87" s="1564" t="s">
        <v>1695</v>
      </c>
      <c r="C87" s="1446" t="s">
        <v>918</v>
      </c>
      <c r="D87" s="1416">
        <f>BS!D47</f>
        <v>50197</v>
      </c>
      <c r="E87" s="1416"/>
      <c r="F87" s="1412"/>
      <c r="G87" s="1412">
        <f>BS!F47</f>
        <v>50197</v>
      </c>
      <c r="H87" s="1413"/>
      <c r="I87" s="1415"/>
      <c r="J87" s="889"/>
    </row>
    <row r="88" spans="1:10" ht="27.95" customHeight="1" x14ac:dyDescent="0.25">
      <c r="A88" s="1456"/>
      <c r="B88" s="1512"/>
      <c r="C88" s="1446"/>
      <c r="D88" s="1416">
        <f>BS!E47</f>
        <v>0</v>
      </c>
      <c r="E88" s="1416"/>
      <c r="F88" s="1416"/>
      <c r="G88" s="892"/>
      <c r="H88" s="1412">
        <f>BS!G47</f>
        <v>7916</v>
      </c>
      <c r="I88" s="1413"/>
      <c r="J88" s="1414"/>
    </row>
    <row r="89" spans="1:10" s="501" customFormat="1" ht="27.95" customHeight="1" x14ac:dyDescent="0.25">
      <c r="A89" s="1452" t="s">
        <v>616</v>
      </c>
      <c r="B89" s="1529" t="s">
        <v>1696</v>
      </c>
      <c r="C89" s="1446" t="s">
        <v>921</v>
      </c>
      <c r="D89" s="1416">
        <f>BS!D48</f>
        <v>0</v>
      </c>
      <c r="E89" s="1416"/>
      <c r="F89" s="1412"/>
      <c r="G89" s="1412">
        <f>BS!F48</f>
        <v>0</v>
      </c>
      <c r="H89" s="1413"/>
      <c r="I89" s="1415"/>
      <c r="J89" s="889"/>
    </row>
    <row r="90" spans="1:10" s="501" customFormat="1" ht="27.95" customHeight="1" x14ac:dyDescent="0.25">
      <c r="A90" s="1468"/>
      <c r="B90" s="1481"/>
      <c r="C90" s="1446"/>
      <c r="D90" s="1416">
        <f>BS!E48</f>
        <v>0</v>
      </c>
      <c r="E90" s="1416"/>
      <c r="F90" s="1416"/>
      <c r="G90" s="892"/>
      <c r="H90" s="1412">
        <f>BS!G48</f>
        <v>0</v>
      </c>
      <c r="I90" s="1413"/>
      <c r="J90" s="1414"/>
    </row>
    <row r="91" spans="1:10" s="501" customFormat="1" ht="27.95" customHeight="1" x14ac:dyDescent="0.25">
      <c r="A91" s="1451" t="s">
        <v>532</v>
      </c>
      <c r="B91" s="1436" t="s">
        <v>1697</v>
      </c>
      <c r="C91" s="1446" t="s">
        <v>924</v>
      </c>
      <c r="D91" s="1416">
        <f>BS!D49</f>
        <v>0</v>
      </c>
      <c r="E91" s="1416"/>
      <c r="F91" s="1412"/>
      <c r="G91" s="1412">
        <f>BS!F49</f>
        <v>0</v>
      </c>
      <c r="H91" s="1413"/>
      <c r="I91" s="1415"/>
      <c r="J91" s="889"/>
    </row>
    <row r="92" spans="1:10" s="501" customFormat="1" ht="27.95" customHeight="1" x14ac:dyDescent="0.25">
      <c r="A92" s="1451"/>
      <c r="B92" s="1436"/>
      <c r="C92" s="1446"/>
      <c r="D92" s="1416">
        <f>BS!E49</f>
        <v>0</v>
      </c>
      <c r="E92" s="1416"/>
      <c r="F92" s="1416"/>
      <c r="G92" s="892"/>
      <c r="H92" s="1412">
        <f>BS!G49</f>
        <v>0</v>
      </c>
      <c r="I92" s="1413"/>
      <c r="J92" s="1414"/>
    </row>
    <row r="93" spans="1:10" ht="27.95" customHeight="1" x14ac:dyDescent="0.25">
      <c r="A93" s="1451" t="s">
        <v>535</v>
      </c>
      <c r="B93" s="1529" t="s">
        <v>1698</v>
      </c>
      <c r="C93" s="1446" t="s">
        <v>927</v>
      </c>
      <c r="D93" s="1416">
        <f>BS!D50</f>
        <v>0</v>
      </c>
      <c r="E93" s="1416"/>
      <c r="F93" s="1412"/>
      <c r="G93" s="1412">
        <f>BS!F50</f>
        <v>0</v>
      </c>
      <c r="H93" s="1413"/>
      <c r="I93" s="1415"/>
      <c r="J93" s="889"/>
    </row>
    <row r="94" spans="1:10" ht="27.95" customHeight="1" thickBot="1" x14ac:dyDescent="0.3">
      <c r="A94" s="1451"/>
      <c r="B94" s="1481"/>
      <c r="C94" s="1446"/>
      <c r="D94" s="1416">
        <f>BS!E50</f>
        <v>0</v>
      </c>
      <c r="E94" s="1416"/>
      <c r="F94" s="1416"/>
      <c r="G94" s="850"/>
      <c r="H94" s="1412">
        <f>BS!G50</f>
        <v>0</v>
      </c>
      <c r="I94" s="1413"/>
      <c r="J94" s="1414"/>
    </row>
    <row r="95" spans="1:10" ht="11.25" customHeight="1" x14ac:dyDescent="0.25">
      <c r="A95" s="1502" t="s">
        <v>1652</v>
      </c>
      <c r="B95" s="1504" t="s">
        <v>1653</v>
      </c>
      <c r="C95" s="1506" t="s">
        <v>1654</v>
      </c>
      <c r="D95" s="1431" t="s">
        <v>1655</v>
      </c>
      <c r="E95" s="1432"/>
      <c r="F95" s="1432"/>
      <c r="G95" s="1432"/>
      <c r="H95" s="1433"/>
      <c r="I95" s="1429" t="s">
        <v>1633</v>
      </c>
      <c r="J95" s="1430"/>
    </row>
    <row r="96" spans="1:10" ht="11.25" customHeight="1" x14ac:dyDescent="0.25">
      <c r="A96" s="1503"/>
      <c r="B96" s="1505"/>
      <c r="C96" s="1507"/>
      <c r="D96" s="1450">
        <v>1</v>
      </c>
      <c r="E96" s="1417" t="s">
        <v>1656</v>
      </c>
      <c r="F96" s="1509"/>
      <c r="G96" s="1565" t="s">
        <v>1262</v>
      </c>
      <c r="H96" s="1566"/>
      <c r="I96" s="1419"/>
      <c r="J96" s="1428"/>
    </row>
    <row r="97" spans="1:12" ht="12" customHeight="1" x14ac:dyDescent="0.25">
      <c r="A97" s="1471"/>
      <c r="B97" s="1470"/>
      <c r="C97" s="1477"/>
      <c r="D97" s="1508"/>
      <c r="E97" s="1417" t="s">
        <v>1657</v>
      </c>
      <c r="F97" s="1509"/>
      <c r="G97" s="1567"/>
      <c r="H97" s="1568"/>
      <c r="I97" s="1417" t="s">
        <v>1260</v>
      </c>
      <c r="J97" s="1418"/>
    </row>
    <row r="98" spans="1:12" ht="27.95" customHeight="1" x14ac:dyDescent="0.25">
      <c r="A98" s="1451" t="s">
        <v>538</v>
      </c>
      <c r="B98" s="1529" t="s">
        <v>1699</v>
      </c>
      <c r="C98" s="1455" t="s">
        <v>930</v>
      </c>
      <c r="D98" s="1416">
        <f>BS!D51</f>
        <v>0</v>
      </c>
      <c r="E98" s="1416"/>
      <c r="F98" s="1416"/>
      <c r="G98" s="1412">
        <f>BS!F51</f>
        <v>0</v>
      </c>
      <c r="H98" s="1413"/>
      <c r="I98" s="1415"/>
      <c r="J98" s="889"/>
      <c r="L98" s="553" t="s">
        <v>1177</v>
      </c>
    </row>
    <row r="99" spans="1:12" ht="27.95" customHeight="1" x14ac:dyDescent="0.25">
      <c r="A99" s="1451"/>
      <c r="B99" s="1481"/>
      <c r="C99" s="1446"/>
      <c r="D99" s="1416">
        <f>BS!E51</f>
        <v>0</v>
      </c>
      <c r="E99" s="1416"/>
      <c r="F99" s="1416"/>
      <c r="G99" s="890"/>
      <c r="H99" s="1412">
        <f>BS!G51</f>
        <v>0</v>
      </c>
      <c r="I99" s="1413"/>
      <c r="J99" s="1414"/>
    </row>
    <row r="100" spans="1:12" ht="27.95" customHeight="1" x14ac:dyDescent="0.25">
      <c r="A100" s="1451" t="s">
        <v>541</v>
      </c>
      <c r="B100" s="1529" t="s">
        <v>1700</v>
      </c>
      <c r="C100" s="1446" t="s">
        <v>933</v>
      </c>
      <c r="D100" s="1416">
        <f>BS!D52</f>
        <v>0</v>
      </c>
      <c r="E100" s="1416"/>
      <c r="F100" s="1416"/>
      <c r="G100" s="1412">
        <f>BS!F52</f>
        <v>0</v>
      </c>
      <c r="H100" s="1413"/>
      <c r="I100" s="1415"/>
      <c r="J100" s="889"/>
    </row>
    <row r="101" spans="1:12" ht="27.95" customHeight="1" x14ac:dyDescent="0.25">
      <c r="A101" s="1451"/>
      <c r="B101" s="1481"/>
      <c r="C101" s="1446"/>
      <c r="D101" s="1416">
        <f>BS!E52</f>
        <v>0</v>
      </c>
      <c r="E101" s="1416"/>
      <c r="F101" s="1416"/>
      <c r="G101" s="890"/>
      <c r="H101" s="1412">
        <f>BS!G52</f>
        <v>0</v>
      </c>
      <c r="I101" s="1413"/>
      <c r="J101" s="1414"/>
    </row>
    <row r="102" spans="1:12" ht="27.95" customHeight="1" x14ac:dyDescent="0.25">
      <c r="A102" s="1451" t="s">
        <v>544</v>
      </c>
      <c r="B102" s="1529" t="s">
        <v>1701</v>
      </c>
      <c r="C102" s="1455" t="s">
        <v>936</v>
      </c>
      <c r="D102" s="1416">
        <f>BS!D53</f>
        <v>0</v>
      </c>
      <c r="E102" s="1416"/>
      <c r="F102" s="1416"/>
      <c r="G102" s="1412">
        <f>BS!F53</f>
        <v>0</v>
      </c>
      <c r="H102" s="1413"/>
      <c r="I102" s="1415"/>
      <c r="J102" s="889"/>
    </row>
    <row r="103" spans="1:12" ht="27.95" customHeight="1" x14ac:dyDescent="0.25">
      <c r="A103" s="1451"/>
      <c r="B103" s="1481"/>
      <c r="C103" s="1446"/>
      <c r="D103" s="1416">
        <f>BS!E53</f>
        <v>0</v>
      </c>
      <c r="E103" s="1416"/>
      <c r="F103" s="1416"/>
      <c r="G103" s="890"/>
      <c r="H103" s="1412">
        <f>BS!G53</f>
        <v>0</v>
      </c>
      <c r="I103" s="1413"/>
      <c r="J103" s="1414"/>
    </row>
    <row r="104" spans="1:12" ht="27.95" customHeight="1" x14ac:dyDescent="0.25">
      <c r="A104" s="1451" t="s">
        <v>547</v>
      </c>
      <c r="B104" s="1529" t="s">
        <v>1702</v>
      </c>
      <c r="C104" s="1446" t="s">
        <v>939</v>
      </c>
      <c r="D104" s="1416">
        <f>BS!D54</f>
        <v>50197</v>
      </c>
      <c r="E104" s="1416"/>
      <c r="F104" s="1416"/>
      <c r="G104" s="1412">
        <f>BS!F54</f>
        <v>50197</v>
      </c>
      <c r="H104" s="1413"/>
      <c r="I104" s="1415"/>
      <c r="J104" s="889"/>
    </row>
    <row r="105" spans="1:12" ht="27.95" customHeight="1" x14ac:dyDescent="0.25">
      <c r="A105" s="1451"/>
      <c r="B105" s="1481"/>
      <c r="C105" s="1446"/>
      <c r="D105" s="1416">
        <f>BS!E54</f>
        <v>0</v>
      </c>
      <c r="E105" s="1416"/>
      <c r="F105" s="1416"/>
      <c r="G105" s="890"/>
      <c r="H105" s="1412">
        <f>BS!G54</f>
        <v>7916</v>
      </c>
      <c r="I105" s="1413"/>
      <c r="J105" s="1414"/>
    </row>
    <row r="106" spans="1:12" ht="27.95" customHeight="1" x14ac:dyDescent="0.25">
      <c r="A106" s="1475" t="s">
        <v>631</v>
      </c>
      <c r="B106" s="1569" t="s">
        <v>1703</v>
      </c>
      <c r="C106" s="1455" t="s">
        <v>941</v>
      </c>
      <c r="D106" s="1416">
        <f>BS!D55</f>
        <v>860706</v>
      </c>
      <c r="E106" s="1416"/>
      <c r="F106" s="1416"/>
      <c r="G106" s="1412">
        <f>BS!F55</f>
        <v>860706</v>
      </c>
      <c r="H106" s="1413"/>
      <c r="I106" s="1415"/>
      <c r="J106" s="889"/>
    </row>
    <row r="107" spans="1:12" ht="27.95" customHeight="1" x14ac:dyDescent="0.25">
      <c r="A107" s="1476"/>
      <c r="B107" s="1478"/>
      <c r="C107" s="1446"/>
      <c r="D107" s="1416">
        <f>BS!E55</f>
        <v>0</v>
      </c>
      <c r="E107" s="1416"/>
      <c r="F107" s="1416"/>
      <c r="G107" s="890"/>
      <c r="H107" s="1412">
        <f>BS!G55</f>
        <v>735953</v>
      </c>
      <c r="I107" s="1413"/>
      <c r="J107" s="1414"/>
    </row>
    <row r="108" spans="1:12" s="501" customFormat="1" ht="27.95" customHeight="1" x14ac:dyDescent="0.25">
      <c r="A108" s="1474" t="s">
        <v>634</v>
      </c>
      <c r="B108" s="1529" t="s">
        <v>1704</v>
      </c>
      <c r="C108" s="1446" t="s">
        <v>944</v>
      </c>
      <c r="D108" s="1416">
        <f>BS!D56</f>
        <v>860706</v>
      </c>
      <c r="E108" s="1416"/>
      <c r="F108" s="1416"/>
      <c r="G108" s="1412">
        <f>BS!F56</f>
        <v>860706</v>
      </c>
      <c r="H108" s="1413"/>
      <c r="I108" s="1415"/>
      <c r="J108" s="889"/>
    </row>
    <row r="109" spans="1:12" s="501" customFormat="1" ht="27.95" customHeight="1" x14ac:dyDescent="0.25">
      <c r="A109" s="1474"/>
      <c r="B109" s="1481"/>
      <c r="C109" s="1446"/>
      <c r="D109" s="1416">
        <f>BS!E56</f>
        <v>0</v>
      </c>
      <c r="E109" s="1416"/>
      <c r="F109" s="1416"/>
      <c r="G109" s="890"/>
      <c r="H109" s="1412">
        <f>BS!G56</f>
        <v>735953</v>
      </c>
      <c r="I109" s="1413"/>
      <c r="J109" s="1414"/>
    </row>
    <row r="110" spans="1:12" s="501" customFormat="1" ht="27.95" customHeight="1" x14ac:dyDescent="0.25">
      <c r="A110" s="1451" t="s">
        <v>532</v>
      </c>
      <c r="B110" s="1436" t="s">
        <v>1697</v>
      </c>
      <c r="C110" s="1455" t="s">
        <v>947</v>
      </c>
      <c r="D110" s="1416">
        <f>BS!D57</f>
        <v>0</v>
      </c>
      <c r="E110" s="1416"/>
      <c r="F110" s="1416"/>
      <c r="G110" s="1412">
        <f>BS!F57</f>
        <v>0</v>
      </c>
      <c r="H110" s="1413"/>
      <c r="I110" s="1415"/>
      <c r="J110" s="889"/>
    </row>
    <row r="111" spans="1:12" s="501" customFormat="1" ht="27.95" customHeight="1" x14ac:dyDescent="0.25">
      <c r="A111" s="1451"/>
      <c r="B111" s="1436"/>
      <c r="C111" s="1446"/>
      <c r="D111" s="1416">
        <f>BS!E57</f>
        <v>0</v>
      </c>
      <c r="E111" s="1416"/>
      <c r="F111" s="1416"/>
      <c r="G111" s="890"/>
      <c r="H111" s="1412">
        <f>BS!G57</f>
        <v>0</v>
      </c>
      <c r="I111" s="1413"/>
      <c r="J111" s="1414"/>
    </row>
    <row r="112" spans="1:12" ht="27.95" customHeight="1" x14ac:dyDescent="0.25">
      <c r="A112" s="1451" t="s">
        <v>535</v>
      </c>
      <c r="B112" s="1529" t="s">
        <v>1698</v>
      </c>
      <c r="C112" s="1446" t="s">
        <v>950</v>
      </c>
      <c r="D112" s="1416">
        <f>BS!D58</f>
        <v>0</v>
      </c>
      <c r="E112" s="1416"/>
      <c r="F112" s="1416"/>
      <c r="G112" s="1412">
        <f>BS!F58</f>
        <v>0</v>
      </c>
      <c r="H112" s="1413"/>
      <c r="I112" s="1415"/>
      <c r="J112" s="889"/>
    </row>
    <row r="113" spans="1:10" ht="27.95" customHeight="1" x14ac:dyDescent="0.25">
      <c r="A113" s="1451"/>
      <c r="B113" s="1481"/>
      <c r="C113" s="1446"/>
      <c r="D113" s="1416">
        <f>BS!E58</f>
        <v>0</v>
      </c>
      <c r="E113" s="1416"/>
      <c r="F113" s="1416"/>
      <c r="G113" s="890"/>
      <c r="H113" s="1412">
        <f>BS!G58</f>
        <v>0</v>
      </c>
      <c r="I113" s="1413"/>
      <c r="J113" s="1414"/>
    </row>
    <row r="114" spans="1:10" ht="27.95" customHeight="1" x14ac:dyDescent="0.25">
      <c r="A114" s="1451" t="s">
        <v>538</v>
      </c>
      <c r="B114" s="1529" t="s">
        <v>1699</v>
      </c>
      <c r="C114" s="1455" t="s">
        <v>952</v>
      </c>
      <c r="D114" s="1416">
        <f>BS!D59</f>
        <v>0</v>
      </c>
      <c r="E114" s="1416"/>
      <c r="F114" s="1416"/>
      <c r="G114" s="1412">
        <f>BS!F59</f>
        <v>0</v>
      </c>
      <c r="H114" s="1413"/>
      <c r="I114" s="1415"/>
      <c r="J114" s="889"/>
    </row>
    <row r="115" spans="1:10" ht="27.95" customHeight="1" x14ac:dyDescent="0.25">
      <c r="A115" s="1451"/>
      <c r="B115" s="1481"/>
      <c r="C115" s="1446"/>
      <c r="D115" s="1416">
        <f>BS!E59</f>
        <v>0</v>
      </c>
      <c r="E115" s="1416"/>
      <c r="F115" s="1416"/>
      <c r="G115" s="890"/>
      <c r="H115" s="1412">
        <f>BS!G59</f>
        <v>0</v>
      </c>
      <c r="I115" s="1413"/>
      <c r="J115" s="1414"/>
    </row>
    <row r="116" spans="1:10" ht="27.95" customHeight="1" x14ac:dyDescent="0.25">
      <c r="A116" s="1451" t="s">
        <v>541</v>
      </c>
      <c r="B116" s="1529" t="s">
        <v>1705</v>
      </c>
      <c r="C116" s="1446" t="s">
        <v>954</v>
      </c>
      <c r="D116" s="1416">
        <f>BS!D60</f>
        <v>0</v>
      </c>
      <c r="E116" s="1416"/>
      <c r="F116" s="1416"/>
      <c r="G116" s="1412">
        <f>BS!F60</f>
        <v>0</v>
      </c>
      <c r="H116" s="1413"/>
      <c r="I116" s="1415"/>
      <c r="J116" s="889"/>
    </row>
    <row r="117" spans="1:10" ht="27.95" customHeight="1" x14ac:dyDescent="0.25">
      <c r="A117" s="1451"/>
      <c r="B117" s="1481"/>
      <c r="C117" s="1446"/>
      <c r="D117" s="1416">
        <f>BS!E60</f>
        <v>0</v>
      </c>
      <c r="E117" s="1416"/>
      <c r="F117" s="1416"/>
      <c r="G117" s="890"/>
      <c r="H117" s="1412">
        <f>BS!G60</f>
        <v>0</v>
      </c>
      <c r="I117" s="1413"/>
      <c r="J117" s="1414"/>
    </row>
    <row r="118" spans="1:10" ht="27.95" customHeight="1" x14ac:dyDescent="0.25">
      <c r="A118" s="1451" t="s">
        <v>544</v>
      </c>
      <c r="B118" s="1529" t="s">
        <v>1706</v>
      </c>
      <c r="C118" s="1455" t="s">
        <v>957</v>
      </c>
      <c r="D118" s="1416">
        <f>BS!D61</f>
        <v>0</v>
      </c>
      <c r="E118" s="1416"/>
      <c r="F118" s="1416"/>
      <c r="G118" s="1412">
        <f>BS!F61</f>
        <v>0</v>
      </c>
      <c r="H118" s="1413"/>
      <c r="I118" s="1415"/>
      <c r="J118" s="889"/>
    </row>
    <row r="119" spans="1:10" ht="27.95" customHeight="1" x14ac:dyDescent="0.25">
      <c r="A119" s="1451"/>
      <c r="B119" s="1481"/>
      <c r="C119" s="1446"/>
      <c r="D119" s="1416">
        <f>BS!E61</f>
        <v>0</v>
      </c>
      <c r="E119" s="1416"/>
      <c r="F119" s="1416"/>
      <c r="G119" s="890"/>
      <c r="H119" s="1412">
        <f>BS!G61</f>
        <v>0</v>
      </c>
      <c r="I119" s="1413"/>
      <c r="J119" s="1414"/>
    </row>
    <row r="120" spans="1:10" ht="27.95" customHeight="1" x14ac:dyDescent="0.25">
      <c r="A120" s="1451" t="s">
        <v>547</v>
      </c>
      <c r="B120" s="1529" t="s">
        <v>1707</v>
      </c>
      <c r="C120" s="1446" t="s">
        <v>960</v>
      </c>
      <c r="D120" s="1416">
        <f>BS!D62</f>
        <v>0</v>
      </c>
      <c r="E120" s="1416"/>
      <c r="F120" s="1416"/>
      <c r="G120" s="1412">
        <f>BS!F62</f>
        <v>0</v>
      </c>
      <c r="H120" s="1413"/>
      <c r="I120" s="1415"/>
      <c r="J120" s="889"/>
    </row>
    <row r="121" spans="1:10" ht="27.95" customHeight="1" x14ac:dyDescent="0.25">
      <c r="A121" s="1451"/>
      <c r="B121" s="1481"/>
      <c r="C121" s="1446"/>
      <c r="D121" s="1416">
        <f>BS!E62</f>
        <v>0</v>
      </c>
      <c r="E121" s="1416"/>
      <c r="F121" s="1416"/>
      <c r="G121" s="890"/>
      <c r="H121" s="1412">
        <f>BS!G62</f>
        <v>0</v>
      </c>
      <c r="I121" s="1413"/>
      <c r="J121" s="1414"/>
    </row>
    <row r="122" spans="1:10" ht="27.95" customHeight="1" x14ac:dyDescent="0.25">
      <c r="A122" s="1451" t="s">
        <v>568</v>
      </c>
      <c r="B122" s="1529" t="s">
        <v>1701</v>
      </c>
      <c r="C122" s="1455" t="s">
        <v>962</v>
      </c>
      <c r="D122" s="1416">
        <f>BS!D63</f>
        <v>0</v>
      </c>
      <c r="E122" s="1416"/>
      <c r="F122" s="1416"/>
      <c r="G122" s="1412">
        <f>BS!F63</f>
        <v>0</v>
      </c>
      <c r="H122" s="1413"/>
      <c r="I122" s="1415"/>
      <c r="J122" s="889"/>
    </row>
    <row r="123" spans="1:10" ht="27.95" customHeight="1" x14ac:dyDescent="0.25">
      <c r="A123" s="1451"/>
      <c r="B123" s="1481"/>
      <c r="C123" s="1446"/>
      <c r="D123" s="1416">
        <f>BS!E63</f>
        <v>0</v>
      </c>
      <c r="E123" s="1416"/>
      <c r="F123" s="1416"/>
      <c r="G123" s="890"/>
      <c r="H123" s="1412">
        <f>BS!G63</f>
        <v>0</v>
      </c>
      <c r="I123" s="1413"/>
      <c r="J123" s="1414"/>
    </row>
    <row r="124" spans="1:10" ht="27.95" customHeight="1" x14ac:dyDescent="0.25">
      <c r="A124" s="1479" t="s">
        <v>649</v>
      </c>
      <c r="B124" s="1569" t="s">
        <v>1708</v>
      </c>
      <c r="C124" s="1446" t="s">
        <v>965</v>
      </c>
      <c r="D124" s="1523">
        <f>BS!D64</f>
        <v>210</v>
      </c>
      <c r="E124" s="1523"/>
      <c r="F124" s="1523"/>
      <c r="G124" s="1412">
        <f>BS!F64</f>
        <v>210</v>
      </c>
      <c r="H124" s="1413"/>
      <c r="I124" s="1415"/>
      <c r="J124" s="889"/>
    </row>
    <row r="125" spans="1:10" ht="27.95" customHeight="1" x14ac:dyDescent="0.25">
      <c r="A125" s="1476"/>
      <c r="B125" s="1478"/>
      <c r="C125" s="1446"/>
      <c r="D125" s="1416">
        <f>BS!E64</f>
        <v>0</v>
      </c>
      <c r="E125" s="1416"/>
      <c r="F125" s="1416"/>
      <c r="G125" s="890"/>
      <c r="H125" s="1412">
        <f>BS!G64</f>
        <v>684</v>
      </c>
      <c r="I125" s="1413"/>
      <c r="J125" s="1414"/>
    </row>
    <row r="126" spans="1:10" s="501" customFormat="1" ht="27.95" customHeight="1" x14ac:dyDescent="0.25">
      <c r="A126" s="1468" t="s">
        <v>652</v>
      </c>
      <c r="B126" s="1529" t="s">
        <v>1709</v>
      </c>
      <c r="C126" s="1455" t="s">
        <v>968</v>
      </c>
      <c r="D126" s="1416">
        <f>BS!D65</f>
        <v>210</v>
      </c>
      <c r="E126" s="1416"/>
      <c r="F126" s="1416"/>
      <c r="G126" s="1412">
        <f>BS!F65</f>
        <v>210</v>
      </c>
      <c r="H126" s="1413"/>
      <c r="I126" s="1415"/>
      <c r="J126" s="889"/>
    </row>
    <row r="127" spans="1:10" s="501" customFormat="1" ht="27.95" customHeight="1" thickBot="1" x14ac:dyDescent="0.3">
      <c r="A127" s="1468"/>
      <c r="B127" s="1481"/>
      <c r="C127" s="1446"/>
      <c r="D127" s="1416">
        <f>BS!E65</f>
        <v>0</v>
      </c>
      <c r="E127" s="1416"/>
      <c r="F127" s="1416"/>
      <c r="G127" s="851"/>
      <c r="H127" s="1412">
        <f>BS!G65</f>
        <v>684</v>
      </c>
      <c r="I127" s="1413"/>
      <c r="J127" s="1414"/>
    </row>
    <row r="128" spans="1:10" ht="11.25" customHeight="1" x14ac:dyDescent="0.25">
      <c r="A128" s="1502" t="s">
        <v>1652</v>
      </c>
      <c r="B128" s="1504" t="s">
        <v>1653</v>
      </c>
      <c r="C128" s="1506" t="s">
        <v>1654</v>
      </c>
      <c r="D128" s="1431" t="s">
        <v>1655</v>
      </c>
      <c r="E128" s="1432"/>
      <c r="F128" s="1432"/>
      <c r="G128" s="1432"/>
      <c r="H128" s="1433"/>
      <c r="I128" s="1429" t="s">
        <v>1633</v>
      </c>
      <c r="J128" s="1430"/>
    </row>
    <row r="129" spans="1:10" ht="11.25" customHeight="1" x14ac:dyDescent="0.25">
      <c r="A129" s="1503"/>
      <c r="B129" s="1505"/>
      <c r="C129" s="1507"/>
      <c r="D129" s="1450">
        <v>1</v>
      </c>
      <c r="E129" s="1417" t="s">
        <v>1656</v>
      </c>
      <c r="F129" s="1509"/>
      <c r="G129" s="1565" t="s">
        <v>1262</v>
      </c>
      <c r="H129" s="1566"/>
      <c r="I129" s="1419"/>
      <c r="J129" s="1428"/>
    </row>
    <row r="130" spans="1:10" ht="11.25" customHeight="1" x14ac:dyDescent="0.25">
      <c r="A130" s="1471"/>
      <c r="B130" s="1470"/>
      <c r="C130" s="1477"/>
      <c r="D130" s="1508"/>
      <c r="E130" s="1417" t="s">
        <v>1657</v>
      </c>
      <c r="F130" s="1509"/>
      <c r="G130" s="1567"/>
      <c r="H130" s="1568"/>
      <c r="I130" s="1417" t="s">
        <v>1260</v>
      </c>
      <c r="J130" s="1418"/>
    </row>
    <row r="131" spans="1:10" s="571" customFormat="1" ht="27.95" customHeight="1" x14ac:dyDescent="0.25">
      <c r="A131" s="1451" t="s">
        <v>532</v>
      </c>
      <c r="B131" s="1529" t="s">
        <v>1710</v>
      </c>
      <c r="C131" s="1446" t="s">
        <v>656</v>
      </c>
      <c r="D131" s="1416">
        <f>BS!D66</f>
        <v>0</v>
      </c>
      <c r="E131" s="1416"/>
      <c r="F131" s="1416"/>
      <c r="G131" s="1412">
        <f>BS!F66</f>
        <v>0</v>
      </c>
      <c r="H131" s="1413"/>
      <c r="I131" s="1415"/>
      <c r="J131" s="572"/>
    </row>
    <row r="132" spans="1:10" s="571" customFormat="1" ht="27.95" customHeight="1" x14ac:dyDescent="0.25">
      <c r="A132" s="1451"/>
      <c r="B132" s="1481"/>
      <c r="C132" s="1446"/>
      <c r="D132" s="1416">
        <f>BS!E66</f>
        <v>0</v>
      </c>
      <c r="E132" s="1416"/>
      <c r="F132" s="1416"/>
      <c r="G132" s="891"/>
      <c r="H132" s="1412">
        <f>BS!G66</f>
        <v>0</v>
      </c>
      <c r="I132" s="1413"/>
      <c r="J132" s="1414"/>
    </row>
    <row r="133" spans="1:10" s="571" customFormat="1" ht="27.95" customHeight="1" x14ac:dyDescent="0.25">
      <c r="A133" s="1451" t="s">
        <v>535</v>
      </c>
      <c r="B133" s="1529" t="s">
        <v>1711</v>
      </c>
      <c r="C133" s="1446" t="s">
        <v>658</v>
      </c>
      <c r="D133" s="1416">
        <f>BS!D67</f>
        <v>0</v>
      </c>
      <c r="E133" s="1416"/>
      <c r="F133" s="1416"/>
      <c r="G133" s="1412">
        <f>BS!F67</f>
        <v>0</v>
      </c>
      <c r="H133" s="1413"/>
      <c r="I133" s="1415"/>
      <c r="J133" s="572"/>
    </row>
    <row r="134" spans="1:10" ht="27.95" customHeight="1" x14ac:dyDescent="0.25">
      <c r="A134" s="1451"/>
      <c r="B134" s="1481"/>
      <c r="C134" s="1446"/>
      <c r="D134" s="1416">
        <f>BS!E67</f>
        <v>0</v>
      </c>
      <c r="E134" s="1416"/>
      <c r="F134" s="1416"/>
      <c r="G134" s="891"/>
      <c r="H134" s="1412">
        <f>BS!G67</f>
        <v>0</v>
      </c>
      <c r="I134" s="1413"/>
      <c r="J134" s="1414"/>
    </row>
    <row r="135" spans="1:10" ht="27.95" customHeight="1" x14ac:dyDescent="0.25">
      <c r="A135" s="1451" t="s">
        <v>538</v>
      </c>
      <c r="B135" s="1529" t="s">
        <v>1712</v>
      </c>
      <c r="C135" s="1446" t="s">
        <v>660</v>
      </c>
      <c r="D135" s="1416">
        <f>BS!D68</f>
        <v>0</v>
      </c>
      <c r="E135" s="1416"/>
      <c r="F135" s="1416"/>
      <c r="G135" s="1412">
        <f>BS!F68</f>
        <v>0</v>
      </c>
      <c r="H135" s="1413"/>
      <c r="I135" s="1415"/>
      <c r="J135" s="889"/>
    </row>
    <row r="136" spans="1:10" ht="27.95" customHeight="1" x14ac:dyDescent="0.25">
      <c r="A136" s="1451"/>
      <c r="B136" s="1481"/>
      <c r="C136" s="1446"/>
      <c r="D136" s="1416">
        <f>BS!E68</f>
        <v>0</v>
      </c>
      <c r="E136" s="1416"/>
      <c r="F136" s="1416"/>
      <c r="G136" s="891"/>
      <c r="H136" s="1412">
        <f>BS!G68</f>
        <v>0</v>
      </c>
      <c r="I136" s="1413"/>
      <c r="J136" s="1414"/>
    </row>
    <row r="137" spans="1:10" ht="27.95" customHeight="1" x14ac:dyDescent="0.25">
      <c r="A137" s="1451" t="s">
        <v>541</v>
      </c>
      <c r="B137" s="1529" t="s">
        <v>1713</v>
      </c>
      <c r="C137" s="1446" t="s">
        <v>662</v>
      </c>
      <c r="D137" s="1416">
        <f>BS!D69</f>
        <v>0</v>
      </c>
      <c r="E137" s="1416"/>
      <c r="F137" s="1416"/>
      <c r="G137" s="1412">
        <f>BS!F69</f>
        <v>0</v>
      </c>
      <c r="H137" s="1413"/>
      <c r="I137" s="1415"/>
      <c r="J137" s="889"/>
    </row>
    <row r="138" spans="1:10" ht="27.95" customHeight="1" x14ac:dyDescent="0.25">
      <c r="A138" s="1451"/>
      <c r="B138" s="1481"/>
      <c r="C138" s="1446"/>
      <c r="D138" s="1416">
        <f>BS!E69</f>
        <v>0</v>
      </c>
      <c r="E138" s="1416"/>
      <c r="F138" s="1416"/>
      <c r="G138" s="891"/>
      <c r="H138" s="1412">
        <f>BS!G69</f>
        <v>0</v>
      </c>
      <c r="I138" s="1413"/>
      <c r="J138" s="1414"/>
    </row>
    <row r="139" spans="1:10" ht="27.95" customHeight="1" x14ac:dyDescent="0.25">
      <c r="A139" s="1456" t="s">
        <v>663</v>
      </c>
      <c r="B139" s="1564" t="s">
        <v>1714</v>
      </c>
      <c r="C139" s="1458" t="s">
        <v>665</v>
      </c>
      <c r="D139" s="1416">
        <f>BS!D70</f>
        <v>6</v>
      </c>
      <c r="E139" s="1416"/>
      <c r="F139" s="1416"/>
      <c r="G139" s="1412">
        <f>BS!F70</f>
        <v>6</v>
      </c>
      <c r="H139" s="1413"/>
      <c r="I139" s="1415"/>
      <c r="J139" s="889"/>
    </row>
    <row r="140" spans="1:10" ht="27.95" customHeight="1" x14ac:dyDescent="0.25">
      <c r="A140" s="1456"/>
      <c r="B140" s="1512"/>
      <c r="C140" s="1458"/>
      <c r="D140" s="1416">
        <f>BS!E70</f>
        <v>0</v>
      </c>
      <c r="E140" s="1416"/>
      <c r="F140" s="1416"/>
      <c r="G140" s="891"/>
      <c r="H140" s="1412">
        <f>BS!G70</f>
        <v>5</v>
      </c>
      <c r="I140" s="1413"/>
      <c r="J140" s="1414"/>
    </row>
    <row r="141" spans="1:10" ht="27.95" customHeight="1" x14ac:dyDescent="0.25">
      <c r="A141" s="1468" t="s">
        <v>666</v>
      </c>
      <c r="B141" s="1529" t="s">
        <v>1715</v>
      </c>
      <c r="C141" s="1446" t="s">
        <v>668</v>
      </c>
      <c r="D141" s="1416">
        <f>BS!D71</f>
        <v>0</v>
      </c>
      <c r="E141" s="1416"/>
      <c r="F141" s="1416"/>
      <c r="G141" s="1412">
        <f>BS!F71</f>
        <v>0</v>
      </c>
      <c r="H141" s="1413"/>
      <c r="I141" s="1415"/>
      <c r="J141" s="889"/>
    </row>
    <row r="142" spans="1:10" ht="27.95" customHeight="1" x14ac:dyDescent="0.25">
      <c r="A142" s="1468"/>
      <c r="B142" s="1481"/>
      <c r="C142" s="1446"/>
      <c r="D142" s="1416">
        <f>BS!E71</f>
        <v>0</v>
      </c>
      <c r="E142" s="1416"/>
      <c r="F142" s="1416"/>
      <c r="G142" s="891"/>
      <c r="H142" s="1412">
        <f>BS!G71</f>
        <v>0</v>
      </c>
      <c r="I142" s="1413"/>
      <c r="J142" s="1414"/>
    </row>
    <row r="143" spans="1:10" ht="27.95" customHeight="1" x14ac:dyDescent="0.25">
      <c r="A143" s="1451" t="s">
        <v>532</v>
      </c>
      <c r="B143" s="1529" t="s">
        <v>1716</v>
      </c>
      <c r="C143" s="1446" t="s">
        <v>670</v>
      </c>
      <c r="D143" s="1416">
        <f>BS!D72</f>
        <v>5</v>
      </c>
      <c r="E143" s="1416"/>
      <c r="F143" s="1416"/>
      <c r="G143" s="1412">
        <f>BS!F72</f>
        <v>5</v>
      </c>
      <c r="H143" s="1413"/>
      <c r="I143" s="1415"/>
      <c r="J143" s="889"/>
    </row>
    <row r="144" spans="1:10" s="501" customFormat="1" ht="27.95" customHeight="1" x14ac:dyDescent="0.25">
      <c r="A144" s="1451"/>
      <c r="B144" s="1481"/>
      <c r="C144" s="1446"/>
      <c r="D144" s="1416">
        <f>BS!E72</f>
        <v>0</v>
      </c>
      <c r="E144" s="1416"/>
      <c r="F144" s="1416"/>
      <c r="G144" s="891"/>
      <c r="H144" s="1412">
        <f>BS!G72</f>
        <v>5</v>
      </c>
      <c r="I144" s="1413"/>
      <c r="J144" s="1414"/>
    </row>
    <row r="145" spans="1:10" s="501" customFormat="1" ht="27.95" customHeight="1" x14ac:dyDescent="0.25">
      <c r="A145" s="1451" t="s">
        <v>535</v>
      </c>
      <c r="B145" s="1529" t="s">
        <v>1717</v>
      </c>
      <c r="C145" s="1446" t="s">
        <v>672</v>
      </c>
      <c r="D145" s="1416">
        <f>BS!D73</f>
        <v>0</v>
      </c>
      <c r="E145" s="1416"/>
      <c r="F145" s="1416"/>
      <c r="G145" s="1412">
        <f>BS!F73</f>
        <v>0</v>
      </c>
      <c r="H145" s="1413"/>
      <c r="I145" s="1415"/>
      <c r="J145" s="889"/>
    </row>
    <row r="146" spans="1:10" ht="27.95" customHeight="1" x14ac:dyDescent="0.25">
      <c r="A146" s="1451"/>
      <c r="B146" s="1481"/>
      <c r="C146" s="1446"/>
      <c r="D146" s="1416">
        <f>BS!E73</f>
        <v>0</v>
      </c>
      <c r="E146" s="1416"/>
      <c r="F146" s="1416"/>
      <c r="G146" s="891"/>
      <c r="H146" s="1412">
        <f>BS!G73</f>
        <v>0</v>
      </c>
      <c r="I146" s="1413"/>
      <c r="J146" s="1414"/>
    </row>
    <row r="147" spans="1:10" ht="27.95" customHeight="1" x14ac:dyDescent="0.25">
      <c r="A147" s="1451" t="s">
        <v>538</v>
      </c>
      <c r="B147" s="1529" t="s">
        <v>1718</v>
      </c>
      <c r="C147" s="1446" t="s">
        <v>674</v>
      </c>
      <c r="D147" s="1416">
        <f>BS!D74</f>
        <v>1</v>
      </c>
      <c r="E147" s="1416"/>
      <c r="F147" s="1416"/>
      <c r="G147" s="1412">
        <f>BS!F74</f>
        <v>1</v>
      </c>
      <c r="H147" s="1413"/>
      <c r="I147" s="1415"/>
      <c r="J147" s="889"/>
    </row>
    <row r="148" spans="1:10" s="566" customFormat="1" ht="27.95" customHeight="1" x14ac:dyDescent="0.2">
      <c r="A148" s="1451"/>
      <c r="B148" s="1481"/>
      <c r="C148" s="1446"/>
      <c r="D148" s="1416">
        <f>BS!E74</f>
        <v>0</v>
      </c>
      <c r="E148" s="1416"/>
      <c r="F148" s="1416"/>
      <c r="G148" s="851"/>
      <c r="H148" s="1412">
        <f>BS!G74</f>
        <v>0</v>
      </c>
      <c r="I148" s="1413"/>
      <c r="J148" s="1414"/>
    </row>
    <row r="149" spans="1:10" s="566" customFormat="1" ht="30" customHeight="1" x14ac:dyDescent="0.2">
      <c r="A149" s="569" t="s">
        <v>1652</v>
      </c>
      <c r="B149" s="1417" t="s">
        <v>1719</v>
      </c>
      <c r="C149" s="1560"/>
      <c r="D149" s="1560"/>
      <c r="E149" s="1509"/>
      <c r="F149" s="568" t="s">
        <v>1654</v>
      </c>
      <c r="G149" s="1417" t="s">
        <v>1720</v>
      </c>
      <c r="H149" s="1509"/>
      <c r="I149" s="1419" t="s">
        <v>1721</v>
      </c>
      <c r="J149" s="1428"/>
    </row>
    <row r="150" spans="1:10" s="566" customFormat="1" ht="27.75" customHeight="1" x14ac:dyDescent="0.2">
      <c r="A150" s="567"/>
      <c r="B150" s="1540" t="s">
        <v>1722</v>
      </c>
      <c r="C150" s="1541"/>
      <c r="D150" s="1541"/>
      <c r="E150" s="1542"/>
      <c r="F150" s="859" t="s">
        <v>681</v>
      </c>
      <c r="G150" s="1412">
        <f>BS!D81</f>
        <v>911119</v>
      </c>
      <c r="H150" s="1415"/>
      <c r="I150" s="1412">
        <f>BS!E81</f>
        <v>744558</v>
      </c>
      <c r="J150" s="1414"/>
    </row>
    <row r="151" spans="1:10" s="566" customFormat="1" ht="27.75" customHeight="1" x14ac:dyDescent="0.2">
      <c r="A151" s="858" t="s">
        <v>523</v>
      </c>
      <c r="B151" s="1540" t="s">
        <v>1723</v>
      </c>
      <c r="C151" s="1541"/>
      <c r="D151" s="1541"/>
      <c r="E151" s="1542"/>
      <c r="F151" s="859" t="s">
        <v>683</v>
      </c>
      <c r="G151" s="1412">
        <f>BS!D82</f>
        <v>57986</v>
      </c>
      <c r="H151" s="1415"/>
      <c r="I151" s="1412">
        <f>BS!E82</f>
        <v>114495</v>
      </c>
      <c r="J151" s="1414"/>
    </row>
    <row r="152" spans="1:10" ht="27.75" customHeight="1" x14ac:dyDescent="0.25">
      <c r="A152" s="858" t="s">
        <v>526</v>
      </c>
      <c r="B152" s="1540" t="s">
        <v>1724</v>
      </c>
      <c r="C152" s="1541"/>
      <c r="D152" s="1541"/>
      <c r="E152" s="1542"/>
      <c r="F152" s="859" t="s">
        <v>685</v>
      </c>
      <c r="G152" s="1412">
        <f>BS!D83</f>
        <v>6639</v>
      </c>
      <c r="H152" s="1415"/>
      <c r="I152" s="1412">
        <f>BS!E83</f>
        <v>6639</v>
      </c>
      <c r="J152" s="1414"/>
    </row>
    <row r="153" spans="1:10" s="501" customFormat="1" ht="27.75" customHeight="1" x14ac:dyDescent="0.25">
      <c r="A153" s="864" t="s">
        <v>529</v>
      </c>
      <c r="B153" s="1543" t="s">
        <v>1725</v>
      </c>
      <c r="C153" s="1544"/>
      <c r="D153" s="1544"/>
      <c r="E153" s="1545"/>
      <c r="F153" s="854" t="s">
        <v>687</v>
      </c>
      <c r="G153" s="1412">
        <f>BS!D84</f>
        <v>6639</v>
      </c>
      <c r="H153" s="1415"/>
      <c r="I153" s="1412">
        <f>BS!E84</f>
        <v>6639</v>
      </c>
      <c r="J153" s="1414"/>
    </row>
    <row r="154" spans="1:10" s="501" customFormat="1" ht="27.75" customHeight="1" x14ac:dyDescent="0.25">
      <c r="A154" s="855" t="s">
        <v>532</v>
      </c>
      <c r="B154" s="1543" t="s">
        <v>1726</v>
      </c>
      <c r="C154" s="1544"/>
      <c r="D154" s="1544"/>
      <c r="E154" s="1545"/>
      <c r="F154" s="854" t="s">
        <v>689</v>
      </c>
      <c r="G154" s="1412">
        <f>BS!D85</f>
        <v>0</v>
      </c>
      <c r="H154" s="1415"/>
      <c r="I154" s="1412">
        <f>BS!E85</f>
        <v>0</v>
      </c>
      <c r="J154" s="1414"/>
    </row>
    <row r="155" spans="1:10" s="501" customFormat="1" ht="27.75" customHeight="1" x14ac:dyDescent="0.25">
      <c r="A155" s="855" t="s">
        <v>535</v>
      </c>
      <c r="B155" s="1543" t="s">
        <v>1727</v>
      </c>
      <c r="C155" s="1544"/>
      <c r="D155" s="1544"/>
      <c r="E155" s="1545"/>
      <c r="F155" s="854" t="s">
        <v>691</v>
      </c>
      <c r="G155" s="1412">
        <f>BS!D86</f>
        <v>0</v>
      </c>
      <c r="H155" s="1415"/>
      <c r="I155" s="1412">
        <f>BS!E86</f>
        <v>0</v>
      </c>
      <c r="J155" s="1414"/>
    </row>
    <row r="156" spans="1:10" ht="27.75" customHeight="1" x14ac:dyDescent="0.25">
      <c r="A156" s="855" t="s">
        <v>538</v>
      </c>
      <c r="B156" s="1543" t="s">
        <v>692</v>
      </c>
      <c r="C156" s="1544"/>
      <c r="D156" s="1544"/>
      <c r="E156" s="1545"/>
      <c r="F156" s="854" t="s">
        <v>693</v>
      </c>
      <c r="G156" s="1412">
        <f>BS!D87</f>
        <v>0</v>
      </c>
      <c r="H156" s="1415"/>
      <c r="I156" s="1412">
        <f>BS!E87</f>
        <v>0</v>
      </c>
      <c r="J156" s="1414"/>
    </row>
    <row r="157" spans="1:10" ht="27.75" customHeight="1" x14ac:dyDescent="0.25">
      <c r="A157" s="858" t="s">
        <v>550</v>
      </c>
      <c r="B157" s="1540" t="s">
        <v>1728</v>
      </c>
      <c r="C157" s="1541"/>
      <c r="D157" s="1541"/>
      <c r="E157" s="1542"/>
      <c r="F157" s="859" t="s">
        <v>695</v>
      </c>
      <c r="G157" s="1412">
        <f>BS!D88</f>
        <v>0</v>
      </c>
      <c r="H157" s="1415"/>
      <c r="I157" s="1412">
        <f>BS!E88</f>
        <v>0</v>
      </c>
      <c r="J157" s="1414"/>
    </row>
    <row r="158" spans="1:10" ht="27.75" customHeight="1" x14ac:dyDescent="0.25">
      <c r="A158" s="864" t="s">
        <v>553</v>
      </c>
      <c r="B158" s="1543" t="s">
        <v>1729</v>
      </c>
      <c r="C158" s="1544"/>
      <c r="D158" s="1544"/>
      <c r="E158" s="1545"/>
      <c r="F158" s="854" t="s">
        <v>697</v>
      </c>
      <c r="G158" s="1412">
        <f>BS!D89</f>
        <v>0</v>
      </c>
      <c r="H158" s="1415"/>
      <c r="I158" s="1412">
        <f>BS!E89</f>
        <v>0</v>
      </c>
      <c r="J158" s="1414"/>
    </row>
    <row r="159" spans="1:10" ht="27.75" customHeight="1" x14ac:dyDescent="0.25">
      <c r="A159" s="855" t="s">
        <v>532</v>
      </c>
      <c r="B159" s="1543" t="s">
        <v>1730</v>
      </c>
      <c r="C159" s="1544"/>
      <c r="D159" s="1544"/>
      <c r="E159" s="1545"/>
      <c r="F159" s="854" t="s">
        <v>699</v>
      </c>
      <c r="G159" s="1412">
        <f>BS!D90</f>
        <v>0</v>
      </c>
      <c r="H159" s="1415"/>
      <c r="I159" s="1412">
        <f>BS!E90</f>
        <v>0</v>
      </c>
      <c r="J159" s="1414"/>
    </row>
    <row r="160" spans="1:10" s="501" customFormat="1" ht="27.75" customHeight="1" x14ac:dyDescent="0.25">
      <c r="A160" s="855" t="s">
        <v>535</v>
      </c>
      <c r="B160" s="1543" t="s">
        <v>1731</v>
      </c>
      <c r="C160" s="1544"/>
      <c r="D160" s="1544"/>
      <c r="E160" s="1545"/>
      <c r="F160" s="854" t="s">
        <v>701</v>
      </c>
      <c r="G160" s="1412">
        <f>BS!D91</f>
        <v>0</v>
      </c>
      <c r="H160" s="1415"/>
      <c r="I160" s="1412">
        <f>BS!E91</f>
        <v>0</v>
      </c>
      <c r="J160" s="1414"/>
    </row>
    <row r="161" spans="1:10" ht="27.75" customHeight="1" x14ac:dyDescent="0.25">
      <c r="A161" s="855" t="s">
        <v>538</v>
      </c>
      <c r="B161" s="1543" t="s">
        <v>1732</v>
      </c>
      <c r="C161" s="1544"/>
      <c r="D161" s="1544"/>
      <c r="E161" s="1545"/>
      <c r="F161" s="854" t="s">
        <v>703</v>
      </c>
      <c r="G161" s="1412">
        <f>BS!D92</f>
        <v>0</v>
      </c>
      <c r="H161" s="1415"/>
      <c r="I161" s="1412">
        <f>BS!E92</f>
        <v>0</v>
      </c>
      <c r="J161" s="1414"/>
    </row>
    <row r="162" spans="1:10" ht="27.75" customHeight="1" x14ac:dyDescent="0.25">
      <c r="A162" s="855" t="s">
        <v>541</v>
      </c>
      <c r="B162" s="1543" t="s">
        <v>1733</v>
      </c>
      <c r="C162" s="1544"/>
      <c r="D162" s="1544"/>
      <c r="E162" s="1545"/>
      <c r="F162" s="854" t="s">
        <v>705</v>
      </c>
      <c r="G162" s="1412">
        <f>BS!D93</f>
        <v>0</v>
      </c>
      <c r="H162" s="1415"/>
      <c r="I162" s="1412">
        <f>BS!E93</f>
        <v>0</v>
      </c>
      <c r="J162" s="1414"/>
    </row>
    <row r="163" spans="1:10" ht="27.75" customHeight="1" x14ac:dyDescent="0.25">
      <c r="A163" s="855" t="s">
        <v>544</v>
      </c>
      <c r="B163" s="1543" t="s">
        <v>1734</v>
      </c>
      <c r="C163" s="1544"/>
      <c r="D163" s="1544"/>
      <c r="E163" s="1545"/>
      <c r="F163" s="854" t="s">
        <v>707</v>
      </c>
      <c r="G163" s="1412">
        <f>BS!D94</f>
        <v>0</v>
      </c>
      <c r="H163" s="1415"/>
      <c r="I163" s="1412">
        <f>BS!E94</f>
        <v>0</v>
      </c>
      <c r="J163" s="1414"/>
    </row>
    <row r="164" spans="1:10" ht="27.75" customHeight="1" x14ac:dyDescent="0.25">
      <c r="A164" s="858" t="s">
        <v>574</v>
      </c>
      <c r="B164" s="1540" t="s">
        <v>1735</v>
      </c>
      <c r="C164" s="1541"/>
      <c r="D164" s="1541"/>
      <c r="E164" s="1542"/>
      <c r="F164" s="859" t="s">
        <v>709</v>
      </c>
      <c r="G164" s="1412">
        <f>BS!D95</f>
        <v>664</v>
      </c>
      <c r="H164" s="1415"/>
      <c r="I164" s="1412">
        <f>BS!E95</f>
        <v>332</v>
      </c>
      <c r="J164" s="1414"/>
    </row>
    <row r="165" spans="1:10" ht="27.75" customHeight="1" x14ac:dyDescent="0.25">
      <c r="A165" s="855" t="s">
        <v>577</v>
      </c>
      <c r="B165" s="1543" t="s">
        <v>1736</v>
      </c>
      <c r="C165" s="1544"/>
      <c r="D165" s="1544"/>
      <c r="E165" s="1545"/>
      <c r="F165" s="854" t="s">
        <v>711</v>
      </c>
      <c r="G165" s="1412">
        <f>BS!D96</f>
        <v>664</v>
      </c>
      <c r="H165" s="1415"/>
      <c r="I165" s="1412">
        <f>BS!E96</f>
        <v>332</v>
      </c>
      <c r="J165" s="1414"/>
    </row>
    <row r="166" spans="1:10" ht="27.75" customHeight="1" x14ac:dyDescent="0.25">
      <c r="A166" s="855" t="s">
        <v>532</v>
      </c>
      <c r="B166" s="1543" t="s">
        <v>1737</v>
      </c>
      <c r="C166" s="1544"/>
      <c r="D166" s="1544"/>
      <c r="E166" s="1545"/>
      <c r="F166" s="854" t="s">
        <v>713</v>
      </c>
      <c r="G166" s="1412">
        <f>BS!D97</f>
        <v>0</v>
      </c>
      <c r="H166" s="1415"/>
      <c r="I166" s="1412">
        <f>BS!E97</f>
        <v>0</v>
      </c>
      <c r="J166" s="1414"/>
    </row>
    <row r="167" spans="1:10" s="501" customFormat="1" ht="27.75" customHeight="1" x14ac:dyDescent="0.25">
      <c r="A167" s="855" t="s">
        <v>535</v>
      </c>
      <c r="B167" s="1543" t="s">
        <v>1738</v>
      </c>
      <c r="C167" s="1544"/>
      <c r="D167" s="1544"/>
      <c r="E167" s="1545"/>
      <c r="F167" s="854" t="s">
        <v>715</v>
      </c>
      <c r="G167" s="1412">
        <f>BS!D98</f>
        <v>0</v>
      </c>
      <c r="H167" s="1415"/>
      <c r="I167" s="1412">
        <f>BS!E98</f>
        <v>0</v>
      </c>
      <c r="J167" s="1414"/>
    </row>
    <row r="168" spans="1:10" ht="27.75" customHeight="1" x14ac:dyDescent="0.25">
      <c r="A168" s="858" t="s">
        <v>716</v>
      </c>
      <c r="B168" s="1540" t="s">
        <v>1739</v>
      </c>
      <c r="C168" s="1541"/>
      <c r="D168" s="1541"/>
      <c r="E168" s="1542"/>
      <c r="F168" s="859" t="s">
        <v>718</v>
      </c>
      <c r="G168" s="1412">
        <f>BS!D99</f>
        <v>0</v>
      </c>
      <c r="H168" s="1415"/>
      <c r="I168" s="1412">
        <f>BS!E99</f>
        <v>-12736</v>
      </c>
      <c r="J168" s="1414"/>
    </row>
    <row r="169" spans="1:10" ht="27.75" customHeight="1" x14ac:dyDescent="0.25">
      <c r="A169" s="565" t="s">
        <v>719</v>
      </c>
      <c r="B169" s="1543" t="s">
        <v>1740</v>
      </c>
      <c r="C169" s="1544"/>
      <c r="D169" s="1544"/>
      <c r="E169" s="1545"/>
      <c r="F169" s="854" t="s">
        <v>721</v>
      </c>
      <c r="G169" s="1412">
        <f>BS!D100</f>
        <v>0</v>
      </c>
      <c r="H169" s="1415"/>
      <c r="I169" s="1412">
        <f>BS!E100</f>
        <v>296198</v>
      </c>
      <c r="J169" s="1414"/>
    </row>
    <row r="170" spans="1:10" ht="27.75" customHeight="1" x14ac:dyDescent="0.25">
      <c r="A170" s="855" t="s">
        <v>532</v>
      </c>
      <c r="B170" s="1543" t="s">
        <v>1741</v>
      </c>
      <c r="C170" s="1544"/>
      <c r="D170" s="1544"/>
      <c r="E170" s="1545"/>
      <c r="F170" s="854" t="s">
        <v>723</v>
      </c>
      <c r="G170" s="1412">
        <f>BS!D101</f>
        <v>0</v>
      </c>
      <c r="H170" s="1415"/>
      <c r="I170" s="1412">
        <f>BS!E101</f>
        <v>-308934</v>
      </c>
      <c r="J170" s="1414"/>
    </row>
    <row r="171" spans="1:10" s="501" customFormat="1" ht="31.5" customHeight="1" x14ac:dyDescent="0.25">
      <c r="A171" s="858" t="s">
        <v>724</v>
      </c>
      <c r="B171" s="1540" t="s">
        <v>1742</v>
      </c>
      <c r="C171" s="1541"/>
      <c r="D171" s="1541"/>
      <c r="E171" s="1542"/>
      <c r="F171" s="859" t="s">
        <v>726</v>
      </c>
      <c r="G171" s="1412">
        <f>BS!D102</f>
        <v>50683</v>
      </c>
      <c r="H171" s="1415"/>
      <c r="I171" s="1412">
        <f>BS!E102</f>
        <v>120260</v>
      </c>
      <c r="J171" s="1414"/>
    </row>
    <row r="172" spans="1:10" ht="27.75" customHeight="1" x14ac:dyDescent="0.25">
      <c r="A172" s="858" t="s">
        <v>594</v>
      </c>
      <c r="B172" s="1540" t="s">
        <v>1743</v>
      </c>
      <c r="C172" s="1541"/>
      <c r="D172" s="1541"/>
      <c r="E172" s="1542"/>
      <c r="F172" s="859" t="s">
        <v>728</v>
      </c>
      <c r="G172" s="1412">
        <f>BS!D103</f>
        <v>853133</v>
      </c>
      <c r="H172" s="1415"/>
      <c r="I172" s="1412">
        <f>BS!E103</f>
        <v>630063</v>
      </c>
      <c r="J172" s="1414"/>
    </row>
    <row r="173" spans="1:10" ht="27.75" customHeight="1" x14ac:dyDescent="0.25">
      <c r="A173" s="858" t="s">
        <v>597</v>
      </c>
      <c r="B173" s="1540" t="s">
        <v>1744</v>
      </c>
      <c r="C173" s="1541"/>
      <c r="D173" s="1541"/>
      <c r="E173" s="1542"/>
      <c r="F173" s="859" t="s">
        <v>730</v>
      </c>
      <c r="G173" s="1412">
        <f>BS!D104</f>
        <v>213482</v>
      </c>
      <c r="H173" s="1415"/>
      <c r="I173" s="1412">
        <f>BS!E104</f>
        <v>37964</v>
      </c>
      <c r="J173" s="1414"/>
    </row>
    <row r="174" spans="1:10" s="501" customFormat="1" ht="27.75" customHeight="1" x14ac:dyDescent="0.25">
      <c r="A174" s="864" t="s">
        <v>600</v>
      </c>
      <c r="B174" s="1543" t="s">
        <v>1745</v>
      </c>
      <c r="C174" s="1544"/>
      <c r="D174" s="1544"/>
      <c r="E174" s="1545"/>
      <c r="F174" s="854" t="s">
        <v>732</v>
      </c>
      <c r="G174" s="1412">
        <f>BS!D105</f>
        <v>0</v>
      </c>
      <c r="H174" s="1415"/>
      <c r="I174" s="1412">
        <f>BS!E105</f>
        <v>0</v>
      </c>
      <c r="J174" s="1414"/>
    </row>
    <row r="175" spans="1:10" s="501" customFormat="1" ht="27.75" customHeight="1" x14ac:dyDescent="0.25">
      <c r="A175" s="855" t="s">
        <v>532</v>
      </c>
      <c r="B175" s="1543" t="s">
        <v>1746</v>
      </c>
      <c r="C175" s="1544"/>
      <c r="D175" s="1544"/>
      <c r="E175" s="1545"/>
      <c r="F175" s="854" t="s">
        <v>734</v>
      </c>
      <c r="G175" s="1412">
        <f>BS!D106</f>
        <v>4591</v>
      </c>
      <c r="H175" s="1415"/>
      <c r="I175" s="1412">
        <f>BS!E106</f>
        <v>6549</v>
      </c>
      <c r="J175" s="1414"/>
    </row>
    <row r="176" spans="1:10" s="501" customFormat="1" ht="27.75" customHeight="1" x14ac:dyDescent="0.25">
      <c r="A176" s="855" t="s">
        <v>535</v>
      </c>
      <c r="B176" s="1543" t="s">
        <v>1747</v>
      </c>
      <c r="C176" s="1544"/>
      <c r="D176" s="1544"/>
      <c r="E176" s="1545"/>
      <c r="F176" s="854" t="s">
        <v>736</v>
      </c>
      <c r="G176" s="1412">
        <f>BS!D107</f>
        <v>0</v>
      </c>
      <c r="H176" s="1415"/>
      <c r="I176" s="1412">
        <f>BS!E107</f>
        <v>0</v>
      </c>
      <c r="J176" s="1414"/>
    </row>
    <row r="177" spans="1:10" ht="27.75" customHeight="1" x14ac:dyDescent="0.25">
      <c r="A177" s="855" t="s">
        <v>538</v>
      </c>
      <c r="B177" s="1543" t="s">
        <v>1748</v>
      </c>
      <c r="C177" s="1544"/>
      <c r="D177" s="1544"/>
      <c r="E177" s="1545"/>
      <c r="F177" s="854" t="s">
        <v>738</v>
      </c>
      <c r="G177" s="1412">
        <f>BS!D108</f>
        <v>208891</v>
      </c>
      <c r="H177" s="1415"/>
      <c r="I177" s="1412">
        <f>BS!E108</f>
        <v>31415</v>
      </c>
      <c r="J177" s="1414"/>
    </row>
    <row r="178" spans="1:10" ht="25.5" customHeight="1" thickBot="1" x14ac:dyDescent="0.3">
      <c r="A178" s="563" t="s">
        <v>613</v>
      </c>
      <c r="B178" s="1561" t="s">
        <v>1749</v>
      </c>
      <c r="C178" s="1562"/>
      <c r="D178" s="1562"/>
      <c r="E178" s="1563"/>
      <c r="F178" s="562" t="s">
        <v>740</v>
      </c>
      <c r="G178" s="1546">
        <f>BS!D109</f>
        <v>0</v>
      </c>
      <c r="H178" s="1547"/>
      <c r="I178" s="1546">
        <f>BS!E109</f>
        <v>0</v>
      </c>
      <c r="J178" s="1548"/>
    </row>
    <row r="179" spans="1:10" ht="30" customHeight="1" x14ac:dyDescent="0.15">
      <c r="A179" s="569" t="s">
        <v>1652</v>
      </c>
      <c r="B179" s="1417" t="s">
        <v>1719</v>
      </c>
      <c r="C179" s="1560"/>
      <c r="D179" s="1560"/>
      <c r="E179" s="1509"/>
      <c r="F179" s="568" t="s">
        <v>1654</v>
      </c>
      <c r="G179" s="1417" t="s">
        <v>1720</v>
      </c>
      <c r="H179" s="1509"/>
      <c r="I179" s="1419" t="s">
        <v>1721</v>
      </c>
      <c r="J179" s="1428"/>
    </row>
    <row r="180" spans="1:10" ht="27.75" customHeight="1" x14ac:dyDescent="0.25">
      <c r="A180" s="864" t="s">
        <v>616</v>
      </c>
      <c r="B180" s="1543" t="s">
        <v>1750</v>
      </c>
      <c r="C180" s="1544"/>
      <c r="D180" s="1544"/>
      <c r="E180" s="1545"/>
      <c r="F180" s="854" t="s">
        <v>742</v>
      </c>
      <c r="G180" s="1412">
        <f>BS!D110</f>
        <v>0</v>
      </c>
      <c r="H180" s="1415"/>
      <c r="I180" s="1412">
        <f>BS!E110</f>
        <v>0</v>
      </c>
      <c r="J180" s="1414"/>
    </row>
    <row r="181" spans="1:10" ht="27.75" customHeight="1" x14ac:dyDescent="0.25">
      <c r="A181" s="855" t="s">
        <v>532</v>
      </c>
      <c r="B181" s="1436" t="s">
        <v>1697</v>
      </c>
      <c r="C181" s="1437"/>
      <c r="D181" s="1437"/>
      <c r="E181" s="1437"/>
      <c r="F181" s="854" t="s">
        <v>743</v>
      </c>
      <c r="G181" s="1412">
        <f>BS!D111</f>
        <v>0</v>
      </c>
      <c r="H181" s="1415"/>
      <c r="I181" s="1412">
        <f>BS!E111</f>
        <v>0</v>
      </c>
      <c r="J181" s="1414"/>
    </row>
    <row r="182" spans="1:10" s="501" customFormat="1" ht="27.75" customHeight="1" x14ac:dyDescent="0.25">
      <c r="A182" s="855" t="s">
        <v>535</v>
      </c>
      <c r="B182" s="1543" t="s">
        <v>1751</v>
      </c>
      <c r="C182" s="1544"/>
      <c r="D182" s="1544"/>
      <c r="E182" s="1545"/>
      <c r="F182" s="854" t="s">
        <v>745</v>
      </c>
      <c r="G182" s="1412">
        <f>BS!D112</f>
        <v>0</v>
      </c>
      <c r="H182" s="1415"/>
      <c r="I182" s="1412">
        <f>BS!E112</f>
        <v>0</v>
      </c>
      <c r="J182" s="1414"/>
    </row>
    <row r="183" spans="1:10" ht="27.75" customHeight="1" x14ac:dyDescent="0.25">
      <c r="A183" s="855" t="s">
        <v>538</v>
      </c>
      <c r="B183" s="1543" t="s">
        <v>1752</v>
      </c>
      <c r="C183" s="1544"/>
      <c r="D183" s="1544"/>
      <c r="E183" s="1545"/>
      <c r="F183" s="854" t="s">
        <v>747</v>
      </c>
      <c r="G183" s="1412">
        <f>BS!D113</f>
        <v>0</v>
      </c>
      <c r="H183" s="1415"/>
      <c r="I183" s="1412">
        <f>BS!E113</f>
        <v>0</v>
      </c>
      <c r="J183" s="1414"/>
    </row>
    <row r="184" spans="1:10" ht="27.75" customHeight="1" x14ac:dyDescent="0.25">
      <c r="A184" s="855" t="s">
        <v>541</v>
      </c>
      <c r="B184" s="1543" t="s">
        <v>1753</v>
      </c>
      <c r="C184" s="1544"/>
      <c r="D184" s="1544"/>
      <c r="E184" s="1545"/>
      <c r="F184" s="854" t="s">
        <v>749</v>
      </c>
      <c r="G184" s="1412">
        <f>BS!D114</f>
        <v>0</v>
      </c>
      <c r="H184" s="1415"/>
      <c r="I184" s="1412">
        <f>BS!E114</f>
        <v>0</v>
      </c>
      <c r="J184" s="1414"/>
    </row>
    <row r="185" spans="1:10" ht="27.75" customHeight="1" x14ac:dyDescent="0.25">
      <c r="A185" s="855" t="s">
        <v>544</v>
      </c>
      <c r="B185" s="1543" t="s">
        <v>1754</v>
      </c>
      <c r="C185" s="1544"/>
      <c r="D185" s="1544"/>
      <c r="E185" s="1545"/>
      <c r="F185" s="854" t="s">
        <v>751</v>
      </c>
      <c r="G185" s="1412">
        <f>BS!D115</f>
        <v>0</v>
      </c>
      <c r="H185" s="1415"/>
      <c r="I185" s="1412">
        <f>BS!E115</f>
        <v>0</v>
      </c>
      <c r="J185" s="1414"/>
    </row>
    <row r="186" spans="1:10" ht="27.75" customHeight="1" x14ac:dyDescent="0.25">
      <c r="A186" s="855" t="s">
        <v>547</v>
      </c>
      <c r="B186" s="1543" t="s">
        <v>1755</v>
      </c>
      <c r="C186" s="1544"/>
      <c r="D186" s="1544"/>
      <c r="E186" s="1545"/>
      <c r="F186" s="854" t="s">
        <v>753</v>
      </c>
      <c r="G186" s="1412">
        <f>BS!D116</f>
        <v>0</v>
      </c>
      <c r="H186" s="1415"/>
      <c r="I186" s="1412">
        <f>BS!E116</f>
        <v>0</v>
      </c>
      <c r="J186" s="1414"/>
    </row>
    <row r="187" spans="1:10" ht="27.75" customHeight="1" x14ac:dyDescent="0.25">
      <c r="A187" s="855" t="s">
        <v>568</v>
      </c>
      <c r="B187" s="1543" t="s">
        <v>1756</v>
      </c>
      <c r="C187" s="1544"/>
      <c r="D187" s="1544"/>
      <c r="E187" s="1545"/>
      <c r="F187" s="854" t="s">
        <v>755</v>
      </c>
      <c r="G187" s="1412">
        <f>BS!D117</f>
        <v>0</v>
      </c>
      <c r="H187" s="1415"/>
      <c r="I187" s="1412">
        <f>BS!E117</f>
        <v>0</v>
      </c>
      <c r="J187" s="1414"/>
    </row>
    <row r="188" spans="1:10" ht="27.75" customHeight="1" x14ac:dyDescent="0.25">
      <c r="A188" s="855" t="s">
        <v>571</v>
      </c>
      <c r="B188" s="1543" t="s">
        <v>1757</v>
      </c>
      <c r="C188" s="1544"/>
      <c r="D188" s="1544"/>
      <c r="E188" s="1545"/>
      <c r="F188" s="854" t="s">
        <v>757</v>
      </c>
      <c r="G188" s="1412">
        <f>BS!D118</f>
        <v>0</v>
      </c>
      <c r="H188" s="1415"/>
      <c r="I188" s="1412">
        <f>BS!E118</f>
        <v>0</v>
      </c>
      <c r="J188" s="1414"/>
    </row>
    <row r="189" spans="1:10" ht="27.75" customHeight="1" x14ac:dyDescent="0.25">
      <c r="A189" s="855" t="s">
        <v>758</v>
      </c>
      <c r="B189" s="1543" t="s">
        <v>1758</v>
      </c>
      <c r="C189" s="1544"/>
      <c r="D189" s="1544"/>
      <c r="E189" s="1545"/>
      <c r="F189" s="854" t="s">
        <v>760</v>
      </c>
      <c r="G189" s="1412">
        <f>BS!D119</f>
        <v>0</v>
      </c>
      <c r="H189" s="1415"/>
      <c r="I189" s="1412">
        <f>BS!E119</f>
        <v>0</v>
      </c>
      <c r="J189" s="1414"/>
    </row>
    <row r="190" spans="1:10" ht="27.75" customHeight="1" x14ac:dyDescent="0.25">
      <c r="A190" s="855" t="s">
        <v>761</v>
      </c>
      <c r="B190" s="1543" t="s">
        <v>1759</v>
      </c>
      <c r="C190" s="1544"/>
      <c r="D190" s="1544"/>
      <c r="E190" s="1545"/>
      <c r="F190" s="854" t="s">
        <v>763</v>
      </c>
      <c r="G190" s="1412">
        <f>BS!D120</f>
        <v>0</v>
      </c>
      <c r="H190" s="1415"/>
      <c r="I190" s="1412">
        <f>BS!E120</f>
        <v>0</v>
      </c>
      <c r="J190" s="1414"/>
    </row>
    <row r="191" spans="1:10" ht="27.75" customHeight="1" x14ac:dyDescent="0.25">
      <c r="A191" s="858" t="s">
        <v>631</v>
      </c>
      <c r="B191" s="1540" t="s">
        <v>1760</v>
      </c>
      <c r="C191" s="1541"/>
      <c r="D191" s="1541"/>
      <c r="E191" s="1542"/>
      <c r="F191" s="854" t="s">
        <v>765</v>
      </c>
      <c r="G191" s="1412">
        <f>BS!D121</f>
        <v>639651</v>
      </c>
      <c r="H191" s="1415"/>
      <c r="I191" s="1412">
        <f>BS!E121</f>
        <v>592099</v>
      </c>
      <c r="J191" s="1414"/>
    </row>
    <row r="192" spans="1:10" ht="27.75" customHeight="1" x14ac:dyDescent="0.25">
      <c r="A192" s="855" t="s">
        <v>634</v>
      </c>
      <c r="B192" s="1543" t="s">
        <v>1761</v>
      </c>
      <c r="C192" s="1544"/>
      <c r="D192" s="1544"/>
      <c r="E192" s="1545"/>
      <c r="F192" s="854" t="s">
        <v>767</v>
      </c>
      <c r="G192" s="1412">
        <f>BS!D122</f>
        <v>558575</v>
      </c>
      <c r="H192" s="1415"/>
      <c r="I192" s="1412">
        <f>BS!E122</f>
        <v>578296</v>
      </c>
      <c r="J192" s="1414"/>
    </row>
    <row r="193" spans="1:10" ht="27.75" customHeight="1" x14ac:dyDescent="0.25">
      <c r="A193" s="855" t="s">
        <v>532</v>
      </c>
      <c r="B193" s="1436" t="s">
        <v>1697</v>
      </c>
      <c r="C193" s="1437"/>
      <c r="D193" s="1437"/>
      <c r="E193" s="1437"/>
      <c r="F193" s="854" t="s">
        <v>768</v>
      </c>
      <c r="G193" s="1412">
        <f>BS!D123</f>
        <v>0</v>
      </c>
      <c r="H193" s="1415"/>
      <c r="I193" s="1412">
        <f>BS!E123</f>
        <v>0</v>
      </c>
      <c r="J193" s="1414"/>
    </row>
    <row r="194" spans="1:10" ht="27.75" customHeight="1" x14ac:dyDescent="0.25">
      <c r="A194" s="855" t="s">
        <v>535</v>
      </c>
      <c r="B194" s="1543" t="s">
        <v>1762</v>
      </c>
      <c r="C194" s="1544"/>
      <c r="D194" s="1544"/>
      <c r="E194" s="1545"/>
      <c r="F194" s="854" t="s">
        <v>770</v>
      </c>
      <c r="G194" s="1412">
        <f>BS!D124</f>
        <v>22440</v>
      </c>
      <c r="H194" s="1415"/>
      <c r="I194" s="1412">
        <f>BS!E124</f>
        <v>84</v>
      </c>
      <c r="J194" s="1414"/>
    </row>
    <row r="195" spans="1:10" s="501" customFormat="1" ht="27.75" customHeight="1" x14ac:dyDescent="0.25">
      <c r="A195" s="855" t="s">
        <v>538</v>
      </c>
      <c r="B195" s="1543" t="s">
        <v>1763</v>
      </c>
      <c r="C195" s="1544"/>
      <c r="D195" s="1544"/>
      <c r="E195" s="1545"/>
      <c r="F195" s="854" t="s">
        <v>772</v>
      </c>
      <c r="G195" s="1412">
        <f>BS!D125</f>
        <v>0</v>
      </c>
      <c r="H195" s="1415"/>
      <c r="I195" s="1412">
        <f>BS!E125</f>
        <v>0</v>
      </c>
      <c r="J195" s="1414"/>
    </row>
    <row r="196" spans="1:10" ht="27.75" customHeight="1" x14ac:dyDescent="0.25">
      <c r="A196" s="855" t="s">
        <v>541</v>
      </c>
      <c r="B196" s="1543" t="s">
        <v>1764</v>
      </c>
      <c r="C196" s="1544"/>
      <c r="D196" s="1544"/>
      <c r="E196" s="1545"/>
      <c r="F196" s="854" t="s">
        <v>774</v>
      </c>
      <c r="G196" s="1412">
        <f>BS!D126</f>
        <v>0</v>
      </c>
      <c r="H196" s="1415"/>
      <c r="I196" s="1412">
        <f>BS!E126</f>
        <v>0</v>
      </c>
      <c r="J196" s="1414"/>
    </row>
    <row r="197" spans="1:10" ht="28.5" customHeight="1" x14ac:dyDescent="0.25">
      <c r="A197" s="855" t="s">
        <v>544</v>
      </c>
      <c r="B197" s="1543" t="s">
        <v>1765</v>
      </c>
      <c r="C197" s="1544"/>
      <c r="D197" s="1544"/>
      <c r="E197" s="1545"/>
      <c r="F197" s="854" t="s">
        <v>776</v>
      </c>
      <c r="G197" s="1412">
        <f>BS!D127</f>
        <v>0</v>
      </c>
      <c r="H197" s="1415"/>
      <c r="I197" s="1412">
        <f>BS!E127</f>
        <v>0</v>
      </c>
      <c r="J197" s="1414"/>
    </row>
    <row r="198" spans="1:10" ht="27.75" customHeight="1" x14ac:dyDescent="0.25">
      <c r="A198" s="855" t="s">
        <v>547</v>
      </c>
      <c r="B198" s="1543" t="s">
        <v>1766</v>
      </c>
      <c r="C198" s="1544"/>
      <c r="D198" s="1544"/>
      <c r="E198" s="1545"/>
      <c r="F198" s="854" t="s">
        <v>778</v>
      </c>
      <c r="G198" s="1412">
        <f>BS!D128</f>
        <v>3651</v>
      </c>
      <c r="H198" s="1415"/>
      <c r="I198" s="1412">
        <f>BS!E128</f>
        <v>5429</v>
      </c>
      <c r="J198" s="1414"/>
    </row>
    <row r="199" spans="1:10" ht="27.75" customHeight="1" x14ac:dyDescent="0.25">
      <c r="A199" s="855" t="s">
        <v>568</v>
      </c>
      <c r="B199" s="1543" t="s">
        <v>1767</v>
      </c>
      <c r="C199" s="1544"/>
      <c r="D199" s="1544"/>
      <c r="E199" s="1545"/>
      <c r="F199" s="854" t="s">
        <v>780</v>
      </c>
      <c r="G199" s="1412">
        <f>BS!D129</f>
        <v>2403</v>
      </c>
      <c r="H199" s="1415"/>
      <c r="I199" s="1412">
        <f>BS!E129</f>
        <v>2196</v>
      </c>
      <c r="J199" s="1414"/>
    </row>
    <row r="200" spans="1:10" ht="27.75" customHeight="1" x14ac:dyDescent="0.25">
      <c r="A200" s="855" t="s">
        <v>571</v>
      </c>
      <c r="B200" s="1543" t="s">
        <v>1768</v>
      </c>
      <c r="C200" s="1544"/>
      <c r="D200" s="1544"/>
      <c r="E200" s="1545"/>
      <c r="F200" s="854" t="s">
        <v>782</v>
      </c>
      <c r="G200" s="1412">
        <f>BS!D130</f>
        <v>52352</v>
      </c>
      <c r="H200" s="1415"/>
      <c r="I200" s="1412">
        <f>BS!E130</f>
        <v>6094</v>
      </c>
      <c r="J200" s="1414"/>
    </row>
    <row r="201" spans="1:10" ht="27.75" customHeight="1" x14ac:dyDescent="0.25">
      <c r="A201" s="855" t="s">
        <v>758</v>
      </c>
      <c r="B201" s="1543" t="s">
        <v>1769</v>
      </c>
      <c r="C201" s="1544"/>
      <c r="D201" s="1544"/>
      <c r="E201" s="1545"/>
      <c r="F201" s="854" t="s">
        <v>784</v>
      </c>
      <c r="G201" s="1412">
        <f>BS!D131</f>
        <v>230</v>
      </c>
      <c r="H201" s="1415"/>
      <c r="I201" s="1412">
        <f>BS!E131</f>
        <v>0</v>
      </c>
      <c r="J201" s="1414"/>
    </row>
    <row r="202" spans="1:10" ht="27.75" customHeight="1" x14ac:dyDescent="0.25">
      <c r="A202" s="858" t="s">
        <v>649</v>
      </c>
      <c r="B202" s="1540" t="s">
        <v>1770</v>
      </c>
      <c r="C202" s="1541"/>
      <c r="D202" s="1541"/>
      <c r="E202" s="1542"/>
      <c r="F202" s="854" t="s">
        <v>786</v>
      </c>
      <c r="G202" s="1412">
        <f>BS!D132</f>
        <v>0</v>
      </c>
      <c r="H202" s="1415"/>
      <c r="I202" s="1412">
        <f>BS!E132</f>
        <v>0</v>
      </c>
      <c r="J202" s="1414"/>
    </row>
    <row r="203" spans="1:10" ht="27.75" customHeight="1" x14ac:dyDescent="0.25">
      <c r="A203" s="862" t="s">
        <v>787</v>
      </c>
      <c r="B203" s="1540" t="s">
        <v>1771</v>
      </c>
      <c r="C203" s="1541"/>
      <c r="D203" s="1541"/>
      <c r="E203" s="1542"/>
      <c r="F203" s="854" t="s">
        <v>789</v>
      </c>
      <c r="G203" s="1412">
        <f>BS!D133</f>
        <v>0</v>
      </c>
      <c r="H203" s="1415"/>
      <c r="I203" s="1412">
        <f>BS!E133</f>
        <v>0</v>
      </c>
      <c r="J203" s="1414"/>
    </row>
    <row r="204" spans="1:10" ht="27.75" customHeight="1" x14ac:dyDescent="0.25">
      <c r="A204" s="855" t="s">
        <v>790</v>
      </c>
      <c r="B204" s="1543" t="s">
        <v>1772</v>
      </c>
      <c r="C204" s="1544"/>
      <c r="D204" s="1544"/>
      <c r="E204" s="1545"/>
      <c r="F204" s="854" t="s">
        <v>792</v>
      </c>
      <c r="G204" s="1412">
        <f>BS!D134</f>
        <v>0</v>
      </c>
      <c r="H204" s="1415"/>
      <c r="I204" s="1412">
        <f>BS!E134</f>
        <v>0</v>
      </c>
      <c r="J204" s="1414"/>
    </row>
    <row r="205" spans="1:10" s="501" customFormat="1" ht="27.75" customHeight="1" x14ac:dyDescent="0.25">
      <c r="A205" s="855" t="s">
        <v>532</v>
      </c>
      <c r="B205" s="1543" t="s">
        <v>1773</v>
      </c>
      <c r="C205" s="1544"/>
      <c r="D205" s="1544"/>
      <c r="E205" s="1545"/>
      <c r="F205" s="854" t="s">
        <v>794</v>
      </c>
      <c r="G205" s="1412">
        <f>BS!D135</f>
        <v>0</v>
      </c>
      <c r="H205" s="1415"/>
      <c r="I205" s="1412">
        <f>BS!E135</f>
        <v>0</v>
      </c>
      <c r="J205" s="1414"/>
    </row>
    <row r="206" spans="1:10" ht="27.75" customHeight="1" x14ac:dyDescent="0.25">
      <c r="A206" s="858" t="s">
        <v>663</v>
      </c>
      <c r="B206" s="1540" t="s">
        <v>1774</v>
      </c>
      <c r="C206" s="1541"/>
      <c r="D206" s="1541"/>
      <c r="E206" s="1542"/>
      <c r="F206" s="854" t="s">
        <v>796</v>
      </c>
      <c r="G206" s="1412">
        <f>BS!D136</f>
        <v>0</v>
      </c>
      <c r="H206" s="1415"/>
      <c r="I206" s="1412">
        <f>BS!E136</f>
        <v>0</v>
      </c>
      <c r="J206" s="1414"/>
    </row>
    <row r="207" spans="1:10" ht="27.75" customHeight="1" x14ac:dyDescent="0.25">
      <c r="A207" s="864" t="s">
        <v>666</v>
      </c>
      <c r="B207" s="1543" t="s">
        <v>1775</v>
      </c>
      <c r="C207" s="1544"/>
      <c r="D207" s="1544"/>
      <c r="E207" s="1545"/>
      <c r="F207" s="854" t="s">
        <v>798</v>
      </c>
      <c r="G207" s="1412">
        <f>BS!D137</f>
        <v>0</v>
      </c>
      <c r="H207" s="1415"/>
      <c r="I207" s="1412">
        <f>BS!E137</f>
        <v>0</v>
      </c>
      <c r="J207" s="1414"/>
    </row>
    <row r="208" spans="1:10" ht="27.75" customHeight="1" x14ac:dyDescent="0.25">
      <c r="A208" s="855" t="s">
        <v>532</v>
      </c>
      <c r="B208" s="1543" t="s">
        <v>1776</v>
      </c>
      <c r="C208" s="1544"/>
      <c r="D208" s="1544"/>
      <c r="E208" s="1545"/>
      <c r="F208" s="854" t="s">
        <v>800</v>
      </c>
      <c r="G208" s="1412">
        <f>BS!D138</f>
        <v>0</v>
      </c>
      <c r="H208" s="1415"/>
      <c r="I208" s="1412">
        <f>BS!E138</f>
        <v>0</v>
      </c>
      <c r="J208" s="1414"/>
    </row>
    <row r="209" spans="1:10" s="501" customFormat="1" ht="27.75" customHeight="1" x14ac:dyDescent="0.25">
      <c r="A209" s="855" t="s">
        <v>535</v>
      </c>
      <c r="B209" s="1543" t="s">
        <v>1777</v>
      </c>
      <c r="C209" s="1544"/>
      <c r="D209" s="1544"/>
      <c r="E209" s="1545"/>
      <c r="F209" s="854" t="s">
        <v>802</v>
      </c>
      <c r="G209" s="1412">
        <f>BS!D139</f>
        <v>0</v>
      </c>
      <c r="H209" s="1415"/>
      <c r="I209" s="1412">
        <f>BS!E139</f>
        <v>0</v>
      </c>
      <c r="J209" s="1414"/>
    </row>
    <row r="210" spans="1:10" ht="27.75" customHeight="1" thickBot="1" x14ac:dyDescent="0.3">
      <c r="A210" s="555" t="s">
        <v>538</v>
      </c>
      <c r="B210" s="1549" t="s">
        <v>1778</v>
      </c>
      <c r="C210" s="1550"/>
      <c r="D210" s="1550"/>
      <c r="E210" s="1551"/>
      <c r="F210" s="854" t="s">
        <v>804</v>
      </c>
      <c r="G210" s="1546">
        <f>BS!D140</f>
        <v>0</v>
      </c>
      <c r="H210" s="1547"/>
      <c r="I210" s="1546">
        <f>BS!E140</f>
        <v>0</v>
      </c>
      <c r="J210" s="1548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2">
    <mergeCell ref="I6:J6"/>
    <mergeCell ref="A7:A8"/>
    <mergeCell ref="B7:B8"/>
    <mergeCell ref="C7:C8"/>
    <mergeCell ref="D7:F7"/>
    <mergeCell ref="G7:I7"/>
    <mergeCell ref="D8:F8"/>
    <mergeCell ref="H8:J8"/>
    <mergeCell ref="B2:C2"/>
    <mergeCell ref="A4:A6"/>
    <mergeCell ref="B4:B6"/>
    <mergeCell ref="C4:C6"/>
    <mergeCell ref="D4:H4"/>
    <mergeCell ref="I4:J5"/>
    <mergeCell ref="D5:D6"/>
    <mergeCell ref="E5:F5"/>
    <mergeCell ref="G5:H6"/>
    <mergeCell ref="E6:F6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33:A35"/>
    <mergeCell ref="B33:B35"/>
    <mergeCell ref="C33:C35"/>
    <mergeCell ref="D33:H33"/>
    <mergeCell ref="I33:J34"/>
    <mergeCell ref="D34:D35"/>
    <mergeCell ref="E34:F34"/>
    <mergeCell ref="G34:H35"/>
    <mergeCell ref="E35:F35"/>
    <mergeCell ref="I35:J35"/>
    <mergeCell ref="A38:A39"/>
    <mergeCell ref="B38:B39"/>
    <mergeCell ref="C38:C39"/>
    <mergeCell ref="D38:F38"/>
    <mergeCell ref="G38:I38"/>
    <mergeCell ref="D39:F39"/>
    <mergeCell ref="H39:J39"/>
    <mergeCell ref="A36:A37"/>
    <mergeCell ref="B36:B37"/>
    <mergeCell ref="C36:C37"/>
    <mergeCell ref="D36:F36"/>
    <mergeCell ref="G36:I36"/>
    <mergeCell ref="D37:F37"/>
    <mergeCell ref="H37:J37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64:A66"/>
    <mergeCell ref="B64:B66"/>
    <mergeCell ref="C64:C66"/>
    <mergeCell ref="D64:H64"/>
    <mergeCell ref="I64:J65"/>
    <mergeCell ref="D65:D66"/>
    <mergeCell ref="E65:F65"/>
    <mergeCell ref="G65:H66"/>
    <mergeCell ref="E66:F66"/>
    <mergeCell ref="I66:J66"/>
    <mergeCell ref="A69:A70"/>
    <mergeCell ref="B69:B70"/>
    <mergeCell ref="C69:C70"/>
    <mergeCell ref="D69:F69"/>
    <mergeCell ref="G69:I69"/>
    <mergeCell ref="D70:F70"/>
    <mergeCell ref="H70:J70"/>
    <mergeCell ref="A67:A68"/>
    <mergeCell ref="B67:B68"/>
    <mergeCell ref="C67:C68"/>
    <mergeCell ref="D67:F67"/>
    <mergeCell ref="G67:I67"/>
    <mergeCell ref="D68:F68"/>
    <mergeCell ref="H68:J68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7"/>
    <mergeCell ref="E97:F97"/>
    <mergeCell ref="I97:J97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8:A130"/>
    <mergeCell ref="B128:B130"/>
    <mergeCell ref="C128:C130"/>
    <mergeCell ref="D128:H128"/>
    <mergeCell ref="I128:J129"/>
    <mergeCell ref="D129:D130"/>
    <mergeCell ref="E129:F129"/>
    <mergeCell ref="G129:H130"/>
    <mergeCell ref="E130:F130"/>
    <mergeCell ref="I130:J130"/>
    <mergeCell ref="A133:A134"/>
    <mergeCell ref="B133:B134"/>
    <mergeCell ref="C133:C134"/>
    <mergeCell ref="D133:F133"/>
    <mergeCell ref="G133:I133"/>
    <mergeCell ref="D134:F134"/>
    <mergeCell ref="H134:J134"/>
    <mergeCell ref="A131:A132"/>
    <mergeCell ref="B131:B132"/>
    <mergeCell ref="C131:C132"/>
    <mergeCell ref="D131:F131"/>
    <mergeCell ref="G131:I131"/>
    <mergeCell ref="D132:F132"/>
    <mergeCell ref="H132:J132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25947/1/2010&amp;RSeite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3"/>
  <sheetViews>
    <sheetView showGridLines="0" view="pageBreakPreview" zoomScaleNormal="100" zoomScaleSheetLayoutView="100" workbookViewId="0"/>
  </sheetViews>
  <sheetFormatPr defaultRowHeight="12.75" x14ac:dyDescent="0.25"/>
  <cols>
    <col min="1" max="10" width="2.5703125" style="866" customWidth="1"/>
    <col min="11" max="11" width="3.42578125" style="866" customWidth="1"/>
    <col min="12" max="36" width="2.5703125" style="866" customWidth="1"/>
    <col min="37" max="37" width="2.140625" style="866" customWidth="1"/>
    <col min="38" max="38" width="1.85546875" style="866" customWidth="1"/>
    <col min="39" max="39" width="2.140625" style="866" customWidth="1"/>
    <col min="40" max="45" width="2.5703125" style="866" customWidth="1"/>
    <col min="46" max="46" width="7.7109375" style="866" customWidth="1"/>
    <col min="47" max="61" width="2.5703125" style="866" customWidth="1"/>
    <col min="62" max="16384" width="9.140625" style="866"/>
  </cols>
  <sheetData>
    <row r="1" spans="1:38" x14ac:dyDescent="0.25">
      <c r="B1" s="865" t="s">
        <v>1321</v>
      </c>
    </row>
    <row r="2" spans="1:38" s="551" customFormat="1" ht="18.75" thickBot="1" x14ac:dyDescent="0.3">
      <c r="C2" s="865"/>
      <c r="N2" s="547" t="s">
        <v>1779</v>
      </c>
    </row>
    <row r="3" spans="1:38" s="448" customFormat="1" ht="21" customHeight="1" thickBot="1" x14ac:dyDescent="0.3">
      <c r="B3" s="935" t="s">
        <v>1780</v>
      </c>
      <c r="C3" s="867"/>
      <c r="D3" s="868"/>
      <c r="E3" s="868"/>
      <c r="F3" s="868"/>
      <c r="G3" s="868"/>
      <c r="H3" s="868"/>
      <c r="I3" s="868"/>
      <c r="J3" s="869"/>
      <c r="K3" s="868"/>
      <c r="L3" s="870"/>
      <c r="N3" s="547" t="s">
        <v>1781</v>
      </c>
      <c r="Q3" s="547"/>
    </row>
    <row r="4" spans="1:38" ht="13.5" thickBot="1" x14ac:dyDescent="0.3"/>
    <row r="5" spans="1:38" ht="28.5" customHeight="1" thickBot="1" x14ac:dyDescent="0.3">
      <c r="K5" s="915" t="s">
        <v>1614</v>
      </c>
      <c r="L5" s="545" t="str">
        <f>+MID('Input data'!$B$11,1,1)</f>
        <v>3</v>
      </c>
      <c r="M5" s="545" t="str">
        <f>+MID('Input data'!$B$11,2,1)</f>
        <v>1</v>
      </c>
      <c r="N5" s="545" t="s">
        <v>1147</v>
      </c>
      <c r="O5" s="545" t="str">
        <f>LEFT('Input data'!B13,1)</f>
        <v>1</v>
      </c>
      <c r="P5" s="545" t="str">
        <f>RIGHT('Input data'!B13,1)</f>
        <v>2</v>
      </c>
      <c r="Q5" s="545" t="s">
        <v>1147</v>
      </c>
      <c r="R5" s="545" t="str">
        <f>+LEFT('Input data'!$B$14,1)</f>
        <v>2</v>
      </c>
      <c r="S5" s="545" t="str">
        <f>+MID('Input data'!$B$14,2,1)</f>
        <v>0</v>
      </c>
      <c r="T5" s="545" t="str">
        <f>+MID('Input data'!$B$14,3,1)</f>
        <v>1</v>
      </c>
      <c r="U5" s="545" t="str">
        <f>+MID('Input data'!$B$14,4,1)</f>
        <v>3</v>
      </c>
      <c r="V5" s="1557" t="s">
        <v>1615</v>
      </c>
      <c r="W5" s="1558"/>
      <c r="X5" s="1558"/>
      <c r="Y5" s="1558"/>
      <c r="Z5" s="1558"/>
      <c r="AA5" s="1559"/>
    </row>
    <row r="6" spans="1:38" ht="7.5" customHeight="1" thickBot="1" x14ac:dyDescent="0.3"/>
    <row r="7" spans="1:38" s="538" customFormat="1" ht="14.25" customHeight="1" x14ac:dyDescent="0.25">
      <c r="A7" s="541" t="s">
        <v>1616</v>
      </c>
      <c r="B7" s="541"/>
      <c r="C7" s="540"/>
      <c r="D7" s="540"/>
      <c r="E7" s="540"/>
      <c r="F7" s="540"/>
      <c r="G7" s="540"/>
      <c r="H7" s="540"/>
      <c r="I7" s="540"/>
      <c r="J7" s="540"/>
      <c r="K7" s="540"/>
      <c r="L7" s="540"/>
      <c r="M7" s="540"/>
      <c r="N7" s="540"/>
      <c r="O7" s="540"/>
      <c r="P7" s="540"/>
      <c r="Q7" s="540"/>
      <c r="R7" s="540"/>
      <c r="S7" s="539"/>
      <c r="T7" s="540"/>
      <c r="U7" s="540"/>
      <c r="V7" s="540"/>
      <c r="W7" s="540"/>
      <c r="X7" s="540"/>
      <c r="Y7" s="540"/>
      <c r="Z7" s="540"/>
      <c r="AA7" s="540"/>
      <c r="AB7" s="540"/>
      <c r="AC7" s="540"/>
      <c r="AD7" s="540"/>
      <c r="AE7" s="540"/>
      <c r="AF7" s="540"/>
      <c r="AG7" s="540"/>
      <c r="AH7" s="540"/>
      <c r="AI7" s="540"/>
      <c r="AJ7" s="540"/>
      <c r="AK7" s="540"/>
      <c r="AL7" s="539"/>
    </row>
    <row r="8" spans="1:38" s="538" customFormat="1" ht="14.25" customHeight="1" x14ac:dyDescent="0.25">
      <c r="A8" s="916" t="s">
        <v>1617</v>
      </c>
      <c r="B8" s="916"/>
      <c r="C8" s="917"/>
      <c r="D8" s="917"/>
      <c r="E8" s="917"/>
      <c r="F8" s="917"/>
      <c r="G8" s="917"/>
      <c r="H8" s="917"/>
      <c r="I8" s="917"/>
      <c r="J8" s="917"/>
      <c r="K8" s="917"/>
      <c r="L8" s="917"/>
      <c r="M8" s="917"/>
      <c r="N8" s="917"/>
      <c r="O8" s="917"/>
      <c r="P8" s="917"/>
      <c r="Q8" s="917"/>
      <c r="R8" s="917"/>
      <c r="S8" s="917"/>
      <c r="T8" s="917"/>
      <c r="U8" s="917"/>
      <c r="V8" s="917"/>
      <c r="W8" s="917"/>
      <c r="X8" s="917"/>
      <c r="Y8" s="917"/>
      <c r="Z8" s="917"/>
      <c r="AA8" s="917"/>
      <c r="AB8" s="917"/>
      <c r="AC8" s="917"/>
      <c r="AD8" s="917"/>
      <c r="AE8" s="917"/>
      <c r="AF8" s="917"/>
      <c r="AG8" s="917"/>
      <c r="AH8" s="917"/>
      <c r="AI8" s="917"/>
      <c r="AJ8" s="917"/>
      <c r="AK8" s="917"/>
      <c r="AL8" s="918"/>
    </row>
    <row r="9" spans="1:38" s="922" customFormat="1" ht="15" customHeight="1" x14ac:dyDescent="0.25">
      <c r="A9" s="919" t="s">
        <v>1618</v>
      </c>
      <c r="B9" s="919"/>
      <c r="C9" s="920"/>
      <c r="D9" s="920"/>
      <c r="E9" s="920"/>
      <c r="F9" s="920"/>
      <c r="G9" s="920"/>
      <c r="H9" s="920"/>
      <c r="I9" s="920"/>
      <c r="J9" s="920"/>
      <c r="K9" s="920"/>
      <c r="L9" s="920"/>
      <c r="M9" s="920"/>
      <c r="N9" s="920"/>
      <c r="O9" s="920"/>
      <c r="P9" s="920"/>
      <c r="Q9" s="920"/>
      <c r="R9" s="920"/>
      <c r="S9" s="921"/>
      <c r="T9" s="920"/>
      <c r="U9" s="920"/>
      <c r="V9" s="920"/>
      <c r="W9" s="920"/>
      <c r="X9" s="920"/>
      <c r="Y9" s="920"/>
      <c r="Z9" s="920"/>
      <c r="AA9" s="920"/>
      <c r="AB9" s="920"/>
      <c r="AC9" s="920"/>
      <c r="AD9" s="920"/>
      <c r="AE9" s="920"/>
      <c r="AF9" s="920"/>
      <c r="AG9" s="920"/>
      <c r="AH9" s="920"/>
      <c r="AI9" s="920"/>
      <c r="AJ9" s="920"/>
      <c r="AK9" s="920"/>
      <c r="AL9" s="918"/>
    </row>
    <row r="10" spans="1:38" s="533" customFormat="1" ht="18" customHeight="1" thickBot="1" x14ac:dyDescent="0.3">
      <c r="A10" s="536" t="s">
        <v>1151</v>
      </c>
      <c r="B10" s="536"/>
      <c r="C10" s="535"/>
      <c r="D10" s="535"/>
      <c r="E10" s="536"/>
      <c r="F10" s="535"/>
      <c r="G10" s="535"/>
      <c r="H10" s="535"/>
      <c r="I10" s="535"/>
      <c r="J10" s="535"/>
      <c r="K10" s="535"/>
      <c r="L10" s="535"/>
      <c r="M10" s="535"/>
      <c r="N10" s="535"/>
      <c r="O10" s="535"/>
      <c r="P10" s="535"/>
      <c r="Q10" s="535"/>
      <c r="R10" s="535"/>
      <c r="S10" s="534"/>
      <c r="T10" s="535"/>
      <c r="U10" s="535"/>
      <c r="V10" s="535"/>
      <c r="W10" s="535"/>
      <c r="X10" s="535"/>
      <c r="Y10" s="535"/>
      <c r="Z10" s="535"/>
      <c r="AA10" s="535"/>
      <c r="AB10" s="535"/>
      <c r="AC10" s="535"/>
      <c r="AD10" s="535"/>
      <c r="AE10" s="535"/>
      <c r="AF10" s="535"/>
      <c r="AG10" s="535"/>
      <c r="AH10" s="535"/>
      <c r="AI10" s="535"/>
      <c r="AJ10" s="535"/>
      <c r="AK10" s="535"/>
      <c r="AL10" s="534"/>
    </row>
    <row r="11" spans="1:38" s="513" customFormat="1" ht="3.75" customHeight="1" thickBot="1" x14ac:dyDescent="0.3"/>
    <row r="12" spans="1:38" s="513" customFormat="1" ht="14.25" customHeight="1" x14ac:dyDescent="0.25">
      <c r="A12" s="515" t="s">
        <v>1620</v>
      </c>
      <c r="B12" s="514"/>
      <c r="C12" s="514"/>
      <c r="D12" s="514"/>
      <c r="E12" s="514"/>
      <c r="F12" s="514"/>
      <c r="G12" s="514"/>
      <c r="H12" s="514"/>
      <c r="I12" s="458"/>
      <c r="J12" s="900"/>
      <c r="K12" s="531" t="s">
        <v>1621</v>
      </c>
      <c r="L12" s="514"/>
      <c r="M12" s="532"/>
      <c r="N12" s="532"/>
      <c r="O12" s="532"/>
      <c r="P12" s="514"/>
      <c r="Q12" s="531" t="s">
        <v>1621</v>
      </c>
      <c r="R12" s="514"/>
      <c r="S12" s="458"/>
      <c r="T12" s="514"/>
      <c r="U12" s="514"/>
      <c r="V12" s="901"/>
      <c r="W12" s="514"/>
      <c r="X12" s="514"/>
      <c r="Y12" s="514"/>
      <c r="Z12" s="514"/>
      <c r="AA12" s="514"/>
      <c r="AB12" s="514"/>
      <c r="AC12" s="514"/>
      <c r="AD12" s="531" t="s">
        <v>1622</v>
      </c>
      <c r="AE12" s="531"/>
      <c r="AF12" s="531"/>
      <c r="AG12" s="531" t="s">
        <v>1623</v>
      </c>
      <c r="AH12" s="514"/>
      <c r="AI12" s="514"/>
      <c r="AJ12" s="514"/>
      <c r="AK12" s="514"/>
      <c r="AL12" s="530"/>
    </row>
    <row r="13" spans="1:38" s="513" customFormat="1" ht="19.5" customHeight="1" x14ac:dyDescent="0.2">
      <c r="A13" s="527" t="str">
        <f>LEFT('Input data'!C24,1)</f>
        <v>2</v>
      </c>
      <c r="B13" s="492" t="str">
        <f>MID('Input data'!$C$24,2,1)</f>
        <v>0</v>
      </c>
      <c r="C13" s="492" t="str">
        <f>MID('Input data'!$C$24,3,1)</f>
        <v>2</v>
      </c>
      <c r="D13" s="492" t="str">
        <f>MID('Input data'!$C$24,4,1)</f>
        <v>1</v>
      </c>
      <c r="E13" s="492" t="str">
        <f>MID('Input data'!$C$24,5,1)</f>
        <v>8</v>
      </c>
      <c r="F13" s="492" t="str">
        <f>MID('Input data'!$C$24,6,1)</f>
        <v>7</v>
      </c>
      <c r="G13" s="492" t="str">
        <f>MID('Input data'!$C$24,7,1)</f>
        <v>0</v>
      </c>
      <c r="H13" s="492" t="str">
        <f>MID('Input data'!$C$24,8,1)</f>
        <v>2</v>
      </c>
      <c r="I13" s="492" t="str">
        <f>MID('Input data'!$C$24,9,1)</f>
        <v>9</v>
      </c>
      <c r="J13" s="902" t="str">
        <f>MID('Input data'!$C$24,10,1)</f>
        <v>0</v>
      </c>
      <c r="K13" s="903"/>
      <c r="L13" s="516"/>
      <c r="M13" s="516"/>
      <c r="N13" s="516"/>
      <c r="O13" s="516"/>
      <c r="P13" s="516"/>
      <c r="Q13" s="516"/>
      <c r="R13" s="516"/>
      <c r="S13" s="516"/>
      <c r="T13" s="516"/>
      <c r="U13" s="516"/>
      <c r="V13" s="904"/>
      <c r="W13" s="521" t="s">
        <v>1624</v>
      </c>
      <c r="X13" s="516"/>
      <c r="Y13" s="516"/>
      <c r="Z13" s="516"/>
      <c r="AA13" s="516"/>
      <c r="AB13" s="521" t="s">
        <v>1625</v>
      </c>
      <c r="AC13" s="516"/>
      <c r="AD13" s="492" t="str">
        <f>MID('Input data'!$B$8,1,1)</f>
        <v>0</v>
      </c>
      <c r="AE13" s="492" t="str">
        <f>MID('Input data'!$B$8,2,1)</f>
        <v>1</v>
      </c>
      <c r="AF13" s="492"/>
      <c r="AG13" s="492" t="str">
        <f>MID('Input data'!$B$9,1,1)</f>
        <v>2</v>
      </c>
      <c r="AH13" s="492" t="str">
        <f>MID('Input data'!$B$9,2,1)</f>
        <v>0</v>
      </c>
      <c r="AI13" s="492" t="str">
        <f>MID('Input data'!$B$9,3,1)</f>
        <v>1</v>
      </c>
      <c r="AJ13" s="492" t="str">
        <f>MID('Input data'!$B$9,4,1)</f>
        <v>3</v>
      </c>
      <c r="AK13" s="516"/>
      <c r="AL13" s="522"/>
    </row>
    <row r="14" spans="1:38" s="513" customFormat="1" ht="19.5" customHeight="1" x14ac:dyDescent="0.25">
      <c r="A14" s="454" t="s">
        <v>1626</v>
      </c>
      <c r="B14" s="516"/>
      <c r="C14" s="516"/>
      <c r="D14" s="516"/>
      <c r="E14" s="516"/>
      <c r="F14" s="516"/>
      <c r="G14" s="516"/>
      <c r="H14" s="450"/>
      <c r="I14" s="450"/>
      <c r="J14" s="579"/>
      <c r="K14" s="529" t="str">
        <f>IF('Input data'!D7="x","x"," ")</f>
        <v>x</v>
      </c>
      <c r="L14" s="521" t="s">
        <v>1627</v>
      </c>
      <c r="N14" s="523"/>
      <c r="O14" s="523"/>
      <c r="P14" s="523"/>
      <c r="Q14" s="523"/>
      <c r="R14" s="529" t="str">
        <f>IF('Input data'!D16="x","x"," ")</f>
        <v>x</v>
      </c>
      <c r="S14" s="521" t="s">
        <v>1628</v>
      </c>
      <c r="T14" s="516"/>
      <c r="U14" s="516"/>
      <c r="V14" s="904"/>
      <c r="W14" s="873"/>
      <c r="X14" s="874"/>
      <c r="Y14" s="874"/>
      <c r="Z14" s="874"/>
      <c r="AA14" s="874"/>
      <c r="AB14" s="875" t="s">
        <v>1629</v>
      </c>
      <c r="AC14" s="874"/>
      <c r="AD14" s="876" t="str">
        <f>MID('Input data'!$B$13,1,1)</f>
        <v>1</v>
      </c>
      <c r="AE14" s="876" t="str">
        <f>MID('Input data'!$B$13,2,1)</f>
        <v>2</v>
      </c>
      <c r="AF14" s="876"/>
      <c r="AG14" s="876" t="str">
        <f>MID('Input data'!$B$14,1,1)</f>
        <v>2</v>
      </c>
      <c r="AH14" s="876" t="str">
        <f>MID('Input data'!$B$14,2,1)</f>
        <v>0</v>
      </c>
      <c r="AI14" s="876" t="str">
        <f>MID('Input data'!$B$14,3,1)</f>
        <v>1</v>
      </c>
      <c r="AJ14" s="876" t="str">
        <f>MID('Input data'!$B$14,4,1)</f>
        <v>3</v>
      </c>
      <c r="AK14" s="874"/>
      <c r="AL14" s="877"/>
    </row>
    <row r="15" spans="1:38" s="513" customFormat="1" ht="19.5" customHeight="1" x14ac:dyDescent="0.2">
      <c r="A15" s="923" t="str">
        <f>LEFT('Input data'!C26,1)</f>
        <v>3</v>
      </c>
      <c r="B15" s="525" t="str">
        <f>MID('Input data'!$C$26,2,1)</f>
        <v>5</v>
      </c>
      <c r="C15" s="525" t="str">
        <f>MID('Input data'!$C$26,3,1)</f>
        <v>8</v>
      </c>
      <c r="D15" s="525" t="str">
        <f>MID('Input data'!$C$26,4,1)</f>
        <v>9</v>
      </c>
      <c r="E15" s="525" t="str">
        <f>MID('Input data'!$C$26,5,1)</f>
        <v>6</v>
      </c>
      <c r="F15" s="525" t="str">
        <f>MID('Input data'!$C$26,6,1)</f>
        <v>2</v>
      </c>
      <c r="G15" s="525" t="str">
        <f>MID('Input data'!$C$26,7,1)</f>
        <v>8</v>
      </c>
      <c r="H15" s="525" t="str">
        <f>MID('Input data'!$C$26,8,1)</f>
        <v>1</v>
      </c>
      <c r="I15" s="450"/>
      <c r="J15" s="579"/>
      <c r="K15" s="450" t="str">
        <f>IF('Input data'!D8="x","x", "")</f>
        <v/>
      </c>
      <c r="L15" s="521" t="s">
        <v>1630</v>
      </c>
      <c r="M15" s="521"/>
      <c r="N15" s="523"/>
      <c r="O15" s="523"/>
      <c r="P15" s="523"/>
      <c r="Q15" s="523"/>
      <c r="R15" s="523" t="str">
        <f>IF('Input data'!D17="x","x"," ")</f>
        <v xml:space="preserve"> </v>
      </c>
      <c r="S15" s="521" t="s">
        <v>1631</v>
      </c>
      <c r="T15" s="516"/>
      <c r="U15" s="516"/>
      <c r="V15" s="904"/>
      <c r="W15" s="521"/>
      <c r="X15" s="516"/>
      <c r="Y15" s="453"/>
      <c r="Z15" s="450"/>
      <c r="AA15" s="450"/>
      <c r="AB15" s="523"/>
      <c r="AC15" s="450"/>
      <c r="AD15" s="525"/>
      <c r="AE15" s="525"/>
      <c r="AF15" s="525"/>
      <c r="AG15" s="525"/>
      <c r="AH15" s="525"/>
      <c r="AI15" s="525"/>
      <c r="AJ15" s="525"/>
      <c r="AK15" s="450"/>
      <c r="AL15" s="522"/>
    </row>
    <row r="16" spans="1:38" s="513" customFormat="1" ht="19.5" customHeight="1" x14ac:dyDescent="0.2">
      <c r="A16" s="454" t="s">
        <v>1165</v>
      </c>
      <c r="B16" s="516"/>
      <c r="C16" s="516"/>
      <c r="D16" s="516"/>
      <c r="E16" s="516"/>
      <c r="F16" s="469"/>
      <c r="G16" s="516"/>
      <c r="H16" s="516"/>
      <c r="I16" s="450"/>
      <c r="J16" s="579"/>
      <c r="K16" s="903"/>
      <c r="L16" s="450"/>
      <c r="M16" s="521"/>
      <c r="N16" s="523"/>
      <c r="O16" s="523"/>
      <c r="P16" s="523"/>
      <c r="Q16" s="523"/>
      <c r="R16" s="924" t="s">
        <v>1632</v>
      </c>
      <c r="S16" s="523"/>
      <c r="T16" s="516"/>
      <c r="U16" s="516"/>
      <c r="V16" s="904"/>
      <c r="W16" s="521" t="s">
        <v>1633</v>
      </c>
      <c r="X16" s="516"/>
      <c r="Y16" s="453"/>
      <c r="Z16" s="450"/>
      <c r="AA16" s="450"/>
      <c r="AB16" s="521" t="s">
        <v>1625</v>
      </c>
      <c r="AC16" s="450"/>
      <c r="AD16" s="492" t="str">
        <f>MID('Input data'!$B$18,1,1)</f>
        <v>0</v>
      </c>
      <c r="AE16" s="492" t="str">
        <f>MID('Input data'!$B$18,2,1)</f>
        <v>1</v>
      </c>
      <c r="AF16" s="492"/>
      <c r="AG16" s="492" t="str">
        <f>MID('Input data'!$B$19,1,1)</f>
        <v>2</v>
      </c>
      <c r="AH16" s="492" t="str">
        <f>MID('Input data'!$B$19,2,1)</f>
        <v>0</v>
      </c>
      <c r="AI16" s="492" t="str">
        <f>MID('Input data'!$B$19,3,1)</f>
        <v>1</v>
      </c>
      <c r="AJ16" s="492" t="str">
        <f>MID('Input data'!$B$19,4,1)</f>
        <v>2</v>
      </c>
      <c r="AK16" s="450"/>
      <c r="AL16" s="522"/>
    </row>
    <row r="17" spans="1:39" s="513" customFormat="1" ht="19.5" customHeight="1" thickBot="1" x14ac:dyDescent="0.25">
      <c r="A17" s="520" t="str">
        <f>'BS-SK Cover sheet'!A15</f>
        <v>7</v>
      </c>
      <c r="B17" s="445" t="str">
        <f>'BS-SK Cover sheet'!B15</f>
        <v>3</v>
      </c>
      <c r="C17" s="518" t="s">
        <v>1147</v>
      </c>
      <c r="D17" s="445" t="str">
        <f>'BS-SK Cover sheet'!D15</f>
        <v>1</v>
      </c>
      <c r="E17" s="445" t="str">
        <f>'BS-SK Cover sheet'!E15</f>
        <v>1</v>
      </c>
      <c r="F17" s="518" t="s">
        <v>1147</v>
      </c>
      <c r="G17" s="445" t="str">
        <f>'BS-SK Cover sheet'!G15</f>
        <v>0</v>
      </c>
      <c r="H17" s="445"/>
      <c r="I17" s="445"/>
      <c r="J17" s="906"/>
      <c r="K17" s="907"/>
      <c r="L17" s="445"/>
      <c r="M17" s="445"/>
      <c r="N17" s="445"/>
      <c r="O17" s="445"/>
      <c r="P17" s="445"/>
      <c r="Q17" s="445"/>
      <c r="R17" s="445"/>
      <c r="S17" s="445"/>
      <c r="T17" s="518"/>
      <c r="U17" s="518"/>
      <c r="V17" s="908"/>
      <c r="W17" s="517"/>
      <c r="X17" s="518"/>
      <c r="Y17" s="446"/>
      <c r="Z17" s="445"/>
      <c r="AA17" s="445"/>
      <c r="AB17" s="517" t="s">
        <v>1629</v>
      </c>
      <c r="AC17" s="445"/>
      <c r="AD17" s="490" t="str">
        <f>MID('Input data'!$B$21,1,1)</f>
        <v>1</v>
      </c>
      <c r="AE17" s="490" t="str">
        <f>MID('Input data'!$B$21,2,1)</f>
        <v>2</v>
      </c>
      <c r="AF17" s="490"/>
      <c r="AG17" s="490" t="str">
        <f>MID('Input data'!$B$22,1,1)</f>
        <v>2</v>
      </c>
      <c r="AH17" s="490" t="str">
        <f>MID('Input data'!$B$22,2,1)</f>
        <v>0</v>
      </c>
      <c r="AI17" s="490" t="str">
        <f>MID('Input data'!$B$22,3,1)</f>
        <v>1</v>
      </c>
      <c r="AJ17" s="490" t="str">
        <f>MID('Input data'!$B$22,4,1)</f>
        <v>2</v>
      </c>
      <c r="AK17" s="445"/>
      <c r="AL17" s="519"/>
    </row>
    <row r="18" spans="1:39" s="513" customFormat="1" ht="4.5" customHeight="1" x14ac:dyDescent="0.25">
      <c r="A18" s="516"/>
      <c r="B18" s="516"/>
      <c r="C18" s="516"/>
      <c r="D18" s="516"/>
      <c r="E18" s="516"/>
      <c r="F18" s="516"/>
      <c r="G18" s="516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0"/>
      <c r="T18" s="516"/>
      <c r="U18" s="516"/>
      <c r="V18" s="450"/>
      <c r="W18" s="450"/>
      <c r="X18" s="450"/>
      <c r="Y18" s="450"/>
      <c r="Z18" s="450"/>
      <c r="AA18" s="450"/>
      <c r="AB18" s="450"/>
      <c r="AC18" s="450"/>
      <c r="AD18" s="450"/>
      <c r="AE18" s="450"/>
      <c r="AF18" s="450"/>
      <c r="AG18" s="450"/>
      <c r="AH18" s="450"/>
      <c r="AI18" s="450"/>
      <c r="AJ18" s="450"/>
      <c r="AK18" s="450"/>
      <c r="AL18" s="516"/>
      <c r="AM18" s="516"/>
    </row>
    <row r="19" spans="1:39" s="513" customFormat="1" ht="3" customHeight="1" thickBot="1" x14ac:dyDescent="0.3">
      <c r="A19" s="925"/>
      <c r="B19" s="516"/>
      <c r="C19" s="516"/>
      <c r="D19" s="516"/>
      <c r="E19" s="516"/>
      <c r="F19" s="516"/>
      <c r="G19" s="516"/>
      <c r="H19" s="450"/>
      <c r="I19" s="450"/>
      <c r="J19" s="450"/>
      <c r="K19" s="450"/>
      <c r="L19" s="450"/>
      <c r="M19" s="450"/>
      <c r="N19" s="450"/>
      <c r="O19" s="450"/>
      <c r="P19" s="450"/>
      <c r="Q19" s="450"/>
      <c r="R19" s="450"/>
      <c r="S19" s="450"/>
      <c r="T19" s="516"/>
      <c r="U19" s="516"/>
      <c r="V19" s="516"/>
      <c r="W19" s="450"/>
      <c r="X19" s="450"/>
      <c r="Y19" s="450"/>
      <c r="Z19" s="450"/>
      <c r="AA19" s="450"/>
      <c r="AB19" s="450"/>
      <c r="AC19" s="450"/>
      <c r="AD19" s="450"/>
      <c r="AE19" s="450"/>
      <c r="AF19" s="450"/>
      <c r="AG19" s="450"/>
      <c r="AH19" s="450"/>
      <c r="AI19" s="450"/>
      <c r="AJ19" s="450"/>
      <c r="AK19" s="450"/>
      <c r="AL19" s="516"/>
      <c r="AM19" s="516"/>
    </row>
    <row r="20" spans="1:39" s="513" customFormat="1" ht="16.5" x14ac:dyDescent="0.25">
      <c r="A20" s="515" t="s">
        <v>1634</v>
      </c>
      <c r="B20" s="514"/>
      <c r="C20" s="514"/>
      <c r="D20" s="514"/>
      <c r="E20" s="514"/>
      <c r="F20" s="514"/>
      <c r="G20" s="514"/>
      <c r="H20" s="458"/>
      <c r="I20" s="458"/>
      <c r="J20" s="458"/>
      <c r="K20" s="458"/>
      <c r="L20" s="458"/>
      <c r="M20" s="458"/>
      <c r="N20" s="458"/>
      <c r="O20" s="458"/>
      <c r="P20" s="458"/>
      <c r="Q20" s="458"/>
      <c r="R20" s="458"/>
      <c r="S20" s="458"/>
      <c r="T20" s="514"/>
      <c r="U20" s="514"/>
      <c r="V20" s="514"/>
      <c r="W20" s="458"/>
      <c r="X20" s="458"/>
      <c r="Y20" s="458"/>
      <c r="Z20" s="458"/>
      <c r="AA20" s="458"/>
      <c r="AB20" s="458"/>
      <c r="AC20" s="458"/>
      <c r="AD20" s="458"/>
      <c r="AE20" s="458"/>
      <c r="AF20" s="458"/>
      <c r="AG20" s="458"/>
      <c r="AH20" s="458"/>
      <c r="AI20" s="458"/>
      <c r="AJ20" s="458"/>
      <c r="AK20" s="458"/>
      <c r="AL20" s="530"/>
    </row>
    <row r="21" spans="1:39" s="513" customFormat="1" ht="19.5" customHeight="1" x14ac:dyDescent="0.25">
      <c r="A21" s="500" t="str">
        <f>+LEFT('Input data'!$F$3,1)</f>
        <v>V</v>
      </c>
      <c r="B21" s="492" t="str">
        <f>+MID('Input data'!$F$3,2,1)</f>
        <v>i</v>
      </c>
      <c r="C21" s="492" t="str">
        <f>+MID('Input data'!$F$3,3,1)</f>
        <v>z</v>
      </c>
      <c r="D21" s="492" t="str">
        <f>+MID('Input data'!$F$3,4,1)</f>
        <v>e</v>
      </c>
      <c r="E21" s="492" t="str">
        <f>+MID('Input data'!$F$3,5,1)</f>
        <v>u</v>
      </c>
      <c r="F21" s="492" t="str">
        <f>+MID('Input data'!$F$3,6,1)</f>
        <v>m</v>
      </c>
      <c r="G21" s="492" t="str">
        <f>+MID('Input data'!$F$3,7,1)</f>
        <v xml:space="preserve"> </v>
      </c>
      <c r="H21" s="492" t="str">
        <f>+MID('Input data'!$F$3,8,1)</f>
        <v>S</v>
      </c>
      <c r="I21" s="492" t="str">
        <f>+MID('Input data'!$F$3,9,1)</f>
        <v>l</v>
      </c>
      <c r="J21" s="492" t="str">
        <f>+MID('Input data'!$F$3,10,1)</f>
        <v>o</v>
      </c>
      <c r="K21" s="492" t="str">
        <f>+MID('Input data'!$F$3,11,1)</f>
        <v>v</v>
      </c>
      <c r="L21" s="492" t="str">
        <f>+MID('Input data'!$F$3,12,1)</f>
        <v>a</v>
      </c>
      <c r="M21" s="492" t="str">
        <f>+MID('Input data'!$F$3,13,1)</f>
        <v>k</v>
      </c>
      <c r="N21" s="492" t="str">
        <f>+MID('Input data'!$F$3,14,1)</f>
        <v>i</v>
      </c>
      <c r="O21" s="492" t="str">
        <f>+MID('Input data'!$F$3,15,1)</f>
        <v>a</v>
      </c>
      <c r="P21" s="492" t="str">
        <f>+MID('Input data'!$F$3,16,1)</f>
        <v>,</v>
      </c>
      <c r="Q21" s="492" t="str">
        <f>+MID('Input data'!$F$3,17,1)</f>
        <v xml:space="preserve"> </v>
      </c>
      <c r="R21" s="492" t="str">
        <f>+MID('Input data'!$F$3,18,1)</f>
        <v>s</v>
      </c>
      <c r="S21" s="492" t="str">
        <f>+MID('Input data'!$F$3,19,1)</f>
        <v>.</v>
      </c>
      <c r="T21" s="492" t="str">
        <f>+MID('Input data'!$F$3,20,1)</f>
        <v>r</v>
      </c>
      <c r="U21" s="492" t="str">
        <f>+MID('Input data'!$F$3,21,1)</f>
        <v>.</v>
      </c>
      <c r="V21" s="492" t="str">
        <f>+MID('Input data'!$F$3,22,1)</f>
        <v>o</v>
      </c>
      <c r="W21" s="492" t="str">
        <f>+MID('Input data'!$F$3,23,1)</f>
        <v>.</v>
      </c>
      <c r="X21" s="492" t="str">
        <f>+MID('Input data'!$F$3,24,1)</f>
        <v/>
      </c>
      <c r="Y21" s="492" t="str">
        <f>+MID('Input data'!$F$3,25,1)</f>
        <v/>
      </c>
      <c r="Z21" s="492" t="str">
        <f>+MID('Input data'!$F$3,26,1)</f>
        <v/>
      </c>
      <c r="AA21" s="492" t="str">
        <f>+MID('Input data'!$F$3,27,1)</f>
        <v/>
      </c>
      <c r="AB21" s="492" t="str">
        <f>+MID('Input data'!$F$3,28,1)</f>
        <v/>
      </c>
      <c r="AC21" s="492" t="str">
        <f>+MID('Input data'!$F$3,29,1)</f>
        <v/>
      </c>
      <c r="AD21" s="492" t="str">
        <f>+MID('Input data'!$F$3,30,1)</f>
        <v/>
      </c>
      <c r="AE21" s="492" t="str">
        <f>+MID('Input data'!$F$3,31,1)</f>
        <v/>
      </c>
      <c r="AF21" s="492" t="str">
        <f>+MID('Input data'!$F$3,32,1)</f>
        <v/>
      </c>
      <c r="AG21" s="492" t="str">
        <f>+MID('Input data'!$F$3,33,1)</f>
        <v/>
      </c>
      <c r="AH21" s="492" t="str">
        <f>+MID('Input data'!$E$3,34,1)</f>
        <v/>
      </c>
      <c r="AI21" s="492" t="str">
        <f>+MID('Input data'!$E$3,35,1)</f>
        <v/>
      </c>
      <c r="AJ21" s="492" t="str">
        <f>+MID('Input data'!$E$3,36,1)</f>
        <v/>
      </c>
      <c r="AK21" s="492" t="str">
        <f>+MID('Input data'!$E$3,37,1)</f>
        <v/>
      </c>
      <c r="AL21" s="522"/>
    </row>
    <row r="22" spans="1:39" ht="19.5" customHeight="1" x14ac:dyDescent="0.25">
      <c r="A22" s="500" t="str">
        <f>+MID('Input data'!$E$3,38,1)</f>
        <v/>
      </c>
      <c r="B22" s="492" t="str">
        <f>+MID('Input data'!$E$3,39,1)</f>
        <v/>
      </c>
      <c r="C22" s="492" t="str">
        <f>+MID('Input data'!$E$3,40,1)</f>
        <v/>
      </c>
      <c r="D22" s="492" t="str">
        <f>+MID('Input data'!$E$3,41,1)</f>
        <v/>
      </c>
      <c r="E22" s="492" t="str">
        <f>+MID('Input data'!$E$3,42,1)</f>
        <v/>
      </c>
      <c r="F22" s="492" t="str">
        <f>+MID('Input data'!$E$3,43,1)</f>
        <v/>
      </c>
      <c r="G22" s="492" t="str">
        <f>+MID('Input data'!$E$3,44,1)</f>
        <v/>
      </c>
      <c r="H22" s="492" t="str">
        <f>+MID('Input data'!$E$3,45,1)</f>
        <v/>
      </c>
      <c r="I22" s="492" t="str">
        <f>+MID('Input data'!$E$3,46,1)</f>
        <v/>
      </c>
      <c r="J22" s="492" t="str">
        <f>+MID('Input data'!$E$3,47,1)</f>
        <v/>
      </c>
      <c r="K22" s="492" t="str">
        <f>+MID('Input data'!$E$3,48,1)</f>
        <v/>
      </c>
      <c r="L22" s="492" t="str">
        <f>+MID('Input data'!$E$3,49,1)</f>
        <v/>
      </c>
      <c r="M22" s="492" t="str">
        <f>+MID('Input data'!$E$3,50,1)</f>
        <v/>
      </c>
      <c r="N22" s="492" t="str">
        <f>+MID('Input data'!$E$3,51,1)</f>
        <v/>
      </c>
      <c r="O22" s="492" t="str">
        <f>+MID('Input data'!$E$3,52,1)</f>
        <v/>
      </c>
      <c r="P22" s="492" t="str">
        <f>+MID('Input data'!$E$3,53,1)</f>
        <v/>
      </c>
      <c r="Q22" s="492" t="str">
        <f>+MID('Input data'!$E$3,54,1)</f>
        <v/>
      </c>
      <c r="R22" s="492" t="str">
        <f>+MID('Input data'!$E$3,55,1)</f>
        <v/>
      </c>
      <c r="S22" s="492" t="str">
        <f>+MID('Input data'!$E$3,56,1)</f>
        <v/>
      </c>
      <c r="T22" s="492" t="str">
        <f>+MID('Input data'!$E$3,57,1)</f>
        <v/>
      </c>
      <c r="U22" s="492" t="str">
        <f>+MID('Input data'!$E$3,58,1)</f>
        <v/>
      </c>
      <c r="V22" s="492" t="str">
        <f>+MID('Input data'!$E$3,59,1)</f>
        <v/>
      </c>
      <c r="W22" s="492" t="str">
        <f>+MID('Input data'!$E$3,60,1)</f>
        <v/>
      </c>
      <c r="X22" s="492" t="str">
        <f>+MID('Input data'!$E$3,61,1)</f>
        <v/>
      </c>
      <c r="Y22" s="492" t="str">
        <f>+MID('Input data'!$E$3,62,1)</f>
        <v/>
      </c>
      <c r="Z22" s="492" t="str">
        <f>+MID('Input data'!$E$3,63,1)</f>
        <v/>
      </c>
      <c r="AA22" s="492" t="str">
        <f>+MID('Input data'!$E$3,64,1)</f>
        <v/>
      </c>
      <c r="AB22" s="492" t="str">
        <f>+MID('Input data'!$E$3,65,1)</f>
        <v/>
      </c>
      <c r="AC22" s="492" t="str">
        <f>+MID('Input data'!$E$3,66,1)</f>
        <v/>
      </c>
      <c r="AD22" s="492" t="str">
        <f>+MID('Input data'!$E$3,67,1)</f>
        <v/>
      </c>
      <c r="AE22" s="492" t="str">
        <f>+MID('Input data'!$E$3,68,1)</f>
        <v/>
      </c>
      <c r="AF22" s="492" t="str">
        <f>+MID('Input data'!$E$3,69,1)</f>
        <v/>
      </c>
      <c r="AG22" s="492" t="str">
        <f>+MID('Input data'!$E$3,70,1)</f>
        <v/>
      </c>
      <c r="AH22" s="492" t="str">
        <f>+MID('Input data'!$E$3,71,1)</f>
        <v/>
      </c>
      <c r="AI22" s="492" t="str">
        <f>+MID('Input data'!$E$3,72,1)</f>
        <v/>
      </c>
      <c r="AJ22" s="492" t="str">
        <f>+MID('Input data'!$E$3,73,1)</f>
        <v/>
      </c>
      <c r="AK22" s="492" t="str">
        <f>+MID('Input data'!$E$3,74,1)</f>
        <v/>
      </c>
      <c r="AL22" s="926"/>
    </row>
    <row r="23" spans="1:39" s="501" customFormat="1" ht="14.25" customHeight="1" x14ac:dyDescent="0.25">
      <c r="A23" s="927" t="s">
        <v>1635</v>
      </c>
      <c r="B23" s="928"/>
      <c r="C23" s="928"/>
      <c r="D23" s="928"/>
      <c r="E23" s="928"/>
      <c r="F23" s="928"/>
      <c r="G23" s="928"/>
      <c r="H23" s="928"/>
      <c r="I23" s="928"/>
      <c r="J23" s="928"/>
      <c r="K23" s="928"/>
      <c r="L23" s="928"/>
      <c r="M23" s="928"/>
      <c r="N23" s="928"/>
      <c r="O23" s="928"/>
      <c r="P23" s="928"/>
      <c r="Q23" s="928"/>
      <c r="R23" s="928"/>
      <c r="S23" s="928"/>
      <c r="T23" s="928"/>
      <c r="U23" s="928"/>
      <c r="V23" s="928"/>
      <c r="W23" s="510"/>
      <c r="X23" s="510"/>
      <c r="Y23" s="510"/>
      <c r="Z23" s="510"/>
      <c r="AA23" s="510"/>
      <c r="AB23" s="510"/>
      <c r="AC23" s="510"/>
      <c r="AD23" s="510"/>
      <c r="AE23" s="510"/>
      <c r="AF23" s="510"/>
      <c r="AG23" s="510"/>
      <c r="AH23" s="510"/>
      <c r="AI23" s="510"/>
      <c r="AJ23" s="510"/>
      <c r="AK23" s="510"/>
      <c r="AL23" s="929"/>
    </row>
    <row r="24" spans="1:39" x14ac:dyDescent="0.25">
      <c r="A24" s="497" t="s">
        <v>1636</v>
      </c>
      <c r="B24" s="871"/>
      <c r="C24" s="871"/>
      <c r="D24" s="871"/>
      <c r="E24" s="871"/>
      <c r="F24" s="871"/>
      <c r="G24" s="871"/>
      <c r="H24" s="871"/>
      <c r="I24" s="871"/>
      <c r="J24" s="871"/>
      <c r="K24" s="871"/>
      <c r="L24" s="871"/>
      <c r="M24" s="871"/>
      <c r="N24" s="871"/>
      <c r="O24" s="871"/>
      <c r="P24" s="871"/>
      <c r="Q24" s="871"/>
      <c r="R24" s="871"/>
      <c r="S24" s="871"/>
      <c r="T24" s="871"/>
      <c r="U24" s="871"/>
      <c r="V24" s="871"/>
      <c r="W24" s="450"/>
      <c r="X24" s="450"/>
      <c r="Y24" s="450"/>
      <c r="Z24" s="450"/>
      <c r="AA24" s="450"/>
      <c r="AB24" s="871"/>
      <c r="AC24" s="450"/>
      <c r="AD24" s="453" t="s">
        <v>1637</v>
      </c>
      <c r="AE24" s="450"/>
      <c r="AF24" s="450"/>
      <c r="AG24" s="450"/>
      <c r="AH24" s="450"/>
      <c r="AI24" s="450"/>
      <c r="AJ24" s="450"/>
      <c r="AK24" s="450"/>
      <c r="AL24" s="930"/>
    </row>
    <row r="25" spans="1:39" ht="19.5" customHeight="1" x14ac:dyDescent="0.25">
      <c r="A25" s="500" t="str">
        <f>+LEFT('Input data'!$C$28,1)</f>
        <v>T</v>
      </c>
      <c r="B25" s="492" t="str">
        <f>+MID('Input data'!$C$28,2,1)</f>
        <v>e</v>
      </c>
      <c r="C25" s="492" t="str">
        <f>+MID('Input data'!$C$28,3,1)</f>
        <v>s</v>
      </c>
      <c r="D25" s="492" t="str">
        <f>+MID('Input data'!$C$28,4,1)</f>
        <v>l</v>
      </c>
      <c r="E25" s="492" t="str">
        <f>+MID('Input data'!$C$28,5,1)</f>
        <v>o</v>
      </c>
      <c r="F25" s="492" t="str">
        <f>+MID('Input data'!$C$28,6,1)</f>
        <v>v</v>
      </c>
      <c r="G25" s="492" t="str">
        <f>+MID('Input data'!$C$28,7,1)</f>
        <v>a</v>
      </c>
      <c r="H25" s="492" t="str">
        <f>+MID('Input data'!$C$28,8,1)</f>
        <v/>
      </c>
      <c r="I25" s="492" t="str">
        <f>+MID('Input data'!$C$28,9,1)</f>
        <v/>
      </c>
      <c r="J25" s="492" t="str">
        <f>+MID('Input data'!$C$28,10,1)</f>
        <v/>
      </c>
      <c r="K25" s="492" t="str">
        <f>+MID('Input data'!$C$28,11,1)</f>
        <v/>
      </c>
      <c r="L25" s="492" t="str">
        <f>+MID('Input data'!$C$28,12,1)</f>
        <v/>
      </c>
      <c r="M25" s="492" t="str">
        <f>+MID('Input data'!$C$28,13,1)</f>
        <v/>
      </c>
      <c r="N25" s="492" t="str">
        <f>+MID('Input data'!$C$28,14,1)</f>
        <v/>
      </c>
      <c r="O25" s="492" t="str">
        <f>+MID('Input data'!$C$28,15,1)</f>
        <v/>
      </c>
      <c r="P25" s="492" t="str">
        <f>+MID('Input data'!$C$28,16,1)</f>
        <v/>
      </c>
      <c r="Q25" s="492" t="str">
        <f>+MID('Input data'!$C$28,17,1)</f>
        <v/>
      </c>
      <c r="R25" s="492" t="str">
        <f>+MID('Input data'!$C$28,18,1)</f>
        <v/>
      </c>
      <c r="S25" s="492" t="str">
        <f>+MID('Input data'!$C$28,19,1)</f>
        <v/>
      </c>
      <c r="T25" s="492" t="str">
        <f>+MID('Input data'!$C$28,20,1)</f>
        <v/>
      </c>
      <c r="U25" s="492" t="str">
        <f>+MID('Input data'!$C$28,21,1)</f>
        <v/>
      </c>
      <c r="V25" s="492" t="str">
        <f>+MID('Input data'!$C$28,22,1)</f>
        <v/>
      </c>
      <c r="W25" s="492" t="str">
        <f>+MID('Input data'!$C$28,23,1)</f>
        <v/>
      </c>
      <c r="X25" s="492" t="str">
        <f>+MID('Input data'!$C$28,24,1)</f>
        <v/>
      </c>
      <c r="Y25" s="492" t="str">
        <f>+MID('Input data'!$C$28,25,1)</f>
        <v/>
      </c>
      <c r="Z25" s="492" t="str">
        <f>+MID('Input data'!$C$28,26,1)</f>
        <v/>
      </c>
      <c r="AA25" s="492" t="str">
        <f>+MID('Input data'!$C$28,27,1)</f>
        <v/>
      </c>
      <c r="AB25" s="492" t="str">
        <f>+MID('Input data'!$C$28,28,1)</f>
        <v/>
      </c>
      <c r="AC25" s="494"/>
      <c r="AD25" s="492" t="str">
        <f>+LEFT('Input data'!$C$30,1)</f>
        <v>2</v>
      </c>
      <c r="AE25" s="492" t="str">
        <f>+MID('Input data'!$C$30,2,1)</f>
        <v>0</v>
      </c>
      <c r="AF25" s="492" t="str">
        <f>+MID('Input data'!$C$30,3,1)</f>
        <v/>
      </c>
      <c r="AG25" s="492" t="str">
        <f>+MID('Input data'!$C$30,4,1)</f>
        <v/>
      </c>
      <c r="AH25" s="492" t="str">
        <f>+MID('Input data'!$C$30,5,1)</f>
        <v/>
      </c>
      <c r="AI25" s="492" t="str">
        <f>+MID('Input data'!$C$30,6,1)</f>
        <v/>
      </c>
      <c r="AJ25" s="492" t="str">
        <f>+MID('Input data'!$C$30,7,1)</f>
        <v/>
      </c>
      <c r="AK25" s="492" t="str">
        <f>+MID('Input data'!$C$30,8,1)</f>
        <v/>
      </c>
      <c r="AL25" s="926"/>
    </row>
    <row r="26" spans="1:39" x14ac:dyDescent="0.25">
      <c r="A26" s="497" t="s">
        <v>1638</v>
      </c>
      <c r="B26" s="871"/>
      <c r="C26" s="871"/>
      <c r="D26" s="871"/>
      <c r="E26" s="871"/>
      <c r="F26" s="871"/>
      <c r="G26" s="496" t="s">
        <v>1639</v>
      </c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50"/>
      <c r="AF26" s="450"/>
      <c r="AG26" s="450"/>
      <c r="AH26" s="450"/>
      <c r="AI26" s="450"/>
      <c r="AJ26" s="450"/>
      <c r="AK26" s="450"/>
      <c r="AL26" s="930"/>
    </row>
    <row r="27" spans="1:39" s="498" customFormat="1" ht="19.5" customHeight="1" x14ac:dyDescent="0.25">
      <c r="A27" s="500" t="str">
        <f>+LEFT('Input data'!$C$32,1)</f>
        <v>8</v>
      </c>
      <c r="B27" s="492" t="str">
        <f>+MID('Input data'!$C$32,2,1)</f>
        <v>2</v>
      </c>
      <c r="C27" s="492" t="str">
        <f>+MID('Input data'!$C$32,3,1)</f>
        <v>1</v>
      </c>
      <c r="D27" s="492" t="str">
        <f>+MID('Input data'!$C$32,4,1)</f>
        <v>0</v>
      </c>
      <c r="E27" s="492" t="str">
        <f>+MID('Input data'!$C$32,5,1)</f>
        <v>2</v>
      </c>
      <c r="F27" s="492"/>
      <c r="G27" s="492" t="str">
        <f>+LEFT('Input data'!$C$34,1)</f>
        <v>B</v>
      </c>
      <c r="H27" s="492" t="str">
        <f>+MID('Input data'!$C$34,2,1)</f>
        <v>r</v>
      </c>
      <c r="I27" s="492" t="str">
        <f>+MID('Input data'!$C$34,3,1)</f>
        <v>a</v>
      </c>
      <c r="J27" s="492" t="str">
        <f>+MID('Input data'!$C$34,4,1)</f>
        <v>t</v>
      </c>
      <c r="K27" s="492" t="str">
        <f>+MID('Input data'!$C$34,5,1)</f>
        <v>u</v>
      </c>
      <c r="L27" s="492" t="str">
        <f>+MID('Input data'!$C$34,6,1)</f>
        <v>s</v>
      </c>
      <c r="M27" s="492" t="str">
        <f>+MID('Input data'!$C$34,7,1)</f>
        <v>l</v>
      </c>
      <c r="N27" s="492" t="str">
        <f>+MID('Input data'!$C$34,8,1)</f>
        <v>a</v>
      </c>
      <c r="O27" s="492" t="str">
        <f>+MID('Input data'!$C$34,9,1)</f>
        <v>v</v>
      </c>
      <c r="P27" s="492" t="str">
        <f>+MID('Input data'!$C$34,10,1)</f>
        <v>a</v>
      </c>
      <c r="Q27" s="492" t="str">
        <f>+MID('Input data'!$C$34,11,1)</f>
        <v/>
      </c>
      <c r="R27" s="492" t="str">
        <f>+MID('Input data'!$C$34,12,1)</f>
        <v/>
      </c>
      <c r="S27" s="492" t="str">
        <f>+MID('Input data'!$C$34,13,1)</f>
        <v/>
      </c>
      <c r="T27" s="492" t="str">
        <f>+MID('Input data'!$C$34,14,1)</f>
        <v/>
      </c>
      <c r="U27" s="492" t="str">
        <f>+MID('Input data'!$C$34,15,1)</f>
        <v/>
      </c>
      <c r="V27" s="492" t="str">
        <f>+MID('Input data'!$C$34,16,1)</f>
        <v/>
      </c>
      <c r="W27" s="492" t="str">
        <f>+MID('Input data'!$C$34,17,1)</f>
        <v/>
      </c>
      <c r="X27" s="492" t="str">
        <f>+MID('Input data'!$C$34,18,1)</f>
        <v/>
      </c>
      <c r="Y27" s="492" t="str">
        <f>+MID('Input data'!$C$34,19,1)</f>
        <v/>
      </c>
      <c r="Z27" s="492" t="str">
        <f>+MID('Input data'!$C$34,20,1)</f>
        <v/>
      </c>
      <c r="AA27" s="492" t="str">
        <f>+MID('Input data'!$C$34,21,1)</f>
        <v/>
      </c>
      <c r="AB27" s="492" t="str">
        <f>+MID('Input data'!$C$34,22,1)</f>
        <v/>
      </c>
      <c r="AC27" s="492" t="str">
        <f>+MID('Input data'!$C$34,23,1)</f>
        <v/>
      </c>
      <c r="AD27" s="492" t="str">
        <f>+MID('Input data'!$C$34,24,1)</f>
        <v/>
      </c>
      <c r="AE27" s="492" t="str">
        <f>+MID('Input data'!$C$34,25,1)</f>
        <v/>
      </c>
      <c r="AF27" s="492" t="str">
        <f>+MID('Input data'!$C$34,26,1)</f>
        <v/>
      </c>
      <c r="AG27" s="492" t="str">
        <f>+MID('Input data'!$C$34,27,1)</f>
        <v/>
      </c>
      <c r="AH27" s="492" t="str">
        <f>+MID('Input data'!$C$34,28,1)</f>
        <v/>
      </c>
      <c r="AI27" s="492" t="str">
        <f>+MID('Input data'!$C$34,29,1)</f>
        <v/>
      </c>
      <c r="AJ27" s="492" t="str">
        <f>+MID('Input data'!$C$34,30,1)</f>
        <v/>
      </c>
      <c r="AK27" s="492" t="str">
        <f>+MID('Input data'!$C$34,31,1)</f>
        <v/>
      </c>
      <c r="AL27" s="926"/>
    </row>
    <row r="28" spans="1:39" x14ac:dyDescent="0.25">
      <c r="A28" s="497" t="s">
        <v>1640</v>
      </c>
      <c r="B28" s="871"/>
      <c r="C28" s="871"/>
      <c r="D28" s="871"/>
      <c r="E28" s="871"/>
      <c r="F28" s="871"/>
      <c r="G28" s="496"/>
      <c r="H28" s="496"/>
      <c r="I28" s="496"/>
      <c r="J28" s="496"/>
      <c r="K28" s="496"/>
      <c r="L28" s="496"/>
      <c r="M28" s="496"/>
      <c r="N28" s="871"/>
      <c r="O28" s="496" t="s">
        <v>1641</v>
      </c>
      <c r="P28" s="496"/>
      <c r="Q28" s="496"/>
      <c r="R28" s="496"/>
      <c r="S28" s="496"/>
      <c r="T28" s="496"/>
      <c r="U28" s="496"/>
      <c r="V28" s="496"/>
      <c r="W28" s="496"/>
      <c r="X28" s="496"/>
      <c r="Y28" s="496"/>
      <c r="Z28" s="496"/>
      <c r="AA28" s="496"/>
      <c r="AB28" s="496"/>
      <c r="AC28" s="496"/>
      <c r="AD28" s="496"/>
      <c r="AE28" s="450"/>
      <c r="AF28" s="450"/>
      <c r="AG28" s="450"/>
      <c r="AH28" s="450"/>
      <c r="AI28" s="450"/>
      <c r="AJ28" s="450"/>
      <c r="AK28" s="450"/>
      <c r="AL28" s="930"/>
    </row>
    <row r="29" spans="1:39" ht="19.5" customHeight="1" x14ac:dyDescent="0.25">
      <c r="A29" s="495">
        <v>0</v>
      </c>
      <c r="B29" s="492" t="str">
        <f>+LEFT('Input data'!$C$36,1)</f>
        <v>2</v>
      </c>
      <c r="C29" s="492" t="str">
        <f>+MID('Input data'!$C$36,2,1)</f>
        <v/>
      </c>
      <c r="D29" s="492" t="str">
        <f>+MID('Input data'!$C$36,3,1)</f>
        <v/>
      </c>
      <c r="E29" s="492" t="s">
        <v>1176</v>
      </c>
      <c r="F29" s="492" t="str">
        <f>+LEFT('Input data'!$C$38,1)</f>
        <v>4</v>
      </c>
      <c r="G29" s="492" t="str">
        <f>+MID('Input data'!$C$38,2,1)</f>
        <v>9</v>
      </c>
      <c r="H29" s="492" t="str">
        <f>+MID('Input data'!$C$38,3,1)</f>
        <v>3</v>
      </c>
      <c r="I29" s="492" t="str">
        <f>+MID('Input data'!$C$38,4,1)</f>
        <v>0</v>
      </c>
      <c r="J29" s="492" t="str">
        <f>+MID('Input data'!$C$38,5,1)</f>
        <v>0</v>
      </c>
      <c r="K29" s="492" t="str">
        <f>+MID('Input data'!$C$38,6,1)</f>
        <v>5</v>
      </c>
      <c r="L29" s="492" t="str">
        <f>+MID('Input data'!$C$38,7,1)</f>
        <v>1</v>
      </c>
      <c r="M29" s="492" t="str">
        <f>+MID('Input data'!$C$38,8,1)</f>
        <v>3</v>
      </c>
      <c r="N29" s="494"/>
      <c r="O29" s="493">
        <v>0</v>
      </c>
      <c r="P29" s="492" t="str">
        <f>+LEFT('Input data'!$C$36,1)</f>
        <v>2</v>
      </c>
      <c r="Q29" s="492" t="str">
        <f>+MID('Input data'!$C$36,2,1)</f>
        <v/>
      </c>
      <c r="R29" s="492" t="str">
        <f>+MID('Input data'!$C$36,3,1)</f>
        <v/>
      </c>
      <c r="S29" s="492" t="s">
        <v>1176</v>
      </c>
      <c r="T29" s="492" t="str">
        <f>+LEFT('Input data'!$C$40,1)</f>
        <v>4</v>
      </c>
      <c r="U29" s="492" t="str">
        <f>+MID('Input data'!$C$40,2,1)</f>
        <v>9</v>
      </c>
      <c r="V29" s="492" t="str">
        <f>+MID('Input data'!$C$40,3,1)</f>
        <v>3</v>
      </c>
      <c r="W29" s="492" t="str">
        <f>+MID('Input data'!$C$40,4,1)</f>
        <v>0</v>
      </c>
      <c r="X29" s="492" t="str">
        <f>+MID('Input data'!$C$40,5,1)</f>
        <v>0</v>
      </c>
      <c r="Y29" s="492" t="str">
        <f>+MID('Input data'!$C$40,6,1)</f>
        <v>5</v>
      </c>
      <c r="Z29" s="492" t="str">
        <f>+MID('Input data'!$C$40,7,1)</f>
        <v>5</v>
      </c>
      <c r="AA29" s="492" t="str">
        <f>+MID('Input data'!$C$40,8,1)</f>
        <v>0</v>
      </c>
      <c r="AB29" s="492"/>
      <c r="AC29" s="492"/>
      <c r="AD29" s="492"/>
      <c r="AE29" s="450"/>
      <c r="AF29" s="450"/>
      <c r="AG29" s="450"/>
      <c r="AH29" s="450"/>
      <c r="AI29" s="450"/>
      <c r="AJ29" s="450"/>
      <c r="AK29" s="450"/>
      <c r="AL29" s="926"/>
    </row>
    <row r="30" spans="1:39" s="442" customFormat="1" x14ac:dyDescent="0.25">
      <c r="A30" s="454" t="s">
        <v>1642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3"/>
      <c r="R30" s="453"/>
      <c r="S30" s="453"/>
      <c r="T30" s="453"/>
      <c r="U30" s="453"/>
      <c r="V30" s="453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50"/>
      <c r="AL30" s="537"/>
    </row>
    <row r="31" spans="1:39" ht="19.5" customHeight="1" thickBot="1" x14ac:dyDescent="0.3">
      <c r="A31" s="491" t="str">
        <f>+LEFT('Input data'!$B$42,1)</f>
        <v/>
      </c>
      <c r="B31" s="490" t="str">
        <f>+MID('Input data'!$B$42,2,1)</f>
        <v/>
      </c>
      <c r="C31" s="490" t="str">
        <f>+MID('Input data'!$B$42,3,1)</f>
        <v/>
      </c>
      <c r="D31" s="490" t="str">
        <f>+MID('Input data'!$B$42,4,1)</f>
        <v/>
      </c>
      <c r="E31" s="490" t="str">
        <f>+MID('Input data'!$B$42,5,1)</f>
        <v/>
      </c>
      <c r="F31" s="490" t="str">
        <f>+MID('Input data'!$B$42,6,1)</f>
        <v/>
      </c>
      <c r="G31" s="490" t="str">
        <f>+MID('Input data'!$B$42,7,1)</f>
        <v/>
      </c>
      <c r="H31" s="490" t="str">
        <f>+MID('Input data'!$B$42,8,1)</f>
        <v/>
      </c>
      <c r="I31" s="490" t="str">
        <f>+MID('Input data'!$B$42,9,1)</f>
        <v/>
      </c>
      <c r="J31" s="490" t="str">
        <f>+MID('Input data'!$B$42,10,1)</f>
        <v/>
      </c>
      <c r="K31" s="490" t="str">
        <f>+MID('Input data'!$B$42,11,1)</f>
        <v/>
      </c>
      <c r="L31" s="490" t="str">
        <f>+MID('Input data'!$B$42,12,1)</f>
        <v/>
      </c>
      <c r="M31" s="490" t="str">
        <f>+MID('Input data'!$B$42,13,1)</f>
        <v/>
      </c>
      <c r="N31" s="490" t="str">
        <f>+MID('Input data'!$B$42,14,1)</f>
        <v/>
      </c>
      <c r="O31" s="490" t="str">
        <f>+MID('Input data'!$B$42,15,1)</f>
        <v/>
      </c>
      <c r="P31" s="490" t="str">
        <f>+MID('Input data'!$B$42,16,1)</f>
        <v/>
      </c>
      <c r="Q31" s="490" t="str">
        <f>+MID('Input data'!$B$42,17,1)</f>
        <v/>
      </c>
      <c r="R31" s="490" t="str">
        <f>+MID('Input data'!$B$42,18,1)</f>
        <v/>
      </c>
      <c r="S31" s="490" t="str">
        <f>+MID('Input data'!$B$42,19,1)</f>
        <v/>
      </c>
      <c r="T31" s="490" t="str">
        <f>+MID('Input data'!$B$42,20,1)</f>
        <v/>
      </c>
      <c r="U31" s="490" t="str">
        <f>+MID('Input data'!$B$42,21,1)</f>
        <v/>
      </c>
      <c r="V31" s="490" t="str">
        <f>+MID('Input data'!$B$42,22,1)</f>
        <v/>
      </c>
      <c r="W31" s="490" t="str">
        <f>+MID('Input data'!$B$42,23,1)</f>
        <v/>
      </c>
      <c r="X31" s="490" t="str">
        <f>+MID('Input data'!$B$42,24,1)</f>
        <v/>
      </c>
      <c r="Y31" s="490" t="str">
        <f>+MID('Input data'!$B$42,25,1)</f>
        <v/>
      </c>
      <c r="Z31" s="490" t="str">
        <f>+MID('Input data'!$B$42,26,1)</f>
        <v/>
      </c>
      <c r="AA31" s="490" t="str">
        <f>+MID('Input data'!$B$42,27,1)</f>
        <v/>
      </c>
      <c r="AB31" s="490" t="str">
        <f>+MID('Input data'!$B$42,28,1)</f>
        <v/>
      </c>
      <c r="AC31" s="490" t="str">
        <f>+MID('Input data'!$B$42,29,1)</f>
        <v/>
      </c>
      <c r="AD31" s="490" t="str">
        <f>+MID('Input data'!$B$42,30,1)</f>
        <v/>
      </c>
      <c r="AE31" s="490" t="str">
        <f>+MID('Input data'!$B$42,31,1)</f>
        <v/>
      </c>
      <c r="AF31" s="490" t="str">
        <f>+MID('Input data'!$B$42,32,1)</f>
        <v/>
      </c>
      <c r="AG31" s="490" t="str">
        <f>+MID('Input data'!$B$42,33,1)</f>
        <v/>
      </c>
      <c r="AH31" s="490" t="str">
        <f>+MID('Input data'!$B$42,34,1)</f>
        <v/>
      </c>
      <c r="AI31" s="490" t="str">
        <f>+MID('Input data'!$B$42,35,1)</f>
        <v/>
      </c>
      <c r="AJ31" s="490" t="str">
        <f>+MID('Input data'!$B$42,36,1)</f>
        <v/>
      </c>
      <c r="AK31" s="490" t="str">
        <f>+MID('Input data'!$B$42,37,1)</f>
        <v/>
      </c>
      <c r="AL31" s="931"/>
    </row>
    <row r="32" spans="1:39" s="442" customFormat="1" ht="4.5" customHeight="1" thickBot="1" x14ac:dyDescent="0.3">
      <c r="A32" s="453"/>
      <c r="B32" s="453"/>
      <c r="C32" s="453"/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453"/>
      <c r="Q32" s="453"/>
      <c r="R32" s="453"/>
      <c r="S32" s="453"/>
      <c r="T32" s="453"/>
      <c r="U32" s="453"/>
      <c r="V32" s="453"/>
      <c r="W32" s="450"/>
      <c r="X32" s="450"/>
      <c r="Y32" s="450"/>
      <c r="Z32" s="450"/>
      <c r="AA32" s="450"/>
      <c r="AB32" s="450"/>
      <c r="AC32" s="450"/>
      <c r="AD32" s="450"/>
      <c r="AE32" s="450"/>
      <c r="AF32" s="450"/>
      <c r="AG32" s="450"/>
      <c r="AH32" s="450"/>
      <c r="AI32" s="450"/>
      <c r="AJ32" s="450"/>
      <c r="AK32" s="450"/>
      <c r="AL32" s="453"/>
      <c r="AM32" s="453"/>
    </row>
    <row r="33" spans="1:38" s="485" customFormat="1" ht="12.75" customHeight="1" x14ac:dyDescent="0.25">
      <c r="A33" s="488" t="s">
        <v>1643</v>
      </c>
      <c r="B33" s="487"/>
      <c r="C33" s="487"/>
      <c r="D33" s="487"/>
      <c r="E33" s="487"/>
      <c r="F33" s="487"/>
      <c r="G33" s="487"/>
      <c r="H33" s="487"/>
      <c r="I33" s="487"/>
      <c r="J33" s="487"/>
      <c r="K33" s="880"/>
      <c r="L33" s="880"/>
      <c r="M33" s="1404" t="s">
        <v>1644</v>
      </c>
      <c r="N33" s="1405"/>
      <c r="O33" s="1405"/>
      <c r="P33" s="1405"/>
      <c r="Q33" s="1405"/>
      <c r="R33" s="1405"/>
      <c r="S33" s="1405"/>
      <c r="T33" s="1405"/>
      <c r="U33" s="1410"/>
      <c r="V33" s="1404" t="s">
        <v>1645</v>
      </c>
      <c r="W33" s="1405"/>
      <c r="X33" s="1405"/>
      <c r="Y33" s="1405"/>
      <c r="Z33" s="1405"/>
      <c r="AA33" s="1405"/>
      <c r="AB33" s="1405"/>
      <c r="AC33" s="1410"/>
      <c r="AD33" s="1404" t="s">
        <v>1646</v>
      </c>
      <c r="AE33" s="1405"/>
      <c r="AF33" s="1405"/>
      <c r="AG33" s="1405"/>
      <c r="AH33" s="1405"/>
      <c r="AI33" s="1405"/>
      <c r="AJ33" s="1405"/>
      <c r="AK33" s="1405"/>
      <c r="AL33" s="1406"/>
    </row>
    <row r="34" spans="1:38" s="442" customFormat="1" ht="19.5" customHeight="1" x14ac:dyDescent="0.25">
      <c r="A34" s="471" t="str">
        <f>LEFT(TEXT('Input data'!F25,"dd.m.yyyy"),1)</f>
        <v>1</v>
      </c>
      <c r="B34" s="470" t="str">
        <f>MID(TEXT('Input data'!$F$25,"dd.mm.yyyy"),2,1)</f>
        <v>3</v>
      </c>
      <c r="C34" s="469" t="s">
        <v>1147</v>
      </c>
      <c r="D34" s="470" t="str">
        <f>MID(TEXT('Input data'!$F$25,"dd.mm.yyyy"),4,1)</f>
        <v>0</v>
      </c>
      <c r="E34" s="470" t="str">
        <f>MID(TEXT('Input data'!$F$25,"dd.mm.yyyy"),5,1)</f>
        <v>6</v>
      </c>
      <c r="F34" s="469" t="s">
        <v>1147</v>
      </c>
      <c r="G34" s="470" t="str">
        <f>MID(TEXT('Input data'!$F$25,"dd.mm.yyyy"),7,1)</f>
        <v>2</v>
      </c>
      <c r="H34" s="470" t="str">
        <f>MID(TEXT('Input data'!$F$25,"dd.mm.yyyy"),8,1)</f>
        <v>0</v>
      </c>
      <c r="I34" s="470" t="str">
        <f>MID(TEXT('Input data'!$F$25,"dd.mm.yyyy"),9,1)</f>
        <v>1</v>
      </c>
      <c r="J34" s="470" t="str">
        <f>MID(TEXT('Input data'!$F$25,"dd.mm.yyyy"),10,1)</f>
        <v>4</v>
      </c>
      <c r="K34" s="932"/>
      <c r="L34" s="477"/>
      <c r="M34" s="1407"/>
      <c r="N34" s="1408"/>
      <c r="O34" s="1408"/>
      <c r="P34" s="1408"/>
      <c r="Q34" s="1408"/>
      <c r="R34" s="1408"/>
      <c r="S34" s="1408"/>
      <c r="T34" s="1408"/>
      <c r="U34" s="1411"/>
      <c r="V34" s="1407"/>
      <c r="W34" s="1408"/>
      <c r="X34" s="1408"/>
      <c r="Y34" s="1408"/>
      <c r="Z34" s="1408"/>
      <c r="AA34" s="1408"/>
      <c r="AB34" s="1408"/>
      <c r="AC34" s="1411"/>
      <c r="AD34" s="1407"/>
      <c r="AE34" s="1408"/>
      <c r="AF34" s="1408"/>
      <c r="AG34" s="1408"/>
      <c r="AH34" s="1408"/>
      <c r="AI34" s="1408"/>
      <c r="AJ34" s="1408"/>
      <c r="AK34" s="1408"/>
      <c r="AL34" s="1409"/>
    </row>
    <row r="35" spans="1:38" s="442" customFormat="1" ht="12.75" customHeight="1" x14ac:dyDescent="0.25">
      <c r="A35" s="483"/>
      <c r="B35" s="482"/>
      <c r="C35" s="482"/>
      <c r="D35" s="482"/>
      <c r="E35" s="482"/>
      <c r="F35" s="482"/>
      <c r="G35" s="482"/>
      <c r="H35" s="482"/>
      <c r="I35" s="482"/>
      <c r="J35" s="482"/>
      <c r="K35" s="882"/>
      <c r="L35" s="882"/>
      <c r="M35" s="1407"/>
      <c r="N35" s="1408"/>
      <c r="O35" s="1408"/>
      <c r="P35" s="1408"/>
      <c r="Q35" s="1408"/>
      <c r="R35" s="1408"/>
      <c r="S35" s="1408"/>
      <c r="T35" s="1408"/>
      <c r="U35" s="1411"/>
      <c r="V35" s="1407"/>
      <c r="W35" s="1408"/>
      <c r="X35" s="1408"/>
      <c r="Y35" s="1408"/>
      <c r="Z35" s="1408"/>
      <c r="AA35" s="1408"/>
      <c r="AB35" s="1408"/>
      <c r="AC35" s="1411"/>
      <c r="AD35" s="1407"/>
      <c r="AE35" s="1408"/>
      <c r="AF35" s="1408"/>
      <c r="AG35" s="1408"/>
      <c r="AH35" s="1408"/>
      <c r="AI35" s="1408"/>
      <c r="AJ35" s="1408"/>
      <c r="AK35" s="1408"/>
      <c r="AL35" s="1409"/>
    </row>
    <row r="36" spans="1:38" s="442" customFormat="1" x14ac:dyDescent="0.2">
      <c r="A36" s="454" t="s">
        <v>1647</v>
      </c>
      <c r="B36" s="453"/>
      <c r="C36" s="453"/>
      <c r="D36" s="453"/>
      <c r="E36" s="453"/>
      <c r="F36" s="453"/>
      <c r="G36" s="453"/>
      <c r="H36" s="453"/>
      <c r="I36" s="453"/>
      <c r="J36" s="453"/>
      <c r="K36" s="477"/>
      <c r="L36" s="883"/>
      <c r="M36" s="477"/>
      <c r="N36" s="477"/>
      <c r="O36" s="477"/>
      <c r="P36" s="477"/>
      <c r="Q36" s="477"/>
      <c r="R36" s="477"/>
      <c r="S36" s="477"/>
      <c r="T36" s="453"/>
      <c r="U36" s="475"/>
      <c r="V36" s="476"/>
      <c r="W36" s="476"/>
      <c r="X36" s="476"/>
      <c r="Y36" s="476"/>
      <c r="Z36" s="476"/>
      <c r="AA36" s="450"/>
      <c r="AB36" s="476"/>
      <c r="AC36" s="475"/>
      <c r="AD36" s="474"/>
      <c r="AE36" s="473"/>
      <c r="AF36" s="473"/>
      <c r="AG36" s="473"/>
      <c r="AH36" s="473"/>
      <c r="AI36" s="473"/>
      <c r="AJ36" s="473"/>
      <c r="AK36" s="473"/>
      <c r="AL36" s="472"/>
    </row>
    <row r="37" spans="1:38" s="442" customFormat="1" ht="19.5" customHeight="1" x14ac:dyDescent="0.25">
      <c r="A37" s="471" t="str">
        <f>IF('Input data'!$F$27="","",LEFT(TEXT('Input data'!$F$27,"dd.mm.yyyy"),1))</f>
        <v/>
      </c>
      <c r="B37" s="470" t="str">
        <f>IF('Input data'!$F$27="","",MID(TEXT('Input data'!$F$27,"dd.mm.yyyy"),2,1))</f>
        <v/>
      </c>
      <c r="C37" s="469" t="s">
        <v>1147</v>
      </c>
      <c r="D37" s="470" t="str">
        <f>IF('Input data'!$F$27="","",MID(TEXT('Input data'!$F$27,"dd.mm.yyyy"),4,1))</f>
        <v/>
      </c>
      <c r="E37" s="470" t="str">
        <f>IF('Input data'!$F$27="","",MID(TEXT('Input data'!$F$27,"dd.mm.yyyy"),5,1))</f>
        <v/>
      </c>
      <c r="F37" s="469" t="s">
        <v>1147</v>
      </c>
      <c r="G37" s="468" t="str">
        <f>IF('Input data'!$F$27="","",MID(TEXT('Input data'!$F$27,"dd.mm.yyyy"),7,1))</f>
        <v/>
      </c>
      <c r="H37" s="468" t="str">
        <f>IF('Input data'!$F$27="","",MID(TEXT('Input data'!$F$27,"dd.mm.yyyy"),8,1))</f>
        <v/>
      </c>
      <c r="I37" s="468" t="str">
        <f>IF('Input data'!$F$27="","",MID(TEXT('Input data'!$F$27,"dd.mm.yyyy"),9,1))</f>
        <v/>
      </c>
      <c r="J37" s="468" t="str">
        <f>IF('Input data'!$F$27="","",MID(TEXT('Input data'!$F$27,"dd.mm.yyyy"),10,1))</f>
        <v/>
      </c>
      <c r="K37" s="884"/>
      <c r="L37" s="580"/>
      <c r="M37" s="453"/>
      <c r="N37" s="453"/>
      <c r="O37" s="453"/>
      <c r="P37" s="453"/>
      <c r="Q37" s="453"/>
      <c r="R37" s="453"/>
      <c r="S37" s="453"/>
      <c r="T37" s="453"/>
      <c r="U37" s="580"/>
      <c r="V37" s="453"/>
      <c r="W37" s="450"/>
      <c r="X37" s="450"/>
      <c r="Y37" s="450"/>
      <c r="Z37" s="450"/>
      <c r="AA37" s="450"/>
      <c r="AB37" s="450"/>
      <c r="AC37" s="579"/>
      <c r="AD37" s="450"/>
      <c r="AE37" s="450"/>
      <c r="AF37" s="450"/>
      <c r="AG37" s="450"/>
      <c r="AH37" s="450"/>
      <c r="AI37" s="450"/>
      <c r="AJ37" s="450"/>
      <c r="AK37" s="450"/>
      <c r="AL37" s="449"/>
    </row>
    <row r="38" spans="1:38" s="448" customFormat="1" thickBot="1" x14ac:dyDescent="0.3">
      <c r="A38" s="463"/>
      <c r="B38" s="462"/>
      <c r="C38" s="462"/>
      <c r="D38" s="462"/>
      <c r="E38" s="462"/>
      <c r="F38" s="462"/>
      <c r="G38" s="462"/>
      <c r="H38" s="462"/>
      <c r="I38" s="462"/>
      <c r="J38" s="462"/>
      <c r="K38" s="462"/>
      <c r="L38" s="461"/>
      <c r="M38" s="998">
        <f>'Input data'!F31</f>
        <v>0</v>
      </c>
      <c r="N38" s="999"/>
      <c r="O38" s="999"/>
      <c r="P38" s="999"/>
      <c r="Q38" s="999"/>
      <c r="R38" s="999"/>
      <c r="S38" s="999"/>
      <c r="T38" s="999"/>
      <c r="U38" s="1000"/>
      <c r="V38" s="998">
        <f>'Input data'!F35</f>
        <v>0</v>
      </c>
      <c r="W38" s="999"/>
      <c r="X38" s="999"/>
      <c r="Y38" s="999"/>
      <c r="Z38" s="999"/>
      <c r="AA38" s="999"/>
      <c r="AB38" s="999"/>
      <c r="AC38" s="1000"/>
      <c r="AD38" s="1001">
        <f>'Input data'!F39</f>
        <v>0</v>
      </c>
      <c r="AE38" s="999"/>
      <c r="AF38" s="999"/>
      <c r="AG38" s="999"/>
      <c r="AH38" s="999"/>
      <c r="AI38" s="999"/>
      <c r="AJ38" s="999"/>
      <c r="AK38" s="999"/>
      <c r="AL38" s="1002"/>
    </row>
    <row r="39" spans="1:38" s="448" customFormat="1" x14ac:dyDescent="0.2">
      <c r="A39" s="451"/>
      <c r="B39" s="451"/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933"/>
      <c r="N39" s="933"/>
      <c r="O39" s="933"/>
      <c r="P39" s="933"/>
      <c r="Q39" s="933"/>
      <c r="R39" s="933"/>
      <c r="S39" s="933"/>
      <c r="T39" s="933"/>
      <c r="U39" s="933"/>
      <c r="V39" s="451"/>
      <c r="W39" s="450"/>
      <c r="X39" s="450"/>
      <c r="Y39" s="450"/>
      <c r="Z39" s="450"/>
      <c r="AA39" s="450"/>
      <c r="AB39" s="450"/>
      <c r="AC39" s="450"/>
      <c r="AD39" s="451"/>
      <c r="AE39" s="451"/>
      <c r="AF39" s="451"/>
      <c r="AG39" s="451"/>
      <c r="AH39" s="451"/>
      <c r="AI39" s="451"/>
      <c r="AJ39" s="451"/>
      <c r="AK39" s="451"/>
      <c r="AL39" s="451"/>
    </row>
    <row r="40" spans="1:38" s="448" customFormat="1" x14ac:dyDescent="0.2">
      <c r="A40" s="451"/>
      <c r="B40" s="451"/>
      <c r="C40" s="451"/>
      <c r="D40" s="451"/>
      <c r="E40" s="451"/>
      <c r="F40" s="451"/>
      <c r="G40" s="451"/>
      <c r="H40" s="451"/>
      <c r="I40" s="451"/>
      <c r="J40" s="451"/>
      <c r="K40" s="451"/>
      <c r="L40" s="451"/>
      <c r="M40" s="933"/>
      <c r="N40" s="933"/>
      <c r="O40" s="933"/>
      <c r="P40" s="933"/>
      <c r="Q40" s="933"/>
      <c r="R40" s="933"/>
      <c r="S40" s="933"/>
      <c r="T40" s="933"/>
      <c r="U40" s="933"/>
      <c r="V40" s="451"/>
      <c r="W40" s="450"/>
      <c r="X40" s="450"/>
      <c r="Y40" s="450"/>
      <c r="Z40" s="450"/>
      <c r="AA40" s="450"/>
      <c r="AB40" s="450"/>
      <c r="AC40" s="450"/>
      <c r="AD40" s="451"/>
      <c r="AE40" s="451"/>
      <c r="AF40" s="451"/>
      <c r="AG40" s="451"/>
      <c r="AH40" s="451"/>
      <c r="AI40" s="451"/>
      <c r="AJ40" s="451"/>
      <c r="AK40" s="451"/>
      <c r="AL40" s="451"/>
    </row>
    <row r="41" spans="1:38" s="448" customFormat="1" x14ac:dyDescent="0.25"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</row>
    <row r="42" spans="1:38" ht="13.5" thickBot="1" x14ac:dyDescent="0.3">
      <c r="W42" s="443"/>
      <c r="X42" s="443"/>
      <c r="Y42" s="443"/>
      <c r="Z42" s="443"/>
      <c r="AA42" s="443"/>
      <c r="AB42" s="443"/>
      <c r="AC42" s="443"/>
      <c r="AD42" s="443"/>
      <c r="AE42" s="443"/>
      <c r="AF42" s="443"/>
      <c r="AG42" s="443"/>
      <c r="AH42" s="443"/>
      <c r="AI42" s="443"/>
      <c r="AJ42" s="443"/>
      <c r="AK42" s="443"/>
    </row>
    <row r="43" spans="1:38" s="448" customFormat="1" x14ac:dyDescent="0.25">
      <c r="B43" s="460" t="s">
        <v>1648</v>
      </c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8"/>
      <c r="X43" s="458"/>
      <c r="Y43" s="458"/>
      <c r="Z43" s="458"/>
      <c r="AA43" s="458"/>
      <c r="AB43" s="458"/>
      <c r="AC43" s="458"/>
      <c r="AD43" s="458"/>
      <c r="AE43" s="458"/>
      <c r="AF43" s="458"/>
      <c r="AG43" s="458"/>
      <c r="AH43" s="458"/>
      <c r="AI43" s="458"/>
      <c r="AJ43" s="457"/>
      <c r="AK43" s="443"/>
    </row>
    <row r="44" spans="1:38" s="448" customFormat="1" x14ac:dyDescent="0.25">
      <c r="B44" s="452"/>
      <c r="C44" s="451"/>
      <c r="D44" s="451"/>
      <c r="E44" s="451"/>
      <c r="F44" s="451"/>
      <c r="G44" s="451"/>
      <c r="H44" s="451"/>
      <c r="I44" s="451"/>
      <c r="J44" s="451"/>
      <c r="K44" s="451"/>
      <c r="L44" s="451"/>
      <c r="M44" s="451"/>
      <c r="N44" s="451"/>
      <c r="O44" s="451"/>
      <c r="P44" s="451"/>
      <c r="Q44" s="451"/>
      <c r="R44" s="451"/>
      <c r="S44" s="451"/>
      <c r="T44" s="451"/>
      <c r="U44" s="451"/>
      <c r="V44" s="451"/>
      <c r="W44" s="450"/>
      <c r="X44" s="450"/>
      <c r="Y44" s="450"/>
      <c r="Z44" s="450"/>
      <c r="AA44" s="450"/>
      <c r="AB44" s="450"/>
      <c r="AC44" s="450"/>
      <c r="AD44" s="450"/>
      <c r="AE44" s="450"/>
      <c r="AF44" s="450"/>
      <c r="AG44" s="450"/>
      <c r="AH44" s="450"/>
      <c r="AI44" s="450"/>
      <c r="AJ44" s="449"/>
      <c r="AK44" s="443"/>
    </row>
    <row r="45" spans="1:38" x14ac:dyDescent="0.25">
      <c r="B45" s="456"/>
      <c r="C45" s="871"/>
      <c r="D45" s="871"/>
      <c r="E45" s="871"/>
      <c r="F45" s="871"/>
      <c r="G45" s="871"/>
      <c r="H45" s="871"/>
      <c r="I45" s="871"/>
      <c r="J45" s="871"/>
      <c r="K45" s="871"/>
      <c r="L45" s="871"/>
      <c r="M45" s="871"/>
      <c r="N45" s="871"/>
      <c r="O45" s="871"/>
      <c r="P45" s="871"/>
      <c r="Q45" s="871"/>
      <c r="R45" s="871"/>
      <c r="S45" s="871"/>
      <c r="T45" s="871"/>
      <c r="U45" s="871"/>
      <c r="V45" s="871"/>
      <c r="W45" s="450"/>
      <c r="X45" s="450"/>
      <c r="Y45" s="450"/>
      <c r="Z45" s="450"/>
      <c r="AA45" s="450"/>
      <c r="AB45" s="450"/>
      <c r="AC45" s="450"/>
      <c r="AD45" s="450"/>
      <c r="AE45" s="450"/>
      <c r="AF45" s="450"/>
      <c r="AG45" s="450"/>
      <c r="AH45" s="450"/>
      <c r="AI45" s="450"/>
      <c r="AJ45" s="449"/>
      <c r="AK45" s="443"/>
    </row>
    <row r="46" spans="1:38" s="448" customFormat="1" x14ac:dyDescent="0.25">
      <c r="B46" s="452"/>
      <c r="C46" s="451"/>
      <c r="D46" s="451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0"/>
      <c r="X46" s="450"/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50"/>
      <c r="AJ46" s="449"/>
      <c r="AK46" s="443"/>
    </row>
    <row r="47" spans="1:38" s="442" customFormat="1" x14ac:dyDescent="0.25">
      <c r="B47" s="454"/>
      <c r="C47" s="453"/>
      <c r="D47" s="453"/>
      <c r="E47" s="453"/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V47" s="453"/>
      <c r="W47" s="450"/>
      <c r="X47" s="450"/>
      <c r="Y47" s="450"/>
      <c r="Z47" s="450"/>
      <c r="AA47" s="450"/>
      <c r="AB47" s="450"/>
      <c r="AC47" s="450"/>
      <c r="AD47" s="450"/>
      <c r="AE47" s="450"/>
      <c r="AF47" s="450"/>
      <c r="AG47" s="450"/>
      <c r="AH47" s="450"/>
      <c r="AI47" s="450"/>
      <c r="AJ47" s="449"/>
      <c r="AK47" s="443"/>
    </row>
    <row r="48" spans="1:38" s="442" customFormat="1" x14ac:dyDescent="0.25">
      <c r="B48" s="454"/>
      <c r="C48" s="453"/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3"/>
      <c r="R48" s="453"/>
      <c r="S48" s="453"/>
      <c r="T48" s="453"/>
      <c r="U48" s="453"/>
      <c r="V48" s="453"/>
      <c r="W48" s="450"/>
      <c r="X48" s="450"/>
      <c r="Y48" s="450"/>
      <c r="Z48" s="450"/>
      <c r="AA48" s="450"/>
      <c r="AB48" s="450"/>
      <c r="AC48" s="450"/>
      <c r="AD48" s="450"/>
      <c r="AE48" s="450"/>
      <c r="AF48" s="450"/>
      <c r="AG48" s="450"/>
      <c r="AH48" s="450"/>
      <c r="AI48" s="450"/>
      <c r="AJ48" s="449"/>
      <c r="AK48" s="443"/>
    </row>
    <row r="49" spans="2:37" s="448" customFormat="1" x14ac:dyDescent="0.25">
      <c r="B49" s="452"/>
      <c r="C49" s="451"/>
      <c r="D49" s="451"/>
      <c r="E49" s="451"/>
      <c r="F49" s="451"/>
      <c r="G49" s="451"/>
      <c r="H49" s="451"/>
      <c r="I49" s="451"/>
      <c r="J49" s="451"/>
      <c r="K49" s="451"/>
      <c r="L49" s="451"/>
      <c r="M49" s="451"/>
      <c r="N49" s="451"/>
      <c r="O49" s="451"/>
      <c r="P49" s="451"/>
      <c r="Q49" s="451"/>
      <c r="R49" s="451"/>
      <c r="S49" s="451"/>
      <c r="T49" s="451"/>
      <c r="U49" s="451"/>
      <c r="V49" s="451"/>
      <c r="W49" s="450"/>
      <c r="X49" s="450"/>
      <c r="Y49" s="450"/>
      <c r="Z49" s="450"/>
      <c r="AA49" s="450"/>
      <c r="AB49" s="450"/>
      <c r="AC49" s="450"/>
      <c r="AD49" s="450"/>
      <c r="AE49" s="450"/>
      <c r="AF49" s="450"/>
      <c r="AG49" s="450"/>
      <c r="AH49" s="450"/>
      <c r="AI49" s="450"/>
      <c r="AJ49" s="449"/>
      <c r="AK49" s="443"/>
    </row>
    <row r="50" spans="2:37" s="448" customFormat="1" x14ac:dyDescent="0.25">
      <c r="B50" s="452"/>
      <c r="C50" s="451"/>
      <c r="D50" s="451"/>
      <c r="E50" s="451"/>
      <c r="F50" s="451"/>
      <c r="G50" s="451"/>
      <c r="H50" s="451"/>
      <c r="I50" s="451"/>
      <c r="J50" s="451"/>
      <c r="K50" s="451"/>
      <c r="L50" s="451"/>
      <c r="M50" s="451"/>
      <c r="N50" s="451"/>
      <c r="O50" s="451"/>
      <c r="P50" s="451"/>
      <c r="Q50" s="451"/>
      <c r="R50" s="451"/>
      <c r="S50" s="451"/>
      <c r="T50" s="451"/>
      <c r="U50" s="451"/>
      <c r="V50" s="451"/>
      <c r="W50" s="450"/>
      <c r="X50" s="450"/>
      <c r="Y50" s="450"/>
      <c r="Z50" s="450"/>
      <c r="AA50" s="450"/>
      <c r="AB50" s="450"/>
      <c r="AC50" s="450"/>
      <c r="AD50" s="450"/>
      <c r="AE50" s="450"/>
      <c r="AF50" s="450"/>
      <c r="AG50" s="450"/>
      <c r="AH50" s="450"/>
      <c r="AI50" s="450"/>
      <c r="AJ50" s="449"/>
      <c r="AK50" s="443"/>
    </row>
    <row r="51" spans="2:37" s="448" customFormat="1" x14ac:dyDescent="0.25">
      <c r="B51" s="452"/>
      <c r="C51" s="451"/>
      <c r="D51" s="451"/>
      <c r="E51" s="451"/>
      <c r="F51" s="451"/>
      <c r="G51" s="451"/>
      <c r="H51" s="451"/>
      <c r="I51" s="451"/>
      <c r="J51" s="451"/>
      <c r="K51" s="451"/>
      <c r="L51" s="451"/>
      <c r="M51" s="451"/>
      <c r="N51" s="451"/>
      <c r="O51" s="451"/>
      <c r="P51" s="451"/>
      <c r="Q51" s="451"/>
      <c r="R51" s="451"/>
      <c r="S51" s="451"/>
      <c r="T51" s="451"/>
      <c r="U51" s="451"/>
      <c r="V51" s="451"/>
      <c r="W51" s="450"/>
      <c r="X51" s="450"/>
      <c r="Y51" s="450"/>
      <c r="Z51" s="450"/>
      <c r="AA51" s="450"/>
      <c r="AB51" s="450"/>
      <c r="AC51" s="450"/>
      <c r="AD51" s="450"/>
      <c r="AE51" s="450"/>
      <c r="AF51" s="450"/>
      <c r="AG51" s="450"/>
      <c r="AH51" s="450"/>
      <c r="AI51" s="450"/>
      <c r="AJ51" s="449"/>
      <c r="AK51" s="443"/>
    </row>
    <row r="52" spans="2:37" s="448" customFormat="1" x14ac:dyDescent="0.25">
      <c r="B52" s="452"/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  <c r="N52" s="451"/>
      <c r="O52" s="451"/>
      <c r="P52" s="451"/>
      <c r="Q52" s="451"/>
      <c r="R52" s="451"/>
      <c r="S52" s="451"/>
      <c r="T52" s="451"/>
      <c r="U52" s="451"/>
      <c r="V52" s="451"/>
      <c r="W52" s="450"/>
      <c r="X52" s="450"/>
      <c r="Y52" s="450"/>
      <c r="Z52" s="450"/>
      <c r="AA52" s="450"/>
      <c r="AB52" s="450"/>
      <c r="AC52" s="450"/>
      <c r="AD52" s="450"/>
      <c r="AE52" s="450"/>
      <c r="AF52" s="450"/>
      <c r="AG52" s="450"/>
      <c r="AH52" s="450"/>
      <c r="AI52" s="450"/>
      <c r="AJ52" s="449"/>
      <c r="AK52" s="443"/>
    </row>
    <row r="53" spans="2:37" s="442" customFormat="1" ht="13.5" thickBot="1" x14ac:dyDescent="0.3">
      <c r="B53" s="447"/>
      <c r="C53" s="446"/>
      <c r="D53" s="446"/>
      <c r="E53" s="446"/>
      <c r="F53" s="446"/>
      <c r="G53" s="446" t="s">
        <v>1649</v>
      </c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 t="s">
        <v>1650</v>
      </c>
      <c r="V53" s="446"/>
      <c r="W53" s="445"/>
      <c r="X53" s="445"/>
      <c r="Y53" s="445"/>
      <c r="Z53" s="445"/>
      <c r="AA53" s="445"/>
      <c r="AB53" s="445"/>
      <c r="AC53" s="445"/>
      <c r="AD53" s="445"/>
      <c r="AE53" s="445"/>
      <c r="AF53" s="445"/>
      <c r="AG53" s="445"/>
      <c r="AH53" s="445"/>
      <c r="AI53" s="445"/>
      <c r="AJ53" s="444"/>
      <c r="AK53" s="443"/>
    </row>
  </sheetData>
  <mergeCells count="7">
    <mergeCell ref="V5:AA5"/>
    <mergeCell ref="M33:U35"/>
    <mergeCell ref="V33:AC35"/>
    <mergeCell ref="AD33:AL35"/>
    <mergeCell ref="M38:U38"/>
    <mergeCell ref="V38:AC38"/>
    <mergeCell ref="AD38:AL38"/>
  </mergeCells>
  <pageMargins left="0.39370078740157483" right="0.39370078740157483" top="0.35433070866141736" bottom="0.35433070866141736" header="0.23622047244094491" footer="0.23622047244094491"/>
  <pageSetup scale="95" orientation="portrait" r:id="rId1"/>
  <headerFooter alignWithMargins="0">
    <oddFooter>&amp;LMF SR č. 24219/3/2008/1&amp;RSeite 1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J66"/>
  <sheetViews>
    <sheetView view="pageLayout" zoomScaleNormal="100" zoomScaleSheetLayoutView="100" workbookViewId="0">
      <selection activeCell="E2" sqref="E2"/>
    </sheetView>
  </sheetViews>
  <sheetFormatPr defaultRowHeight="10.5" x14ac:dyDescent="0.25"/>
  <cols>
    <col min="1" max="1" width="4.85546875" style="587" customWidth="1"/>
    <col min="2" max="2" width="36.85546875" style="587" customWidth="1"/>
    <col min="3" max="3" width="1.7109375" style="587" customWidth="1"/>
    <col min="4" max="4" width="7.5703125" style="587" customWidth="1"/>
    <col min="5" max="6" width="29.5703125" style="587" customWidth="1"/>
    <col min="7" max="16384" width="9.140625" style="587"/>
  </cols>
  <sheetData>
    <row r="1" spans="1:10" s="553" customFormat="1" ht="7.5" customHeight="1" x14ac:dyDescent="0.25">
      <c r="A1" s="552"/>
      <c r="H1" s="496"/>
      <c r="I1" s="496"/>
    </row>
    <row r="2" spans="1:10" s="553" customFormat="1" ht="17.25" customHeight="1" x14ac:dyDescent="0.25">
      <c r="A2" s="552"/>
      <c r="B2" s="578" t="s">
        <v>1780</v>
      </c>
      <c r="C2" s="909"/>
      <c r="D2" s="936" t="s">
        <v>1651</v>
      </c>
      <c r="E2" s="911" t="str">
        <f>"  "&amp;'BS-SK Cover sheet'!A11&amp;"  "&amp;'BS-SK Cover sheet'!B11&amp;"  "&amp;'BS-SK Cover sheet'!C11&amp;"  "&amp;'BS-SK Cover sheet'!D11&amp;"  "&amp;'BS-SK Cover sheet'!E11&amp;"  "&amp;'BS-SK Cover sheet'!F11&amp;"  "&amp;'BS-SK Cover sheet'!G11&amp;"  "&amp;'BS-SK Cover sheet'!H11&amp;"  "&amp;'BS-SK Cover sheet'!I11&amp;"  "&amp;'BS-SK Cover sheet'!J11</f>
        <v xml:space="preserve">  2  0  2  1  8  7  0  2  9  0</v>
      </c>
    </row>
    <row r="3" spans="1:10" s="553" customFormat="1" ht="7.5" customHeight="1" thickBot="1" x14ac:dyDescent="0.3">
      <c r="A3" s="552"/>
      <c r="B3" s="632"/>
      <c r="C3" s="496"/>
      <c r="D3" s="496"/>
    </row>
    <row r="4" spans="1:10" s="612" customFormat="1" ht="11.25" customHeight="1" x14ac:dyDescent="0.25">
      <c r="A4" s="631"/>
      <c r="B4" s="630"/>
      <c r="C4" s="629"/>
      <c r="D4" s="628"/>
      <c r="E4" s="1461" t="s">
        <v>1782</v>
      </c>
      <c r="F4" s="1485"/>
    </row>
    <row r="5" spans="1:10" s="612" customFormat="1" ht="33.75" customHeight="1" x14ac:dyDescent="0.25">
      <c r="A5" s="860" t="s">
        <v>1652</v>
      </c>
      <c r="B5" s="852" t="s">
        <v>1385</v>
      </c>
      <c r="C5" s="886"/>
      <c r="D5" s="861" t="s">
        <v>1654</v>
      </c>
      <c r="E5" s="853" t="s">
        <v>1783</v>
      </c>
      <c r="F5" s="622" t="s">
        <v>1784</v>
      </c>
    </row>
    <row r="6" spans="1:10" s="612" customFormat="1" ht="29.65" customHeight="1" x14ac:dyDescent="0.25">
      <c r="A6" s="864" t="s">
        <v>813</v>
      </c>
      <c r="B6" s="896" t="s">
        <v>1785</v>
      </c>
      <c r="C6" s="897"/>
      <c r="D6" s="854" t="s">
        <v>814</v>
      </c>
      <c r="E6" s="591">
        <f>'P&amp;L'!D9</f>
        <v>0</v>
      </c>
      <c r="F6" s="591">
        <f>'P&amp;L'!E9</f>
        <v>0</v>
      </c>
    </row>
    <row r="7" spans="1:10" s="612" customFormat="1" ht="29.65" customHeight="1" x14ac:dyDescent="0.25">
      <c r="A7" s="864" t="s">
        <v>815</v>
      </c>
      <c r="B7" s="896" t="s">
        <v>1786</v>
      </c>
      <c r="C7" s="897"/>
      <c r="D7" s="854" t="s">
        <v>817</v>
      </c>
      <c r="E7" s="851">
        <f>'P&amp;L'!D10</f>
        <v>0</v>
      </c>
      <c r="F7" s="591">
        <f>'P&amp;L'!E10</f>
        <v>0</v>
      </c>
    </row>
    <row r="8" spans="1:10" s="617" customFormat="1" ht="29.65" customHeight="1" x14ac:dyDescent="0.25">
      <c r="A8" s="858" t="s">
        <v>818</v>
      </c>
      <c r="B8" s="894" t="s">
        <v>1787</v>
      </c>
      <c r="C8" s="895"/>
      <c r="D8" s="859" t="s">
        <v>820</v>
      </c>
      <c r="E8" s="851">
        <f>'P&amp;L'!D11</f>
        <v>3335719</v>
      </c>
      <c r="F8" s="591">
        <f>'P&amp;L'!E11</f>
        <v>1864966</v>
      </c>
    </row>
    <row r="9" spans="1:10" s="617" customFormat="1" ht="29.65" customHeight="1" x14ac:dyDescent="0.25">
      <c r="A9" s="858" t="s">
        <v>821</v>
      </c>
      <c r="B9" s="894" t="s">
        <v>1788</v>
      </c>
      <c r="C9" s="895"/>
      <c r="D9" s="859" t="s">
        <v>823</v>
      </c>
      <c r="E9" s="851">
        <f>'P&amp;L'!D12</f>
        <v>3335719</v>
      </c>
      <c r="F9" s="591">
        <f>'P&amp;L'!E12</f>
        <v>1864966</v>
      </c>
    </row>
    <row r="10" spans="1:10" s="612" customFormat="1" ht="29.65" customHeight="1" x14ac:dyDescent="0.25">
      <c r="A10" s="855" t="s">
        <v>824</v>
      </c>
      <c r="B10" s="896" t="s">
        <v>1789</v>
      </c>
      <c r="C10" s="897"/>
      <c r="D10" s="854" t="s">
        <v>826</v>
      </c>
      <c r="E10" s="851">
        <f>'P&amp;L'!D13</f>
        <v>0</v>
      </c>
      <c r="F10" s="591">
        <f>'P&amp;L'!E13</f>
        <v>0</v>
      </c>
    </row>
    <row r="11" spans="1:10" s="612" customFormat="1" ht="31.5" customHeight="1" x14ac:dyDescent="0.25">
      <c r="A11" s="855" t="s">
        <v>532</v>
      </c>
      <c r="B11" s="896" t="s">
        <v>1790</v>
      </c>
      <c r="C11" s="897"/>
      <c r="D11" s="854" t="s">
        <v>828</v>
      </c>
      <c r="E11" s="851">
        <f>'P&amp;L'!D14</f>
        <v>0</v>
      </c>
      <c r="F11" s="591">
        <f>'P&amp;L'!E14</f>
        <v>0</v>
      </c>
    </row>
    <row r="12" spans="1:10" s="612" customFormat="1" ht="29.65" customHeight="1" x14ac:dyDescent="0.25">
      <c r="A12" s="855" t="s">
        <v>535</v>
      </c>
      <c r="B12" s="896" t="s">
        <v>1791</v>
      </c>
      <c r="C12" s="897"/>
      <c r="D12" s="854" t="s">
        <v>830</v>
      </c>
      <c r="E12" s="851">
        <f>'P&amp;L'!D15</f>
        <v>0</v>
      </c>
      <c r="F12" s="591">
        <f>'P&amp;L'!E15</f>
        <v>0</v>
      </c>
    </row>
    <row r="13" spans="1:10" s="617" customFormat="1" ht="29.65" customHeight="1" x14ac:dyDescent="0.25">
      <c r="A13" s="858" t="s">
        <v>594</v>
      </c>
      <c r="B13" s="894" t="s">
        <v>1792</v>
      </c>
      <c r="C13" s="895"/>
      <c r="D13" s="859" t="s">
        <v>832</v>
      </c>
      <c r="E13" s="851">
        <f>'P&amp;L'!D16</f>
        <v>3179745</v>
      </c>
      <c r="F13" s="591">
        <f>'P&amp;L'!E16</f>
        <v>1740561</v>
      </c>
      <c r="J13" s="612"/>
    </row>
    <row r="14" spans="1:10" s="612" customFormat="1" ht="29.65" customHeight="1" x14ac:dyDescent="0.25">
      <c r="A14" s="864" t="s">
        <v>833</v>
      </c>
      <c r="B14" s="896" t="s">
        <v>1793</v>
      </c>
      <c r="C14" s="897"/>
      <c r="D14" s="854" t="s">
        <v>835</v>
      </c>
      <c r="E14" s="851">
        <f>'P&amp;L'!D17</f>
        <v>332</v>
      </c>
      <c r="F14" s="591">
        <f>'P&amp;L'!E17</f>
        <v>156</v>
      </c>
    </row>
    <row r="15" spans="1:10" s="612" customFormat="1" ht="29.65" customHeight="1" x14ac:dyDescent="0.25">
      <c r="A15" s="864" t="s">
        <v>836</v>
      </c>
      <c r="B15" s="896" t="s">
        <v>1794</v>
      </c>
      <c r="C15" s="897"/>
      <c r="D15" s="854" t="s">
        <v>838</v>
      </c>
      <c r="E15" s="851">
        <f>'P&amp;L'!D18</f>
        <v>3179413</v>
      </c>
      <c r="F15" s="591">
        <f>'P&amp;L'!E18</f>
        <v>1740405</v>
      </c>
    </row>
    <row r="16" spans="1:10" s="617" customFormat="1" ht="29.65" customHeight="1" x14ac:dyDescent="0.25">
      <c r="A16" s="858" t="s">
        <v>818</v>
      </c>
      <c r="B16" s="894" t="s">
        <v>1795</v>
      </c>
      <c r="C16" s="895"/>
      <c r="D16" s="859" t="s">
        <v>840</v>
      </c>
      <c r="E16" s="851">
        <f>'P&amp;L'!D19</f>
        <v>155974</v>
      </c>
      <c r="F16" s="591">
        <f>'P&amp;L'!E19</f>
        <v>124405</v>
      </c>
    </row>
    <row r="17" spans="1:6" s="612" customFormat="1" ht="29.65" customHeight="1" x14ac:dyDescent="0.25">
      <c r="A17" s="864" t="s">
        <v>663</v>
      </c>
      <c r="B17" s="896" t="s">
        <v>1796</v>
      </c>
      <c r="C17" s="897"/>
      <c r="D17" s="854" t="s">
        <v>842</v>
      </c>
      <c r="E17" s="851">
        <f>'P&amp;L'!D20</f>
        <v>78751</v>
      </c>
      <c r="F17" s="591">
        <f>'P&amp;L'!E20</f>
        <v>58436</v>
      </c>
    </row>
    <row r="18" spans="1:6" s="612" customFormat="1" ht="29.65" customHeight="1" x14ac:dyDescent="0.25">
      <c r="A18" s="864" t="s">
        <v>666</v>
      </c>
      <c r="B18" s="896" t="s">
        <v>1797</v>
      </c>
      <c r="C18" s="897"/>
      <c r="D18" s="854" t="s">
        <v>844</v>
      </c>
      <c r="E18" s="851">
        <f>'P&amp;L'!D21</f>
        <v>60002</v>
      </c>
      <c r="F18" s="591">
        <f>'P&amp;L'!E21</f>
        <v>43184</v>
      </c>
    </row>
    <row r="19" spans="1:6" s="612" customFormat="1" ht="29.65" customHeight="1" x14ac:dyDescent="0.25">
      <c r="A19" s="864" t="s">
        <v>836</v>
      </c>
      <c r="B19" s="896" t="s">
        <v>1798</v>
      </c>
      <c r="C19" s="897"/>
      <c r="D19" s="854" t="s">
        <v>846</v>
      </c>
      <c r="E19" s="851">
        <f>'P&amp;L'!D22</f>
        <v>0</v>
      </c>
      <c r="F19" s="591">
        <f>'P&amp;L'!E22</f>
        <v>0</v>
      </c>
    </row>
    <row r="20" spans="1:6" s="612" customFormat="1" ht="29.65" customHeight="1" x14ac:dyDescent="0.25">
      <c r="A20" s="864" t="s">
        <v>847</v>
      </c>
      <c r="B20" s="896" t="s">
        <v>1799</v>
      </c>
      <c r="C20" s="897"/>
      <c r="D20" s="854" t="s">
        <v>849</v>
      </c>
      <c r="E20" s="851">
        <f>'P&amp;L'!D23</f>
        <v>17531</v>
      </c>
      <c r="F20" s="591">
        <f>'P&amp;L'!E23</f>
        <v>14141</v>
      </c>
    </row>
    <row r="21" spans="1:6" s="612" customFormat="1" ht="29.65" customHeight="1" x14ac:dyDescent="0.25">
      <c r="A21" s="864" t="s">
        <v>850</v>
      </c>
      <c r="B21" s="896" t="s">
        <v>1800</v>
      </c>
      <c r="C21" s="897"/>
      <c r="D21" s="854" t="s">
        <v>852</v>
      </c>
      <c r="E21" s="851">
        <f>'P&amp;L'!D24</f>
        <v>1218</v>
      </c>
      <c r="F21" s="591">
        <f>'P&amp;L'!E24</f>
        <v>1111</v>
      </c>
    </row>
    <row r="22" spans="1:6" s="612" customFormat="1" ht="29.65" customHeight="1" x14ac:dyDescent="0.25">
      <c r="A22" s="864" t="s">
        <v>853</v>
      </c>
      <c r="B22" s="896" t="s">
        <v>1801</v>
      </c>
      <c r="C22" s="897"/>
      <c r="D22" s="854" t="s">
        <v>855</v>
      </c>
      <c r="E22" s="851">
        <f>'P&amp;L'!D25</f>
        <v>0</v>
      </c>
      <c r="F22" s="591">
        <f>'P&amp;L'!E25</f>
        <v>83</v>
      </c>
    </row>
    <row r="23" spans="1:6" s="612" customFormat="1" ht="29.65" customHeight="1" x14ac:dyDescent="0.25">
      <c r="A23" s="864" t="s">
        <v>856</v>
      </c>
      <c r="B23" s="896" t="s">
        <v>1802</v>
      </c>
      <c r="C23" s="897"/>
      <c r="D23" s="854" t="s">
        <v>858</v>
      </c>
      <c r="E23" s="851">
        <f>'P&amp;L'!D26</f>
        <v>0</v>
      </c>
      <c r="F23" s="591">
        <f>'P&amp;L'!E26</f>
        <v>0</v>
      </c>
    </row>
    <row r="24" spans="1:6" s="612" customFormat="1" ht="29.65" customHeight="1" x14ac:dyDescent="0.25">
      <c r="A24" s="864" t="s">
        <v>859</v>
      </c>
      <c r="B24" s="896" t="s">
        <v>1803</v>
      </c>
      <c r="C24" s="897"/>
      <c r="D24" s="854" t="s">
        <v>861</v>
      </c>
      <c r="E24" s="851">
        <f>'P&amp;L'!D27</f>
        <v>0</v>
      </c>
      <c r="F24" s="591">
        <f>'P&amp;L'!E27</f>
        <v>0</v>
      </c>
    </row>
    <row r="25" spans="1:6" s="612" customFormat="1" ht="29.65" customHeight="1" x14ac:dyDescent="0.25">
      <c r="A25" s="864" t="s">
        <v>862</v>
      </c>
      <c r="B25" s="896" t="s">
        <v>1804</v>
      </c>
      <c r="C25" s="897"/>
      <c r="D25" s="854" t="s">
        <v>864</v>
      </c>
      <c r="E25" s="851">
        <f>'P&amp;L'!D28</f>
        <v>0</v>
      </c>
      <c r="F25" s="591">
        <f>'P&amp;L'!E28</f>
        <v>0</v>
      </c>
    </row>
    <row r="26" spans="1:6" s="612" customFormat="1" ht="29.65" customHeight="1" x14ac:dyDescent="0.25">
      <c r="A26" s="864" t="s">
        <v>865</v>
      </c>
      <c r="B26" s="896" t="s">
        <v>1805</v>
      </c>
      <c r="C26" s="620"/>
      <c r="D26" s="854" t="s">
        <v>867</v>
      </c>
      <c r="E26" s="851">
        <f>'P&amp;L'!D29</f>
        <v>0</v>
      </c>
      <c r="F26" s="591">
        <f>'P&amp;L'!E29</f>
        <v>-55000</v>
      </c>
    </row>
    <row r="27" spans="1:6" s="612" customFormat="1" ht="29.65" customHeight="1" x14ac:dyDescent="0.25">
      <c r="A27" s="864" t="s">
        <v>868</v>
      </c>
      <c r="B27" s="896" t="s">
        <v>1806</v>
      </c>
      <c r="C27" s="897"/>
      <c r="D27" s="854" t="s">
        <v>870</v>
      </c>
      <c r="E27" s="851">
        <f>'P&amp;L'!D30</f>
        <v>17</v>
      </c>
      <c r="F27" s="591">
        <f>'P&amp;L'!E30</f>
        <v>23348</v>
      </c>
    </row>
    <row r="28" spans="1:6" s="612" customFormat="1" ht="29.65" customHeight="1" x14ac:dyDescent="0.25">
      <c r="A28" s="864" t="s">
        <v>871</v>
      </c>
      <c r="B28" s="621" t="s">
        <v>1807</v>
      </c>
      <c r="C28" s="620"/>
      <c r="D28" s="854" t="s">
        <v>873</v>
      </c>
      <c r="E28" s="851">
        <f>'P&amp;L'!D31</f>
        <v>21</v>
      </c>
      <c r="F28" s="591">
        <f>'P&amp;L'!E31</f>
        <v>155</v>
      </c>
    </row>
    <row r="29" spans="1:6" s="612" customFormat="1" ht="29.65" customHeight="1" x14ac:dyDescent="0.25">
      <c r="A29" s="864" t="s">
        <v>874</v>
      </c>
      <c r="B29" s="896" t="s">
        <v>1808</v>
      </c>
      <c r="C29" s="897"/>
      <c r="D29" s="854" t="s">
        <v>876</v>
      </c>
      <c r="E29" s="851">
        <f>'P&amp;L'!D32</f>
        <v>0</v>
      </c>
      <c r="F29" s="591">
        <f>'P&amp;L'!E32</f>
        <v>0</v>
      </c>
    </row>
    <row r="30" spans="1:6" s="612" customFormat="1" ht="29.65" customHeight="1" x14ac:dyDescent="0.25">
      <c r="A30" s="864" t="s">
        <v>877</v>
      </c>
      <c r="B30" s="896" t="s">
        <v>1809</v>
      </c>
      <c r="C30" s="897"/>
      <c r="D30" s="854" t="s">
        <v>879</v>
      </c>
      <c r="E30" s="851">
        <f>'P&amp;L'!D33</f>
        <v>0</v>
      </c>
      <c r="F30" s="591">
        <f>'P&amp;L'!E33</f>
        <v>0</v>
      </c>
    </row>
    <row r="31" spans="1:6" s="617" customFormat="1" ht="33.75" customHeight="1" x14ac:dyDescent="0.25">
      <c r="A31" s="858" t="s">
        <v>880</v>
      </c>
      <c r="B31" s="619" t="s">
        <v>1810</v>
      </c>
      <c r="C31" s="618"/>
      <c r="D31" s="859" t="s">
        <v>882</v>
      </c>
      <c r="E31" s="851">
        <f>'P&amp;L'!D34</f>
        <v>77219</v>
      </c>
      <c r="F31" s="591">
        <f>'P&amp;L'!E34</f>
        <v>144079</v>
      </c>
    </row>
    <row r="32" spans="1:6" s="612" customFormat="1" ht="29.65" customHeight="1" thickBot="1" x14ac:dyDescent="0.3">
      <c r="A32" s="616" t="s">
        <v>883</v>
      </c>
      <c r="B32" s="898" t="s">
        <v>1811</v>
      </c>
      <c r="C32" s="899"/>
      <c r="D32" s="613" t="s">
        <v>885</v>
      </c>
      <c r="E32" s="912">
        <f>'P&amp;L'!D35</f>
        <v>0</v>
      </c>
      <c r="F32" s="913">
        <f>'P&amp;L'!E35</f>
        <v>0</v>
      </c>
    </row>
    <row r="33" spans="1:6" ht="24.75" customHeight="1" x14ac:dyDescent="0.25">
      <c r="A33" s="893" t="s">
        <v>886</v>
      </c>
      <c r="B33" s="603" t="s">
        <v>1812</v>
      </c>
      <c r="C33" s="602"/>
      <c r="D33" s="857" t="s">
        <v>888</v>
      </c>
      <c r="E33" s="891">
        <f>'P&amp;L'!D36</f>
        <v>0</v>
      </c>
      <c r="F33" s="914">
        <f>'P&amp;L'!E36</f>
        <v>0</v>
      </c>
    </row>
    <row r="34" spans="1:6" ht="30.75" customHeight="1" x14ac:dyDescent="0.25">
      <c r="A34" s="893" t="s">
        <v>889</v>
      </c>
      <c r="B34" s="611" t="s">
        <v>1813</v>
      </c>
      <c r="C34" s="610"/>
      <c r="D34" s="857" t="s">
        <v>891</v>
      </c>
      <c r="E34" s="891">
        <f>'P&amp;L'!D37</f>
        <v>0</v>
      </c>
      <c r="F34" s="914">
        <f>'P&amp;L'!E37</f>
        <v>0</v>
      </c>
    </row>
    <row r="35" spans="1:6" ht="36.75" customHeight="1" x14ac:dyDescent="0.25">
      <c r="A35" s="864" t="s">
        <v>892</v>
      </c>
      <c r="B35" s="896" t="s">
        <v>1814</v>
      </c>
      <c r="C35" s="897"/>
      <c r="D35" s="854" t="s">
        <v>894</v>
      </c>
      <c r="E35" s="851">
        <f>'P&amp;L'!D38</f>
        <v>0</v>
      </c>
      <c r="F35" s="591">
        <f>'P&amp;L'!E38</f>
        <v>0</v>
      </c>
    </row>
    <row r="36" spans="1:6" ht="30.75" customHeight="1" x14ac:dyDescent="0.25">
      <c r="A36" s="864" t="s">
        <v>895</v>
      </c>
      <c r="B36" s="896" t="s">
        <v>1815</v>
      </c>
      <c r="C36" s="897"/>
      <c r="D36" s="854" t="s">
        <v>897</v>
      </c>
      <c r="E36" s="851">
        <f>'P&amp;L'!D39</f>
        <v>0</v>
      </c>
      <c r="F36" s="591">
        <f>'P&amp;L'!E39</f>
        <v>0</v>
      </c>
    </row>
    <row r="37" spans="1:6" ht="30" customHeight="1" x14ac:dyDescent="0.25">
      <c r="A37" s="864" t="s">
        <v>898</v>
      </c>
      <c r="B37" s="896" t="s">
        <v>1816</v>
      </c>
      <c r="C37" s="897"/>
      <c r="D37" s="854" t="s">
        <v>900</v>
      </c>
      <c r="E37" s="851">
        <f>'P&amp;L'!D40</f>
        <v>0</v>
      </c>
      <c r="F37" s="591">
        <f>'P&amp;L'!E40</f>
        <v>0</v>
      </c>
    </row>
    <row r="38" spans="1:6" ht="26.25" customHeight="1" x14ac:dyDescent="0.25">
      <c r="A38" s="864" t="s">
        <v>901</v>
      </c>
      <c r="B38" s="896" t="s">
        <v>1817</v>
      </c>
      <c r="C38" s="897"/>
      <c r="D38" s="854" t="s">
        <v>903</v>
      </c>
      <c r="E38" s="851">
        <f>'P&amp;L'!D41</f>
        <v>0</v>
      </c>
      <c r="F38" s="591">
        <f>'P&amp;L'!E41</f>
        <v>0</v>
      </c>
    </row>
    <row r="39" spans="1:6" ht="22.5" customHeight="1" x14ac:dyDescent="0.25">
      <c r="A39" s="864" t="s">
        <v>904</v>
      </c>
      <c r="B39" s="896" t="s">
        <v>1818</v>
      </c>
      <c r="C39" s="897"/>
      <c r="D39" s="854" t="s">
        <v>906</v>
      </c>
      <c r="E39" s="851">
        <f>'P&amp;L'!D42</f>
        <v>0</v>
      </c>
      <c r="F39" s="591">
        <f>'P&amp;L'!E42</f>
        <v>0</v>
      </c>
    </row>
    <row r="40" spans="1:6" ht="30.75" customHeight="1" x14ac:dyDescent="0.25">
      <c r="A40" s="864" t="s">
        <v>907</v>
      </c>
      <c r="B40" s="896" t="s">
        <v>1819</v>
      </c>
      <c r="C40" s="897"/>
      <c r="D40" s="854" t="s">
        <v>909</v>
      </c>
      <c r="E40" s="851">
        <f>'P&amp;L'!D43</f>
        <v>0</v>
      </c>
      <c r="F40" s="591">
        <f>'P&amp;L'!E43</f>
        <v>0</v>
      </c>
    </row>
    <row r="41" spans="1:6" ht="33.75" customHeight="1" x14ac:dyDescent="0.25">
      <c r="A41" s="864" t="s">
        <v>910</v>
      </c>
      <c r="B41" s="896" t="s">
        <v>1820</v>
      </c>
      <c r="C41" s="897"/>
      <c r="D41" s="854" t="s">
        <v>912</v>
      </c>
      <c r="E41" s="851">
        <f>'P&amp;L'!D44</f>
        <v>0</v>
      </c>
      <c r="F41" s="591">
        <f>'P&amp;L'!E44</f>
        <v>0</v>
      </c>
    </row>
    <row r="42" spans="1:6" ht="32.25" customHeight="1" x14ac:dyDescent="0.25">
      <c r="A42" s="864" t="s">
        <v>913</v>
      </c>
      <c r="B42" s="896" t="s">
        <v>1821</v>
      </c>
      <c r="C42" s="897"/>
      <c r="D42" s="854" t="s">
        <v>915</v>
      </c>
      <c r="E42" s="851">
        <f>'P&amp;L'!D45</f>
        <v>0</v>
      </c>
      <c r="F42" s="591">
        <f>'P&amp;L'!E45</f>
        <v>0</v>
      </c>
    </row>
    <row r="43" spans="1:6" ht="24" customHeight="1" x14ac:dyDescent="0.25">
      <c r="A43" s="864" t="s">
        <v>916</v>
      </c>
      <c r="B43" s="896" t="s">
        <v>1822</v>
      </c>
      <c r="C43" s="897"/>
      <c r="D43" s="854" t="s">
        <v>918</v>
      </c>
      <c r="E43" s="851">
        <f>'P&amp;L'!D46</f>
        <v>4</v>
      </c>
      <c r="F43" s="591">
        <f>'P&amp;L'!E46</f>
        <v>35</v>
      </c>
    </row>
    <row r="44" spans="1:6" ht="26.25" customHeight="1" x14ac:dyDescent="0.25">
      <c r="A44" s="864" t="s">
        <v>919</v>
      </c>
      <c r="B44" s="896" t="s">
        <v>1823</v>
      </c>
      <c r="C44" s="897"/>
      <c r="D44" s="854" t="s">
        <v>921</v>
      </c>
      <c r="E44" s="851">
        <f>'P&amp;L'!D47</f>
        <v>0</v>
      </c>
      <c r="F44" s="591">
        <f>'P&amp;L'!E47</f>
        <v>0</v>
      </c>
    </row>
    <row r="45" spans="1:6" ht="24.75" customHeight="1" x14ac:dyDescent="0.25">
      <c r="A45" s="864" t="s">
        <v>922</v>
      </c>
      <c r="B45" s="896" t="s">
        <v>1824</v>
      </c>
      <c r="C45" s="897"/>
      <c r="D45" s="854" t="s">
        <v>924</v>
      </c>
      <c r="E45" s="851">
        <f>'P&amp;L'!D48</f>
        <v>0</v>
      </c>
      <c r="F45" s="591">
        <f>'P&amp;L'!E48</f>
        <v>3</v>
      </c>
    </row>
    <row r="46" spans="1:6" ht="27" customHeight="1" x14ac:dyDescent="0.25">
      <c r="A46" s="864" t="s">
        <v>925</v>
      </c>
      <c r="B46" s="896" t="s">
        <v>1825</v>
      </c>
      <c r="C46" s="897"/>
      <c r="D46" s="854" t="s">
        <v>927</v>
      </c>
      <c r="E46" s="851">
        <f>'P&amp;L'!D49</f>
        <v>16</v>
      </c>
      <c r="F46" s="591">
        <f>'P&amp;L'!E49</f>
        <v>18</v>
      </c>
    </row>
    <row r="47" spans="1:6" ht="29.25" customHeight="1" x14ac:dyDescent="0.25">
      <c r="A47" s="864" t="s">
        <v>928</v>
      </c>
      <c r="B47" s="896" t="s">
        <v>1826</v>
      </c>
      <c r="C47" s="897"/>
      <c r="D47" s="854" t="s">
        <v>930</v>
      </c>
      <c r="E47" s="851">
        <f>'P&amp;L'!D50</f>
        <v>0</v>
      </c>
      <c r="F47" s="591">
        <f>'P&amp;L'!E50</f>
        <v>0</v>
      </c>
    </row>
    <row r="48" spans="1:6" ht="27.75" customHeight="1" x14ac:dyDescent="0.25">
      <c r="A48" s="864" t="s">
        <v>931</v>
      </c>
      <c r="B48" s="896" t="s">
        <v>1827</v>
      </c>
      <c r="C48" s="897"/>
      <c r="D48" s="854" t="s">
        <v>933</v>
      </c>
      <c r="E48" s="851">
        <f>'P&amp;L'!D51</f>
        <v>1150</v>
      </c>
      <c r="F48" s="591">
        <f>'P&amp;L'!E51</f>
        <v>1734</v>
      </c>
    </row>
    <row r="49" spans="1:6" ht="27.75" customHeight="1" x14ac:dyDescent="0.25">
      <c r="A49" s="864" t="s">
        <v>934</v>
      </c>
      <c r="B49" s="896" t="s">
        <v>1828</v>
      </c>
      <c r="C49" s="897"/>
      <c r="D49" s="854" t="s">
        <v>936</v>
      </c>
      <c r="E49" s="851">
        <f>'P&amp;L'!D52</f>
        <v>0</v>
      </c>
      <c r="F49" s="591">
        <f>'P&amp;L'!E52</f>
        <v>0</v>
      </c>
    </row>
    <row r="50" spans="1:6" ht="27.75" customHeight="1" x14ac:dyDescent="0.25">
      <c r="A50" s="864" t="s">
        <v>937</v>
      </c>
      <c r="B50" s="896" t="s">
        <v>1829</v>
      </c>
      <c r="C50" s="897"/>
      <c r="D50" s="854" t="s">
        <v>939</v>
      </c>
      <c r="E50" s="851">
        <f>'P&amp;L'!D53</f>
        <v>0</v>
      </c>
      <c r="F50" s="591">
        <f>'P&amp;L'!E53</f>
        <v>0</v>
      </c>
    </row>
    <row r="51" spans="1:6" s="588" customFormat="1" ht="36.75" customHeight="1" x14ac:dyDescent="0.25">
      <c r="A51" s="607" t="s">
        <v>880</v>
      </c>
      <c r="B51" s="609" t="s">
        <v>1830</v>
      </c>
      <c r="C51" s="608"/>
      <c r="D51" s="859" t="s">
        <v>941</v>
      </c>
      <c r="E51" s="851">
        <f>'P&amp;L'!D54</f>
        <v>-1162</v>
      </c>
      <c r="F51" s="591">
        <f>'P&amp;L'!E54</f>
        <v>-1714</v>
      </c>
    </row>
    <row r="52" spans="1:6" s="588" customFormat="1" ht="29.25" customHeight="1" x14ac:dyDescent="0.25">
      <c r="A52" s="607" t="s">
        <v>942</v>
      </c>
      <c r="B52" s="606" t="s">
        <v>1831</v>
      </c>
      <c r="C52" s="605"/>
      <c r="D52" s="859" t="s">
        <v>944</v>
      </c>
      <c r="E52" s="851">
        <f>'P&amp;L'!D55</f>
        <v>76057</v>
      </c>
      <c r="F52" s="591">
        <f>'P&amp;L'!E55</f>
        <v>142365</v>
      </c>
    </row>
    <row r="53" spans="1:6" ht="30.75" customHeight="1" x14ac:dyDescent="0.25">
      <c r="A53" s="864" t="s">
        <v>945</v>
      </c>
      <c r="B53" s="896" t="s">
        <v>1832</v>
      </c>
      <c r="C53" s="897"/>
      <c r="D53" s="854" t="s">
        <v>947</v>
      </c>
      <c r="E53" s="851">
        <f>'P&amp;L'!D56</f>
        <v>25374</v>
      </c>
      <c r="F53" s="591">
        <f>'P&amp;L'!E56</f>
        <v>22105</v>
      </c>
    </row>
    <row r="54" spans="1:6" ht="28.5" customHeight="1" x14ac:dyDescent="0.25">
      <c r="A54" s="856" t="s">
        <v>948</v>
      </c>
      <c r="B54" s="621" t="s">
        <v>1833</v>
      </c>
      <c r="C54" s="897"/>
      <c r="D54" s="854" t="s">
        <v>950</v>
      </c>
      <c r="E54" s="851">
        <f>'P&amp;L'!D57</f>
        <v>67655</v>
      </c>
      <c r="F54" s="591">
        <f>'P&amp;L'!E57</f>
        <v>13072</v>
      </c>
    </row>
    <row r="55" spans="1:6" ht="28.5" customHeight="1" x14ac:dyDescent="0.25">
      <c r="A55" s="864" t="s">
        <v>836</v>
      </c>
      <c r="B55" s="621" t="s">
        <v>1834</v>
      </c>
      <c r="C55" s="897"/>
      <c r="D55" s="854" t="s">
        <v>952</v>
      </c>
      <c r="E55" s="851">
        <f>'P&amp;L'!D58</f>
        <v>-42281</v>
      </c>
      <c r="F55" s="591">
        <f>'P&amp;L'!E58</f>
        <v>9033</v>
      </c>
    </row>
    <row r="56" spans="1:6" s="588" customFormat="1" ht="31.5" customHeight="1" x14ac:dyDescent="0.25">
      <c r="A56" s="607" t="s">
        <v>942</v>
      </c>
      <c r="B56" s="606" t="s">
        <v>1835</v>
      </c>
      <c r="C56" s="605"/>
      <c r="D56" s="859" t="s">
        <v>954</v>
      </c>
      <c r="E56" s="851">
        <f>'P&amp;L'!D59</f>
        <v>50683</v>
      </c>
      <c r="F56" s="591">
        <f>'P&amp;L'!E59</f>
        <v>120260</v>
      </c>
    </row>
    <row r="57" spans="1:6" ht="29.25" customHeight="1" x14ac:dyDescent="0.25">
      <c r="A57" s="864" t="s">
        <v>955</v>
      </c>
      <c r="B57" s="896" t="s">
        <v>1836</v>
      </c>
      <c r="C57" s="897"/>
      <c r="D57" s="854" t="s">
        <v>957</v>
      </c>
      <c r="E57" s="851">
        <f>'P&amp;L'!D60</f>
        <v>0</v>
      </c>
      <c r="F57" s="591">
        <f>'P&amp;L'!E60</f>
        <v>0</v>
      </c>
    </row>
    <row r="58" spans="1:6" ht="28.5" customHeight="1" x14ac:dyDescent="0.25">
      <c r="A58" s="864" t="s">
        <v>958</v>
      </c>
      <c r="B58" s="896" t="s">
        <v>1837</v>
      </c>
      <c r="C58" s="897"/>
      <c r="D58" s="854" t="s">
        <v>960</v>
      </c>
      <c r="E58" s="851">
        <f>'P&amp;L'!D61</f>
        <v>0</v>
      </c>
      <c r="F58" s="591">
        <f>'P&amp;L'!E61</f>
        <v>0</v>
      </c>
    </row>
    <row r="59" spans="1:6" ht="30.75" customHeight="1" thickBot="1" x14ac:dyDescent="0.3">
      <c r="A59" s="563" t="s">
        <v>880</v>
      </c>
      <c r="B59" s="590" t="s">
        <v>1838</v>
      </c>
      <c r="C59" s="589"/>
      <c r="D59" s="562" t="s">
        <v>962</v>
      </c>
      <c r="E59" s="912">
        <f>'P&amp;L'!D62</f>
        <v>0</v>
      </c>
      <c r="F59" s="913">
        <f>'P&amp;L'!E62</f>
        <v>0</v>
      </c>
    </row>
    <row r="60" spans="1:6" ht="27.75" customHeight="1" x14ac:dyDescent="0.25">
      <c r="A60" s="893" t="s">
        <v>963</v>
      </c>
      <c r="B60" s="603" t="s">
        <v>1839</v>
      </c>
      <c r="C60" s="602"/>
      <c r="D60" s="857" t="s">
        <v>965</v>
      </c>
      <c r="E60" s="891">
        <f>'P&amp;L'!D63</f>
        <v>0</v>
      </c>
      <c r="F60" s="914">
        <f>'P&amp;L'!E63</f>
        <v>0</v>
      </c>
    </row>
    <row r="61" spans="1:6" ht="27.75" customHeight="1" x14ac:dyDescent="0.25">
      <c r="A61" s="856" t="s">
        <v>966</v>
      </c>
      <c r="B61" s="621" t="s">
        <v>1840</v>
      </c>
      <c r="C61" s="897"/>
      <c r="D61" s="854" t="s">
        <v>968</v>
      </c>
      <c r="E61" s="851">
        <f>'P&amp;L'!D64</f>
        <v>0</v>
      </c>
      <c r="F61" s="591">
        <f>'P&amp;L'!E64</f>
        <v>0</v>
      </c>
    </row>
    <row r="62" spans="1:6" ht="27.75" customHeight="1" x14ac:dyDescent="0.25">
      <c r="A62" s="864" t="s">
        <v>836</v>
      </c>
      <c r="B62" s="621" t="s">
        <v>1841</v>
      </c>
      <c r="C62" s="897"/>
      <c r="D62" s="854" t="s">
        <v>970</v>
      </c>
      <c r="E62" s="851">
        <f>'P&amp;L'!D65</f>
        <v>0</v>
      </c>
      <c r="F62" s="591">
        <f>'P&amp;L'!E65</f>
        <v>0</v>
      </c>
    </row>
    <row r="63" spans="1:6" s="588" customFormat="1" ht="27.75" customHeight="1" x14ac:dyDescent="0.25">
      <c r="A63" s="887" t="s">
        <v>880</v>
      </c>
      <c r="B63" s="598" t="s">
        <v>1842</v>
      </c>
      <c r="C63" s="597"/>
      <c r="D63" s="863">
        <v>58</v>
      </c>
      <c r="E63" s="891">
        <f>'P&amp;L'!D66</f>
        <v>0</v>
      </c>
      <c r="F63" s="914">
        <f>'P&amp;L'!E66</f>
        <v>0</v>
      </c>
    </row>
    <row r="64" spans="1:6" s="588" customFormat="1" ht="27.75" customHeight="1" x14ac:dyDescent="0.25">
      <c r="A64" s="858" t="s">
        <v>973</v>
      </c>
      <c r="B64" s="894" t="s">
        <v>1843</v>
      </c>
      <c r="C64" s="895"/>
      <c r="D64" s="859" t="s">
        <v>975</v>
      </c>
      <c r="E64" s="851">
        <f>'P&amp;L'!D67</f>
        <v>76057</v>
      </c>
      <c r="F64" s="591">
        <f>'P&amp;L'!E67</f>
        <v>142365</v>
      </c>
    </row>
    <row r="65" spans="1:6" ht="27.75" customHeight="1" x14ac:dyDescent="0.25">
      <c r="A65" s="864" t="s">
        <v>976</v>
      </c>
      <c r="B65" s="896" t="s">
        <v>1844</v>
      </c>
      <c r="C65" s="897"/>
      <c r="D65" s="854" t="s">
        <v>978</v>
      </c>
      <c r="E65" s="851">
        <f>'P&amp;L'!D68</f>
        <v>0</v>
      </c>
      <c r="F65" s="591">
        <f>'P&amp;L'!E68</f>
        <v>0</v>
      </c>
    </row>
    <row r="66" spans="1:6" s="588" customFormat="1" ht="27.75" customHeight="1" thickBot="1" x14ac:dyDescent="0.3">
      <c r="A66" s="563" t="s">
        <v>973</v>
      </c>
      <c r="B66" s="590" t="s">
        <v>1845</v>
      </c>
      <c r="C66" s="589"/>
      <c r="D66" s="562" t="s">
        <v>980</v>
      </c>
      <c r="E66" s="912">
        <f>'P&amp;L'!D69</f>
        <v>50683</v>
      </c>
      <c r="F66" s="913">
        <f>'P&amp;L'!E69</f>
        <v>120260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24219/3/2008/1&amp;RSeite &amp;P</oddFooter>
  </headerFooter>
  <rowBreaks count="2" manualBreakCount="2">
    <brk id="32" max="5" man="1"/>
    <brk id="59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6"/>
  <sheetViews>
    <sheetView showGridLines="0" zoomScale="115" zoomScaleNormal="115" workbookViewId="0">
      <selection activeCell="A9" sqref="A9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10" t="s">
        <v>1</v>
      </c>
      <c r="B2" s="11" t="s">
        <v>2</v>
      </c>
      <c r="C2" s="11" t="s">
        <v>3</v>
      </c>
    </row>
    <row r="3" spans="1:3" ht="22.5" customHeight="1" thickTop="1" thickBot="1" x14ac:dyDescent="0.3">
      <c r="A3" s="12" t="s">
        <v>4</v>
      </c>
      <c r="B3" s="13"/>
      <c r="C3" s="13"/>
    </row>
    <row r="4" spans="1:3" ht="22.5" customHeight="1" thickBot="1" x14ac:dyDescent="0.3">
      <c r="A4" s="14" t="s">
        <v>5</v>
      </c>
      <c r="B4" s="15"/>
      <c r="C4" s="15"/>
    </row>
    <row r="5" spans="1:3" ht="22.5" customHeight="1" thickBot="1" x14ac:dyDescent="0.3">
      <c r="A5" s="16" t="s">
        <v>6</v>
      </c>
      <c r="B5" s="17"/>
      <c r="C5" s="17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2"/>
  <sheetViews>
    <sheetView showGridLines="0" zoomScaleNormal="100" workbookViewId="0">
      <selection activeCell="A2" sqref="A1:A2"/>
    </sheetView>
  </sheetViews>
  <sheetFormatPr defaultRowHeight="15" x14ac:dyDescent="0.25"/>
  <cols>
    <col min="1" max="1" width="29.140625" customWidth="1"/>
    <col min="2" max="3" width="15.42578125" customWidth="1"/>
    <col min="4" max="5" width="12.85546875" customWidth="1"/>
    <col min="6" max="6" width="12.140625" customWidth="1"/>
  </cols>
  <sheetData>
    <row r="1" spans="1:7" ht="16.5" x14ac:dyDescent="0.3">
      <c r="A1" s="1" t="s">
        <v>7</v>
      </c>
    </row>
    <row r="2" spans="1:7" ht="17.25" thickBot="1" x14ac:dyDescent="0.35">
      <c r="A2" s="2" t="s">
        <v>8</v>
      </c>
    </row>
    <row r="3" spans="1:7" ht="43.5" customHeight="1" thickTop="1" thickBot="1" x14ac:dyDescent="0.3">
      <c r="A3" s="1358" t="s">
        <v>9</v>
      </c>
      <c r="B3" s="1360" t="s">
        <v>10</v>
      </c>
      <c r="C3" s="1361"/>
      <c r="D3" s="1358" t="s">
        <v>11</v>
      </c>
      <c r="E3" s="1358" t="s">
        <v>454</v>
      </c>
      <c r="F3" s="20"/>
      <c r="G3" s="20"/>
    </row>
    <row r="4" spans="1:7" ht="15" customHeight="1" thickTop="1" thickBot="1" x14ac:dyDescent="0.3">
      <c r="A4" s="1359"/>
      <c r="B4" s="21" t="s">
        <v>13</v>
      </c>
      <c r="C4" s="21" t="s">
        <v>12</v>
      </c>
      <c r="D4" s="1359"/>
      <c r="E4" s="1359"/>
      <c r="F4" s="20"/>
      <c r="G4" s="20"/>
    </row>
    <row r="5" spans="1:7" ht="16.5" thickTop="1" thickBot="1" x14ac:dyDescent="0.3">
      <c r="A5" s="14"/>
      <c r="B5" s="22"/>
      <c r="C5" s="23"/>
      <c r="D5" s="23"/>
      <c r="E5" s="24"/>
      <c r="F5" s="20"/>
      <c r="G5" s="20"/>
    </row>
    <row r="6" spans="1:7" ht="15.75" thickBot="1" x14ac:dyDescent="0.3">
      <c r="A6" s="14"/>
      <c r="B6" s="22"/>
      <c r="C6" s="23"/>
      <c r="D6" s="23"/>
      <c r="E6" s="24"/>
      <c r="F6" s="20"/>
      <c r="G6" s="20"/>
    </row>
    <row r="7" spans="1:7" ht="15.75" thickBot="1" x14ac:dyDescent="0.3">
      <c r="A7" s="14"/>
      <c r="B7" s="22"/>
      <c r="C7" s="23"/>
      <c r="D7" s="23"/>
      <c r="E7" s="24"/>
      <c r="F7" s="20"/>
      <c r="G7" s="20"/>
    </row>
    <row r="8" spans="1:7" ht="15.75" thickBot="1" x14ac:dyDescent="0.3">
      <c r="A8" s="14"/>
      <c r="B8" s="22"/>
      <c r="C8" s="23"/>
      <c r="D8" s="23"/>
      <c r="E8" s="24"/>
      <c r="F8" s="20"/>
      <c r="G8" s="20"/>
    </row>
    <row r="9" spans="1:7" ht="15.75" thickBot="1" x14ac:dyDescent="0.3">
      <c r="A9" s="14"/>
      <c r="B9" s="22"/>
      <c r="C9" s="23"/>
      <c r="D9" s="23"/>
      <c r="E9" s="24"/>
      <c r="F9" s="20"/>
      <c r="G9" s="20"/>
    </row>
    <row r="10" spans="1:7" ht="15.75" thickBot="1" x14ac:dyDescent="0.3">
      <c r="A10" s="25" t="s">
        <v>14</v>
      </c>
      <c r="B10" s="26">
        <f>SUM(B5:B9)</f>
        <v>0</v>
      </c>
      <c r="C10" s="27">
        <f>SUM(C5:C9)</f>
        <v>0</v>
      </c>
      <c r="D10" s="28">
        <f t="shared" ref="D10:E10" si="0">SUM(D5:D9)</f>
        <v>0</v>
      </c>
      <c r="E10" s="29">
        <f t="shared" si="0"/>
        <v>0</v>
      </c>
      <c r="F10" s="20"/>
      <c r="G10" s="20"/>
    </row>
    <row r="11" spans="1:7" ht="15.75" thickTop="1" x14ac:dyDescent="0.25">
      <c r="A11" s="20"/>
      <c r="B11" s="20"/>
      <c r="C11" s="20"/>
      <c r="D11" s="20"/>
      <c r="E11" s="20"/>
      <c r="F11" s="20"/>
      <c r="G11" s="20"/>
    </row>
    <row r="12" spans="1:7" x14ac:dyDescent="0.25">
      <c r="A12" s="37">
        <v>7</v>
      </c>
      <c r="B12" s="37">
        <v>4</v>
      </c>
      <c r="C12" s="37">
        <v>4</v>
      </c>
      <c r="D12" s="37">
        <v>4</v>
      </c>
      <c r="E12" s="37">
        <v>4</v>
      </c>
      <c r="F12" s="37"/>
      <c r="G12" s="37"/>
    </row>
  </sheetData>
  <mergeCells count="4">
    <mergeCell ref="A3:A4"/>
    <mergeCell ref="B3:C3"/>
    <mergeCell ref="D3:D4"/>
    <mergeCell ref="E3:E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72</vt:i4>
      </vt:variant>
      <vt:variant>
        <vt:lpstr>Named Ranges</vt:lpstr>
      </vt:variant>
      <vt:variant>
        <vt:i4>23</vt:i4>
      </vt:variant>
    </vt:vector>
  </HeadingPairs>
  <TitlesOfParts>
    <vt:vector size="95" baseType="lpstr">
      <vt:lpstr>Input data</vt:lpstr>
      <vt:lpstr>VYSVETLIVKY</vt:lpstr>
      <vt:lpstr>Notes-SK Cover sheet</vt:lpstr>
      <vt:lpstr>Notes Template</vt:lpstr>
      <vt:lpstr>BS</vt:lpstr>
      <vt:lpstr>P&amp;L</vt:lpstr>
      <vt:lpstr>Cash Flow</vt:lpstr>
      <vt:lpstr>1</vt:lpstr>
      <vt:lpstr>2</vt:lpstr>
      <vt:lpstr>2_tabulka 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BS-SK Cover sheet</vt:lpstr>
      <vt:lpstr>BS-SK Statutory </vt:lpstr>
      <vt:lpstr>IS-SK Cover sheet</vt:lpstr>
      <vt:lpstr>IS-SK Statutory </vt:lpstr>
      <vt:lpstr>BS-E Cover sheet</vt:lpstr>
      <vt:lpstr>BS- E Statutory</vt:lpstr>
      <vt:lpstr>IS-E Cover sheet</vt:lpstr>
      <vt:lpstr>IS-E Statutory</vt:lpstr>
      <vt:lpstr>BS-G Cover sheet</vt:lpstr>
      <vt:lpstr>BS - G Statutory</vt:lpstr>
      <vt:lpstr>IS-G Cover sheet</vt:lpstr>
      <vt:lpstr>IS-G Statutory</vt:lpstr>
      <vt:lpstr>BS!Print_Area</vt:lpstr>
      <vt:lpstr>'BS - G Statutory'!Print_Area</vt:lpstr>
      <vt:lpstr>'BS- E Statutory'!Print_Area</vt:lpstr>
      <vt:lpstr>'BS-E Cover sheet'!Print_Area</vt:lpstr>
      <vt:lpstr>'BS-G Cover sheet'!Print_Area</vt:lpstr>
      <vt:lpstr>'BS-SK Cover sheet'!Print_Area</vt:lpstr>
      <vt:lpstr>'BS-SK Statutory '!Print_Area</vt:lpstr>
      <vt:lpstr>'Cash Flow'!Print_Area</vt:lpstr>
      <vt:lpstr>'IS-E Cover sheet'!Print_Area</vt:lpstr>
      <vt:lpstr>'IS-E Statutory'!Print_Area</vt:lpstr>
      <vt:lpstr>'IS-G Cover sheet'!Print_Area</vt:lpstr>
      <vt:lpstr>'IS-G Statutory'!Print_Area</vt:lpstr>
      <vt:lpstr>'IS-SK Cover sheet'!Print_Area</vt:lpstr>
      <vt:lpstr>'IS-SK Statutory '!Print_Area</vt:lpstr>
      <vt:lpstr>'Notes Template'!Print_Area</vt:lpstr>
      <vt:lpstr>'Notes-SK Cover sheet'!Print_Area</vt:lpstr>
      <vt:lpstr>'P&amp;L'!Print_Area</vt:lpstr>
      <vt:lpstr>'BS - G Statutory'!Print_Titles</vt:lpstr>
      <vt:lpstr>'BS- E Statutory'!Print_Titles</vt:lpstr>
      <vt:lpstr>'BS-SK Statutory '!Print_Titles</vt:lpstr>
      <vt:lpstr>'IS-E Statutory'!Print_Titles</vt:lpstr>
      <vt:lpstr>'IS-G Statutory'!Print_Titles</vt:lpstr>
      <vt:lpstr>'IS-SK Statutory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2014-06-27T09:41:22Z</dcterms:modified>
</cp:coreProperties>
</file>