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120" yWindow="360" windowWidth="15120" windowHeight="7635" tabRatio="948" firstSheet="1" activeTab="4"/>
  </bookViews>
  <sheets>
    <sheet name="VYSVETLIVKY" sheetId="51" r:id="rId1"/>
    <sheet name="1" sheetId="1" r:id="rId2"/>
    <sheet name="2" sheetId="4" r:id="rId3"/>
    <sheet name="2_tabulka c.2" sheetId="52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2_tabulka c.2" sheetId="53" r:id="rId15"/>
    <sheet name="13" sheetId="15" r:id="rId16"/>
    <sheet name="14_tabulka 1 a 3" sheetId="56" r:id="rId17"/>
    <sheet name="14_tabulka 2 a 4" sheetId="57" r:id="rId18"/>
    <sheet name="15" sheetId="17" r:id="rId19"/>
    <sheet name="16" sheetId="18" r:id="rId20"/>
    <sheet name="16_tabulka c.2" sheetId="54" r:id="rId21"/>
    <sheet name="17" sheetId="19" r:id="rId22"/>
    <sheet name="18" sheetId="20" r:id="rId23"/>
    <sheet name="18_tabulka c.2" sheetId="55" r:id="rId24"/>
    <sheet name="19" sheetId="21" r:id="rId25"/>
    <sheet name="20" sheetId="22" r:id="rId26"/>
    <sheet name="21" sheetId="23" r:id="rId27"/>
    <sheet name="22" sheetId="24" r:id="rId28"/>
    <sheet name="23" sheetId="25" r:id="rId29"/>
    <sheet name="24" sheetId="26" r:id="rId30"/>
    <sheet name="24_tabulky 3 a 4" sheetId="50" r:id="rId31"/>
    <sheet name="25" sheetId="27" r:id="rId32"/>
    <sheet name="26" sheetId="28" r:id="rId33"/>
    <sheet name="27" sheetId="30" r:id="rId34"/>
    <sheet name="28" sheetId="31" r:id="rId35"/>
    <sheet name="29" sheetId="32" r:id="rId36"/>
    <sheet name="30" sheetId="29" r:id="rId37"/>
    <sheet name="31" sheetId="33" r:id="rId38"/>
    <sheet name="32" sheetId="34" r:id="rId39"/>
    <sheet name="32_tabulka 2" sheetId="59" r:id="rId40"/>
    <sheet name="33" sheetId="35" r:id="rId41"/>
    <sheet name="34" sheetId="36" r:id="rId42"/>
    <sheet name="35" sheetId="37" r:id="rId43"/>
    <sheet name="36" sheetId="38" r:id="rId44"/>
    <sheet name="37" sheetId="39" r:id="rId45"/>
    <sheet name="38" sheetId="40" r:id="rId46"/>
    <sheet name="39" sheetId="41" r:id="rId47"/>
    <sheet name="40" sheetId="42" r:id="rId48"/>
    <sheet name="41" sheetId="43" r:id="rId49"/>
    <sheet name="42" sheetId="44" r:id="rId50"/>
    <sheet name="43" sheetId="45" r:id="rId51"/>
    <sheet name="44" sheetId="46" r:id="rId52"/>
    <sheet name="45" sheetId="47" r:id="rId53"/>
    <sheet name="46" sheetId="48" r:id="rId54"/>
    <sheet name="Hárok1" sheetId="60" r:id="rId55"/>
    <sheet name="HK" sheetId="64" r:id="rId56"/>
    <sheet name="HKSU" sheetId="73" r:id="rId57"/>
    <sheet name="HKM" sheetId="65" r:id="rId58"/>
    <sheet name="HKSUM" sheetId="74" r:id="rId59"/>
    <sheet name="VZaS" sheetId="66" r:id="rId60"/>
    <sheet name="VZaSM" sheetId="67" r:id="rId61"/>
    <sheet name="SUA" sheetId="68" r:id="rId62"/>
    <sheet name="SUP" sheetId="69" r:id="rId63"/>
    <sheet name="SUAM" sheetId="70" r:id="rId64"/>
    <sheet name="SUPM" sheetId="71" r:id="rId65"/>
    <sheet name="Info" sheetId="72" r:id="rId66"/>
  </sheets>
  <calcPr calcId="125725"/>
</workbook>
</file>

<file path=xl/calcChain.xml><?xml version="1.0" encoding="utf-8"?>
<calcChain xmlns="http://schemas.openxmlformats.org/spreadsheetml/2006/main">
  <c r="J42" i="9"/>
  <c r="J43"/>
  <c r="J41"/>
  <c r="J37"/>
  <c r="J38"/>
  <c r="J36"/>
  <c r="J31"/>
  <c r="J32"/>
  <c r="J33"/>
  <c r="J19"/>
  <c r="J18"/>
  <c r="J13"/>
  <c r="J14"/>
  <c r="J12"/>
  <c r="J7"/>
  <c r="J8"/>
  <c r="J9"/>
  <c r="J42" i="7"/>
  <c r="J43"/>
  <c r="J37"/>
  <c r="J38"/>
  <c r="J31"/>
  <c r="J32"/>
  <c r="J33"/>
  <c r="J18"/>
  <c r="J19"/>
  <c r="J13"/>
  <c r="J14"/>
  <c r="J7"/>
  <c r="J8"/>
  <c r="J9"/>
  <c r="B18" i="26" l="1"/>
  <c r="B4"/>
  <c r="B37" i="50" l="1"/>
  <c r="B36"/>
  <c r="B33"/>
  <c r="B13"/>
  <c r="B10"/>
  <c r="B14" i="41"/>
  <c r="C10" i="39" l="1"/>
  <c r="C6"/>
  <c r="F5" i="38"/>
  <c r="E5"/>
  <c r="C5"/>
  <c r="F25" i="32" l="1"/>
  <c r="F11"/>
  <c r="F7"/>
  <c r="C9" i="30"/>
  <c r="F31" i="50"/>
  <c r="F29"/>
  <c r="B31"/>
  <c r="B29"/>
  <c r="E10" i="55"/>
  <c r="B11"/>
  <c r="B10"/>
  <c r="B8"/>
  <c r="B7"/>
  <c r="D6" i="18"/>
  <c r="D6" i="56"/>
  <c r="B34" i="9"/>
  <c r="H10"/>
  <c r="H20" i="7"/>
  <c r="I17"/>
  <c r="I20"/>
  <c r="G31" i="5"/>
  <c r="C31"/>
  <c r="E12"/>
  <c r="E10"/>
  <c r="C10"/>
  <c r="E6"/>
  <c r="B3" i="41" l="1"/>
  <c r="B9" i="17"/>
  <c r="B12" i="5"/>
  <c r="B10" i="39" l="1"/>
  <c r="B19" i="41"/>
  <c r="C19"/>
  <c r="C14"/>
  <c r="C5" i="20"/>
  <c r="B5"/>
  <c r="C7"/>
  <c r="F40" i="50" l="1"/>
  <c r="B3" i="21" l="1"/>
  <c r="F4"/>
  <c r="C11" i="43"/>
  <c r="C10"/>
  <c r="F11"/>
  <c r="C25" i="41"/>
  <c r="C20"/>
  <c r="C11" i="39"/>
  <c r="B25" i="41"/>
  <c r="B20"/>
  <c r="B11" i="39"/>
  <c r="B17"/>
  <c r="C17"/>
  <c r="F12" i="38"/>
  <c r="E12"/>
  <c r="C13" i="33"/>
  <c r="C9"/>
  <c r="C6"/>
  <c r="C3"/>
  <c r="B13"/>
  <c r="B9"/>
  <c r="B6"/>
  <c r="B3"/>
  <c r="C16" i="29"/>
  <c r="C12"/>
  <c r="B16"/>
  <c r="B12"/>
  <c r="E25" i="32"/>
  <c r="E11"/>
  <c r="E7"/>
  <c r="F29" i="27"/>
  <c r="B29"/>
  <c r="C12" i="24"/>
  <c r="C9"/>
  <c r="C6"/>
  <c r="C3"/>
  <c r="B12"/>
  <c r="B9"/>
  <c r="B6"/>
  <c r="B3"/>
  <c r="F3" i="21"/>
  <c r="B4"/>
  <c r="C6" i="20"/>
  <c r="C4"/>
  <c r="B6"/>
  <c r="B7"/>
  <c r="B4"/>
  <c r="D18" i="18"/>
  <c r="D17"/>
  <c r="D16"/>
  <c r="D15"/>
  <c r="D14"/>
  <c r="D13"/>
  <c r="D12"/>
  <c r="D9"/>
  <c r="D8"/>
  <c r="D7"/>
  <c r="D5"/>
  <c r="F8" i="17"/>
  <c r="F7"/>
  <c r="F6"/>
  <c r="F5"/>
  <c r="F4"/>
  <c r="F9" s="1"/>
  <c r="B8"/>
  <c r="B7"/>
  <c r="B6"/>
  <c r="B5"/>
  <c r="B4"/>
  <c r="I44" i="9"/>
  <c r="I17"/>
  <c r="J17" s="1"/>
  <c r="I20"/>
  <c r="I44" i="7"/>
  <c r="H45" i="5"/>
  <c r="H17"/>
  <c r="H20"/>
  <c r="B40" i="50" l="1"/>
  <c r="C6" i="40"/>
  <c r="C5"/>
  <c r="C4"/>
  <c r="C3"/>
  <c r="B6"/>
  <c r="B5"/>
  <c r="B4"/>
  <c r="B3"/>
  <c r="F10" i="38"/>
  <c r="F9"/>
  <c r="F8"/>
  <c r="E10"/>
  <c r="E9"/>
  <c r="E8"/>
  <c r="F6"/>
  <c r="E6"/>
  <c r="D6"/>
  <c r="C6"/>
  <c r="B6"/>
  <c r="B5"/>
  <c r="F4"/>
  <c r="E4"/>
  <c r="D4"/>
  <c r="C4"/>
  <c r="B4"/>
  <c r="B9" i="30"/>
  <c r="C3"/>
  <c r="B3"/>
  <c r="F23" i="27"/>
  <c r="B23"/>
  <c r="F11"/>
  <c r="B11"/>
  <c r="F5"/>
  <c r="B5"/>
  <c r="F46" i="50"/>
  <c r="F45"/>
  <c r="F42"/>
  <c r="F41"/>
  <c r="F39"/>
  <c r="F38"/>
  <c r="F37"/>
  <c r="F36"/>
  <c r="F35"/>
  <c r="F34"/>
  <c r="F33"/>
  <c r="F32"/>
  <c r="F30"/>
  <c r="F28"/>
  <c r="B46"/>
  <c r="B45"/>
  <c r="B42"/>
  <c r="B41"/>
  <c r="B39"/>
  <c r="B38"/>
  <c r="B35"/>
  <c r="B34"/>
  <c r="B32"/>
  <c r="B30"/>
  <c r="B28"/>
  <c r="F8"/>
  <c r="F6"/>
  <c r="B8"/>
  <c r="B6"/>
  <c r="F23"/>
  <c r="F22"/>
  <c r="F19"/>
  <c r="F18"/>
  <c r="F17"/>
  <c r="F16"/>
  <c r="F15"/>
  <c r="F14"/>
  <c r="F13"/>
  <c r="F12"/>
  <c r="F11"/>
  <c r="F10"/>
  <c r="F9"/>
  <c r="F7"/>
  <c r="F5"/>
  <c r="B23"/>
  <c r="B22"/>
  <c r="B19"/>
  <c r="B18"/>
  <c r="B17"/>
  <c r="B16"/>
  <c r="B15"/>
  <c r="B14"/>
  <c r="B12"/>
  <c r="B11"/>
  <c r="B9"/>
  <c r="B7"/>
  <c r="B5"/>
  <c r="E12" i="55"/>
  <c r="E11"/>
  <c r="E8"/>
  <c r="E7"/>
  <c r="B12"/>
  <c r="C4" i="56"/>
  <c r="B4"/>
  <c r="F9" i="14"/>
  <c r="F8"/>
  <c r="F7"/>
  <c r="F6"/>
  <c r="F5"/>
  <c r="B9"/>
  <c r="B8"/>
  <c r="B7"/>
  <c r="B6"/>
  <c r="B5"/>
  <c r="G7" i="12"/>
  <c r="F18" i="11"/>
  <c r="F15"/>
  <c r="F11"/>
  <c r="F7"/>
  <c r="I34" i="9"/>
  <c r="H34"/>
  <c r="F34"/>
  <c r="E34"/>
  <c r="D34"/>
  <c r="C34"/>
  <c r="I30"/>
  <c r="H30"/>
  <c r="F30"/>
  <c r="E30"/>
  <c r="D30"/>
  <c r="C30"/>
  <c r="B30"/>
  <c r="I10"/>
  <c r="F10"/>
  <c r="E10"/>
  <c r="D10"/>
  <c r="C10"/>
  <c r="B10"/>
  <c r="I6"/>
  <c r="H6"/>
  <c r="F6"/>
  <c r="E6"/>
  <c r="D6"/>
  <c r="C6"/>
  <c r="B6"/>
  <c r="H44" i="7"/>
  <c r="H41"/>
  <c r="J41" s="1"/>
  <c r="G39"/>
  <c r="F39"/>
  <c r="E39"/>
  <c r="D39"/>
  <c r="C39"/>
  <c r="G36"/>
  <c r="F36"/>
  <c r="E36"/>
  <c r="D36"/>
  <c r="C36"/>
  <c r="I34"/>
  <c r="H34"/>
  <c r="G34"/>
  <c r="F34"/>
  <c r="E34"/>
  <c r="D34"/>
  <c r="C34"/>
  <c r="B34"/>
  <c r="I30"/>
  <c r="H30"/>
  <c r="G30"/>
  <c r="F30"/>
  <c r="E30"/>
  <c r="D30"/>
  <c r="C30"/>
  <c r="B30"/>
  <c r="J30" s="1"/>
  <c r="H17"/>
  <c r="J17" s="1"/>
  <c r="J20" s="1"/>
  <c r="G15"/>
  <c r="F15"/>
  <c r="E15"/>
  <c r="D15"/>
  <c r="C15"/>
  <c r="G12"/>
  <c r="F12"/>
  <c r="E12"/>
  <c r="D12"/>
  <c r="C12"/>
  <c r="J12" s="1"/>
  <c r="J15" s="1"/>
  <c r="I10"/>
  <c r="H10"/>
  <c r="G10"/>
  <c r="F10"/>
  <c r="E10"/>
  <c r="D10"/>
  <c r="C10"/>
  <c r="B10"/>
  <c r="I6"/>
  <c r="H6"/>
  <c r="G6"/>
  <c r="F6"/>
  <c r="E6"/>
  <c r="D6"/>
  <c r="C6"/>
  <c r="B6"/>
  <c r="J6" s="1"/>
  <c r="J30" i="9" l="1"/>
  <c r="J36" i="7"/>
  <c r="J10"/>
  <c r="J23" s="1"/>
  <c r="J22"/>
  <c r="J6" i="9"/>
  <c r="F19" i="11"/>
  <c r="G45" i="5"/>
  <c r="G42"/>
  <c r="F40"/>
  <c r="E40"/>
  <c r="D40"/>
  <c r="C40"/>
  <c r="B40"/>
  <c r="F37"/>
  <c r="E37"/>
  <c r="D37"/>
  <c r="C37"/>
  <c r="B37"/>
  <c r="H35"/>
  <c r="G35"/>
  <c r="F35"/>
  <c r="E35"/>
  <c r="D35"/>
  <c r="C35"/>
  <c r="B35"/>
  <c r="H31"/>
  <c r="F31"/>
  <c r="E31"/>
  <c r="D31"/>
  <c r="B31"/>
  <c r="B6"/>
  <c r="G20"/>
  <c r="G17"/>
  <c r="F15"/>
  <c r="E15"/>
  <c r="D15"/>
  <c r="C15"/>
  <c r="B15"/>
  <c r="F12"/>
  <c r="D12"/>
  <c r="C12"/>
  <c r="H10"/>
  <c r="G10"/>
  <c r="F10"/>
  <c r="D10"/>
  <c r="B10"/>
  <c r="H6"/>
  <c r="G6"/>
  <c r="F6"/>
  <c r="D6"/>
  <c r="C6"/>
  <c r="D5" i="38" l="1"/>
  <c r="J39" i="9" l="1"/>
  <c r="J15"/>
  <c r="J20"/>
  <c r="J44"/>
  <c r="J22"/>
  <c r="J10"/>
  <c r="J46"/>
  <c r="J34"/>
  <c r="J23" l="1"/>
  <c r="J47"/>
  <c r="F10" i="43"/>
  <c r="E4"/>
  <c r="B4"/>
  <c r="C3" i="41"/>
  <c r="B3" i="39"/>
  <c r="B6"/>
  <c r="C3"/>
  <c r="F43" i="50"/>
  <c r="B43"/>
  <c r="B20"/>
  <c r="F20"/>
  <c r="E23" i="27" l="1"/>
  <c r="D23"/>
  <c r="C23"/>
  <c r="E29"/>
  <c r="D29"/>
  <c r="C29"/>
  <c r="E11"/>
  <c r="D11"/>
  <c r="C11"/>
  <c r="I44" i="5"/>
  <c r="I43"/>
  <c r="I42"/>
  <c r="I39"/>
  <c r="I38"/>
  <c r="I37"/>
  <c r="I34"/>
  <c r="I33"/>
  <c r="I32"/>
  <c r="I31"/>
  <c r="I45" l="1"/>
  <c r="I35"/>
  <c r="I40"/>
  <c r="I46" i="7" l="1"/>
  <c r="H46"/>
  <c r="G46"/>
  <c r="F46"/>
  <c r="E46"/>
  <c r="D46"/>
  <c r="C46"/>
  <c r="B46"/>
  <c r="I19" i="5"/>
  <c r="I18"/>
  <c r="I17"/>
  <c r="I14"/>
  <c r="I13"/>
  <c r="I12"/>
  <c r="I9"/>
  <c r="I8"/>
  <c r="I7"/>
  <c r="I6"/>
  <c r="F35" i="27"/>
  <c r="F34"/>
  <c r="F33"/>
  <c r="F32"/>
  <c r="F31"/>
  <c r="F30"/>
  <c r="F28"/>
  <c r="F27"/>
  <c r="F26"/>
  <c r="F25"/>
  <c r="F24"/>
  <c r="F17"/>
  <c r="F16"/>
  <c r="F15"/>
  <c r="F14"/>
  <c r="F13"/>
  <c r="F12"/>
  <c r="F10"/>
  <c r="F9"/>
  <c r="F8"/>
  <c r="F7"/>
  <c r="F6"/>
  <c r="E5"/>
  <c r="D5"/>
  <c r="C5"/>
  <c r="D13" i="56"/>
  <c r="C13"/>
  <c r="B13"/>
  <c r="B8" i="37"/>
  <c r="D13" i="55"/>
  <c r="C13"/>
  <c r="B13"/>
  <c r="I20" i="5" l="1"/>
  <c r="J39" i="7"/>
  <c r="I15" i="5"/>
  <c r="I10"/>
  <c r="C47" i="7"/>
  <c r="G47"/>
  <c r="I22" i="5"/>
  <c r="B47" i="7"/>
  <c r="F47"/>
  <c r="J34"/>
  <c r="J44"/>
  <c r="E47"/>
  <c r="I47"/>
  <c r="D47"/>
  <c r="H47"/>
  <c r="J46"/>
  <c r="I47" i="5"/>
  <c r="E13" i="55"/>
  <c r="F9" i="52"/>
  <c r="E9"/>
  <c r="D9"/>
  <c r="C9"/>
  <c r="I48" i="5" l="1"/>
  <c r="I23"/>
  <c r="J47" i="7"/>
  <c r="C9" i="40"/>
  <c r="B9"/>
  <c r="C8" i="37"/>
  <c r="D8"/>
  <c r="E8"/>
  <c r="F8"/>
  <c r="G8"/>
  <c r="C7" i="36"/>
  <c r="D7"/>
  <c r="E7"/>
  <c r="F7"/>
  <c r="G7"/>
  <c r="B7"/>
  <c r="C8" i="35"/>
  <c r="B8"/>
  <c r="B26" i="26"/>
  <c r="B14"/>
  <c r="C7" i="25"/>
  <c r="D7"/>
  <c r="E7"/>
  <c r="F7"/>
  <c r="G7"/>
  <c r="B7"/>
  <c r="E5" i="21"/>
  <c r="D5"/>
  <c r="C5"/>
  <c r="B5"/>
  <c r="C8" i="20"/>
  <c r="B8"/>
  <c r="C19" i="18"/>
  <c r="B19"/>
  <c r="C10"/>
  <c r="B10"/>
  <c r="F10" i="14"/>
  <c r="F11"/>
  <c r="C12"/>
  <c r="D12"/>
  <c r="E12"/>
  <c r="B12"/>
  <c r="E7" i="13"/>
  <c r="D7"/>
  <c r="C7"/>
  <c r="B7"/>
  <c r="F6"/>
  <c r="F5"/>
  <c r="F4"/>
  <c r="F3"/>
  <c r="G6" i="12"/>
  <c r="G5"/>
  <c r="G4"/>
  <c r="G3"/>
  <c r="F5" i="21" l="1"/>
  <c r="F12" i="14"/>
  <c r="D10" i="18"/>
  <c r="D19"/>
  <c r="F7" i="13"/>
  <c r="B10" i="4"/>
  <c r="D10"/>
  <c r="E10"/>
  <c r="C10"/>
</calcChain>
</file>

<file path=xl/sharedStrings.xml><?xml version="1.0" encoding="utf-8"?>
<sst xmlns="http://schemas.openxmlformats.org/spreadsheetml/2006/main" count="2607" uniqueCount="1541">
  <si>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</si>
  <si>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</si>
  <si>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</si>
  <si>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</si>
  <si>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</si>
  <si>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</si>
  <si>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</si>
  <si>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</si>
  <si>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</si>
  <si>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Spoločník, akcionár</t>
  </si>
  <si>
    <t>Výška podielu na základnom imaní</t>
  </si>
  <si>
    <t>Podiel na hlasovacích právach v %</t>
  </si>
  <si>
    <t>v %</t>
  </si>
  <si>
    <t>absolútne</t>
  </si>
  <si>
    <t>Spolu</t>
  </si>
  <si>
    <t>Tabuľka č. 2</t>
  </si>
  <si>
    <t>Spoločník, akcionár do dňa zmeny  v štruktúre spoločníkov, akcionárov</t>
  </si>
  <si>
    <t>Dátum zmeny</t>
  </si>
  <si>
    <t>x</t>
  </si>
  <si>
    <t>3. Informácie k časti F. písm. a) prílohy č. 3 o dlhodobom nehmotnom majetku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</si>
  <si>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</si>
  <si>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</si>
  <si>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</si>
  <si>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</si>
  <si>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</si>
  <si>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</si>
  <si>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</si>
  <si>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</si>
  <si>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</si>
  <si>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</si>
  <si>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</si>
  <si>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</si>
  <si>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</si>
  <si>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</si>
  <si>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</si>
  <si>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4. Informácie k časti F. písm. c) prílohy č. 3 o dlhodobom nehmotnom majetku</t>
  </si>
  <si>
    <t>Hodnota za bežné účtovné obdobie</t>
  </si>
  <si>
    <t>Dlhodobý nehmotný majetok, na ktorý je zriadené záložné právo</t>
  </si>
  <si>
    <t>Dlhodobý nehmotný majetok, pri ktorom má účtovná jednotka obmedzené právo s ním nakladať</t>
  </si>
  <si>
    <t>5.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</si>
  <si>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</si>
  <si>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</si>
  <si>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</si>
  <si>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</si>
  <si>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</si>
  <si>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</si>
  <si>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</si>
  <si>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</si>
  <si>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</si>
  <si>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</si>
  <si>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</si>
  <si>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</si>
  <si>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</si>
  <si>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</si>
  <si>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</si>
  <si>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</si>
  <si>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</si>
  <si>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</si>
  <si>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</si>
  <si>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</si>
  <si>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</si>
  <si>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</si>
  <si>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</si>
  <si>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</si>
  <si>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</si>
  <si>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</si>
  <si>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</si>
  <si>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</si>
  <si>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</si>
  <si>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</si>
  <si>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</si>
  <si>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</si>
  <si>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</si>
  <si>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</si>
  <si>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</si>
  <si>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</si>
  <si>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</si>
  <si>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</si>
  <si>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</si>
  <si>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</si>
  <si>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</si>
  <si>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</si>
  <si>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</si>
  <si>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</si>
  <si>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</si>
  <si>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</si>
  <si>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</si>
  <si>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</si>
  <si>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</si>
  <si>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</si>
  <si>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</si>
  <si>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</si>
  <si>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</si>
  <si>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</si>
  <si>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</si>
  <si>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</si>
  <si>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</si>
  <si>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</si>
  <si>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</si>
  <si>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</si>
  <si>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</si>
  <si>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</si>
  <si>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</si>
  <si>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</si>
  <si>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</si>
  <si>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</si>
  <si>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</si>
  <si>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</si>
  <si>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</si>
  <si>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</si>
  <si>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</si>
  <si>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</si>
  <si>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</si>
  <si>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</si>
  <si>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</si>
  <si>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</si>
  <si>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</si>
  <si>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</si>
  <si>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</si>
  <si>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</si>
  <si>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</si>
  <si>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</si>
  <si>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</si>
  <si>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</si>
  <si>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</si>
  <si>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</si>
  <si>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</si>
  <si>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</si>
  <si>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</si>
  <si>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</si>
  <si>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</si>
  <si>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</si>
  <si>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</si>
  <si>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</si>
  <si>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</si>
  <si>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</si>
  <si>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</si>
  <si>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</si>
  <si>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</si>
  <si>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</si>
  <si>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</si>
  <si>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</si>
  <si>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</si>
  <si>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</si>
  <si>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</si>
  <si>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</si>
  <si>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</si>
  <si>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</si>
  <si>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</si>
  <si>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</si>
  <si>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</si>
  <si>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</si>
  <si>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</si>
  <si>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</si>
  <si>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</si>
  <si>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</si>
  <si>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</si>
  <si>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</si>
  <si>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</si>
  <si>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</si>
  <si>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</si>
  <si>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</si>
  <si>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</si>
  <si>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</si>
  <si>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</si>
  <si>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</si>
  <si>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</si>
  <si>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</si>
  <si>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</si>
  <si>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</si>
  <si>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</si>
  <si>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</si>
  <si>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</si>
  <si>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</si>
  <si>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</si>
  <si>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</si>
  <si>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</si>
  <si>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</si>
  <si>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</si>
  <si>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</si>
  <si>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</si>
  <si>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</si>
  <si>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</si>
  <si>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</si>
  <si>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</si>
  <si>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</si>
  <si>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</si>
  <si>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</si>
  <si>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</si>
  <si>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</si>
  <si>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</si>
  <si>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</si>
  <si>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</si>
  <si>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</si>
  <si>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</si>
  <si>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</si>
  <si>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</si>
  <si>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</si>
  <si>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</si>
  <si>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</si>
  <si>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</si>
  <si>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</si>
  <si>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</si>
  <si>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</si>
  <si>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</si>
  <si>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</si>
  <si>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</si>
  <si>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</si>
  <si>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</si>
  <si>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</si>
  <si>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</si>
  <si>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</si>
  <si>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</si>
  <si>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</si>
  <si>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</si>
  <si>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</si>
  <si>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</si>
  <si>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</si>
  <si>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</si>
  <si>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</si>
  <si>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</si>
  <si>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</si>
  <si>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</si>
  <si>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</si>
  <si>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</si>
  <si>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</si>
  <si>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</si>
  <si>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</si>
  <si>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</si>
  <si>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</si>
  <si>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</si>
  <si>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</si>
  <si>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</si>
  <si>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</si>
  <si>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</si>
  <si>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</si>
  <si>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</si>
  <si>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</si>
  <si>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</si>
  <si>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</si>
  <si>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</si>
  <si>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</si>
  <si>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</si>
  <si>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</si>
  <si>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</si>
  <si>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</si>
  <si>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</si>
  <si>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</si>
  <si>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</si>
  <si>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</si>
  <si>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</si>
  <si>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</si>
  <si>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</si>
  <si>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</si>
  <si>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</si>
  <si>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</si>
  <si>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</si>
  <si>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</si>
  <si>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</si>
  <si>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</si>
  <si>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</si>
  <si>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</si>
  <si>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</si>
  <si>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</si>
  <si>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</si>
  <si>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</si>
  <si>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</si>
  <si>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</si>
  <si>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</si>
  <si>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</si>
  <si>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</si>
  <si>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</si>
  <si>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</si>
  <si>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</si>
  <si>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</si>
  <si>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</si>
  <si>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</si>
  <si>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</si>
  <si>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</si>
  <si>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</si>
  <si>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</si>
  <si>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</si>
  <si>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</si>
  <si>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</si>
  <si>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</si>
  <si>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</si>
  <si>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</si>
  <si>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</si>
  <si>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</si>
  <si>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</si>
  <si>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</si>
  <si>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</si>
  <si>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</si>
  <si>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</si>
  <si>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</si>
  <si>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</si>
  <si>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</si>
  <si>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</si>
  <si>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</si>
  <si>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</si>
  <si>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</si>
  <si>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</si>
  <si>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</si>
  <si>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</si>
  <si>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</si>
  <si>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</si>
  <si>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</si>
  <si>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</si>
  <si>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</si>
  <si>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</si>
  <si>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</si>
  <si>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</si>
  <si>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</si>
  <si>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</si>
  <si>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</si>
  <si>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</si>
  <si>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</si>
  <si>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</si>
  <si>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</si>
  <si>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</si>
  <si>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</si>
  <si>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</si>
  <si>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</si>
  <si>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</si>
  <si>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</si>
  <si>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</si>
  <si>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</si>
  <si>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</si>
  <si>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</si>
  <si>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</si>
  <si>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</si>
  <si>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</si>
  <si>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</si>
  <si>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</si>
  <si>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</si>
  <si>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</si>
  <si>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</si>
  <si>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</si>
  <si>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</si>
  <si>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</si>
  <si>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</si>
  <si>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</si>
  <si>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</si>
  <si>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</si>
  <si>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</si>
  <si>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</si>
  <si>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</si>
  <si>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</si>
  <si>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</si>
  <si>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</si>
  <si>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</si>
  <si>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</si>
  <si>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</si>
  <si>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</si>
  <si>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</si>
  <si>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</si>
  <si>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</si>
  <si>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</si>
  <si>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</si>
  <si>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</si>
  <si>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</si>
  <si>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</si>
  <si>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</si>
  <si>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</si>
  <si>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</si>
  <si>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</si>
  <si>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</si>
  <si>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</si>
  <si>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</si>
  <si>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</si>
  <si>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</si>
  <si>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</si>
  <si>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</si>
  <si>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</si>
  <si>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</si>
  <si>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</si>
  <si>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</si>
  <si>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</si>
  <si>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</si>
  <si>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</si>
  <si>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</si>
  <si>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</si>
  <si>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</si>
  <si>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</si>
  <si>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</si>
  <si>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</si>
  <si>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</si>
  <si>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</si>
  <si>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</si>
  <si>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</si>
  <si>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</si>
  <si>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</si>
  <si>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</si>
  <si>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</si>
  <si>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</si>
  <si>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</si>
  <si>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</si>
  <si>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</si>
  <si>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</si>
  <si>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</si>
  <si>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</si>
  <si>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</si>
  <si>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</si>
  <si>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</si>
  <si>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</si>
  <si>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</si>
  <si>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</si>
  <si>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</si>
  <si>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</si>
  <si>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</si>
  <si>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</si>
  <si>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</si>
  <si>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</si>
  <si>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</si>
  <si>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</si>
  <si>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</si>
  <si>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</si>
  <si>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</si>
  <si>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</si>
  <si>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</si>
  <si>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</si>
  <si>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</si>
  <si>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</si>
  <si>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</si>
  <si>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</si>
  <si>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</si>
  <si>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</si>
  <si>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</si>
  <si>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</si>
  <si>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</si>
  <si>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</si>
  <si>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</si>
  <si>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</si>
  <si>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</si>
  <si>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</si>
  <si>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</si>
  <si>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</si>
  <si>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</si>
  <si>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</si>
  <si>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</si>
  <si>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</si>
  <si>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</si>
  <si>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</si>
  <si>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</si>
  <si>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</si>
  <si>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</si>
  <si>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</si>
  <si>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</si>
  <si>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</si>
  <si>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</si>
  <si>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</si>
  <si>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</si>
  <si>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</si>
  <si>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</si>
  <si>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Iný podiel na ostatných položkách VI ako na ZI v %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</si>
  <si>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</si>
  <si>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</si>
  <si>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</si>
  <si>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</si>
  <si>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</si>
  <si>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</si>
  <si>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</si>
  <si>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</si>
  <si>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</si>
  <si>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</si>
  <si>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</si>
  <si>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</si>
  <si>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</si>
  <si>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</si>
  <si>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</si>
  <si>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</si>
  <si>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</si>
  <si>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</si>
  <si>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</si>
  <si>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</si>
  <si>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</si>
  <si>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</si>
  <si>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</si>
  <si>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</si>
  <si>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</si>
  <si>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</si>
  <si>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</si>
  <si>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</si>
  <si>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</si>
  <si>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</si>
  <si>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</si>
  <si>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</si>
  <si>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</si>
  <si>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</si>
  <si>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</si>
  <si>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</si>
  <si>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</si>
  <si>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</si>
  <si>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</si>
  <si>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</si>
  <si>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</si>
  <si>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</si>
  <si>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</si>
  <si>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</si>
  <si>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</si>
  <si>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</si>
  <si>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</si>
  <si>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</si>
  <si>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</si>
  <si>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</si>
  <si>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</si>
  <si>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</si>
  <si>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</si>
  <si>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</si>
  <si>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</si>
  <si>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</si>
  <si>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</si>
  <si>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</si>
  <si>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</si>
  <si>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Spolu tom musí dať súčet SÚ 601,602,604</t>
  </si>
  <si>
    <t>Oceňovacie rozdiely z precenenia majetku a záväzkov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</si>
  <si>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</si>
  <si>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</si>
  <si>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</si>
  <si>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</si>
  <si>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</si>
  <si>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</si>
  <si>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</si>
  <si>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</si>
  <si>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</si>
  <si>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</si>
  <si>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</si>
  <si>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</si>
  <si>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</si>
  <si>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</si>
  <si>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</si>
  <si>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</si>
  <si>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</si>
  <si>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</si>
  <si>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</si>
  <si>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</si>
  <si>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</si>
  <si>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</si>
  <si>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013000</t>
  </si>
  <si>
    <t>Software</t>
  </si>
  <si>
    <t>015000</t>
  </si>
  <si>
    <t>022001</t>
  </si>
  <si>
    <t>Koncentrátory</t>
  </si>
  <si>
    <t>022002</t>
  </si>
  <si>
    <t>Samost. hnut. veci ostatné netriedené</t>
  </si>
  <si>
    <t>022003</t>
  </si>
  <si>
    <t>Samostatné hnutelné veci - operatívna evid.</t>
  </si>
  <si>
    <t>041000</t>
  </si>
  <si>
    <t>Obstaranie dlhodobého nehmotného majetku</t>
  </si>
  <si>
    <t>042000</t>
  </si>
  <si>
    <t>Obstaranie dlhodobého hmotného majetku</t>
  </si>
  <si>
    <t>073000</t>
  </si>
  <si>
    <t>Oprávky k software</t>
  </si>
  <si>
    <t>075000</t>
  </si>
  <si>
    <t>Oprávky ku goodwillu</t>
  </si>
  <si>
    <t>082000</t>
  </si>
  <si>
    <t>Oprávky k samost. hnut. veciam a k súboru hn. vecí</t>
  </si>
  <si>
    <t>082003</t>
  </si>
  <si>
    <t>Oprávky k samost. hnut. veciam - operatívna eviden</t>
  </si>
  <si>
    <t>112001</t>
  </si>
  <si>
    <t>Materiál na sklade - PHM Tonkovič nafta</t>
  </si>
  <si>
    <t>112002</t>
  </si>
  <si>
    <t>Materiál na sklade - PHM Haššo nafta</t>
  </si>
  <si>
    <t>112003</t>
  </si>
  <si>
    <t>Materiál na sklade - PHM Prachar benzín</t>
  </si>
  <si>
    <t>112004</t>
  </si>
  <si>
    <t>Materiál na sklade - PHM Sýkora nafta</t>
  </si>
  <si>
    <t>112005</t>
  </si>
  <si>
    <t>Materiál na sklade - PHM Bilková nafta</t>
  </si>
  <si>
    <t>112006</t>
  </si>
  <si>
    <t>Materiál na sklade - PHM Pánik nafta</t>
  </si>
  <si>
    <t>112007</t>
  </si>
  <si>
    <t>Materiál na sklade - PHM Lednický nafta</t>
  </si>
  <si>
    <t>112008</t>
  </si>
  <si>
    <t>Materiál na sklade - PHM Sekáč nafta</t>
  </si>
  <si>
    <t>131000</t>
  </si>
  <si>
    <t>Obstaranie tovaru</t>
  </si>
  <si>
    <t>132000</t>
  </si>
  <si>
    <t>Tovar na sklade a v predajniach</t>
  </si>
  <si>
    <t>132777</t>
  </si>
  <si>
    <t>Tovar na sklade a v predajniach - Org. zložka ČR</t>
  </si>
  <si>
    <t>196000</t>
  </si>
  <si>
    <t>Opravná položka k tovaru</t>
  </si>
  <si>
    <t>211000</t>
  </si>
  <si>
    <t>Pokladnica EUR</t>
  </si>
  <si>
    <t>211100</t>
  </si>
  <si>
    <t>Pokladnica CZK</t>
  </si>
  <si>
    <t>211300</t>
  </si>
  <si>
    <t>Pokladnica GBP</t>
  </si>
  <si>
    <t>211777</t>
  </si>
  <si>
    <t xml:space="preserve">Pokladnica - Organizačná zložka ČR </t>
  </si>
  <si>
    <t>213001</t>
  </si>
  <si>
    <t>Stravné lístky</t>
  </si>
  <si>
    <t>221000</t>
  </si>
  <si>
    <t>Bankové účty</t>
  </si>
  <si>
    <t>221777</t>
  </si>
  <si>
    <t>Bankové účty EUR  - Org.zložka ČR</t>
  </si>
  <si>
    <t>221778</t>
  </si>
  <si>
    <t>Bankové účty CZK - Organizacna zlozka CR</t>
  </si>
  <si>
    <t>249000</t>
  </si>
  <si>
    <t>Ostatné krátkodobé finančné výpomoci</t>
  </si>
  <si>
    <t>249001</t>
  </si>
  <si>
    <t>Úrok -Ostatné krátkodobé finančné výpomoci</t>
  </si>
  <si>
    <t>261000</t>
  </si>
  <si>
    <t>Peniaze na ceste</t>
  </si>
  <si>
    <t>311000</t>
  </si>
  <si>
    <t>Odberatelia tuzemskí</t>
  </si>
  <si>
    <t>311100</t>
  </si>
  <si>
    <t>Odberatelia zahraniční</t>
  </si>
  <si>
    <t>311500</t>
  </si>
  <si>
    <t>Odberatelia tuzemskí - ( predaj podniku - delimit)</t>
  </si>
  <si>
    <t>314000</t>
  </si>
  <si>
    <t>Poskytnuté preddavky</t>
  </si>
  <si>
    <t>314777</t>
  </si>
  <si>
    <t>Poskytnuté preddavky - Organizačná zložka ČR</t>
  </si>
  <si>
    <t>321000</t>
  </si>
  <si>
    <t>Dodávatelia tuzemskí</t>
  </si>
  <si>
    <t>321099</t>
  </si>
  <si>
    <t>Dodávatelia tuzemskí - Colný úrad</t>
  </si>
  <si>
    <t>321101</t>
  </si>
  <si>
    <t>Dodávatelia zahraniční - GE Healthcare Helsinki</t>
  </si>
  <si>
    <t>321102</t>
  </si>
  <si>
    <t>Dodávatelia zahraniční - GE Medical Syst. Freiburg</t>
  </si>
  <si>
    <t>321103</t>
  </si>
  <si>
    <t>Dodávatelia zahraniční - Datex Ohmeda USA ( GE )</t>
  </si>
  <si>
    <t>321104</t>
  </si>
  <si>
    <t>Dodávatelia zahraniční - EMBLA</t>
  </si>
  <si>
    <t>321105</t>
  </si>
  <si>
    <t xml:space="preserve">Dodávatelia zahraniční - Messer Medical Austria </t>
  </si>
  <si>
    <t>321106</t>
  </si>
  <si>
    <t>Dodávatelia zahraniční - ostatní</t>
  </si>
  <si>
    <t>321107</t>
  </si>
  <si>
    <t>Dodávatelia zahraniční - MMHC Holding</t>
  </si>
  <si>
    <t>321777</t>
  </si>
  <si>
    <t>Dodávatelia zahraniční - Zavazky Org. zložky ČR</t>
  </si>
  <si>
    <t>323003</t>
  </si>
  <si>
    <t xml:space="preserve"> Krátkodobé rezervy -prov.a odvody pre obchodníkov</t>
  </si>
  <si>
    <t>323004</t>
  </si>
  <si>
    <t xml:space="preserve"> Krátkodobé rezervy -  doplatok energie </t>
  </si>
  <si>
    <t>323005</t>
  </si>
  <si>
    <t xml:space="preserve"> Krátkodobé rezervy -nevyčerpaná dovolenka</t>
  </si>
  <si>
    <t>323006</t>
  </si>
  <si>
    <t xml:space="preserve"> Krátkodobé rezervy - Recyklačný fond</t>
  </si>
  <si>
    <t>325001</t>
  </si>
  <si>
    <t xml:space="preserve">Ostatné záväzky - Odbory zamestnanci </t>
  </si>
  <si>
    <t>331000</t>
  </si>
  <si>
    <t>Zamestnanci</t>
  </si>
  <si>
    <t>331777</t>
  </si>
  <si>
    <t>Zamestnanci - Org.zlozka CR</t>
  </si>
  <si>
    <t>333902</t>
  </si>
  <si>
    <t>Záväzky z cestovného v cudzej mene</t>
  </si>
  <si>
    <t>335001</t>
  </si>
  <si>
    <t>Pohľadávky voči zamestnancom - stále zálohy</t>
  </si>
  <si>
    <t>335002</t>
  </si>
  <si>
    <t>Pohľadávky voči zamestnancom - Stravné lístky</t>
  </si>
  <si>
    <t>336001</t>
  </si>
  <si>
    <t>Zúčtovanie - VŚZP</t>
  </si>
  <si>
    <t>336002</t>
  </si>
  <si>
    <t>Zúčtovanie - Union ZP</t>
  </si>
  <si>
    <t>336003</t>
  </si>
  <si>
    <t>Zúčtovanie - Dovera  ZP</t>
  </si>
  <si>
    <t>336004</t>
  </si>
  <si>
    <t>Zúčtovanie - Sociálna poisťovňa</t>
  </si>
  <si>
    <t>336005</t>
  </si>
  <si>
    <t>Zúčtovanie - DDS ING</t>
  </si>
  <si>
    <t>336006</t>
  </si>
  <si>
    <t>Zúčtovanie - DDS AXA</t>
  </si>
  <si>
    <t>336007</t>
  </si>
  <si>
    <t>Zúčtovanie - DDS POKOJ</t>
  </si>
  <si>
    <t>336777</t>
  </si>
  <si>
    <t>Zúčt org. soc. zab a zdrav. poist - Org.zlozka CR</t>
  </si>
  <si>
    <t>342000</t>
  </si>
  <si>
    <t>Ostatné priame dane</t>
  </si>
  <si>
    <t>342777</t>
  </si>
  <si>
    <t>Ostatné priame dane - Org. zlozka CR</t>
  </si>
  <si>
    <t>343000</t>
  </si>
  <si>
    <t>Daň z priadanej hodnoty</t>
  </si>
  <si>
    <t>343110</t>
  </si>
  <si>
    <t>DPH znížená Vstup tuzemsko - má nárok</t>
  </si>
  <si>
    <t>343120</t>
  </si>
  <si>
    <t>DPH základná Vstup tuzemsko - má nárok</t>
  </si>
  <si>
    <t>343125</t>
  </si>
  <si>
    <t>DPH základná Vstup EÚ - má nárok</t>
  </si>
  <si>
    <t>343127</t>
  </si>
  <si>
    <t>DPH základná Vstup EÚ - nemá nárok</t>
  </si>
  <si>
    <t>343140</t>
  </si>
  <si>
    <t>DPH základná Vstup dovoz - má nárok</t>
  </si>
  <si>
    <t>343142</t>
  </si>
  <si>
    <t>DPH základná Vstup dovoz - nemá nárok</t>
  </si>
  <si>
    <t>343225</t>
  </si>
  <si>
    <t>DPH základná Výstup EÚ</t>
  </si>
  <si>
    <t>343777</t>
  </si>
  <si>
    <t>Zúčtovanie s DÚ - Organizacna zlozka CR</t>
  </si>
  <si>
    <t>343900</t>
  </si>
  <si>
    <t>Zúčtovanie s DÚ</t>
  </si>
  <si>
    <t>345000</t>
  </si>
  <si>
    <t>Ostatné dane a poplatky</t>
  </si>
  <si>
    <t>345001</t>
  </si>
  <si>
    <t>Ostatné dane a poplatky - Recyklačný fond</t>
  </si>
  <si>
    <t>345002</t>
  </si>
  <si>
    <t xml:space="preserve">Ostatné dane a poplatky - RTVS </t>
  </si>
  <si>
    <t>372000</t>
  </si>
  <si>
    <t>Záväzky z kúpy podniku</t>
  </si>
  <si>
    <t>378001</t>
  </si>
  <si>
    <t>Iné pohľadávky-Pohľad. MMHCS voči Org.zlozke CR</t>
  </si>
  <si>
    <t>379777</t>
  </si>
  <si>
    <t>Iné záväzky - Zavazky Org.zlozky CR voci MMHCS</t>
  </si>
  <si>
    <t>381001</t>
  </si>
  <si>
    <t>Náklady budúcich období - Karpatský projekt</t>
  </si>
  <si>
    <t>391000</t>
  </si>
  <si>
    <t>Opravná položka k pohľadávkam</t>
  </si>
  <si>
    <t>395000</t>
  </si>
  <si>
    <t>Vnútorné zúčtovanie</t>
  </si>
  <si>
    <t>395777</t>
  </si>
  <si>
    <t>Vnútorné zúčtovanie- Organizačná zložka ČR</t>
  </si>
  <si>
    <t>411000</t>
  </si>
  <si>
    <t>429001</t>
  </si>
  <si>
    <t>Neuhradená strata minulých rokov r.2011</t>
  </si>
  <si>
    <t>429002</t>
  </si>
  <si>
    <t>Neuhr.strata min. rokov z titulu odlož. dane min.r</t>
  </si>
  <si>
    <t>431000</t>
  </si>
  <si>
    <t>Výsledok hospodárenia v schvaľovaní</t>
  </si>
  <si>
    <t>472000</t>
  </si>
  <si>
    <t>Záväzky zo sociálneho fondu</t>
  </si>
  <si>
    <t>479001</t>
  </si>
  <si>
    <t>Ostatné dlhodobé záväzky - MIG Holding</t>
  </si>
  <si>
    <t>479002</t>
  </si>
  <si>
    <t>Ostatné dlhodobé záväzky - MIG Holding úrok</t>
  </si>
  <si>
    <t>481001</t>
  </si>
  <si>
    <t xml:space="preserve">Odložený daň. záväzok </t>
  </si>
  <si>
    <t>481002</t>
  </si>
  <si>
    <t xml:space="preserve">Odložená daň.pohľadávka </t>
  </si>
  <si>
    <t>481003</t>
  </si>
  <si>
    <t>Odložená daň vznikn. v roku 2011</t>
  </si>
  <si>
    <t>501000</t>
  </si>
  <si>
    <t>Spotreba materiálu</t>
  </si>
  <si>
    <t>501002</t>
  </si>
  <si>
    <t>Spotreba materiálu - Vlastná spotr. oxygenoterapia</t>
  </si>
  <si>
    <t>501003</t>
  </si>
  <si>
    <t>Kancelárske potreby</t>
  </si>
  <si>
    <t>501004</t>
  </si>
  <si>
    <t>Vizitky, pečiatky</t>
  </si>
  <si>
    <t>501005</t>
  </si>
  <si>
    <t>Čistiace potreby</t>
  </si>
  <si>
    <t>501006</t>
  </si>
  <si>
    <t>Spotreba na drobnú údržbu v budove</t>
  </si>
  <si>
    <t>501007</t>
  </si>
  <si>
    <t>Nákup PHM ( benzín, nafta)</t>
  </si>
  <si>
    <t>501008</t>
  </si>
  <si>
    <t>Tonery do tlačiarní a do kopírky</t>
  </si>
  <si>
    <t>501009</t>
  </si>
  <si>
    <t>Pitná voda pre zamestnancov</t>
  </si>
  <si>
    <t>501010</t>
  </si>
  <si>
    <t>Autopotreby</t>
  </si>
  <si>
    <t>501011</t>
  </si>
  <si>
    <t>Predmety označené logom firmy - prezentačné</t>
  </si>
  <si>
    <t>501012</t>
  </si>
  <si>
    <t>Drobný spotrebný material pri servise ZT</t>
  </si>
  <si>
    <t>501500</t>
  </si>
  <si>
    <t xml:space="preserve">Nákup  DHIM </t>
  </si>
  <si>
    <t>501777</t>
  </si>
  <si>
    <t>Kancelárske potreby - Organiz. zlozka CR</t>
  </si>
  <si>
    <t>501778</t>
  </si>
  <si>
    <t>Nákup  DHIM - Organizačná zložka ČR</t>
  </si>
  <si>
    <t>501999</t>
  </si>
  <si>
    <t>Spotreba materiálu nedaňový náklad</t>
  </si>
  <si>
    <t>504001</t>
  </si>
  <si>
    <t>Predaný tovar - OSA</t>
  </si>
  <si>
    <t>504002</t>
  </si>
  <si>
    <t>Predaný tovar - Zdravotnícka technika</t>
  </si>
  <si>
    <t>504003</t>
  </si>
  <si>
    <t>Predaný tovar - Predaj ND</t>
  </si>
  <si>
    <t>504006</t>
  </si>
  <si>
    <t>Predaný tovar - Predaj koncentrátorov</t>
  </si>
  <si>
    <t>504007</t>
  </si>
  <si>
    <t>Predaný tovar - Predaj ventilácia</t>
  </si>
  <si>
    <t>504008</t>
  </si>
  <si>
    <t>Predaný tovar - Predaj monitoring</t>
  </si>
  <si>
    <t>504009</t>
  </si>
  <si>
    <t>Predaný tovar - Predaj anesteziológia</t>
  </si>
  <si>
    <t>504010</t>
  </si>
  <si>
    <t>Predaný tovar - Predaj neonatológia</t>
  </si>
  <si>
    <t>504011</t>
  </si>
  <si>
    <t>Predaný tovar - Predaj Kardiológia</t>
  </si>
  <si>
    <t>504099</t>
  </si>
  <si>
    <t>Predaný tovar - Predaj ND - preúčtovanie produktov</t>
  </si>
  <si>
    <t>504777</t>
  </si>
  <si>
    <t>Predaný tovar - Učet Organizacnej zložky ČR</t>
  </si>
  <si>
    <t>505000</t>
  </si>
  <si>
    <t>Tvorba a zúčtovanie opravných položiek k zásobám</t>
  </si>
  <si>
    <t>512000</t>
  </si>
  <si>
    <t>Cestovné</t>
  </si>
  <si>
    <t>512001</t>
  </si>
  <si>
    <t>Cestovné - letenky - pracovné cesty</t>
  </si>
  <si>
    <t>512002</t>
  </si>
  <si>
    <t>Ubytovanie pri pracovnej ceste</t>
  </si>
  <si>
    <t>512003</t>
  </si>
  <si>
    <t>Stravné pri pracovnej ceste</t>
  </si>
  <si>
    <t>512004</t>
  </si>
  <si>
    <t>Doplnkové stravné pri pracovnej ceste</t>
  </si>
  <si>
    <t>512005</t>
  </si>
  <si>
    <t xml:space="preserve">Vreckové - zahr. parcovná cesta </t>
  </si>
  <si>
    <t>512777</t>
  </si>
  <si>
    <t>Cestovné - Org.zložka ČR</t>
  </si>
  <si>
    <t>512999</t>
  </si>
  <si>
    <t xml:space="preserve">Cestovné - nedaňový náklad </t>
  </si>
  <si>
    <t>513000</t>
  </si>
  <si>
    <t>Náklady na reprezentáciu</t>
  </si>
  <si>
    <t>518000</t>
  </si>
  <si>
    <t>Ostatné služby</t>
  </si>
  <si>
    <t>518001</t>
  </si>
  <si>
    <t>Poštovné</t>
  </si>
  <si>
    <t>518002</t>
  </si>
  <si>
    <t>Prenájom priestorov</t>
  </si>
  <si>
    <t>518003</t>
  </si>
  <si>
    <t xml:space="preserve">Colné deklarácie </t>
  </si>
  <si>
    <t>518004</t>
  </si>
  <si>
    <t>Prepravné náklady - preprava tovaru ku zákazníkovi</t>
  </si>
  <si>
    <t>518005</t>
  </si>
  <si>
    <t>Prekladateľské služby</t>
  </si>
  <si>
    <t>518006</t>
  </si>
  <si>
    <t>Notár- overenie dokladov, kolky ku overeniu</t>
  </si>
  <si>
    <t>518007</t>
  </si>
  <si>
    <t>Bankové poplatky</t>
  </si>
  <si>
    <t>518008</t>
  </si>
  <si>
    <t>Prenájom auta</t>
  </si>
  <si>
    <t>518009</t>
  </si>
  <si>
    <t xml:space="preserve">Služby - externé skladové </t>
  </si>
  <si>
    <t>518010</t>
  </si>
  <si>
    <t>Právne služby</t>
  </si>
  <si>
    <t>518011</t>
  </si>
  <si>
    <t>Ochrana objektu - Mestká polícia</t>
  </si>
  <si>
    <t>518012</t>
  </si>
  <si>
    <t>Kalibrácia meracích prístrojov</t>
  </si>
  <si>
    <t>518013</t>
  </si>
  <si>
    <t>Telefón</t>
  </si>
  <si>
    <t>518014</t>
  </si>
  <si>
    <t xml:space="preserve">Služby - externé servisné </t>
  </si>
  <si>
    <t>518015</t>
  </si>
  <si>
    <t>Služby - umytie auta</t>
  </si>
  <si>
    <t>518016</t>
  </si>
  <si>
    <t>Parkovacie poplatky</t>
  </si>
  <si>
    <t>518020</t>
  </si>
  <si>
    <t xml:space="preserve">Ostatné služby- účasť na odb. podujatí (výstava) </t>
  </si>
  <si>
    <t>518021</t>
  </si>
  <si>
    <t xml:space="preserve">Ostatné služby- Kalibrácia meracích prístrojov </t>
  </si>
  <si>
    <t>518022</t>
  </si>
  <si>
    <t xml:space="preserve">Ostatné služby - Technická inšpekcia certifikácia </t>
  </si>
  <si>
    <t>518023</t>
  </si>
  <si>
    <t>Ostatné služby - Poplatky stravné lístky</t>
  </si>
  <si>
    <t>518024</t>
  </si>
  <si>
    <t>Ostatné služby - BOZP externá služba</t>
  </si>
  <si>
    <t>518025</t>
  </si>
  <si>
    <t xml:space="preserve">Ostatné služby - Leasing </t>
  </si>
  <si>
    <t>518026</t>
  </si>
  <si>
    <t xml:space="preserve">Ostatné služby - konzultácie  SPIN </t>
  </si>
  <si>
    <t>518027</t>
  </si>
  <si>
    <t xml:space="preserve">Ostatné služby - oprava ND v GE </t>
  </si>
  <si>
    <t>518028</t>
  </si>
  <si>
    <t xml:space="preserve">Ostatné služby - internetová stránka +webhosting </t>
  </si>
  <si>
    <t>518029</t>
  </si>
  <si>
    <t xml:space="preserve">Ostatné služby - Poistenie nákladu v autách  </t>
  </si>
  <si>
    <t>518030</t>
  </si>
  <si>
    <t xml:space="preserve">Ostatné služby - Poistenie tovaru a podn.rizika  </t>
  </si>
  <si>
    <t>518031</t>
  </si>
  <si>
    <t>518032</t>
  </si>
  <si>
    <t xml:space="preserve">Ostatné služby - Externé IT služby  </t>
  </si>
  <si>
    <t>518033</t>
  </si>
  <si>
    <t xml:space="preserve">Ostatné služby - schvaľovacie poplatky </t>
  </si>
  <si>
    <t>518034</t>
  </si>
  <si>
    <t xml:space="preserve">Ostatné služby - Poplatok pre MMHC Holding </t>
  </si>
  <si>
    <t>518777</t>
  </si>
  <si>
    <t>Poštovné - Org. zložka Česká republika</t>
  </si>
  <si>
    <t>518778</t>
  </si>
  <si>
    <t>Preprava tovaru ku zákazníkovi  - Org. Zložka ČR</t>
  </si>
  <si>
    <t>518779</t>
  </si>
  <si>
    <t>Bankové poplatky - Organiz. zložka ČR</t>
  </si>
  <si>
    <t>518780</t>
  </si>
  <si>
    <t>Telefón - Organizačná zložka ČR</t>
  </si>
  <si>
    <t>518999</t>
  </si>
  <si>
    <t>Ostatné služby - nedaňový náklad</t>
  </si>
  <si>
    <t>521000</t>
  </si>
  <si>
    <t>Mzdové náklady</t>
  </si>
  <si>
    <t>521001</t>
  </si>
  <si>
    <t>Mzdové náklady - rezerva na bonusy- mesačná tvorba</t>
  </si>
  <si>
    <t>521777</t>
  </si>
  <si>
    <t>Mzdové náklady - Organizačná zložka ČR</t>
  </si>
  <si>
    <t>524001</t>
  </si>
  <si>
    <t>Zákonné sociálne poistenie - SP</t>
  </si>
  <si>
    <t>524002</t>
  </si>
  <si>
    <t>Zákonné sociálne poistenie - ZP</t>
  </si>
  <si>
    <t>524003</t>
  </si>
  <si>
    <t>Zákonné sociálne poistenie - rezerva na bonusy mes</t>
  </si>
  <si>
    <t>524777</t>
  </si>
  <si>
    <t>Zákonné sociálne poistenie - Organizačná zložka ČR</t>
  </si>
  <si>
    <t>525001</t>
  </si>
  <si>
    <t>Ostatné sociálne zabezpečenie-DDP</t>
  </si>
  <si>
    <t>527000</t>
  </si>
  <si>
    <t>Zákonné sociálne náklady</t>
  </si>
  <si>
    <t>527001</t>
  </si>
  <si>
    <t>Zákonné sociálne náklady - Tvorba SF</t>
  </si>
  <si>
    <t>527002</t>
  </si>
  <si>
    <t>Zákonné sociálne náklady - Stravné lístky</t>
  </si>
  <si>
    <t>527003</t>
  </si>
  <si>
    <t>Zákonné sociálne náklady - PN zamestnanca</t>
  </si>
  <si>
    <t>527777</t>
  </si>
  <si>
    <t>Zákonné sociálne náklady - Org. zložka ČR</t>
  </si>
  <si>
    <t>528999</t>
  </si>
  <si>
    <t>531000</t>
  </si>
  <si>
    <t>Daň z motorových vozidiel</t>
  </si>
  <si>
    <t>538001</t>
  </si>
  <si>
    <t>538002</t>
  </si>
  <si>
    <t>Ostatné dane a poplatky - RTVS poplatky</t>
  </si>
  <si>
    <t>538003</t>
  </si>
  <si>
    <t>Ostatné dane a poplatky - kolky</t>
  </si>
  <si>
    <t>538777</t>
  </si>
  <si>
    <t>Ostatné dane a poplatky- Org. zlozka ČR</t>
  </si>
  <si>
    <t>541000</t>
  </si>
  <si>
    <t>Zost. cena predaného dlhodob.nehm. a hmot. majetku</t>
  </si>
  <si>
    <t>547000</t>
  </si>
  <si>
    <t>Tvorba a zúčtovanie oprav. položiek k pohľadávkam</t>
  </si>
  <si>
    <t>548000</t>
  </si>
  <si>
    <t>Ostatné náklady na hospodársku činnosť</t>
  </si>
  <si>
    <t>551001</t>
  </si>
  <si>
    <t>Odpisy Goodwill</t>
  </si>
  <si>
    <t>551002</t>
  </si>
  <si>
    <t>Odpisy software</t>
  </si>
  <si>
    <t>551003</t>
  </si>
  <si>
    <t>Odpisy koncentrátory</t>
  </si>
  <si>
    <t>551004</t>
  </si>
  <si>
    <t>Odpisy ostatný hnutelny majetok</t>
  </si>
  <si>
    <t>562001</t>
  </si>
  <si>
    <t>Úroky z krátk. výpomoci Messer Tatragas</t>
  </si>
  <si>
    <t>562002</t>
  </si>
  <si>
    <t>Úroky z pôžičky MIG Holding</t>
  </si>
  <si>
    <t>563000</t>
  </si>
  <si>
    <t>Kurzové straty</t>
  </si>
  <si>
    <t>563777</t>
  </si>
  <si>
    <t>Kurzové straty - Organizačná zložka ČR</t>
  </si>
  <si>
    <t>568000</t>
  </si>
  <si>
    <t>Ostatné finančné náklady</t>
  </si>
  <si>
    <t>568999</t>
  </si>
  <si>
    <t>Ostatné finančné náklady - nedaňový</t>
  </si>
  <si>
    <t>591001</t>
  </si>
  <si>
    <t>Dan z urokov BU - Splatná daň z príjmov z bež.činn</t>
  </si>
  <si>
    <t>592000</t>
  </si>
  <si>
    <t>Odložená daň z príjmov z bežnej činnosti</t>
  </si>
  <si>
    <t>602001</t>
  </si>
  <si>
    <t>Tržby z predaja služieb -  Servis ZT</t>
  </si>
  <si>
    <t>602002</t>
  </si>
  <si>
    <t>Tržby z predaja služieb -  Nájomné koncetrátory</t>
  </si>
  <si>
    <t>602003</t>
  </si>
  <si>
    <t>Tržby z predaja služieb -  Cestovné náhrady</t>
  </si>
  <si>
    <t>602777</t>
  </si>
  <si>
    <t>Tržby z predaja služieb servis  - Org. zložka ČR</t>
  </si>
  <si>
    <t>602778</t>
  </si>
  <si>
    <t>Tržby z predaja služieb nájom   - Org. zložka ČR</t>
  </si>
  <si>
    <t>604001</t>
  </si>
  <si>
    <t>Tržby za tovar - OSA</t>
  </si>
  <si>
    <t>604002</t>
  </si>
  <si>
    <t>Tržby za tovar - Zdrav. technika</t>
  </si>
  <si>
    <t>604003</t>
  </si>
  <si>
    <t>Tržby za tovar - ND</t>
  </si>
  <si>
    <t>604005</t>
  </si>
  <si>
    <t>Tržby za tovar - Predaj spánková terapia</t>
  </si>
  <si>
    <t>604006</t>
  </si>
  <si>
    <t>Tržby za tovar - Predaj koncentrátory</t>
  </si>
  <si>
    <t>604007</t>
  </si>
  <si>
    <t>Tržby za tovar - Predaj ventilátory</t>
  </si>
  <si>
    <t>604008</t>
  </si>
  <si>
    <t>Tržby za tovar - Predaj monitoring</t>
  </si>
  <si>
    <t>604009</t>
  </si>
  <si>
    <t>Tržby za tovar - Predaj anesteziológia</t>
  </si>
  <si>
    <t>604010</t>
  </si>
  <si>
    <t>Tržby za tovar - Predaj neonatológia</t>
  </si>
  <si>
    <t>604011</t>
  </si>
  <si>
    <t>Tržby za tovar - Predaj kardiológia</t>
  </si>
  <si>
    <t>604777</t>
  </si>
  <si>
    <t>Tržby za tovar - Org.zložka ČR</t>
  </si>
  <si>
    <t>641000</t>
  </si>
  <si>
    <t>Tržby z predaja dlhodob. nehmot. a hmot. majetku</t>
  </si>
  <si>
    <t>648000</t>
  </si>
  <si>
    <t>Ostatné výnosy z hospodárskej činnosti</t>
  </si>
  <si>
    <t>648777</t>
  </si>
  <si>
    <t>Ostatné výnosy z hosp. činnosti- Org. zložka ČR</t>
  </si>
  <si>
    <t>662000</t>
  </si>
  <si>
    <t>Úroky</t>
  </si>
  <si>
    <t>663000</t>
  </si>
  <si>
    <t>Kurzové zisky</t>
  </si>
  <si>
    <t>663777</t>
  </si>
  <si>
    <t>Kurzové zisky - Org. zložka ČR</t>
  </si>
  <si>
    <t>668000</t>
  </si>
  <si>
    <t>Ostatné finančné výnosy</t>
  </si>
  <si>
    <t>668777</t>
  </si>
  <si>
    <t>Ostatné finančné výnosy - Org.zložka ČR</t>
  </si>
  <si>
    <t>Odpisy dlhodobého nehmotného a hmotného majetku</t>
  </si>
  <si>
    <t>013</t>
  </si>
  <si>
    <t>015</t>
  </si>
  <si>
    <t>022</t>
  </si>
  <si>
    <t>Samost. hnuteľné veci a súbory hnuteľných vecí</t>
  </si>
  <si>
    <t>041</t>
  </si>
  <si>
    <t>042</t>
  </si>
  <si>
    <t>073</t>
  </si>
  <si>
    <t>075</t>
  </si>
  <si>
    <t>082</t>
  </si>
  <si>
    <t>112</t>
  </si>
  <si>
    <t>Materiál na sklade</t>
  </si>
  <si>
    <t>131</t>
  </si>
  <si>
    <t>132</t>
  </si>
  <si>
    <t>196</t>
  </si>
  <si>
    <t>211</t>
  </si>
  <si>
    <t>Pokladnica</t>
  </si>
  <si>
    <t>213</t>
  </si>
  <si>
    <t>Ceniny</t>
  </si>
  <si>
    <t>221</t>
  </si>
  <si>
    <t>249</t>
  </si>
  <si>
    <t>261</t>
  </si>
  <si>
    <t>311</t>
  </si>
  <si>
    <t>Odberatelia</t>
  </si>
  <si>
    <t>314</t>
  </si>
  <si>
    <t>321</t>
  </si>
  <si>
    <t>Dodávatelia</t>
  </si>
  <si>
    <t>323</t>
  </si>
  <si>
    <t>Krátkodobé rezervy</t>
  </si>
  <si>
    <t>325</t>
  </si>
  <si>
    <t>Ostatné záväzky</t>
  </si>
  <si>
    <t>331</t>
  </si>
  <si>
    <t>333</t>
  </si>
  <si>
    <t>Ostatné záväzky voči zamestnancom</t>
  </si>
  <si>
    <t>335</t>
  </si>
  <si>
    <t>Pohľadávky voči zamestnancom</t>
  </si>
  <si>
    <t>336</t>
  </si>
  <si>
    <t>Zúčt so zamest. a org. soc. poist. a zdrav. poist</t>
  </si>
  <si>
    <t>342</t>
  </si>
  <si>
    <t>343</t>
  </si>
  <si>
    <t>Daň z pridanej hodnoty</t>
  </si>
  <si>
    <t>345</t>
  </si>
  <si>
    <t>372</t>
  </si>
  <si>
    <t>378</t>
  </si>
  <si>
    <t>379</t>
  </si>
  <si>
    <t>Iné záväzky</t>
  </si>
  <si>
    <t>381</t>
  </si>
  <si>
    <t>Náklady budúcich období</t>
  </si>
  <si>
    <t>391</t>
  </si>
  <si>
    <t>395</t>
  </si>
  <si>
    <t>411</t>
  </si>
  <si>
    <t>429</t>
  </si>
  <si>
    <t>431</t>
  </si>
  <si>
    <t>472</t>
  </si>
  <si>
    <t>479</t>
  </si>
  <si>
    <t>Ostatné dlhodobé záväzky</t>
  </si>
  <si>
    <t>481</t>
  </si>
  <si>
    <t>Odložený daň. záväzok a odlož. daň. pohľadávka</t>
  </si>
  <si>
    <t>501</t>
  </si>
  <si>
    <t>504</t>
  </si>
  <si>
    <t>Predaný tovar</t>
  </si>
  <si>
    <t>505</t>
  </si>
  <si>
    <t>512</t>
  </si>
  <si>
    <t>513</t>
  </si>
  <si>
    <t>518</t>
  </si>
  <si>
    <t>521</t>
  </si>
  <si>
    <t>524</t>
  </si>
  <si>
    <t>Zákonné sociálne poistenie</t>
  </si>
  <si>
    <t>525</t>
  </si>
  <si>
    <t>Ostatné sociálne zabezpečenie</t>
  </si>
  <si>
    <t>527</t>
  </si>
  <si>
    <t>528</t>
  </si>
  <si>
    <t>Ostatné sociálne náklady</t>
  </si>
  <si>
    <t>531</t>
  </si>
  <si>
    <t>538</t>
  </si>
  <si>
    <t>541</t>
  </si>
  <si>
    <t>547</t>
  </si>
  <si>
    <t>548</t>
  </si>
  <si>
    <t>551</t>
  </si>
  <si>
    <t>562</t>
  </si>
  <si>
    <t>563</t>
  </si>
  <si>
    <t>568</t>
  </si>
  <si>
    <t>591</t>
  </si>
  <si>
    <t>Splatná daň z príjmov z bežnej činnosti</t>
  </si>
  <si>
    <t>592</t>
  </si>
  <si>
    <t>602</t>
  </si>
  <si>
    <t>Tržby z predaja služieb</t>
  </si>
  <si>
    <t>604</t>
  </si>
  <si>
    <t>Tržby za tovar</t>
  </si>
  <si>
    <t>641</t>
  </si>
  <si>
    <t>648</t>
  </si>
  <si>
    <t>662</t>
  </si>
  <si>
    <t>663</t>
  </si>
  <si>
    <t>668</t>
  </si>
  <si>
    <t>I.</t>
  </si>
  <si>
    <t>Tržby z predaja tovaru (604)</t>
  </si>
  <si>
    <t>01</t>
  </si>
  <si>
    <t>A.</t>
  </si>
  <si>
    <t>Náklady vynaložené na obstaranie predaného tovaru (504, 505A)</t>
  </si>
  <si>
    <t>02</t>
  </si>
  <si>
    <t>+</t>
  </si>
  <si>
    <t>Obchodná marža r. 01 - r. 02</t>
  </si>
  <si>
    <t>03</t>
  </si>
  <si>
    <t>ll.</t>
  </si>
  <si>
    <t>Výroba r. 05+r. 06+ r. 07</t>
  </si>
  <si>
    <t>04</t>
  </si>
  <si>
    <t>ll.1.</t>
  </si>
  <si>
    <t>Tržby z predaja vlastných výrobkov a služieb (601,602)</t>
  </si>
  <si>
    <t>05</t>
  </si>
  <si>
    <t>Zmeny stavu vnútroorganizačných zásob (+/- účtová skupina 61)</t>
  </si>
  <si>
    <t>06</t>
  </si>
  <si>
    <t>Aktivácia (účtová skupina 62)</t>
  </si>
  <si>
    <t>07</t>
  </si>
  <si>
    <t>B.</t>
  </si>
  <si>
    <t>Výrobná spotreba r. 09+ r. 10</t>
  </si>
  <si>
    <t>08</t>
  </si>
  <si>
    <t>B.1.</t>
  </si>
  <si>
    <t>Spotreba materiálu, energie a ostatných neskladovateľných dodávok (501,502,503,505A)</t>
  </si>
  <si>
    <t>09</t>
  </si>
  <si>
    <t>Služby (účtová skupina 51)</t>
  </si>
  <si>
    <t>10</t>
  </si>
  <si>
    <t>Pridaná hodnota r. 03+ r. 04- r. 08</t>
  </si>
  <si>
    <t>11</t>
  </si>
  <si>
    <t>C.</t>
  </si>
  <si>
    <t>Osobné náklady súčet (r. 13 až 16)</t>
  </si>
  <si>
    <t>12</t>
  </si>
  <si>
    <t>C.1.</t>
  </si>
  <si>
    <t>Mzdové náklady (521,522)</t>
  </si>
  <si>
    <t>13</t>
  </si>
  <si>
    <t>Odmeny členom orgánov spoločnosti a družstva (523)</t>
  </si>
  <si>
    <t>14</t>
  </si>
  <si>
    <t>Náklady na sociálne poistenie (524,525,526)</t>
  </si>
  <si>
    <t>15</t>
  </si>
  <si>
    <t>Sociálne náklady (527,528)</t>
  </si>
  <si>
    <t>16</t>
  </si>
  <si>
    <t>D.</t>
  </si>
  <si>
    <t>Dane a poplatky (účtová  skupina 53)</t>
  </si>
  <si>
    <t>17</t>
  </si>
  <si>
    <t>E.</t>
  </si>
  <si>
    <t>Odpisy a opravné položky k dlhodobému nehmotnému majetku a dlhodobému hmotnému majetku (551,553)</t>
  </si>
  <si>
    <t>18</t>
  </si>
  <si>
    <t>lll.</t>
  </si>
  <si>
    <t>Tržby z predaja dlhodobého majetku a materiálu (641,642)</t>
  </si>
  <si>
    <t>19</t>
  </si>
  <si>
    <t>F.</t>
  </si>
  <si>
    <t>Zostatková cena predaného dlhodobého majetku a predaného materiálu (541,542)</t>
  </si>
  <si>
    <t>20</t>
  </si>
  <si>
    <t>G.</t>
  </si>
  <si>
    <t>Tvorba a zúčtovanie opravných položiek k pohľadávkam (+/- 547)</t>
  </si>
  <si>
    <t>21</t>
  </si>
  <si>
    <t>IV.</t>
  </si>
  <si>
    <t>Ostatné výnosy z hospodárskej činnosti (644,645,646,648,655,657)</t>
  </si>
  <si>
    <t>22</t>
  </si>
  <si>
    <t>H.</t>
  </si>
  <si>
    <t>Ostatné náklady na hospodársku činnosť (543,544,545,546,548,549,555,557)</t>
  </si>
  <si>
    <t>23</t>
  </si>
  <si>
    <t>V.</t>
  </si>
  <si>
    <t>Prevod výnosov z hospodárskej činnosti (-) (697)</t>
  </si>
  <si>
    <t>24</t>
  </si>
  <si>
    <t>Prevod nákladov na hospodársku činnosť (-) (597)</t>
  </si>
  <si>
    <t>25</t>
  </si>
  <si>
    <t>*</t>
  </si>
  <si>
    <t>Výsledok hospodárenia z hosp. činnosti r. 11-r. 12-r. 17-r. 18+ r.19-r. 20-r. 21+r. 22-r.23 +(-r. 24)-(-r. 25)</t>
  </si>
  <si>
    <t>26</t>
  </si>
  <si>
    <t>Vl.</t>
  </si>
  <si>
    <t>Tržby z predaja cenných papierov a podielov (661)</t>
  </si>
  <si>
    <t>27</t>
  </si>
  <si>
    <t>J.</t>
  </si>
  <si>
    <t>Predané cenné papiere a podiely (561)</t>
  </si>
  <si>
    <t>28</t>
  </si>
  <si>
    <t>VII.</t>
  </si>
  <si>
    <t>Výnosy z dlhodobého finančného majetku r. 30+ r. 31+ r. 32</t>
  </si>
  <si>
    <t>29</t>
  </si>
  <si>
    <t>VII.1.</t>
  </si>
  <si>
    <t>Výnosy z cenných papierov a podielov v dcérskej účtovnej jednotke a v spoločnosti s podstatným vplyvom (665A)</t>
  </si>
  <si>
    <t>30</t>
  </si>
  <si>
    <t>Výnosy z ostatných dlhodobých cenných papierov a podielov (665A)</t>
  </si>
  <si>
    <t>31</t>
  </si>
  <si>
    <t>Výnosy z ostaného dlhodobého finančného majetku (665A)</t>
  </si>
  <si>
    <t>32</t>
  </si>
  <si>
    <t>VIII.</t>
  </si>
  <si>
    <t>Výnosy z krátkodobého finančného majetku (666)</t>
  </si>
  <si>
    <t>33</t>
  </si>
  <si>
    <t>K.</t>
  </si>
  <si>
    <t>Náklady na krátkodobý finančný majetok (566)</t>
  </si>
  <si>
    <t>34</t>
  </si>
  <si>
    <t>IX.</t>
  </si>
  <si>
    <t>Výnosy z precenenia cenných papierov a výnosy z derivátových operácií (664,667)</t>
  </si>
  <si>
    <t>35</t>
  </si>
  <si>
    <t>L.</t>
  </si>
  <si>
    <t>Náklady na precenenie cenných papierov a náklady na derivátové operácie (564,567)</t>
  </si>
  <si>
    <t>36</t>
  </si>
  <si>
    <t>M.</t>
  </si>
  <si>
    <t>Tvorba a zúčtovanie opravných položiek k finančnému majetku +/- 565</t>
  </si>
  <si>
    <t>37</t>
  </si>
  <si>
    <t>X.</t>
  </si>
  <si>
    <t>Výnosové úroky (662)</t>
  </si>
  <si>
    <t>38</t>
  </si>
  <si>
    <t>N.</t>
  </si>
  <si>
    <t>Nákladové úroky (562)</t>
  </si>
  <si>
    <t>39</t>
  </si>
  <si>
    <t>Xl.</t>
  </si>
  <si>
    <t>Kurzové zisky (663)</t>
  </si>
  <si>
    <t>40</t>
  </si>
  <si>
    <t>O.</t>
  </si>
  <si>
    <t>Kurzové straty (563)</t>
  </si>
  <si>
    <t>41</t>
  </si>
  <si>
    <t>XlI.</t>
  </si>
  <si>
    <t>Ostatné výnosy z finančnej činnosti (668)</t>
  </si>
  <si>
    <t>42</t>
  </si>
  <si>
    <t>P.</t>
  </si>
  <si>
    <t>Ostatné náklady na finančnú činnosť (568,569)</t>
  </si>
  <si>
    <t>43</t>
  </si>
  <si>
    <t>XIll.</t>
  </si>
  <si>
    <t>Prevod finančných výnosov (-) (698)</t>
  </si>
  <si>
    <t>44</t>
  </si>
  <si>
    <t>R.</t>
  </si>
  <si>
    <t>Prevod finančných nákladov (-) (598)</t>
  </si>
  <si>
    <t>45</t>
  </si>
  <si>
    <t>Výsledok hospodárenia z finančnej činnosti r.27-r.28+r.29+r.33-r.34+r.35-r.36-r.37+r.38-r.39+r.40-r.41+r.42-r.43+(-r.44)-(-r.45)</t>
  </si>
  <si>
    <t>46</t>
  </si>
  <si>
    <t>**</t>
  </si>
  <si>
    <t>Výsledok hospodárenia z bežnej činnosti pred zdanením r.26 + r.46</t>
  </si>
  <si>
    <t>47</t>
  </si>
  <si>
    <t>S.</t>
  </si>
  <si>
    <t>Daň z príjmov z bežnej činnosti r. 49+ r. 50</t>
  </si>
  <si>
    <t>48</t>
  </si>
  <si>
    <t>S.1.</t>
  </si>
  <si>
    <t>- splatná (591,595)</t>
  </si>
  <si>
    <t>49</t>
  </si>
  <si>
    <t>- odložená (+/-592)</t>
  </si>
  <si>
    <t>50</t>
  </si>
  <si>
    <t>Výsledok hospodárenia z bežnej činnosti r. 47- r.48</t>
  </si>
  <si>
    <t>51</t>
  </si>
  <si>
    <t>XIV.</t>
  </si>
  <si>
    <t>Mimoriadne výnosy (účtová skupina 68)</t>
  </si>
  <si>
    <t>52</t>
  </si>
  <si>
    <t>T.</t>
  </si>
  <si>
    <t>Mimoriadne náklady (účtová skupina 58)</t>
  </si>
  <si>
    <t>53</t>
  </si>
  <si>
    <t>Výsledok hospodárenia z mimoriadnej činnosti pred zdanením r. 52- r.53</t>
  </si>
  <si>
    <t>54</t>
  </si>
  <si>
    <t>U.</t>
  </si>
  <si>
    <t>Daň z príjmov z mimoriadnej činnosti r. 56+ r.57</t>
  </si>
  <si>
    <t>55</t>
  </si>
  <si>
    <t>U.1.</t>
  </si>
  <si>
    <t>- splatná (593)</t>
  </si>
  <si>
    <t>56</t>
  </si>
  <si>
    <t>- odložená (+/-594)</t>
  </si>
  <si>
    <t>57</t>
  </si>
  <si>
    <t>Výsledok hospodárenia z mimoriadnej činnosti po zdanení  r. 54 - r. 55</t>
  </si>
  <si>
    <t>58</t>
  </si>
  <si>
    <t>***</t>
  </si>
  <si>
    <t>Výsledok hospodárenia za účtovné obdobie pred zdanením (+/-) [r. 47 + r. 54]</t>
  </si>
  <si>
    <t>59</t>
  </si>
  <si>
    <t>Prevod podielov na výsledku hospodárenia spoločníkom (+/-596)</t>
  </si>
  <si>
    <t>60</t>
  </si>
  <si>
    <t>Výsledok hospodárenia za účtovné obdobie po zdanení (+/-) [r. 51+ r. 58- r.60]</t>
  </si>
  <si>
    <t>61</t>
  </si>
  <si>
    <t>Spolu majetok r. 002+ r. 030+ r. 061</t>
  </si>
  <si>
    <t>001</t>
  </si>
  <si>
    <t>Neobežný majetok r. 003+ r. 011+ r. 021</t>
  </si>
  <si>
    <t>002</t>
  </si>
  <si>
    <t>A.l.</t>
  </si>
  <si>
    <t>Dlhodobý nehmotný majetok súčet (r. 004 až 010)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</si>
  <si>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</si>
  <si>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</si>
  <si>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</si>
  <si>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</si>
  <si>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</si>
  <si>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</si>
  <si>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</si>
  <si>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</si>
  <si>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</si>
  <si>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</si>
  <si>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</si>
  <si>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</si>
  <si>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-093</t>
  </si>
  <si>
    <t>009</t>
  </si>
  <si>
    <t>Poskytnuté preddavky na dlhodobý nehmotný majetok (051) - 095A</t>
  </si>
  <si>
    <t>010</t>
  </si>
  <si>
    <t>A.ll.</t>
  </si>
  <si>
    <t>Dlhodobý hmotný majetok súčet (r. 012 až 020)</t>
  </si>
  <si>
    <t>011</t>
  </si>
  <si>
    <t>A.ll.1.</t>
  </si>
  <si>
    <t>Pozemky (031) - 092A</t>
  </si>
  <si>
    <t>012</t>
  </si>
  <si>
    <t>Stavby (021) - /081,092A/</t>
  </si>
  <si>
    <t>Samostatné hnuteľné veci a súbory hnuteľných vecí (022) - /082,092A/</t>
  </si>
  <si>
    <t>014</t>
  </si>
  <si>
    <t>Pestovateľské celky trvalých porastov (025) - /085,092A/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</si>
  <si>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</si>
  <si>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</si>
  <si>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</si>
  <si>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</si>
  <si>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- 094</t>
  </si>
  <si>
    <t>018</t>
  </si>
  <si>
    <t>Poskytnuté preddavky na dlhodobý hmotný majetok (052) - 095A</t>
  </si>
  <si>
    <t>019</t>
  </si>
  <si>
    <t>Opravná položka k nadobudnutému majetku (+/- 097) +/- 098</t>
  </si>
  <si>
    <t>020</t>
  </si>
  <si>
    <t>A.lll.</t>
  </si>
  <si>
    <t>Dlhodobý finančný majetok súčet (r. 022 až 029)</t>
  </si>
  <si>
    <t>021</t>
  </si>
  <si>
    <t>A.lll.1.</t>
  </si>
  <si>
    <t>Podielové cenné papiere a podiely v dcérskej účtovnej jednotke (061) - 096A</t>
  </si>
  <si>
    <t>Podielové cenné papiere a podiely v spoločnosti s podstatným vplyvom (062) - 096A</t>
  </si>
  <si>
    <t>023</t>
  </si>
  <si>
    <t>Ostatné dlhodobé cenné papiere a podiely (063,065) - 096A</t>
  </si>
  <si>
    <t>024</t>
  </si>
  <si>
    <t>Pôžičky účtovnej jednotke v konsolidovanom celku (066A) - 096A</t>
  </si>
  <si>
    <t>025</t>
  </si>
  <si>
    <t>Ostatný dlhodobý finančný majetok (067A,069,06XA) - 096A</t>
  </si>
  <si>
    <t>026</t>
  </si>
  <si>
    <t>Pôžičky s dobou splatnosti najviac jeden rok (066A,067A,06XA) - 096A</t>
  </si>
  <si>
    <t>027</t>
  </si>
  <si>
    <t>Obstarávaný dlhodobý finančný majetok (043) - 096A</t>
  </si>
  <si>
    <t>028</t>
  </si>
  <si>
    <t>Poskytnuté preddavky na dlhodobý finančný majetok (053) - 095A</t>
  </si>
  <si>
    <t>029</t>
  </si>
  <si>
    <t>Obežný majetok r. 031+ r. 038+ r. 046+ r. 055</t>
  </si>
  <si>
    <t>030</t>
  </si>
  <si>
    <t>B.l.</t>
  </si>
  <si>
    <t>Zásoby súčet (r. 032 až 037)</t>
  </si>
  <si>
    <t>031</t>
  </si>
  <si>
    <t>B.l.1.</t>
  </si>
  <si>
    <t>Materiál (112,119,11X) - /191,19X/</t>
  </si>
  <si>
    <t>032</t>
  </si>
  <si>
    <t>Nedokončená výroba a polotovary vlastnej výroby  (121,122,12X) - /192,193,19X/</t>
  </si>
  <si>
    <t>033</t>
  </si>
  <si>
    <t>Výrobky (123) - 194</t>
  </si>
  <si>
    <t>034</t>
  </si>
  <si>
    <t>Zvieratá (124) - 195</t>
  </si>
  <si>
    <t>035</t>
  </si>
  <si>
    <t>Tovar (132,13X,139) - /196,19X/</t>
  </si>
  <si>
    <t>036</t>
  </si>
  <si>
    <t>Poskytnuté preddavky na zásoby (314A) - 391A</t>
  </si>
  <si>
    <t>037</t>
  </si>
  <si>
    <t>B.ll.</t>
  </si>
  <si>
    <t>Dlhodobé pohľadávky súčet (r. 039 až 045)</t>
  </si>
  <si>
    <t>038</t>
  </si>
  <si>
    <t>B.ll.1.</t>
  </si>
  <si>
    <t>Pohľadávky z obchodného styku (311A,312A,313A,314A,315A,31XA) - 391A</t>
  </si>
  <si>
    <t>039</t>
  </si>
  <si>
    <t>Čistá hodnota zákazky (316A)</t>
  </si>
  <si>
    <t>040</t>
  </si>
  <si>
    <t>Pohľadávky voči dcérskej účtovnej jednotke a materskej účtovnej jednotke (351A) - 391A</t>
  </si>
  <si>
    <t>Ostatné pohľadávky v rámci konsolidovaného celku (351A) - 391A</t>
  </si>
  <si>
    <t>Pohľadávky voči spoločníkom, členom a združeniu (354A,355A,358A,35XA) - 391A</t>
  </si>
  <si>
    <t>043</t>
  </si>
  <si>
    <t>Iné pohľadávky (335A,33XA,371A,373A,374A,375A,376A,378A) - 391A</t>
  </si>
  <si>
    <t>044</t>
  </si>
  <si>
    <t>Odložená daňová pohľadávka (481 A)</t>
  </si>
  <si>
    <t>045</t>
  </si>
  <si>
    <t>B.lll.</t>
  </si>
  <si>
    <t>Krátkodobé pohľadávky súčet (r. 047 až 054)</t>
  </si>
  <si>
    <t>046</t>
  </si>
  <si>
    <t>B.lll.1.</t>
  </si>
  <si>
    <t>047</t>
  </si>
  <si>
    <t>048</t>
  </si>
  <si>
    <t>049</t>
  </si>
  <si>
    <t>050</t>
  </si>
  <si>
    <t>Pohľadávky voči spoločníkom, členom a združeniu (354A,355A,358A,35XA,398A) - 391A</t>
  </si>
  <si>
    <t>051</t>
  </si>
  <si>
    <t>Sociálne poistenie (336) - 391A</t>
  </si>
  <si>
    <t>052</t>
  </si>
  <si>
    <t>Daňové pohľadávky a dotácie (341,342,343,345, 346, 347) - 391A</t>
  </si>
  <si>
    <t>053</t>
  </si>
  <si>
    <t>054</t>
  </si>
  <si>
    <t>B.lV.</t>
  </si>
  <si>
    <t>Finančné účty súčet (r. 056 až 060)</t>
  </si>
  <si>
    <t>055</t>
  </si>
  <si>
    <t>B.lV.1.</t>
  </si>
  <si>
    <t>Peniaze (211,213,21X)</t>
  </si>
  <si>
    <t>056</t>
  </si>
  <si>
    <t>Účty v bankách (221A,22X +/-261)</t>
  </si>
  <si>
    <t>057</t>
  </si>
  <si>
    <t>Účty v bankách s dobou viazanosti dlhšou ako jeden rok 22XA</t>
  </si>
  <si>
    <t>058</t>
  </si>
  <si>
    <t>Krátkodobý finančný majetok (251,253,256,257,25X) - /291,29X/</t>
  </si>
  <si>
    <t>059</t>
  </si>
  <si>
    <t>Obstarávaný krátkodobý finančný majetok (259, 314A) - 291</t>
  </si>
  <si>
    <t>060</t>
  </si>
  <si>
    <t>Časové rozlíšenie súčet (r. 062 a r. 065)</t>
  </si>
  <si>
    <t>061</t>
  </si>
  <si>
    <t>Náklady budúcich období dlhodobé (381A,382A)</t>
  </si>
  <si>
    <t>062</t>
  </si>
  <si>
    <t>Náklady budúcich období krátkodobé (381A,382A)</t>
  </si>
  <si>
    <t>063</t>
  </si>
  <si>
    <t>Príjmy budúcich období dlhodobé (385A)</t>
  </si>
  <si>
    <t>064</t>
  </si>
  <si>
    <t>Príjmy budúcich období krátkodobé (385A)</t>
  </si>
  <si>
    <t>065</t>
  </si>
  <si>
    <t>Kontrolné číslo súčet (r. 001 až r. 065)</t>
  </si>
  <si>
    <t>888</t>
  </si>
  <si>
    <t>Spolu vlastné imanie a záväky r. 067+ r. 088+ r. 121</t>
  </si>
  <si>
    <t>066</t>
  </si>
  <si>
    <t>Vlastné imanie r. 068+ r. 073+ r. 080+ r. 084+ r. 087</t>
  </si>
  <si>
    <t>067</t>
  </si>
  <si>
    <t>Základné imanie súčet (r. 069 až 072)</t>
  </si>
  <si>
    <t>068</t>
  </si>
  <si>
    <t>A.l.1.</t>
  </si>
  <si>
    <t>Základné imanie (411 alebo +/-491)</t>
  </si>
  <si>
    <t>069</t>
  </si>
  <si>
    <t>Vlastné akcie a vlastné obchodné podiely (/-/252)</t>
  </si>
  <si>
    <t>070</t>
  </si>
  <si>
    <t>Zmena základného imania +/-419</t>
  </si>
  <si>
    <t>071</t>
  </si>
  <si>
    <t>Pohľadávky za upísané vlastné imanie (/-/353)</t>
  </si>
  <si>
    <t>072</t>
  </si>
  <si>
    <t>Kapitálové fondy súčet (r. 074 až 079)</t>
  </si>
  <si>
    <t>Emisné ážio (412)</t>
  </si>
  <si>
    <t>074</t>
  </si>
  <si>
    <t>Ostatné kapitálové fondy (413)</t>
  </si>
  <si>
    <t>Zákonný rezervný fond (Nedeliteľný fond) z kapitálových vkladov (417,418)</t>
  </si>
  <si>
    <t>076</t>
  </si>
  <si>
    <t>Oceňovacie rozdiely z precenenia majetku a záväzkov (+/-414)</t>
  </si>
  <si>
    <t>077</t>
  </si>
  <si>
    <t>Oceňovacie rozdiely z kapitálových účastín (+/-415)</t>
  </si>
  <si>
    <t>078</t>
  </si>
  <si>
    <t>Oceňovacie rozdiely z precenenia pri zlúčení, splynutí a rozdelení (+/-416)</t>
  </si>
  <si>
    <t>079</t>
  </si>
  <si>
    <t>Fondy zo zisku súčet (r. 081 až 083)</t>
  </si>
  <si>
    <t>080</t>
  </si>
  <si>
    <t>Zákonný rezervný fond (421)</t>
  </si>
  <si>
    <t>081</t>
  </si>
  <si>
    <t>Nedeliteľný fond (422)</t>
  </si>
  <si>
    <t>Štatutárne fondy a ostatné fondy (423,427,42X)</t>
  </si>
  <si>
    <t>083</t>
  </si>
  <si>
    <t>A.lV.</t>
  </si>
  <si>
    <t>Výsledok hospodárenia minulých rokov r. 085 a r. 086</t>
  </si>
  <si>
    <t>084</t>
  </si>
  <si>
    <t>A.lV.1.</t>
  </si>
  <si>
    <t>Nerozdelený zisk minulých rokov (428)</t>
  </si>
  <si>
    <t>085</t>
  </si>
  <si>
    <t>Neuhradená strata minulých rokov (/-/429)</t>
  </si>
  <si>
    <t>086</t>
  </si>
  <si>
    <t>A.V.</t>
  </si>
  <si>
    <t>Výsledok hospodárenia za účtovné obdobie po zdanení /+-/ r.001- (r. 068+ r. 073+ r. 080+ r. 084+ r. 088+ r. 121)</t>
  </si>
  <si>
    <t>087</t>
  </si>
  <si>
    <t>Záväzky z r. 089+ r. 094+ r. 106+ r. 117 + r. 118</t>
  </si>
  <si>
    <t>088</t>
  </si>
  <si>
    <t>Rezervy súčet (r. 090 až 093)</t>
  </si>
  <si>
    <t>089</t>
  </si>
  <si>
    <t>Rezervy zákonné dlhodobé (451A)</t>
  </si>
  <si>
    <t>090</t>
  </si>
  <si>
    <t>Rezervy zákonné krátkodobé (323A, 451A)</t>
  </si>
  <si>
    <t>091</t>
  </si>
  <si>
    <t>Ostatné dlhodobé rezervy (459 A,45XA)</t>
  </si>
  <si>
    <t>092</t>
  </si>
  <si>
    <t>Ostatné krátkodobé rezervy (323A, 32X, 459A,45XA)</t>
  </si>
  <si>
    <t>093</t>
  </si>
  <si>
    <t>Dlhodobé záväzky súčet (r. 095 až 105)</t>
  </si>
  <si>
    <t>094</t>
  </si>
  <si>
    <t>Dlhodobé záväzky z obchodného styku (321A, 479A)</t>
  </si>
  <si>
    <t>095</t>
  </si>
  <si>
    <t>096</t>
  </si>
  <si>
    <t>Dlhodobé nevyfaktúrované dodávky (476A)</t>
  </si>
  <si>
    <t>097</t>
  </si>
  <si>
    <t>Dlhodobé záväzky voči dcérskej  účtovnej jednotke a materskej účtovnej jednotke (471A)</t>
  </si>
  <si>
    <t>098</t>
  </si>
  <si>
    <t>Ostatné dlhodobé záväzky v rámci konsolidovaného celku (471A)</t>
  </si>
  <si>
    <t>099</t>
  </si>
  <si>
    <t>Dlhodobé prijaté preddavky (475A)</t>
  </si>
  <si>
    <t>100</t>
  </si>
  <si>
    <t>Dlhodobé zmenky na úhradu (478A)</t>
  </si>
  <si>
    <t>101</t>
  </si>
  <si>
    <t>Vydané dlhopisy (473A,/-/255A)</t>
  </si>
  <si>
    <t>102</t>
  </si>
  <si>
    <t>Záväzky zo sociálneho fondu (472)</t>
  </si>
  <si>
    <t>103</t>
  </si>
  <si>
    <t>Ostatné dlhodobé záväzky (474A,479A,47XA,372A,373A,377A)</t>
  </si>
  <si>
    <t>104</t>
  </si>
  <si>
    <t>Odložený daňový záväzok (481A)</t>
  </si>
  <si>
    <t>105</t>
  </si>
  <si>
    <t>Krátkodobé záväzky súčet (r. 107 až 116)</t>
  </si>
  <si>
    <t>106</t>
  </si>
  <si>
    <t>B.lll.1</t>
  </si>
  <si>
    <t>Záväzky z obchodného styku (321,322,324,325,32X,475A,478A,479A,47XA)</t>
  </si>
  <si>
    <t>107</t>
  </si>
  <si>
    <t>108</t>
  </si>
  <si>
    <t>Nevyfakturované dodávky (326,476A)</t>
  </si>
  <si>
    <t>109</t>
  </si>
  <si>
    <t>Záväzky voči dcérskej účtovnej jednotke a materskej účtovnej jednotke (361A,471A)</t>
  </si>
  <si>
    <t>110</t>
  </si>
  <si>
    <t>Ostatné záväzky v rámci konsolidovaného celku (361A,36XA,471A,47XA)</t>
  </si>
  <si>
    <t>111</t>
  </si>
  <si>
    <t>Záväzky voči spoločníkom a združeniu (364,365,366,367,368,398A,478A,479A)</t>
  </si>
  <si>
    <t>Záväzky voči zamestnancom (331,333,33X,479A)</t>
  </si>
  <si>
    <t>113</t>
  </si>
  <si>
    <t>Záväzky zo sociálneho poistenia (336,479A)</t>
  </si>
  <si>
    <t>114</t>
  </si>
  <si>
    <t>Daňové záväzky a dotácie (341,342,343,345,346,347,34X)</t>
  </si>
  <si>
    <t>115</t>
  </si>
  <si>
    <t>Ostatné záväzky (372A,373A,377A,379A,474A,479A,47X)</t>
  </si>
  <si>
    <t>116</t>
  </si>
  <si>
    <t>Krátkodobé finančné výpomoci (241,249,24X,473A,/-/255A)</t>
  </si>
  <si>
    <t>117</t>
  </si>
  <si>
    <t>B.V.</t>
  </si>
  <si>
    <t>Bankové úvery (r. 119 + r. 120)</t>
  </si>
  <si>
    <t>118</t>
  </si>
  <si>
    <t>Bankové úvery dlhodobé (461A,46XA)</t>
  </si>
  <si>
    <t>119</t>
  </si>
  <si>
    <t>Bežné bankové úvery (221A,231,232,23X,461A,46XA)</t>
  </si>
  <si>
    <t>120</t>
  </si>
  <si>
    <t>Časové rozlíšenie súčet (r. 122 až 125)</t>
  </si>
  <si>
    <t>121</t>
  </si>
  <si>
    <t>Výdavky budúcich období dlhodobé (383A)</t>
  </si>
  <si>
    <t>122</t>
  </si>
  <si>
    <t>Výdavky budúcich období krátkodobé (383A)</t>
  </si>
  <si>
    <t>123</t>
  </si>
  <si>
    <t>Výnosy budúcich období dlhodobé (384A)</t>
  </si>
  <si>
    <t>124</t>
  </si>
  <si>
    <t>Výnosy budúcich období krátkodobé (384A)</t>
  </si>
  <si>
    <t>125</t>
  </si>
  <si>
    <t>Dátum zostavenia ÚZ</t>
  </si>
  <si>
    <t>Obdobie od</t>
  </si>
  <si>
    <t>01.01.2012</t>
  </si>
  <si>
    <t>Obdobie do</t>
  </si>
  <si>
    <t>31.12.2012</t>
  </si>
  <si>
    <t>Bezprostredne predchádzajúce obdobie od</t>
  </si>
  <si>
    <t>Bezprostredne predchádzajúce obdobie do</t>
  </si>
  <si>
    <t>IČO</t>
  </si>
  <si>
    <t>DIČ</t>
  </si>
  <si>
    <t>Kód SK NACE</t>
  </si>
  <si>
    <t>Názov1</t>
  </si>
  <si>
    <t>Messer Medical Home Care Slovakia, s. r. o.</t>
  </si>
  <si>
    <t>Názov2</t>
  </si>
  <si>
    <t>Ulica</t>
  </si>
  <si>
    <t>Piešťanská</t>
  </si>
  <si>
    <t>Číslo</t>
  </si>
  <si>
    <t>PSČ</t>
  </si>
  <si>
    <t>915 01</t>
  </si>
  <si>
    <t>Názov obce</t>
  </si>
  <si>
    <t>Nové Mesto nad Váhom</t>
  </si>
  <si>
    <t>Číslo telefónu</t>
  </si>
  <si>
    <t xml:space="preserve"> 032  / 77 98 118</t>
  </si>
  <si>
    <t>Číslo faxu</t>
  </si>
  <si>
    <t xml:space="preserve"> 032 / 77 98 118</t>
  </si>
  <si>
    <t>E-mail</t>
  </si>
  <si>
    <t>margita.vernerova@messergroup.com</t>
  </si>
  <si>
    <t>Ostatné služby - vypr. štúdie , projektu, ISO cert</t>
  </si>
  <si>
    <t>Ostatné sociálne náklady - nedanové - nad lim.zák.</t>
  </si>
  <si>
    <t>28.03.2014</t>
  </si>
  <si>
    <t>01.01.2013</t>
  </si>
  <si>
    <t>31.12.2013</t>
  </si>
</sst>
</file>

<file path=xl/styles.xml><?xml version="1.0" encoding="utf-8"?>
<styleSheet xmlns="http://schemas.openxmlformats.org/spreadsheetml/2006/main">
  <numFmts count="1">
    <numFmt numFmtId="164" formatCode="#,##0.00\ [$€-1]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36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justify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43" xfId="0" applyBorder="1" applyAlignment="1">
      <alignment horizontal="center"/>
    </xf>
    <xf numFmtId="0" fontId="0" fillId="0" borderId="43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9" fontId="6" fillId="0" borderId="13" xfId="1" applyFont="1" applyBorder="1" applyAlignment="1">
      <alignment horizontal="right" vertical="center" wrapText="1"/>
    </xf>
    <xf numFmtId="9" fontId="6" fillId="0" borderId="6" xfId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9" fontId="6" fillId="0" borderId="14" xfId="0" applyNumberFormat="1" applyFont="1" applyBorder="1" applyAlignment="1">
      <alignment horizontal="right" vertical="center" wrapText="1"/>
    </xf>
    <xf numFmtId="9" fontId="6" fillId="0" borderId="14" xfId="1" applyFont="1" applyBorder="1" applyAlignment="1">
      <alignment horizontal="right" vertical="center" wrapText="1"/>
    </xf>
    <xf numFmtId="9" fontId="6" fillId="0" borderId="8" xfId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9" fontId="6" fillId="0" borderId="13" xfId="1" applyNumberFormat="1" applyFont="1" applyBorder="1" applyAlignment="1">
      <alignment horizontal="right" vertical="center" wrapText="1"/>
    </xf>
    <xf numFmtId="9" fontId="6" fillId="0" borderId="6" xfId="1" applyNumberFormat="1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 wrapText="1"/>
    </xf>
    <xf numFmtId="9" fontId="6" fillId="0" borderId="14" xfId="1" applyNumberFormat="1" applyFont="1" applyBorder="1" applyAlignment="1">
      <alignment horizontal="right" vertical="center" wrapText="1"/>
    </xf>
    <xf numFmtId="9" fontId="6" fillId="0" borderId="8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right" vertical="center" wrapText="1" indent="1"/>
    </xf>
    <xf numFmtId="3" fontId="6" fillId="0" borderId="6" xfId="0" applyNumberFormat="1" applyFont="1" applyBorder="1" applyAlignment="1">
      <alignment horizontal="right" vertical="center" wrapText="1" inden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30" xfId="0" applyFont="1" applyBorder="1" applyAlignment="1">
      <alignment vertical="center" wrapText="1"/>
    </xf>
    <xf numFmtId="0" fontId="6" fillId="0" borderId="4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39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0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6" fillId="0" borderId="18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9" fontId="6" fillId="0" borderId="8" xfId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0" fontId="0" fillId="0" borderId="0" xfId="0" applyFill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 wrapText="1"/>
    </xf>
    <xf numFmtId="0" fontId="10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44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 wrapText="1"/>
    </xf>
    <xf numFmtId="0" fontId="12" fillId="0" borderId="0" xfId="0" applyFont="1"/>
    <xf numFmtId="0" fontId="9" fillId="0" borderId="0" xfId="0" applyFont="1" applyAlignment="1">
      <alignment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53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1" fillId="0" borderId="0" xfId="0" applyFont="1"/>
    <xf numFmtId="3" fontId="15" fillId="2" borderId="13" xfId="0" applyNumberFormat="1" applyFont="1" applyFill="1" applyBorder="1" applyAlignment="1">
      <alignment horizontal="right" vertical="center" wrapText="1"/>
    </xf>
    <xf numFmtId="3" fontId="15" fillId="2" borderId="17" xfId="0" applyNumberFormat="1" applyFont="1" applyFill="1" applyBorder="1" applyAlignment="1">
      <alignment horizontal="right" vertical="center" wrapText="1"/>
    </xf>
    <xf numFmtId="0" fontId="15" fillId="2" borderId="11" xfId="0" applyFont="1" applyFill="1" applyBorder="1" applyAlignment="1">
      <alignment vertical="center" wrapText="1"/>
    </xf>
    <xf numFmtId="3" fontId="15" fillId="2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5" fillId="0" borderId="0" xfId="0" applyNumberFormat="1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164" fontId="15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7" fillId="0" borderId="0" xfId="0" applyFont="1" applyBorder="1"/>
    <xf numFmtId="49" fontId="17" fillId="0" borderId="0" xfId="0" applyNumberFormat="1" applyFont="1" applyBorder="1"/>
    <xf numFmtId="164" fontId="17" fillId="0" borderId="0" xfId="0" applyNumberFormat="1" applyFont="1" applyBorder="1"/>
    <xf numFmtId="49" fontId="16" fillId="3" borderId="43" xfId="0" applyNumberFormat="1" applyFont="1" applyFill="1" applyBorder="1" applyAlignment="1">
      <alignment horizontal="left" vertical="top" wrapText="1"/>
    </xf>
    <xf numFmtId="0" fontId="16" fillId="3" borderId="43" xfId="0" applyFont="1" applyFill="1" applyBorder="1" applyAlignment="1">
      <alignment horizontal="left" vertical="top" wrapText="1"/>
    </xf>
    <xf numFmtId="164" fontId="16" fillId="3" borderId="43" xfId="0" applyNumberFormat="1" applyFont="1" applyFill="1" applyBorder="1" applyAlignment="1">
      <alignment horizontal="right" vertical="top" wrapText="1"/>
    </xf>
    <xf numFmtId="0" fontId="6" fillId="3" borderId="43" xfId="0" applyFont="1" applyFill="1" applyBorder="1"/>
    <xf numFmtId="49" fontId="6" fillId="0" borderId="0" xfId="0" applyNumberFormat="1" applyFont="1" applyAlignment="1">
      <alignment vertical="center"/>
    </xf>
    <xf numFmtId="3" fontId="6" fillId="2" borderId="6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center"/>
    </xf>
    <xf numFmtId="0" fontId="10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2" borderId="0" xfId="0" applyFont="1" applyFill="1"/>
    <xf numFmtId="3" fontId="14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4" fillId="2" borderId="37" xfId="0" applyNumberFormat="1" applyFont="1" applyFill="1" applyBorder="1" applyAlignment="1">
      <alignment horizontal="right" vertical="center" wrapText="1"/>
    </xf>
    <xf numFmtId="3" fontId="9" fillId="2" borderId="13" xfId="0" applyNumberFormat="1" applyFont="1" applyFill="1" applyBorder="1" applyAlignment="1">
      <alignment horizontal="right" vertical="center" wrapText="1"/>
    </xf>
    <xf numFmtId="0" fontId="15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5" fillId="2" borderId="0" xfId="0" applyFont="1" applyFill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3" fontId="15" fillId="2" borderId="6" xfId="0" applyNumberFormat="1" applyFont="1" applyFill="1" applyBorder="1" applyAlignment="1">
      <alignment horizontal="right" vertical="center" wrapText="1"/>
    </xf>
    <xf numFmtId="0" fontId="15" fillId="2" borderId="5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3" fontId="15" fillId="2" borderId="8" xfId="0" applyNumberFormat="1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4" fillId="2" borderId="10" xfId="0" applyFont="1" applyFill="1" applyBorder="1" applyAlignment="1">
      <alignment horizontal="right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3" fontId="15" fillId="0" borderId="13" xfId="0" applyNumberFormat="1" applyFont="1" applyBorder="1" applyAlignment="1">
      <alignment horizontal="right" vertical="center" wrapText="1"/>
    </xf>
    <xf numFmtId="3" fontId="14" fillId="2" borderId="0" xfId="0" applyNumberFormat="1" applyFont="1" applyFill="1" applyBorder="1" applyAlignment="1">
      <alignment horizontal="center" vertical="center" wrapText="1"/>
    </xf>
    <xf numFmtId="3" fontId="14" fillId="2" borderId="37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right" wrapText="1"/>
    </xf>
    <xf numFmtId="3" fontId="14" fillId="2" borderId="0" xfId="0" applyNumberFormat="1" applyFont="1" applyFill="1" applyBorder="1" applyAlignment="1">
      <alignment horizontal="right" vertical="center" wrapText="1"/>
    </xf>
    <xf numFmtId="3" fontId="14" fillId="2" borderId="53" xfId="0" applyNumberFormat="1" applyFont="1" applyFill="1" applyBorder="1" applyAlignment="1">
      <alignment horizontal="right" vertical="center" wrapText="1"/>
    </xf>
    <xf numFmtId="0" fontId="18" fillId="2" borderId="0" xfId="0" applyFont="1" applyFill="1"/>
    <xf numFmtId="3" fontId="14" fillId="2" borderId="6" xfId="0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right"/>
    </xf>
    <xf numFmtId="3" fontId="14" fillId="2" borderId="50" xfId="0" applyNumberFormat="1" applyFont="1" applyFill="1" applyBorder="1" applyAlignment="1">
      <alignment horizontal="right" vertical="center" wrapText="1"/>
    </xf>
    <xf numFmtId="3" fontId="14" fillId="2" borderId="51" xfId="0" applyNumberFormat="1" applyFont="1" applyFill="1" applyBorder="1" applyAlignment="1">
      <alignment horizontal="right" vertical="center" wrapText="1"/>
    </xf>
    <xf numFmtId="3" fontId="14" fillId="2" borderId="30" xfId="0" applyNumberFormat="1" applyFont="1" applyFill="1" applyBorder="1" applyAlignment="1">
      <alignment horizontal="right" vertical="center" wrapText="1"/>
    </xf>
    <xf numFmtId="3" fontId="14" fillId="2" borderId="31" xfId="0" applyNumberFormat="1" applyFont="1" applyFill="1" applyBorder="1" applyAlignment="1">
      <alignment horizontal="right" vertical="center" wrapText="1"/>
    </xf>
    <xf numFmtId="3" fontId="15" fillId="2" borderId="13" xfId="0" applyNumberFormat="1" applyFont="1" applyFill="1" applyBorder="1" applyAlignment="1">
      <alignment horizontal="right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5" fillId="2" borderId="30" xfId="0" applyNumberFormat="1" applyFont="1" applyFill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/>
    </xf>
    <xf numFmtId="3" fontId="15" fillId="2" borderId="44" xfId="0" applyNumberFormat="1" applyFont="1" applyFill="1" applyBorder="1" applyAlignment="1">
      <alignment horizontal="right" vertical="center"/>
    </xf>
    <xf numFmtId="3" fontId="15" fillId="2" borderId="7" xfId="0" applyNumberFormat="1" applyFont="1" applyFill="1" applyBorder="1" applyAlignment="1">
      <alignment horizontal="right" vertical="center"/>
    </xf>
    <xf numFmtId="3" fontId="14" fillId="2" borderId="48" xfId="0" applyNumberFormat="1" applyFont="1" applyFill="1" applyBorder="1" applyAlignment="1">
      <alignment horizontal="right" vertical="center"/>
    </xf>
    <xf numFmtId="3" fontId="14" fillId="2" borderId="32" xfId="0" applyNumberFormat="1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right" vertical="center"/>
    </xf>
    <xf numFmtId="3" fontId="15" fillId="2" borderId="8" xfId="0" applyNumberFormat="1" applyFont="1" applyFill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right" vertical="center"/>
    </xf>
    <xf numFmtId="0" fontId="15" fillId="2" borderId="16" xfId="0" applyFont="1" applyFill="1" applyBorder="1" applyAlignment="1">
      <alignment horizontal="right" vertical="center"/>
    </xf>
    <xf numFmtId="0" fontId="15" fillId="2" borderId="13" xfId="0" applyFont="1" applyFill="1" applyBorder="1" applyAlignment="1">
      <alignment horizontal="right" vertical="center"/>
    </xf>
    <xf numFmtId="0" fontId="15" fillId="2" borderId="14" xfId="0" applyFont="1" applyFill="1" applyBorder="1" applyAlignment="1">
      <alignment horizontal="right" vertical="center"/>
    </xf>
    <xf numFmtId="3" fontId="14" fillId="2" borderId="4" xfId="0" applyNumberFormat="1" applyFont="1" applyFill="1" applyBorder="1" applyAlignment="1">
      <alignment horizontal="right" vertical="center" wrapText="1"/>
    </xf>
    <xf numFmtId="49" fontId="14" fillId="2" borderId="30" xfId="0" applyNumberFormat="1" applyFont="1" applyFill="1" applyBorder="1" applyAlignment="1">
      <alignment horizontal="right" vertical="center" wrapText="1"/>
    </xf>
    <xf numFmtId="49" fontId="14" fillId="2" borderId="6" xfId="0" applyNumberFormat="1" applyFont="1" applyFill="1" applyBorder="1" applyAlignment="1">
      <alignment horizontal="right" vertical="center" wrapText="1"/>
    </xf>
    <xf numFmtId="0" fontId="14" fillId="2" borderId="30" xfId="0" applyFont="1" applyFill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49" fontId="14" fillId="2" borderId="44" xfId="0" applyNumberFormat="1" applyFont="1" applyFill="1" applyBorder="1" applyAlignment="1">
      <alignment horizontal="right" vertical="center" wrapText="1"/>
    </xf>
    <xf numFmtId="49" fontId="14" fillId="2" borderId="8" xfId="0" applyNumberFormat="1" applyFont="1" applyFill="1" applyBorder="1" applyAlignment="1">
      <alignment horizontal="right" vertical="center" wrapText="1"/>
    </xf>
    <xf numFmtId="1" fontId="14" fillId="2" borderId="6" xfId="0" applyNumberFormat="1" applyFont="1" applyFill="1" applyBorder="1" applyAlignment="1">
      <alignment horizontal="right" vertical="center" wrapText="1"/>
    </xf>
    <xf numFmtId="3" fontId="15" fillId="2" borderId="52" xfId="0" applyNumberFormat="1" applyFont="1" applyFill="1" applyBorder="1" applyAlignment="1">
      <alignment horizontal="right" vertical="center"/>
    </xf>
    <xf numFmtId="3" fontId="15" fillId="2" borderId="16" xfId="0" applyNumberFormat="1" applyFont="1" applyFill="1" applyBorder="1" applyAlignment="1">
      <alignment horizontal="right" vertical="center"/>
    </xf>
    <xf numFmtId="3" fontId="15" fillId="2" borderId="31" xfId="0" applyNumberFormat="1" applyFont="1" applyFill="1" applyBorder="1" applyAlignment="1">
      <alignment horizontal="right" vertical="center"/>
    </xf>
    <xf numFmtId="3" fontId="15" fillId="2" borderId="17" xfId="0" applyNumberFormat="1" applyFont="1" applyFill="1" applyBorder="1" applyAlignment="1">
      <alignment horizontal="right" vertical="center"/>
    </xf>
    <xf numFmtId="3" fontId="15" fillId="2" borderId="14" xfId="0" applyNumberFormat="1" applyFont="1" applyFill="1" applyBorder="1" applyAlignment="1">
      <alignment horizontal="right" vertical="center"/>
    </xf>
    <xf numFmtId="3" fontId="15" fillId="2" borderId="18" xfId="0" applyNumberFormat="1" applyFont="1" applyFill="1" applyBorder="1" applyAlignment="1">
      <alignment horizontal="right" vertical="center"/>
    </xf>
    <xf numFmtId="3" fontId="15" fillId="2" borderId="46" xfId="0" applyNumberFormat="1" applyFont="1" applyFill="1" applyBorder="1" applyAlignment="1">
      <alignment horizontal="right" vertical="center"/>
    </xf>
    <xf numFmtId="3" fontId="14" fillId="2" borderId="10" xfId="0" applyNumberFormat="1" applyFont="1" applyFill="1" applyBorder="1" applyAlignment="1">
      <alignment horizontal="right" vertical="center"/>
    </xf>
    <xf numFmtId="3" fontId="14" fillId="2" borderId="44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horizontal="center"/>
    </xf>
    <xf numFmtId="3" fontId="14" fillId="2" borderId="13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horizontal="right"/>
    </xf>
    <xf numFmtId="3" fontId="14" fillId="2" borderId="14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14" fillId="2" borderId="27" xfId="0" applyFont="1" applyFill="1" applyBorder="1" applyAlignment="1">
      <alignment horizontal="right" vertical="center"/>
    </xf>
    <xf numFmtId="0" fontId="14" fillId="2" borderId="26" xfId="0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 vertical="center" wrapText="1"/>
    </xf>
    <xf numFmtId="0" fontId="19" fillId="2" borderId="0" xfId="0" applyFont="1" applyFill="1" applyAlignment="1">
      <alignment horizontal="right" vertical="center" wrapText="1"/>
    </xf>
    <xf numFmtId="3" fontId="20" fillId="2" borderId="6" xfId="0" applyNumberFormat="1" applyFont="1" applyFill="1" applyBorder="1" applyAlignment="1">
      <alignment horizontal="right" vertical="center"/>
    </xf>
    <xf numFmtId="3" fontId="15" fillId="2" borderId="12" xfId="0" applyNumberFormat="1" applyFont="1" applyFill="1" applyBorder="1" applyAlignment="1">
      <alignment horizontal="right" vertical="center"/>
    </xf>
    <xf numFmtId="3" fontId="15" fillId="2" borderId="26" xfId="0" applyNumberFormat="1" applyFont="1" applyFill="1" applyBorder="1" applyAlignment="1">
      <alignment horizontal="right" vertical="center"/>
    </xf>
    <xf numFmtId="3" fontId="15" fillId="2" borderId="24" xfId="0" applyNumberFormat="1" applyFont="1" applyFill="1" applyBorder="1" applyAlignment="1">
      <alignment horizontal="right" vertical="center"/>
    </xf>
    <xf numFmtId="3" fontId="15" fillId="2" borderId="13" xfId="0" applyNumberFormat="1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center" vertical="center"/>
    </xf>
    <xf numFmtId="9" fontId="15" fillId="2" borderId="6" xfId="1" applyFont="1" applyFill="1" applyBorder="1" applyAlignment="1">
      <alignment horizontal="right" vertical="center"/>
    </xf>
    <xf numFmtId="1" fontId="14" fillId="2" borderId="30" xfId="0" applyNumberFormat="1" applyFont="1" applyFill="1" applyBorder="1" applyAlignment="1">
      <alignment horizontal="right" vertical="center" wrapText="1"/>
    </xf>
    <xf numFmtId="0" fontId="15" fillId="2" borderId="13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</cellXfs>
  <cellStyles count="3">
    <cellStyle name="Normálna 2" xfId="2"/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showGridLines="0" topLeftCell="A31" workbookViewId="0">
      <selection activeCell="F15" sqref="F15"/>
    </sheetView>
  </sheetViews>
  <sheetFormatPr defaultRowHeight="15"/>
  <cols>
    <col min="1" max="1" width="22" customWidth="1"/>
    <col min="2" max="2" width="21.5703125" customWidth="1"/>
  </cols>
  <sheetData>
    <row r="1" spans="1:2">
      <c r="A1" t="s">
        <v>405</v>
      </c>
    </row>
    <row r="2" spans="1:2">
      <c r="A2" t="s">
        <v>406</v>
      </c>
    </row>
    <row r="3" spans="1:2">
      <c r="A3" t="s">
        <v>407</v>
      </c>
    </row>
    <row r="4" spans="1:2">
      <c r="A4" t="s">
        <v>408</v>
      </c>
    </row>
    <row r="5" spans="1:2">
      <c r="A5" t="s">
        <v>409</v>
      </c>
    </row>
    <row r="6" spans="1:2">
      <c r="A6" t="s">
        <v>410</v>
      </c>
    </row>
    <row r="7" spans="1:2">
      <c r="A7" t="s">
        <v>411</v>
      </c>
    </row>
    <row r="8" spans="1:2">
      <c r="A8" t="s">
        <v>412</v>
      </c>
    </row>
    <row r="9" spans="1:2">
      <c r="A9" t="s">
        <v>413</v>
      </c>
    </row>
    <row r="10" spans="1:2">
      <c r="A10" t="s">
        <v>414</v>
      </c>
    </row>
    <row r="11" spans="1:2">
      <c r="A11" s="9" t="s">
        <v>388</v>
      </c>
      <c r="B11" s="9" t="s">
        <v>415</v>
      </c>
    </row>
    <row r="12" spans="1:2">
      <c r="A12" s="7">
        <v>1</v>
      </c>
      <c r="B12" s="8" t="s">
        <v>416</v>
      </c>
    </row>
    <row r="13" spans="1:2">
      <c r="A13" s="7">
        <v>2</v>
      </c>
      <c r="B13" s="8" t="s">
        <v>417</v>
      </c>
    </row>
    <row r="14" spans="1:2">
      <c r="A14" s="7">
        <v>3</v>
      </c>
      <c r="B14" s="8" t="s">
        <v>418</v>
      </c>
    </row>
    <row r="15" spans="1:2">
      <c r="A15" s="7">
        <v>4</v>
      </c>
      <c r="B15" s="8" t="s">
        <v>419</v>
      </c>
    </row>
    <row r="16" spans="1:2">
      <c r="A16" s="7">
        <v>5</v>
      </c>
      <c r="B16" s="8" t="s">
        <v>420</v>
      </c>
    </row>
    <row r="17" spans="1:2">
      <c r="A17" s="7">
        <v>6</v>
      </c>
      <c r="B17" s="8" t="s">
        <v>421</v>
      </c>
    </row>
    <row r="18" spans="1:2">
      <c r="A18" s="7">
        <v>7</v>
      </c>
      <c r="B18" s="8" t="s">
        <v>422</v>
      </c>
    </row>
    <row r="19" spans="1:2">
      <c r="A19" s="7">
        <v>8</v>
      </c>
      <c r="B19" s="8" t="s">
        <v>423</v>
      </c>
    </row>
    <row r="20" spans="1:2">
      <c r="A20" s="7">
        <v>9</v>
      </c>
      <c r="B20" s="8" t="s">
        <v>424</v>
      </c>
    </row>
    <row r="21" spans="1:2">
      <c r="A21" s="7">
        <v>10</v>
      </c>
      <c r="B21" s="8" t="s">
        <v>425</v>
      </c>
    </row>
    <row r="22" spans="1:2">
      <c r="A22" s="7">
        <v>11</v>
      </c>
      <c r="B22" s="8" t="s">
        <v>426</v>
      </c>
    </row>
    <row r="24" spans="1:2">
      <c r="A24" t="s">
        <v>427</v>
      </c>
    </row>
    <row r="25" spans="1:2">
      <c r="A25" t="s">
        <v>428</v>
      </c>
    </row>
    <row r="26" spans="1:2">
      <c r="A26" t="s">
        <v>429</v>
      </c>
    </row>
    <row r="27" spans="1:2">
      <c r="A27" t="s">
        <v>430</v>
      </c>
    </row>
    <row r="28" spans="1:2">
      <c r="A28" t="s">
        <v>431</v>
      </c>
    </row>
    <row r="29" spans="1:2">
      <c r="A29" t="s">
        <v>432</v>
      </c>
    </row>
    <row r="30" spans="1:2">
      <c r="A30" t="s">
        <v>433</v>
      </c>
    </row>
    <row r="31" spans="1:2">
      <c r="A31" t="s">
        <v>434</v>
      </c>
    </row>
    <row r="32" spans="1:2">
      <c r="A32" t="s">
        <v>435</v>
      </c>
    </row>
    <row r="33" spans="1:1">
      <c r="A33" t="s">
        <v>436</v>
      </c>
    </row>
    <row r="34" spans="1:1">
      <c r="A34" t="s">
        <v>437</v>
      </c>
    </row>
    <row r="35" spans="1:1">
      <c r="A35" t="s">
        <v>438</v>
      </c>
    </row>
    <row r="36" spans="1:1">
      <c r="A36" t="s">
        <v>439</v>
      </c>
    </row>
    <row r="37" spans="1:1">
      <c r="A37" t="s">
        <v>440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B5"/>
  <sheetViews>
    <sheetView showGridLines="0" zoomScaleNormal="100" workbookViewId="0">
      <selection activeCell="B17" sqref="B17"/>
    </sheetView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1" t="s">
        <v>56</v>
      </c>
    </row>
    <row r="2" spans="1:2" ht="21" customHeight="1" thickTop="1" thickBot="1">
      <c r="A2" s="10" t="s">
        <v>55</v>
      </c>
      <c r="B2" s="11" t="s">
        <v>36</v>
      </c>
    </row>
    <row r="3" spans="1:2" ht="23.25" customHeight="1" thickTop="1" thickBot="1">
      <c r="A3" s="12" t="s">
        <v>57</v>
      </c>
      <c r="B3" s="13"/>
    </row>
    <row r="4" spans="1:2" ht="23.25" customHeight="1" thickBot="1">
      <c r="A4" s="16" t="s">
        <v>58</v>
      </c>
      <c r="B4" s="17"/>
    </row>
    <row r="5" spans="1:2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0"/>
  <sheetViews>
    <sheetView showGridLines="0" topLeftCell="A4" zoomScaleNormal="100" workbookViewId="0">
      <selection activeCell="G23" sqref="G23"/>
    </sheetView>
  </sheetViews>
  <sheetFormatPr defaultRowHeight="1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>
      <c r="A1" s="2" t="s">
        <v>59</v>
      </c>
    </row>
    <row r="2" spans="1:6" ht="16.5" customHeight="1" thickTop="1" thickBot="1">
      <c r="A2" s="321" t="s">
        <v>60</v>
      </c>
      <c r="B2" s="337" t="s">
        <v>2</v>
      </c>
      <c r="C2" s="338"/>
      <c r="D2" s="338"/>
      <c r="E2" s="338"/>
      <c r="F2" s="339"/>
    </row>
    <row r="3" spans="1:6" ht="70.5" customHeight="1" thickBot="1">
      <c r="A3" s="322"/>
      <c r="B3" s="56" t="s">
        <v>61</v>
      </c>
      <c r="C3" s="56" t="s">
        <v>62</v>
      </c>
      <c r="D3" s="40" t="s">
        <v>448</v>
      </c>
      <c r="E3" s="56" t="s">
        <v>449</v>
      </c>
      <c r="F3" s="56" t="s">
        <v>64</v>
      </c>
    </row>
    <row r="4" spans="1:6" ht="16.5" thickTop="1" thickBot="1">
      <c r="A4" s="126" t="s">
        <v>65</v>
      </c>
      <c r="B4" s="52"/>
      <c r="C4" s="52"/>
      <c r="D4" s="52"/>
      <c r="E4" s="52"/>
      <c r="F4" s="53"/>
    </row>
    <row r="5" spans="1:6" ht="16.5" thickTop="1" thickBot="1">
      <c r="A5" s="127"/>
      <c r="B5" s="54"/>
      <c r="C5" s="54"/>
      <c r="D5" s="22"/>
      <c r="E5" s="22"/>
      <c r="F5" s="15"/>
    </row>
    <row r="6" spans="1:6" ht="15.75" thickBot="1">
      <c r="A6" s="127"/>
      <c r="B6" s="54"/>
      <c r="C6" s="54"/>
      <c r="D6" s="22"/>
      <c r="E6" s="22"/>
      <c r="F6" s="15"/>
    </row>
    <row r="7" spans="1:6" ht="15.75" thickBot="1">
      <c r="A7" s="128"/>
      <c r="B7" s="55"/>
      <c r="C7" s="55"/>
      <c r="D7" s="26"/>
      <c r="E7" s="26"/>
      <c r="F7" s="223">
        <f>SUMIF(HK!A:A,"061*",HK!K:K)-SUMIF(HK!A:A,"061*",HK!L:L)</f>
        <v>0</v>
      </c>
    </row>
    <row r="8" spans="1:6" ht="16.5" thickTop="1" thickBot="1">
      <c r="A8" s="126" t="s">
        <v>66</v>
      </c>
      <c r="B8" s="52"/>
      <c r="C8" s="52"/>
      <c r="D8" s="52"/>
      <c r="E8" s="52"/>
      <c r="F8" s="247"/>
    </row>
    <row r="9" spans="1:6" ht="16.5" thickTop="1" thickBot="1">
      <c r="A9" s="127"/>
      <c r="B9" s="54"/>
      <c r="C9" s="54"/>
      <c r="D9" s="22"/>
      <c r="E9" s="22"/>
      <c r="F9" s="241"/>
    </row>
    <row r="10" spans="1:6" ht="15.75" thickBot="1">
      <c r="A10" s="127"/>
      <c r="B10" s="54"/>
      <c r="C10" s="54"/>
      <c r="D10" s="22"/>
      <c r="E10" s="22"/>
      <c r="F10" s="241"/>
    </row>
    <row r="11" spans="1:6" ht="15.75" thickBot="1">
      <c r="A11" s="128"/>
      <c r="B11" s="55"/>
      <c r="C11" s="55"/>
      <c r="D11" s="26"/>
      <c r="E11" s="26"/>
      <c r="F11" s="223">
        <f>SUMIF(HK!A:A,"062*",HK!K:K)-SUMIF(HK!A:A,"062*",HK!L:L)</f>
        <v>0</v>
      </c>
    </row>
    <row r="12" spans="1:6" ht="16.5" thickTop="1" thickBot="1">
      <c r="A12" s="126" t="s">
        <v>67</v>
      </c>
      <c r="B12" s="52"/>
      <c r="C12" s="52"/>
      <c r="D12" s="52"/>
      <c r="E12" s="52"/>
      <c r="F12" s="247"/>
    </row>
    <row r="13" spans="1:6" ht="16.5" thickTop="1" thickBot="1">
      <c r="A13" s="127"/>
      <c r="B13" s="54"/>
      <c r="C13" s="54"/>
      <c r="D13" s="22"/>
      <c r="E13" s="22"/>
      <c r="F13" s="241"/>
    </row>
    <row r="14" spans="1:6" ht="15.75" thickBot="1">
      <c r="A14" s="127"/>
      <c r="B14" s="54"/>
      <c r="C14" s="54"/>
      <c r="D14" s="22"/>
      <c r="E14" s="22"/>
      <c r="F14" s="241"/>
    </row>
    <row r="15" spans="1:6" ht="15.75" thickBot="1">
      <c r="A15" s="128"/>
      <c r="B15" s="55"/>
      <c r="C15" s="55"/>
      <c r="D15" s="26"/>
      <c r="E15" s="26"/>
      <c r="F15" s="223">
        <f>SUMIF(HK!A:A,"063*",HK!K:K)-SUMIF(HK!A:A,"063*",HK!L:L)</f>
        <v>0</v>
      </c>
    </row>
    <row r="16" spans="1:6" ht="16.5" thickTop="1" thickBot="1">
      <c r="A16" s="126" t="s">
        <v>68</v>
      </c>
      <c r="B16" s="52"/>
      <c r="C16" s="52"/>
      <c r="D16" s="52"/>
      <c r="E16" s="52"/>
      <c r="F16" s="247"/>
    </row>
    <row r="17" spans="1:6" ht="16.5" thickTop="1" thickBot="1">
      <c r="A17" s="129"/>
      <c r="B17" s="54"/>
      <c r="C17" s="54"/>
      <c r="D17" s="22"/>
      <c r="E17" s="22"/>
      <c r="F17" s="241"/>
    </row>
    <row r="18" spans="1:6" ht="15.75" thickBot="1">
      <c r="A18" s="82"/>
      <c r="B18" s="55"/>
      <c r="C18" s="55"/>
      <c r="D18" s="153"/>
      <c r="E18" s="46"/>
      <c r="F18" s="223">
        <f>SUMIF(HK!A:A,"043*",HK!K:K)-SUMIF(HK!A:A,"043*",HK!L:L)</f>
        <v>0</v>
      </c>
    </row>
    <row r="19" spans="1:6" ht="24" thickTop="1" thickBot="1">
      <c r="A19" s="25" t="s">
        <v>69</v>
      </c>
      <c r="B19" s="34" t="s">
        <v>18</v>
      </c>
      <c r="C19" s="34" t="s">
        <v>18</v>
      </c>
      <c r="D19" s="34" t="s">
        <v>18</v>
      </c>
      <c r="E19" s="34" t="s">
        <v>18</v>
      </c>
      <c r="F19" s="17">
        <f>SUM(F17:F18)+SUM(F13:F15)+SUM(F9:F11)+SUM(F5:F7)</f>
        <v>0</v>
      </c>
    </row>
    <row r="20" spans="1:6" ht="15.75" thickTop="1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J8"/>
  <sheetViews>
    <sheetView showGridLines="0" zoomScaleNormal="100" workbookViewId="0">
      <selection activeCell="G7" sqref="G7"/>
    </sheetView>
  </sheetViews>
  <sheetFormatPr defaultRowHeight="15"/>
  <cols>
    <col min="1" max="1" width="17.140625" customWidth="1"/>
    <col min="2" max="2" width="12.42578125" customWidth="1"/>
    <col min="3" max="7" width="11.42578125" customWidth="1"/>
  </cols>
  <sheetData>
    <row r="1" spans="1:10" ht="17.25" thickBot="1">
      <c r="A1" s="1" t="s">
        <v>70</v>
      </c>
    </row>
    <row r="2" spans="1:10" ht="74.25" customHeight="1" thickTop="1" thickBot="1">
      <c r="A2" s="58" t="s">
        <v>452</v>
      </c>
      <c r="B2" s="58" t="s">
        <v>71</v>
      </c>
      <c r="C2" s="38" t="s">
        <v>450</v>
      </c>
      <c r="D2" s="58" t="s">
        <v>72</v>
      </c>
      <c r="E2" s="58" t="s">
        <v>73</v>
      </c>
      <c r="F2" s="38" t="s">
        <v>451</v>
      </c>
      <c r="G2" s="58" t="s">
        <v>79</v>
      </c>
    </row>
    <row r="3" spans="1:10" ht="27" customHeight="1" thickTop="1" thickBot="1">
      <c r="A3" s="14" t="s">
        <v>74</v>
      </c>
      <c r="B3" s="179"/>
      <c r="C3" s="45"/>
      <c r="D3" s="45"/>
      <c r="E3" s="45"/>
      <c r="F3" s="45"/>
      <c r="G3" s="13">
        <f>SUM(C3:F3)</f>
        <v>0</v>
      </c>
    </row>
    <row r="4" spans="1:10" ht="34.5" thickBot="1">
      <c r="A4" s="14" t="s">
        <v>75</v>
      </c>
      <c r="B4" s="180"/>
      <c r="C4" s="22"/>
      <c r="D4" s="22"/>
      <c r="E4" s="22"/>
      <c r="F4" s="22"/>
      <c r="G4" s="15">
        <f>SUM(C4:F4)</f>
        <v>0</v>
      </c>
    </row>
    <row r="5" spans="1:10" ht="34.5" thickBot="1">
      <c r="A5" s="14" t="s">
        <v>76</v>
      </c>
      <c r="B5" s="180"/>
      <c r="C5" s="22"/>
      <c r="D5" s="22"/>
      <c r="E5" s="22"/>
      <c r="F5" s="22"/>
      <c r="G5" s="15">
        <f>SUM(C5:F5)</f>
        <v>0</v>
      </c>
    </row>
    <row r="6" spans="1:10" ht="27" customHeight="1" thickBot="1">
      <c r="A6" s="14" t="s">
        <v>77</v>
      </c>
      <c r="B6" s="180"/>
      <c r="C6" s="22"/>
      <c r="D6" s="22"/>
      <c r="E6" s="22"/>
      <c r="F6" s="22"/>
      <c r="G6" s="15">
        <f>SUM(C6:F6)</f>
        <v>0</v>
      </c>
    </row>
    <row r="7" spans="1:10" ht="27" customHeight="1" thickBot="1">
      <c r="A7" s="25" t="s">
        <v>78</v>
      </c>
      <c r="B7" s="181" t="s">
        <v>18</v>
      </c>
      <c r="C7" s="57"/>
      <c r="D7" s="57"/>
      <c r="E7" s="57"/>
      <c r="F7" s="57"/>
      <c r="G7" s="249">
        <f>SUMIF(HK!A:A,"065*",HK!K:K)-SUMIF(HK!A:A,"065*",HK!L:L)</f>
        <v>0</v>
      </c>
      <c r="J7" s="248"/>
    </row>
    <row r="8" spans="1:10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F8"/>
  <sheetViews>
    <sheetView showGridLines="0" zoomScaleNormal="100" workbookViewId="0">
      <selection activeCell="E6" sqref="E6"/>
    </sheetView>
  </sheetViews>
  <sheetFormatPr defaultRowHeight="15"/>
  <cols>
    <col min="1" max="1" width="20.42578125" customWidth="1"/>
    <col min="2" max="6" width="13.28515625" customWidth="1"/>
    <col min="7" max="7" width="17.5703125" customWidth="1"/>
  </cols>
  <sheetData>
    <row r="1" spans="1:6" ht="17.25" thickBot="1">
      <c r="A1" s="1" t="s">
        <v>80</v>
      </c>
    </row>
    <row r="2" spans="1:6" ht="58.5" customHeight="1" thickTop="1" thickBot="1">
      <c r="A2" s="58" t="s">
        <v>81</v>
      </c>
      <c r="B2" s="38" t="s">
        <v>450</v>
      </c>
      <c r="C2" s="58" t="s">
        <v>72</v>
      </c>
      <c r="D2" s="58" t="s">
        <v>73</v>
      </c>
      <c r="E2" s="58" t="s">
        <v>453</v>
      </c>
      <c r="F2" s="38" t="s">
        <v>30</v>
      </c>
    </row>
    <row r="3" spans="1:6" ht="27" customHeight="1" thickTop="1" thickBot="1">
      <c r="A3" s="14" t="s">
        <v>74</v>
      </c>
      <c r="B3" s="22"/>
      <c r="C3" s="22"/>
      <c r="D3" s="22"/>
      <c r="E3" s="22"/>
      <c r="F3" s="15">
        <f>SUM(B3:E3)</f>
        <v>0</v>
      </c>
    </row>
    <row r="4" spans="1:6" ht="27" customHeight="1" thickBot="1">
      <c r="A4" s="14" t="s">
        <v>82</v>
      </c>
      <c r="B4" s="22"/>
      <c r="C4" s="22"/>
      <c r="D4" s="22"/>
      <c r="E4" s="22"/>
      <c r="F4" s="15">
        <f>SUM(B4:E4)</f>
        <v>0</v>
      </c>
    </row>
    <row r="5" spans="1:6" ht="27" customHeight="1" thickBot="1">
      <c r="A5" s="14" t="s">
        <v>83</v>
      </c>
      <c r="B5" s="22"/>
      <c r="C5" s="22"/>
      <c r="D5" s="22"/>
      <c r="E5" s="22"/>
      <c r="F5" s="15">
        <f>SUM(B5:E5)</f>
        <v>0</v>
      </c>
    </row>
    <row r="6" spans="1:6" ht="27" customHeight="1" thickBot="1">
      <c r="A6" s="14" t="s">
        <v>77</v>
      </c>
      <c r="B6" s="22"/>
      <c r="C6" s="22"/>
      <c r="D6" s="22"/>
      <c r="E6" s="22"/>
      <c r="F6" s="15">
        <f>SUM(B6:E6)</f>
        <v>0</v>
      </c>
    </row>
    <row r="7" spans="1:6" ht="27" customHeight="1" thickBot="1">
      <c r="A7" s="25" t="s">
        <v>84</v>
      </c>
      <c r="B7" s="57">
        <f>SUM(B3:B6)</f>
        <v>0</v>
      </c>
      <c r="C7" s="57">
        <f>SUM(C3:C6)</f>
        <v>0</v>
      </c>
      <c r="D7" s="57">
        <f>SUM(D3:D6)</f>
        <v>0</v>
      </c>
      <c r="E7" s="57">
        <f>SUM(E3:E6)</f>
        <v>0</v>
      </c>
      <c r="F7" s="59">
        <f>SUM(F3:F6)</f>
        <v>0</v>
      </c>
    </row>
    <row r="8" spans="1:6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H13"/>
  <sheetViews>
    <sheetView showGridLines="0" topLeftCell="A10" zoomScaleNormal="100" workbookViewId="0">
      <selection activeCell="B12" sqref="B12"/>
    </sheetView>
  </sheetViews>
  <sheetFormatPr defaultRowHeight="15"/>
  <cols>
    <col min="1" max="1" width="18.5703125" customWidth="1"/>
    <col min="2" max="6" width="13.5703125" customWidth="1"/>
    <col min="7" max="7" width="17.5703125" customWidth="1"/>
  </cols>
  <sheetData>
    <row r="1" spans="1:8" ht="16.5">
      <c r="A1" s="1" t="s">
        <v>85</v>
      </c>
    </row>
    <row r="2" spans="1:8" ht="17.25" thickBot="1">
      <c r="A2" s="2" t="s">
        <v>8</v>
      </c>
    </row>
    <row r="3" spans="1:8" ht="16.5" thickTop="1" thickBot="1">
      <c r="A3" s="321" t="s">
        <v>86</v>
      </c>
      <c r="B3" s="323" t="s">
        <v>2</v>
      </c>
      <c r="C3" s="329"/>
      <c r="D3" s="329"/>
      <c r="E3" s="329"/>
      <c r="F3" s="324"/>
    </row>
    <row r="4" spans="1:8" ht="60" customHeight="1" thickTop="1" thickBot="1">
      <c r="A4" s="322"/>
      <c r="B4" s="30" t="s">
        <v>87</v>
      </c>
      <c r="C4" s="21" t="s">
        <v>456</v>
      </c>
      <c r="D4" s="30" t="s">
        <v>459</v>
      </c>
      <c r="E4" s="21" t="s">
        <v>457</v>
      </c>
      <c r="F4" s="30" t="s">
        <v>89</v>
      </c>
    </row>
    <row r="5" spans="1:8" ht="23.25" customHeight="1" thickTop="1" thickBot="1">
      <c r="A5" s="14" t="s">
        <v>90</v>
      </c>
      <c r="B5" s="223">
        <f>SUMIF(HK!A:A,"191*",HK!D:D)-SUMIF(HK!A:A,"191*",HK!C:C)</f>
        <v>0</v>
      </c>
      <c r="C5" s="250"/>
      <c r="D5" s="250"/>
      <c r="E5" s="250"/>
      <c r="F5" s="223">
        <f>SUMIF(HK!A:A,"191*",HK!L:L)-SUMIF(HK!A:A,"191*",HK!K:K)</f>
        <v>0</v>
      </c>
      <c r="H5" s="248"/>
    </row>
    <row r="6" spans="1:8" ht="34.5" thickBot="1">
      <c r="A6" s="14" t="s">
        <v>98</v>
      </c>
      <c r="B6" s="223">
        <f>SUMIF(HK!A:A,"192*",HK!D:D)-SUMIF(HK!A:A,"192*",HK!C:C)+SUMIF(HK!A:A,"193*",HK!D:D)-SUMIF(HK!A:A,"193*",HK!C:C)</f>
        <v>0</v>
      </c>
      <c r="C6" s="250"/>
      <c r="D6" s="250"/>
      <c r="E6" s="250"/>
      <c r="F6" s="223">
        <f>SUMIF(HK!A:A,"192*",HK!L:L)-SUMIF(HK!A:A,"192*",HK!K:K)+SUMIF(HK!A:A,"193*",HK!L:L)-SUMIF(HK!A:A,"193*",HK!K:K)</f>
        <v>0</v>
      </c>
      <c r="H6" s="248"/>
    </row>
    <row r="7" spans="1:8" ht="23.25" customHeight="1" thickBot="1">
      <c r="A7" s="14" t="s">
        <v>91</v>
      </c>
      <c r="B7" s="223">
        <f>SUMIF(HK!A:A,"194*",HK!D:D)-SUMIF(HK!A:A,"194*",HK!C:C)</f>
        <v>0</v>
      </c>
      <c r="C7" s="186"/>
      <c r="D7" s="186"/>
      <c r="E7" s="186"/>
      <c r="F7" s="223">
        <f>SUMIF(HK!A:A,"194*",HK!L:L)-SUMIF(HK!A:A,"194*",HK!K:K)</f>
        <v>0</v>
      </c>
      <c r="H7" s="248"/>
    </row>
    <row r="8" spans="1:8" ht="23.25" customHeight="1" thickBot="1">
      <c r="A8" s="14" t="s">
        <v>92</v>
      </c>
      <c r="B8" s="223">
        <f>SUMIF(HK!A:A,"195*",HK!D:D)-SUMIF(HK!A:A,"195*",HK!C:C)</f>
        <v>0</v>
      </c>
      <c r="C8" s="186"/>
      <c r="D8" s="186"/>
      <c r="E8" s="186"/>
      <c r="F8" s="223">
        <f>SUMIF(HK!A:A,"195*",HK!L:L)-SUMIF(HK!A:A,"195*",HK!K:K)</f>
        <v>0</v>
      </c>
      <c r="H8" s="248"/>
    </row>
    <row r="9" spans="1:8" ht="23.25" customHeight="1" thickBot="1">
      <c r="A9" s="14" t="s">
        <v>93</v>
      </c>
      <c r="B9" s="223">
        <f>SUMIF(HK!A:A,"196*",HK!D:D)-SUMIF(HK!A:A,"196*",HK!C:C)</f>
        <v>0</v>
      </c>
      <c r="C9" s="186"/>
      <c r="D9" s="186"/>
      <c r="E9" s="186"/>
      <c r="F9" s="223">
        <f>SUMIF(HK!A:A,"196*",HK!L:L)-SUMIF(HK!A:A,"196*",HK!K:K)</f>
        <v>0</v>
      </c>
      <c r="H9" s="248"/>
    </row>
    <row r="10" spans="1:8" ht="23.25" customHeight="1" thickBot="1">
      <c r="A10" s="14" t="s">
        <v>94</v>
      </c>
      <c r="B10" s="163"/>
      <c r="C10" s="163"/>
      <c r="D10" s="163"/>
      <c r="E10" s="163"/>
      <c r="F10" s="15">
        <f t="shared" ref="F10:F11" si="0">SUM(B10:E10)</f>
        <v>0</v>
      </c>
    </row>
    <row r="11" spans="1:8" ht="23.25" customHeight="1" thickBot="1">
      <c r="A11" s="14" t="s">
        <v>458</v>
      </c>
      <c r="B11" s="163"/>
      <c r="C11" s="163"/>
      <c r="D11" s="163"/>
      <c r="E11" s="163"/>
      <c r="F11" s="15">
        <f t="shared" si="0"/>
        <v>0</v>
      </c>
    </row>
    <row r="12" spans="1:8" ht="23.25" customHeight="1" thickBot="1">
      <c r="A12" s="25" t="s">
        <v>95</v>
      </c>
      <c r="B12" s="57">
        <f>SUM(B5:B11)</f>
        <v>0</v>
      </c>
      <c r="C12" s="57">
        <f t="shared" ref="C12:F12" si="1">SUM(C5:C11)</f>
        <v>0</v>
      </c>
      <c r="D12" s="57">
        <f t="shared" si="1"/>
        <v>0</v>
      </c>
      <c r="E12" s="57">
        <f t="shared" si="1"/>
        <v>0</v>
      </c>
      <c r="F12" s="59">
        <f t="shared" si="1"/>
        <v>0</v>
      </c>
    </row>
    <row r="13" spans="1:8" ht="17.25" thickTop="1">
      <c r="A13" s="2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</sheetPr>
  <dimension ref="A1:B7"/>
  <sheetViews>
    <sheetView showGridLines="0" zoomScaleNormal="100" workbookViewId="0">
      <selection activeCell="C31" sqref="C31"/>
    </sheetView>
  </sheetViews>
  <sheetFormatPr defaultRowHeight="1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>
      <c r="A1" s="1" t="s">
        <v>85</v>
      </c>
    </row>
    <row r="2" spans="1:2" ht="16.5">
      <c r="A2" s="2"/>
    </row>
    <row r="3" spans="1:2" ht="17.25" thickBot="1">
      <c r="A3" s="2" t="s">
        <v>15</v>
      </c>
    </row>
    <row r="4" spans="1:2" ht="24" customHeight="1" thickTop="1" thickBot="1">
      <c r="A4" s="10" t="s">
        <v>94</v>
      </c>
      <c r="B4" s="11" t="s">
        <v>63</v>
      </c>
    </row>
    <row r="5" spans="1:2" ht="24" thickTop="1" thickBot="1">
      <c r="A5" s="12" t="s">
        <v>96</v>
      </c>
      <c r="B5" s="13"/>
    </row>
    <row r="6" spans="1:2" ht="24.75" customHeight="1" thickBot="1">
      <c r="A6" s="16" t="s">
        <v>97</v>
      </c>
      <c r="B6" s="17"/>
    </row>
    <row r="7" spans="1:2" ht="15.75" thickTop="1">
      <c r="A7" s="61"/>
      <c r="B7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B5"/>
  <sheetViews>
    <sheetView showGridLines="0" zoomScaleNormal="100" workbookViewId="0">
      <selection activeCell="B14" sqref="B14"/>
    </sheetView>
  </sheetViews>
  <sheetFormatPr defaultRowHeight="15"/>
  <cols>
    <col min="1" max="1" width="44.42578125" customWidth="1"/>
    <col min="2" max="2" width="42.140625" customWidth="1"/>
    <col min="3" max="3" width="19.140625" customWidth="1"/>
  </cols>
  <sheetData>
    <row r="1" spans="1:2" ht="17.25" thickBot="1">
      <c r="A1" s="1" t="s">
        <v>99</v>
      </c>
    </row>
    <row r="2" spans="1:2" ht="16.5" thickTop="1" thickBot="1">
      <c r="A2" s="10" t="s">
        <v>86</v>
      </c>
      <c r="B2" s="11" t="s">
        <v>36</v>
      </c>
    </row>
    <row r="3" spans="1:2" ht="24" customHeight="1" thickTop="1" thickBot="1">
      <c r="A3" s="12" t="s">
        <v>100</v>
      </c>
      <c r="B3" s="13"/>
    </row>
    <row r="4" spans="1:2" ht="24" customHeight="1" thickBot="1">
      <c r="A4" s="16" t="s">
        <v>101</v>
      </c>
      <c r="B4" s="17"/>
    </row>
    <row r="5" spans="1:2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G14"/>
  <sheetViews>
    <sheetView showGridLines="0" zoomScaleNormal="100" workbookViewId="0">
      <selection activeCell="F4" sqref="F4"/>
    </sheetView>
  </sheetViews>
  <sheetFormatPr defaultRowHeight="15"/>
  <cols>
    <col min="1" max="1" width="22.140625" customWidth="1"/>
    <col min="2" max="4" width="21.42578125" customWidth="1"/>
  </cols>
  <sheetData>
    <row r="1" spans="1:7" ht="16.5">
      <c r="A1" s="1" t="s">
        <v>102</v>
      </c>
    </row>
    <row r="2" spans="1:7" ht="17.25" thickBot="1">
      <c r="A2" s="2" t="s">
        <v>8</v>
      </c>
    </row>
    <row r="3" spans="1:7" ht="45" customHeight="1" thickTop="1" thickBot="1">
      <c r="A3" s="58" t="s">
        <v>1</v>
      </c>
      <c r="B3" s="66" t="s">
        <v>489</v>
      </c>
      <c r="C3" s="66" t="s">
        <v>104</v>
      </c>
      <c r="D3" s="66" t="s">
        <v>491</v>
      </c>
    </row>
    <row r="4" spans="1:7" ht="20.25" customHeight="1" thickTop="1" thickBot="1">
      <c r="A4" s="14" t="s">
        <v>106</v>
      </c>
      <c r="B4" s="223">
        <f>SUMIF(HK!A:A,"606*",HK!L:L)-SUMIF(HK!A:A,"606*",HK!K:K)</f>
        <v>0</v>
      </c>
      <c r="C4" s="223">
        <f>SUMIF(HKM!A:A,"606*",HKM!L:L)-SUMIF(HKM!A:A,"606*",HKM!K:K)</f>
        <v>0</v>
      </c>
      <c r="D4" s="15"/>
      <c r="G4" s="248"/>
    </row>
    <row r="5" spans="1:7" ht="20.25" customHeight="1" thickBot="1">
      <c r="A5" s="14" t="s">
        <v>107</v>
      </c>
      <c r="B5" s="15"/>
      <c r="C5" s="15"/>
      <c r="D5" s="15"/>
    </row>
    <row r="6" spans="1:7" ht="20.25" customHeight="1" thickBot="1">
      <c r="A6" s="16" t="s">
        <v>108</v>
      </c>
      <c r="B6" s="17"/>
      <c r="C6" s="17"/>
      <c r="D6" s="17">
        <f>D4+D5</f>
        <v>0</v>
      </c>
    </row>
    <row r="7" spans="1:7" ht="15.75" thickTop="1">
      <c r="A7" s="47"/>
      <c r="B7" s="20"/>
      <c r="C7" s="20"/>
      <c r="D7" s="20"/>
    </row>
    <row r="8" spans="1:7">
      <c r="A8" s="47"/>
      <c r="B8" s="20"/>
      <c r="C8" s="20"/>
      <c r="D8" s="20"/>
    </row>
    <row r="9" spans="1:7" ht="15.75" thickBot="1">
      <c r="A9" s="47" t="s">
        <v>114</v>
      </c>
      <c r="B9" s="20"/>
      <c r="C9" s="20"/>
      <c r="D9" s="20"/>
    </row>
    <row r="10" spans="1:7" ht="45" customHeight="1" thickTop="1" thickBot="1">
      <c r="A10" s="58" t="s">
        <v>1</v>
      </c>
      <c r="B10" s="66" t="s">
        <v>489</v>
      </c>
      <c r="C10" s="66" t="s">
        <v>104</v>
      </c>
      <c r="D10" s="66" t="s">
        <v>490</v>
      </c>
    </row>
    <row r="11" spans="1:7" ht="35.25" thickTop="1" thickBot="1">
      <c r="A11" s="14" t="s">
        <v>115</v>
      </c>
      <c r="B11" s="15"/>
      <c r="C11" s="15"/>
      <c r="D11" s="15"/>
    </row>
    <row r="12" spans="1:7" ht="34.5" thickBot="1">
      <c r="A12" s="14" t="s">
        <v>116</v>
      </c>
      <c r="B12" s="15"/>
      <c r="C12" s="15"/>
      <c r="D12" s="15"/>
    </row>
    <row r="13" spans="1:7" ht="15.75" thickBot="1">
      <c r="A13" s="16" t="s">
        <v>108</v>
      </c>
      <c r="B13" s="17">
        <f>B11+B12</f>
        <v>0</v>
      </c>
      <c r="C13" s="17">
        <f t="shared" ref="C13:D13" si="0">C11+C12</f>
        <v>0</v>
      </c>
      <c r="D13" s="17">
        <f t="shared" si="0"/>
        <v>0</v>
      </c>
    </row>
    <row r="14" spans="1:7" ht="17.25" thickTop="1">
      <c r="A14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</sheetPr>
  <dimension ref="A1:C17"/>
  <sheetViews>
    <sheetView showGridLines="0" topLeftCell="A3" zoomScaleNormal="100" workbookViewId="0">
      <selection activeCell="D10" sqref="D10"/>
    </sheetView>
  </sheetViews>
  <sheetFormatPr defaultRowHeight="15"/>
  <cols>
    <col min="1" max="1" width="28.7109375" customWidth="1"/>
    <col min="2" max="3" width="28.85546875" customWidth="1"/>
    <col min="4" max="4" width="36.5703125" customWidth="1"/>
  </cols>
  <sheetData>
    <row r="1" spans="1:3" ht="16.5">
      <c r="A1" s="1" t="s">
        <v>102</v>
      </c>
    </row>
    <row r="2" spans="1:3" ht="16.5">
      <c r="A2" s="2"/>
    </row>
    <row r="3" spans="1:3" ht="15.75" thickBot="1">
      <c r="A3" s="20" t="s">
        <v>15</v>
      </c>
      <c r="B3" s="20"/>
      <c r="C3" s="20"/>
    </row>
    <row r="4" spans="1:3" ht="45" customHeight="1" thickTop="1" thickBot="1">
      <c r="A4" s="58" t="s">
        <v>109</v>
      </c>
      <c r="B4" s="66" t="s">
        <v>103</v>
      </c>
      <c r="C4" s="66" t="s">
        <v>105</v>
      </c>
    </row>
    <row r="5" spans="1:3" ht="24" thickTop="1" thickBot="1">
      <c r="A5" s="14" t="s">
        <v>110</v>
      </c>
      <c r="B5" s="15"/>
      <c r="C5" s="15"/>
    </row>
    <row r="6" spans="1:3" ht="34.5" thickBot="1">
      <c r="A6" s="14" t="s">
        <v>111</v>
      </c>
      <c r="B6" s="15"/>
      <c r="C6" s="15"/>
    </row>
    <row r="7" spans="1:3" ht="20.25" customHeight="1" thickBot="1">
      <c r="A7" s="14" t="s">
        <v>112</v>
      </c>
      <c r="B7" s="15"/>
      <c r="C7" s="15"/>
    </row>
    <row r="8" spans="1:3" ht="20.25" customHeight="1" thickBot="1">
      <c r="A8" s="16" t="s">
        <v>113</v>
      </c>
      <c r="B8" s="17"/>
      <c r="C8" s="17"/>
    </row>
    <row r="9" spans="1:3" ht="15.75" thickTop="1">
      <c r="A9" s="20"/>
      <c r="B9" s="20"/>
      <c r="C9" s="20"/>
    </row>
    <row r="10" spans="1:3">
      <c r="A10" s="48"/>
      <c r="B10" s="20"/>
      <c r="C10" s="20"/>
    </row>
    <row r="11" spans="1:3" ht="15.75" thickBot="1">
      <c r="A11" s="48" t="s">
        <v>117</v>
      </c>
      <c r="B11" s="20"/>
      <c r="C11" s="20"/>
    </row>
    <row r="12" spans="1:3" ht="45" customHeight="1" thickTop="1" thickBot="1">
      <c r="A12" s="58" t="s">
        <v>118</v>
      </c>
      <c r="B12" s="66" t="s">
        <v>103</v>
      </c>
      <c r="C12" s="66" t="s">
        <v>490</v>
      </c>
    </row>
    <row r="13" spans="1:3" ht="35.25" thickTop="1" thickBot="1">
      <c r="A13" s="14" t="s">
        <v>119</v>
      </c>
      <c r="B13" s="15"/>
      <c r="C13" s="15"/>
    </row>
    <row r="14" spans="1:3" ht="34.5" thickBot="1">
      <c r="A14" s="14" t="s">
        <v>111</v>
      </c>
      <c r="B14" s="15"/>
      <c r="C14" s="15"/>
    </row>
    <row r="15" spans="1:3" ht="20.25" customHeight="1" thickBot="1">
      <c r="A15" s="14" t="s">
        <v>120</v>
      </c>
      <c r="B15" s="15"/>
      <c r="C15" s="15"/>
    </row>
    <row r="16" spans="1:3" ht="20.25" customHeight="1" thickBot="1">
      <c r="A16" s="16" t="s">
        <v>113</v>
      </c>
      <c r="B16" s="17"/>
      <c r="C16" s="17"/>
    </row>
    <row r="17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K10"/>
  <sheetViews>
    <sheetView showGridLines="0" zoomScaleNormal="100" workbookViewId="0">
      <selection activeCell="F8" sqref="F8"/>
    </sheetView>
  </sheetViews>
  <sheetFormatPr defaultRowHeight="15"/>
  <cols>
    <col min="1" max="1" width="25.28515625" customWidth="1"/>
    <col min="2" max="6" width="12.140625" customWidth="1"/>
  </cols>
  <sheetData>
    <row r="1" spans="1:11" ht="17.25" thickBot="1">
      <c r="A1" s="1" t="s">
        <v>121</v>
      </c>
    </row>
    <row r="2" spans="1:11" ht="16.5" thickTop="1" thickBot="1">
      <c r="A2" s="321" t="s">
        <v>122</v>
      </c>
      <c r="B2" s="323" t="s">
        <v>2</v>
      </c>
      <c r="C2" s="329"/>
      <c r="D2" s="329"/>
      <c r="E2" s="329"/>
      <c r="F2" s="324"/>
    </row>
    <row r="3" spans="1:11" ht="62.25" customHeight="1" thickTop="1" thickBot="1">
      <c r="A3" s="322"/>
      <c r="B3" s="182" t="s">
        <v>123</v>
      </c>
      <c r="C3" s="40" t="s">
        <v>455</v>
      </c>
      <c r="D3" s="182" t="s">
        <v>459</v>
      </c>
      <c r="E3" s="40" t="s">
        <v>457</v>
      </c>
      <c r="F3" s="182" t="s">
        <v>89</v>
      </c>
    </row>
    <row r="4" spans="1:11" s="4" customFormat="1" ht="33" customHeight="1" thickTop="1" thickBot="1">
      <c r="A4" s="166" t="s">
        <v>125</v>
      </c>
      <c r="B4" s="252">
        <f>SUMIF(SUAM!C:C,"039",SUAM!E:E)+SUMIF(SUAM!C:C,"047",SUAM!E:E)</f>
        <v>5414.04</v>
      </c>
      <c r="C4" s="187"/>
      <c r="D4" s="187"/>
      <c r="E4" s="187"/>
      <c r="F4" s="253">
        <f>SUMIF(SUA!C:C,"039",SUA!E:E)+SUMIF(SUA!C:C,"047",SUA!E:E)</f>
        <v>15822.08</v>
      </c>
      <c r="G4" s="254"/>
      <c r="H4" s="254"/>
      <c r="I4" s="255"/>
      <c r="K4" s="164"/>
    </row>
    <row r="5" spans="1:11" s="4" customFormat="1" ht="33" customHeight="1" thickBot="1">
      <c r="A5" s="166" t="s">
        <v>126</v>
      </c>
      <c r="B5" s="256">
        <f>SUMIF(SUAM!C:C,"041",SUAM!E:E)+SUMIF(SUAM!C:C,"049",SUAM!E:E)</f>
        <v>0</v>
      </c>
      <c r="C5" s="186"/>
      <c r="D5" s="186"/>
      <c r="E5" s="186"/>
      <c r="F5" s="223">
        <f>SUMIF(SUA!C:C,"041",SUA!E:E)+SUMIF(SUA!C:C,"049",SUA!E:E)</f>
        <v>0</v>
      </c>
      <c r="G5" s="254"/>
      <c r="H5" s="254"/>
      <c r="I5" s="255"/>
      <c r="K5" s="164"/>
    </row>
    <row r="6" spans="1:11" s="4" customFormat="1" ht="33" customHeight="1" thickBot="1">
      <c r="A6" s="166" t="s">
        <v>136</v>
      </c>
      <c r="B6" s="256">
        <f>SUMIF(SUAM!C:C,"042",SUAM!E:E)+SUMIF(SUAM!C:C,"050",SUAM!E:E)</f>
        <v>0</v>
      </c>
      <c r="C6" s="186"/>
      <c r="D6" s="186"/>
      <c r="E6" s="186"/>
      <c r="F6" s="223">
        <f>SUMIF(SUA!C:C,"042",SUA!E:E)+SUMIF(SUA!C:C,"050",SUA!E:E)</f>
        <v>0</v>
      </c>
      <c r="G6" s="254"/>
      <c r="H6" s="254"/>
      <c r="I6" s="255"/>
      <c r="K6" s="164"/>
    </row>
    <row r="7" spans="1:11" s="4" customFormat="1" ht="33" customHeight="1" thickBot="1">
      <c r="A7" s="166" t="s">
        <v>127</v>
      </c>
      <c r="B7" s="256">
        <f>SUMIF(SUAM!C:C,"043",SUAM!E:E)+SUMIF(SUAM!C:C,"051",SUAM!E:E)</f>
        <v>0</v>
      </c>
      <c r="C7" s="186"/>
      <c r="D7" s="186"/>
      <c r="E7" s="186"/>
      <c r="F7" s="223">
        <f>SUMIF(SUA!C:C,"043",SUA!E:E)+SUMIF(SUA!C:C,"051",SUA!E:E)</f>
        <v>0</v>
      </c>
      <c r="G7" s="254"/>
      <c r="H7" s="254"/>
      <c r="I7" s="255"/>
      <c r="K7" s="164"/>
    </row>
    <row r="8" spans="1:11" s="4" customFormat="1" ht="33" customHeight="1" thickBot="1">
      <c r="A8" s="166" t="s">
        <v>128</v>
      </c>
      <c r="B8" s="256">
        <f>SUMIF(SUAM!C:C,"044",SUAM!E:E)+SUMIF(SUAM!C:C,"052",SUAM!E:E)+SUMIF(SUAM!C:C,"053",SUAM!E:E)</f>
        <v>0</v>
      </c>
      <c r="C8" s="186"/>
      <c r="D8" s="186"/>
      <c r="E8" s="186"/>
      <c r="F8" s="223">
        <f>SUMIF(SUA!C:C,"044",SUA!E:E)+SUMIF(SUA!C:C,"052",SUA!E:E)+SUMIF(SUA!C:C,"053",SUA!E:E)</f>
        <v>0</v>
      </c>
      <c r="G8" s="254"/>
      <c r="H8" s="254"/>
      <c r="I8" s="255"/>
      <c r="K8" s="164"/>
    </row>
    <row r="9" spans="1:11" s="4" customFormat="1" ht="33" customHeight="1" thickBot="1">
      <c r="A9" s="167" t="s">
        <v>129</v>
      </c>
      <c r="B9" s="183">
        <f>SUM(D4:D8)</f>
        <v>0</v>
      </c>
      <c r="C9" s="184"/>
      <c r="D9" s="184"/>
      <c r="E9" s="184"/>
      <c r="F9" s="184">
        <f>SUM(F4:F8)</f>
        <v>15822.08</v>
      </c>
    </row>
    <row r="10" spans="1:11" ht="15.75" thickTop="1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C6"/>
  <sheetViews>
    <sheetView showGridLines="0" zoomScaleNormal="100" workbookViewId="0">
      <selection activeCell="C6" sqref="C6"/>
    </sheetView>
  </sheetViews>
  <sheetFormatPr defaultRowHeight="15"/>
  <cols>
    <col min="1" max="1" width="33.28515625" customWidth="1"/>
    <col min="2" max="3" width="26.140625" customWidth="1"/>
  </cols>
  <sheetData>
    <row r="1" spans="1:3" ht="17.25" thickBot="1">
      <c r="A1" s="1" t="s">
        <v>0</v>
      </c>
    </row>
    <row r="2" spans="1:3" ht="21.75" customHeight="1" thickTop="1" thickBot="1">
      <c r="A2" s="10" t="s">
        <v>1</v>
      </c>
      <c r="B2" s="11" t="s">
        <v>2</v>
      </c>
      <c r="C2" s="11" t="s">
        <v>3</v>
      </c>
    </row>
    <row r="3" spans="1:3" ht="22.5" customHeight="1" thickTop="1" thickBot="1">
      <c r="A3" s="12" t="s">
        <v>4</v>
      </c>
      <c r="B3" s="13">
        <v>12</v>
      </c>
      <c r="C3" s="13">
        <v>12</v>
      </c>
    </row>
    <row r="4" spans="1:3" ht="22.5" customHeight="1" thickBot="1">
      <c r="A4" s="14" t="s">
        <v>5</v>
      </c>
      <c r="B4" s="15">
        <v>13</v>
      </c>
      <c r="C4" s="15">
        <v>12</v>
      </c>
    </row>
    <row r="5" spans="1:3" ht="22.5" customHeight="1" thickBot="1">
      <c r="A5" s="16" t="s">
        <v>6</v>
      </c>
      <c r="B5" s="17">
        <v>2</v>
      </c>
      <c r="C5" s="17">
        <v>1</v>
      </c>
    </row>
    <row r="6" spans="1:3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50"/>
  </sheetPr>
  <dimension ref="A1:F20"/>
  <sheetViews>
    <sheetView showGridLines="0" topLeftCell="A13" zoomScaleNormal="100" workbookViewId="0">
      <selection activeCell="D17" sqref="D17"/>
    </sheetView>
  </sheetViews>
  <sheetFormatPr defaultRowHeight="15"/>
  <cols>
    <col min="1" max="1" width="25.85546875" customWidth="1"/>
    <col min="2" max="4" width="20.140625" customWidth="1"/>
    <col min="5" max="6" width="20.42578125" customWidth="1"/>
  </cols>
  <sheetData>
    <row r="1" spans="1:6" ht="16.5">
      <c r="A1" s="1" t="s">
        <v>130</v>
      </c>
    </row>
    <row r="2" spans="1:6" ht="17.25" thickBot="1">
      <c r="A2" s="2" t="s">
        <v>8</v>
      </c>
    </row>
    <row r="3" spans="1:6" ht="22.5" customHeight="1" thickTop="1" thickBot="1">
      <c r="A3" s="10" t="s">
        <v>131</v>
      </c>
      <c r="B3" s="11" t="s">
        <v>132</v>
      </c>
      <c r="C3" s="11" t="s">
        <v>133</v>
      </c>
      <c r="D3" s="11" t="s">
        <v>129</v>
      </c>
    </row>
    <row r="4" spans="1:6" ht="22.5" customHeight="1" thickTop="1" thickBot="1">
      <c r="A4" s="62" t="s">
        <v>134</v>
      </c>
      <c r="B4" s="52"/>
      <c r="C4" s="52"/>
      <c r="D4" s="53"/>
    </row>
    <row r="5" spans="1:6" ht="22.5" customHeight="1" thickTop="1" thickBot="1">
      <c r="A5" s="14" t="s">
        <v>135</v>
      </c>
      <c r="B5" s="22"/>
      <c r="C5" s="22"/>
      <c r="D5" s="258">
        <f>SUMIF(SUA!C:C,"039",SUA!F:F)</f>
        <v>0</v>
      </c>
      <c r="E5" s="259"/>
      <c r="F5" s="255"/>
    </row>
    <row r="6" spans="1:6" ht="22.5" customHeight="1" thickBot="1">
      <c r="A6" s="14" t="s">
        <v>126</v>
      </c>
      <c r="B6" s="22"/>
      <c r="C6" s="22"/>
      <c r="D6" s="258">
        <f>SUMIF(SUA!C:C,"041",SUA!F:F)</f>
        <v>0</v>
      </c>
      <c r="E6" s="259"/>
      <c r="F6" s="255"/>
    </row>
    <row r="7" spans="1:6" ht="22.5" customHeight="1" thickBot="1">
      <c r="A7" s="14" t="s">
        <v>136</v>
      </c>
      <c r="B7" s="22"/>
      <c r="C7" s="22"/>
      <c r="D7" s="258">
        <f>SUMIF(SUA!C:C,"042",SUA!F:F)</f>
        <v>0</v>
      </c>
      <c r="E7" s="259"/>
      <c r="F7" s="255"/>
    </row>
    <row r="8" spans="1:6" ht="22.5" customHeight="1" thickBot="1">
      <c r="A8" s="14" t="s">
        <v>127</v>
      </c>
      <c r="B8" s="22"/>
      <c r="C8" s="22"/>
      <c r="D8" s="258">
        <f>SUMIF(SUA!C:C,"043",SUA!F:F)</f>
        <v>0</v>
      </c>
      <c r="E8" s="259"/>
      <c r="F8" s="255"/>
    </row>
    <row r="9" spans="1:6" ht="22.5" customHeight="1" thickBot="1">
      <c r="A9" s="14" t="s">
        <v>128</v>
      </c>
      <c r="B9" s="22"/>
      <c r="C9" s="22"/>
      <c r="D9" s="258">
        <f>SUMIF(SUA!C:C,"044",SUA!F:F)</f>
        <v>0</v>
      </c>
      <c r="E9" s="259"/>
      <c r="F9" s="255"/>
    </row>
    <row r="10" spans="1:6" ht="22.5" customHeight="1" thickBot="1">
      <c r="A10" s="25" t="s">
        <v>137</v>
      </c>
      <c r="B10" s="57">
        <f>SUM(B5:B9)</f>
        <v>0</v>
      </c>
      <c r="C10" s="57">
        <f>SUM(C5:C9)</f>
        <v>0</v>
      </c>
      <c r="D10" s="249">
        <f>SUM(D5:D9)</f>
        <v>0</v>
      </c>
      <c r="E10" s="259"/>
      <c r="F10" s="259"/>
    </row>
    <row r="11" spans="1:6" ht="22.5" customHeight="1" thickTop="1" thickBot="1">
      <c r="A11" s="62" t="s">
        <v>138</v>
      </c>
      <c r="B11" s="52"/>
      <c r="C11" s="52"/>
      <c r="D11" s="247"/>
      <c r="E11" s="259"/>
      <c r="F11" s="259"/>
    </row>
    <row r="12" spans="1:6" ht="22.5" customHeight="1" thickTop="1" thickBot="1">
      <c r="A12" s="14" t="s">
        <v>139</v>
      </c>
      <c r="B12" s="22"/>
      <c r="C12" s="22"/>
      <c r="D12" s="258">
        <f>SUMIF(SUA!C:C,"047",SUA!F:F)</f>
        <v>944083.58</v>
      </c>
      <c r="E12" s="259"/>
      <c r="F12" s="255"/>
    </row>
    <row r="13" spans="1:6" ht="22.5" customHeight="1" thickBot="1">
      <c r="A13" s="14" t="s">
        <v>126</v>
      </c>
      <c r="B13" s="22"/>
      <c r="C13" s="22"/>
      <c r="D13" s="258">
        <f>SUMIF(SUA!C:C,"049",SUA!F:F)</f>
        <v>0</v>
      </c>
      <c r="E13" s="259"/>
      <c r="F13" s="255"/>
    </row>
    <row r="14" spans="1:6" ht="22.5" customHeight="1" thickBot="1">
      <c r="A14" s="14" t="s">
        <v>136</v>
      </c>
      <c r="B14" s="22"/>
      <c r="C14" s="22"/>
      <c r="D14" s="258">
        <f>SUMIF(SUA!C:C,"050",SUA!F:F)</f>
        <v>0</v>
      </c>
      <c r="E14" s="259"/>
      <c r="F14" s="255"/>
    </row>
    <row r="15" spans="1:6" ht="22.5" customHeight="1" thickBot="1">
      <c r="A15" s="14" t="s">
        <v>127</v>
      </c>
      <c r="B15" s="22"/>
      <c r="C15" s="22"/>
      <c r="D15" s="258">
        <f>SUMIF(SUA!C:C,"051",SUA!F:F)</f>
        <v>0</v>
      </c>
      <c r="E15" s="259"/>
      <c r="F15" s="255"/>
    </row>
    <row r="16" spans="1:6" ht="22.5" customHeight="1" thickBot="1">
      <c r="A16" s="14" t="s">
        <v>140</v>
      </c>
      <c r="B16" s="22"/>
      <c r="C16" s="22"/>
      <c r="D16" s="258">
        <f>SUMIF(SUA!C:C,"052",SUA!F:F)</f>
        <v>0</v>
      </c>
      <c r="E16" s="259"/>
      <c r="F16" s="255"/>
    </row>
    <row r="17" spans="1:6" ht="22.5" customHeight="1" thickBot="1">
      <c r="A17" s="14" t="s">
        <v>141</v>
      </c>
      <c r="B17" s="22"/>
      <c r="C17" s="22"/>
      <c r="D17" s="258">
        <f>SUMIF(SUA!C:C,"053",SUA!F:F)</f>
        <v>0.61</v>
      </c>
      <c r="E17" s="259"/>
      <c r="F17" s="255"/>
    </row>
    <row r="18" spans="1:6" ht="22.5" customHeight="1" thickBot="1">
      <c r="A18" s="14" t="s">
        <v>128</v>
      </c>
      <c r="B18" s="22"/>
      <c r="C18" s="22"/>
      <c r="D18" s="258">
        <f>SUMIF(SUA!C:C,"054",SUA!F:F)</f>
        <v>47958.400000000001</v>
      </c>
      <c r="E18" s="259"/>
      <c r="F18" s="255"/>
    </row>
    <row r="19" spans="1:6" ht="22.5" customHeight="1" thickBot="1">
      <c r="A19" s="25" t="s">
        <v>142</v>
      </c>
      <c r="B19" s="57">
        <f>SUM(B12:B18)</f>
        <v>0</v>
      </c>
      <c r="C19" s="57">
        <f>SUM(C12:C18)</f>
        <v>0</v>
      </c>
      <c r="D19" s="59">
        <f>SUM(D12:D18)</f>
        <v>992042.59</v>
      </c>
    </row>
    <row r="20" spans="1:6" ht="17.25" thickTop="1">
      <c r="A20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0000"/>
  </sheetPr>
  <dimension ref="A1:C11"/>
  <sheetViews>
    <sheetView showGridLines="0" zoomScaleNormal="100" workbookViewId="0">
      <selection activeCell="B6" sqref="B6"/>
    </sheetView>
  </sheetViews>
  <sheetFormatPr defaultRowHeight="15"/>
  <cols>
    <col min="1" max="1" width="33.5703125" customWidth="1"/>
    <col min="2" max="3" width="26.42578125" customWidth="1"/>
    <col min="4" max="6" width="20.42578125" customWidth="1"/>
  </cols>
  <sheetData>
    <row r="1" spans="1:3" ht="16.5">
      <c r="A1" s="1" t="s">
        <v>130</v>
      </c>
    </row>
    <row r="2" spans="1:3" ht="17.25" thickBot="1">
      <c r="A2" s="5" t="s">
        <v>15</v>
      </c>
    </row>
    <row r="3" spans="1:3" ht="33" customHeight="1" thickTop="1">
      <c r="A3" s="321" t="s">
        <v>460</v>
      </c>
      <c r="B3" s="321" t="s">
        <v>2</v>
      </c>
      <c r="C3" s="321" t="s">
        <v>3</v>
      </c>
    </row>
    <row r="4" spans="1:3" ht="15.75" customHeight="1" thickBot="1">
      <c r="A4" s="322"/>
      <c r="B4" s="322"/>
      <c r="C4" s="322"/>
    </row>
    <row r="5" spans="1:3" ht="23.25" customHeight="1" thickTop="1" thickBot="1">
      <c r="A5" s="14" t="s">
        <v>143</v>
      </c>
      <c r="B5" s="63"/>
      <c r="C5" s="64"/>
    </row>
    <row r="6" spans="1:3" ht="23.25" customHeight="1" thickBot="1">
      <c r="A6" s="14" t="s">
        <v>461</v>
      </c>
      <c r="B6" s="63"/>
      <c r="C6" s="64"/>
    </row>
    <row r="7" spans="1:3" ht="23.25" customHeight="1" thickBot="1">
      <c r="A7" s="44" t="s">
        <v>142</v>
      </c>
      <c r="B7" s="63"/>
      <c r="C7" s="64"/>
    </row>
    <row r="8" spans="1:3" ht="23.25" customHeight="1" thickBot="1">
      <c r="A8" s="14" t="s">
        <v>144</v>
      </c>
      <c r="B8" s="63"/>
      <c r="C8" s="64"/>
    </row>
    <row r="9" spans="1:3" ht="23.25" customHeight="1" thickBot="1">
      <c r="A9" s="14" t="s">
        <v>145</v>
      </c>
      <c r="B9" s="63"/>
      <c r="C9" s="64"/>
    </row>
    <row r="10" spans="1:3" ht="23.25" customHeight="1" thickBot="1">
      <c r="A10" s="25" t="s">
        <v>137</v>
      </c>
      <c r="B10" s="63"/>
      <c r="C10" s="64"/>
    </row>
    <row r="11" spans="1:3" ht="17.25" thickTop="1">
      <c r="A11" s="3"/>
    </row>
  </sheetData>
  <mergeCells count="3">
    <mergeCell ref="B3:B4"/>
    <mergeCell ref="C3:C4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0000"/>
  </sheetPr>
  <dimension ref="A1:C7"/>
  <sheetViews>
    <sheetView showGridLines="0" zoomScaleNormal="100" workbookViewId="0">
      <selection activeCell="D17" sqref="D17"/>
    </sheetView>
  </sheetViews>
  <sheetFormatPr defaultRowHeight="15"/>
  <cols>
    <col min="1" max="1" width="32.42578125" customWidth="1"/>
    <col min="2" max="3" width="27" customWidth="1"/>
    <col min="4" max="6" width="20.42578125" customWidth="1"/>
  </cols>
  <sheetData>
    <row r="1" spans="1:3" ht="17.25" thickBot="1">
      <c r="A1" s="1" t="s">
        <v>146</v>
      </c>
    </row>
    <row r="2" spans="1:3" ht="16.5" thickTop="1" thickBot="1">
      <c r="A2" s="321" t="s">
        <v>147</v>
      </c>
      <c r="B2" s="340" t="s">
        <v>2</v>
      </c>
      <c r="C2" s="341"/>
    </row>
    <row r="3" spans="1:3" ht="16.5" thickTop="1" thickBot="1">
      <c r="A3" s="322"/>
      <c r="B3" s="11" t="s">
        <v>148</v>
      </c>
      <c r="C3" s="58" t="s">
        <v>149</v>
      </c>
    </row>
    <row r="4" spans="1:3" ht="23.25" customHeight="1" thickTop="1" thickBot="1">
      <c r="A4" s="12" t="s">
        <v>150</v>
      </c>
      <c r="B4" s="45"/>
      <c r="C4" s="13"/>
    </row>
    <row r="5" spans="1:3" ht="23.25" customHeight="1" thickBot="1">
      <c r="A5" s="14" t="s">
        <v>151</v>
      </c>
      <c r="B5" s="60" t="s">
        <v>18</v>
      </c>
      <c r="C5" s="15"/>
    </row>
    <row r="6" spans="1:3" ht="23.25" customHeight="1" thickBot="1">
      <c r="A6" s="16" t="s">
        <v>152</v>
      </c>
      <c r="B6" s="34" t="s">
        <v>18</v>
      </c>
      <c r="C6" s="17"/>
    </row>
    <row r="7" spans="1:3" ht="17.25" thickTop="1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B050"/>
  </sheetPr>
  <dimension ref="A1:E9"/>
  <sheetViews>
    <sheetView showGridLines="0" zoomScaleNormal="100" workbookViewId="0">
      <selection activeCell="C5" sqref="C5"/>
    </sheetView>
  </sheetViews>
  <sheetFormatPr defaultRowHeight="15"/>
  <cols>
    <col min="1" max="1" width="33" customWidth="1"/>
    <col min="2" max="3" width="26.7109375" customWidth="1"/>
    <col min="4" max="6" width="20.42578125" customWidth="1"/>
  </cols>
  <sheetData>
    <row r="1" spans="1:5" ht="16.5">
      <c r="A1" s="1" t="s">
        <v>153</v>
      </c>
    </row>
    <row r="2" spans="1:5" ht="17.25" thickBot="1">
      <c r="A2" s="5" t="s">
        <v>154</v>
      </c>
    </row>
    <row r="3" spans="1:5" ht="30" customHeight="1" thickTop="1" thickBot="1">
      <c r="A3" s="10" t="s">
        <v>131</v>
      </c>
      <c r="B3" s="11" t="s">
        <v>2</v>
      </c>
      <c r="C3" s="11" t="s">
        <v>3</v>
      </c>
    </row>
    <row r="4" spans="1:5" ht="18.75" customHeight="1" thickTop="1" thickBot="1">
      <c r="A4" s="165" t="s">
        <v>155</v>
      </c>
      <c r="B4" s="260">
        <f>SUMIF(SUA!C:C,"056",SUA!F:F)</f>
        <v>11800.46</v>
      </c>
      <c r="C4" s="261">
        <f>SUMIF(SUA!C:C,"056",SUA!G:G)</f>
        <v>0</v>
      </c>
      <c r="D4" s="259"/>
      <c r="E4" s="255"/>
    </row>
    <row r="5" spans="1:5" ht="15.75" thickBot="1">
      <c r="A5" s="166" t="s">
        <v>156</v>
      </c>
      <c r="B5" s="262">
        <f>SUMIF(SUA!C:C,"057",SUA!F:F)-(SUMIF(HK!A:A,"261*",HK!K:K)+SUMIF(HK!A:A,"261*",HK!L:L))</f>
        <v>45380.91</v>
      </c>
      <c r="C5" s="263">
        <f>SUMIF(SUA!C:C,"057",SUA!G:G)-(SUMIF(HK!A:A,"261*",HK!C:C)+SUMIF(HK!A:A,"261*",HK!D:D))</f>
        <v>0</v>
      </c>
      <c r="D5" s="259"/>
      <c r="E5" s="255"/>
    </row>
    <row r="6" spans="1:5" ht="18.75" customHeight="1" thickBot="1">
      <c r="A6" s="166" t="s">
        <v>157</v>
      </c>
      <c r="B6" s="262">
        <f>SUMIF(SUA!C:C,"058",SUA!F:F)</f>
        <v>0</v>
      </c>
      <c r="C6" s="263">
        <f>SUMIF(SUA!C:C,"058",SUA!G:G)</f>
        <v>0</v>
      </c>
      <c r="D6" s="259"/>
      <c r="E6" s="255"/>
    </row>
    <row r="7" spans="1:5" ht="18.75" customHeight="1" thickBot="1">
      <c r="A7" s="166" t="s">
        <v>158</v>
      </c>
      <c r="B7" s="262">
        <f>SUMIF(HK!A:A,"261*",HK!K:K)-SUMIF(HK!A:A,"261*",HK!L:L)</f>
        <v>0</v>
      </c>
      <c r="C7" s="263">
        <f>SUMIF(HK!A:A,"261*",HK!C:C)-SUMIF(HK!A:A,"261*",HK!D:D)</f>
        <v>0</v>
      </c>
      <c r="D7" s="259"/>
      <c r="E7" s="255"/>
    </row>
    <row r="8" spans="1:5" ht="18.75" customHeight="1" thickBot="1">
      <c r="A8" s="167" t="s">
        <v>14</v>
      </c>
      <c r="B8" s="168">
        <f>SUM(B4:B7)</f>
        <v>57181.37</v>
      </c>
      <c r="C8" s="59">
        <f>SUM(C4:C7)</f>
        <v>0</v>
      </c>
    </row>
    <row r="9" spans="1:5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00B050"/>
  </sheetPr>
  <dimension ref="A1:G14"/>
  <sheetViews>
    <sheetView showGridLines="0" zoomScaleNormal="100" workbookViewId="0">
      <selection activeCell="B12" sqref="B12"/>
    </sheetView>
  </sheetViews>
  <sheetFormatPr defaultRowHeight="15"/>
  <cols>
    <col min="1" max="1" width="24.5703125" customWidth="1"/>
    <col min="2" max="5" width="15.42578125" customWidth="1"/>
    <col min="6" max="6" width="20.42578125" customWidth="1"/>
  </cols>
  <sheetData>
    <row r="1" spans="1:7" ht="16.5">
      <c r="A1" s="1" t="s">
        <v>153</v>
      </c>
    </row>
    <row r="3" spans="1:7" ht="17.25" thickBot="1">
      <c r="A3" s="5" t="s">
        <v>15</v>
      </c>
    </row>
    <row r="4" spans="1:7" ht="16.5" thickTop="1" thickBot="1">
      <c r="A4" s="321" t="s">
        <v>159</v>
      </c>
      <c r="B4" s="323" t="s">
        <v>2</v>
      </c>
      <c r="C4" s="329"/>
      <c r="D4" s="329"/>
      <c r="E4" s="324"/>
    </row>
    <row r="5" spans="1:7" ht="18" customHeight="1" thickTop="1">
      <c r="A5" s="325"/>
      <c r="B5" s="325" t="s">
        <v>32</v>
      </c>
      <c r="C5" s="325" t="s">
        <v>27</v>
      </c>
      <c r="D5" s="325" t="s">
        <v>28</v>
      </c>
      <c r="E5" s="325" t="s">
        <v>30</v>
      </c>
    </row>
    <row r="6" spans="1:7" ht="17.25" customHeight="1" thickBot="1">
      <c r="A6" s="322"/>
      <c r="B6" s="322"/>
      <c r="C6" s="322"/>
      <c r="D6" s="322"/>
      <c r="E6" s="322"/>
    </row>
    <row r="7" spans="1:7" ht="21.75" customHeight="1" thickTop="1" thickBot="1">
      <c r="A7" s="14" t="s">
        <v>160</v>
      </c>
      <c r="B7" s="223">
        <f>SUMIF(HK!A:A,"251*",HK!C:C)-SUMIF(HK!A:A,"251*",HK!D:D)</f>
        <v>0</v>
      </c>
      <c r="C7" s="186"/>
      <c r="D7" s="186"/>
      <c r="E7" s="258">
        <f>SUMIF(HK!A:A,"251*",HK!K:K)-SUMIF(HK!A:A,"251*",HK!L:L)</f>
        <v>0</v>
      </c>
      <c r="F7" s="259"/>
      <c r="G7" s="255"/>
    </row>
    <row r="8" spans="1:7" ht="21.75" customHeight="1" thickBot="1">
      <c r="A8" s="14" t="s">
        <v>161</v>
      </c>
      <c r="B8" s="223">
        <f>SUMIF(HK!A:A,"253*",HK!C:C)-SUMIF(HK!A:A,"253*",HK!D:D)</f>
        <v>0</v>
      </c>
      <c r="C8" s="186"/>
      <c r="D8" s="186"/>
      <c r="E8" s="258">
        <f>SUMIF(HK!A:A,"253*",HK!K:K)-SUMIF(HK!A:A,"253*",HK!L:L)</f>
        <v>0</v>
      </c>
      <c r="F8" s="259"/>
      <c r="G8" s="255"/>
    </row>
    <row r="9" spans="1:7" ht="21.75" customHeight="1" thickBot="1">
      <c r="A9" s="14" t="s">
        <v>162</v>
      </c>
      <c r="B9" s="223"/>
      <c r="C9" s="186"/>
      <c r="D9" s="186"/>
      <c r="E9" s="258"/>
      <c r="F9" s="259"/>
      <c r="G9" s="259"/>
    </row>
    <row r="10" spans="1:7" ht="21.75" customHeight="1" thickBot="1">
      <c r="A10" s="14" t="s">
        <v>163</v>
      </c>
      <c r="B10" s="223">
        <f>SUMIF(HK!A:A,"256*",HK!C:C)-SUMIF(HK!A:A,"256*",HK!D:D)</f>
        <v>0</v>
      </c>
      <c r="C10" s="186"/>
      <c r="D10" s="186"/>
      <c r="E10" s="258">
        <f>SUMIF(HK!A:A,"256*",HK!K:K)-SUMIF(HK!A:A,"256*",HK!L:L)</f>
        <v>0</v>
      </c>
      <c r="F10" s="259"/>
      <c r="G10" s="255"/>
    </row>
    <row r="11" spans="1:7" ht="21.75" customHeight="1" thickBot="1">
      <c r="A11" s="14" t="s">
        <v>164</v>
      </c>
      <c r="B11" s="223">
        <f>SUMIF(HK!A:A,"257*",HK!C:C)-SUMIF(HK!A:A,"257*",HK!D:D)</f>
        <v>0</v>
      </c>
      <c r="C11" s="186"/>
      <c r="D11" s="186"/>
      <c r="E11" s="258">
        <f>SUMIF(HK!A:A,"257*",HK!K:K)-SUMIF(HK!A:A,"257*",HK!L:L)</f>
        <v>0</v>
      </c>
      <c r="F11" s="259"/>
      <c r="G11" s="255"/>
    </row>
    <row r="12" spans="1:7" ht="21.75" customHeight="1" thickBot="1">
      <c r="A12" s="14" t="s">
        <v>165</v>
      </c>
      <c r="B12" s="223">
        <f>SUMIF(HK!A:A,"259*",HK!C:C)-SUMIF(HK!A:A,"259*",HK!D:D)</f>
        <v>0</v>
      </c>
      <c r="C12" s="186"/>
      <c r="D12" s="186"/>
      <c r="E12" s="258">
        <f>SUMIF(HK!A:A,"259*",HK!K:K)-SUMIF(HK!A:A,"259*",HK!L:L)</f>
        <v>0</v>
      </c>
      <c r="F12" s="259"/>
      <c r="G12" s="255"/>
    </row>
    <row r="13" spans="1:7" ht="21.75" customHeight="1" thickBot="1">
      <c r="A13" s="25" t="s">
        <v>166</v>
      </c>
      <c r="B13" s="57">
        <f>SUM(B7:B12)</f>
        <v>0</v>
      </c>
      <c r="C13" s="57">
        <f t="shared" ref="C13:E13" si="0">SUM(C7:C12)</f>
        <v>0</v>
      </c>
      <c r="D13" s="57">
        <f t="shared" si="0"/>
        <v>0</v>
      </c>
      <c r="E13" s="59">
        <f t="shared" si="0"/>
        <v>0</v>
      </c>
    </row>
    <row r="14" spans="1:7" ht="15.75" thickTop="1"/>
  </sheetData>
  <mergeCells count="6">
    <mergeCell ref="A4:A6"/>
    <mergeCell ref="B4:E4"/>
    <mergeCell ref="B5:B6"/>
    <mergeCell ref="C5:C6"/>
    <mergeCell ref="D5:D6"/>
    <mergeCell ref="E5:E6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"/>
  <sheetViews>
    <sheetView showGridLines="0" zoomScaleNormal="100" workbookViewId="0">
      <selection activeCell="F5" sqref="F5"/>
    </sheetView>
  </sheetViews>
  <sheetFormatPr defaultRowHeight="15"/>
  <cols>
    <col min="1" max="1" width="21.42578125" customWidth="1"/>
    <col min="2" max="6" width="13" customWidth="1"/>
  </cols>
  <sheetData>
    <row r="1" spans="1:10" ht="17.25" thickBot="1">
      <c r="A1" s="1" t="s">
        <v>167</v>
      </c>
    </row>
    <row r="2" spans="1:10" ht="55.5" customHeight="1" thickTop="1" thickBot="1">
      <c r="A2" s="58" t="s">
        <v>168</v>
      </c>
      <c r="B2" s="58" t="s">
        <v>169</v>
      </c>
      <c r="C2" s="58" t="s">
        <v>170</v>
      </c>
      <c r="D2" s="58" t="s">
        <v>88</v>
      </c>
      <c r="E2" s="58" t="s">
        <v>457</v>
      </c>
      <c r="F2" s="58" t="s">
        <v>171</v>
      </c>
    </row>
    <row r="3" spans="1:10" ht="23.25" customHeight="1" thickTop="1" thickBot="1">
      <c r="A3" s="67" t="s">
        <v>164</v>
      </c>
      <c r="B3" s="223">
        <f>SUMIF(SUAM!C:C,"059",SUAM!E:E)</f>
        <v>0</v>
      </c>
      <c r="C3" s="264"/>
      <c r="D3" s="264"/>
      <c r="E3" s="264"/>
      <c r="F3" s="265">
        <f>SUMIF(SUA!C:C,"059",SUA!E:E)</f>
        <v>0</v>
      </c>
      <c r="G3" s="259"/>
      <c r="H3" s="255"/>
      <c r="J3" s="164"/>
    </row>
    <row r="4" spans="1:10" ht="23.25" customHeight="1" thickBot="1">
      <c r="A4" s="14" t="s">
        <v>165</v>
      </c>
      <c r="B4" s="223">
        <f>SUMIF(SUAM!C:C,"060",SUAM!E:E)</f>
        <v>0</v>
      </c>
      <c r="C4" s="264"/>
      <c r="D4" s="264"/>
      <c r="E4" s="264"/>
      <c r="F4" s="265">
        <f>SUMIF(SUA!C:C,"060",SUA!E:E)</f>
        <v>0</v>
      </c>
      <c r="G4" s="259"/>
      <c r="H4" s="255"/>
      <c r="J4" s="164"/>
    </row>
    <row r="5" spans="1:10" ht="23.25" customHeight="1" thickBot="1">
      <c r="A5" s="25" t="s">
        <v>166</v>
      </c>
      <c r="B5" s="77">
        <f>SUM(B3:B4)</f>
        <v>0</v>
      </c>
      <c r="C5" s="77">
        <f>SUM(C3:C4)</f>
        <v>0</v>
      </c>
      <c r="D5" s="77">
        <f>SUM(D3:D4)</f>
        <v>0</v>
      </c>
      <c r="E5" s="77">
        <f>SUM(E3:E4)</f>
        <v>0</v>
      </c>
      <c r="F5" s="78">
        <f t="shared" ref="F5" si="0">SUM(B5:E5)</f>
        <v>0</v>
      </c>
    </row>
    <row r="6" spans="1:10" ht="15.75" thickTop="1"/>
    <row r="10" spans="1:10">
      <c r="B10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0000"/>
  </sheetPr>
  <dimension ref="A1:B5"/>
  <sheetViews>
    <sheetView showGridLines="0" zoomScaleNormal="100" workbookViewId="0">
      <selection activeCell="A3" sqref="A3"/>
    </sheetView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1" t="s">
        <v>174</v>
      </c>
    </row>
    <row r="2" spans="1:2" ht="16.5" thickTop="1" thickBot="1">
      <c r="A2" s="71" t="s">
        <v>131</v>
      </c>
      <c r="B2" s="72" t="s">
        <v>36</v>
      </c>
    </row>
    <row r="3" spans="1:2" ht="24" thickTop="1" thickBot="1">
      <c r="A3" s="12" t="s">
        <v>172</v>
      </c>
      <c r="B3" s="73"/>
    </row>
    <row r="4" spans="1:2" ht="23.25" thickBot="1">
      <c r="A4" s="16" t="s">
        <v>173</v>
      </c>
      <c r="B4" s="74"/>
    </row>
    <row r="5" spans="1:2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0000"/>
  </sheetPr>
  <dimension ref="A1:D8"/>
  <sheetViews>
    <sheetView showGridLines="0" zoomScaleNormal="100" workbookViewId="0">
      <selection activeCell="H16" sqref="H16"/>
    </sheetView>
  </sheetViews>
  <sheetFormatPr defaultRowHeight="15"/>
  <cols>
    <col min="1" max="1" width="26.140625" customWidth="1"/>
    <col min="2" max="4" width="20.140625" customWidth="1"/>
  </cols>
  <sheetData>
    <row r="1" spans="1:4" ht="17.25" thickBot="1">
      <c r="A1" s="1" t="s">
        <v>175</v>
      </c>
    </row>
    <row r="2" spans="1:4" ht="44.25" customHeight="1" thickTop="1" thickBot="1">
      <c r="A2" s="80" t="s">
        <v>168</v>
      </c>
      <c r="B2" s="38" t="s">
        <v>462</v>
      </c>
      <c r="C2" s="38" t="s">
        <v>463</v>
      </c>
      <c r="D2" s="38" t="s">
        <v>464</v>
      </c>
    </row>
    <row r="3" spans="1:4" ht="16.5" thickTop="1" thickBot="1">
      <c r="A3" s="67" t="s">
        <v>160</v>
      </c>
      <c r="B3" s="75"/>
      <c r="C3" s="75"/>
      <c r="D3" s="76"/>
    </row>
    <row r="4" spans="1:4" ht="15.75" thickBot="1">
      <c r="A4" s="67" t="s">
        <v>161</v>
      </c>
      <c r="B4" s="75"/>
      <c r="C4" s="75"/>
      <c r="D4" s="76"/>
    </row>
    <row r="5" spans="1:4" ht="15.75" thickBot="1">
      <c r="A5" s="67" t="s">
        <v>176</v>
      </c>
      <c r="B5" s="75"/>
      <c r="C5" s="75"/>
      <c r="D5" s="76"/>
    </row>
    <row r="6" spans="1:4" ht="15.75" thickBot="1">
      <c r="A6" s="67" t="s">
        <v>164</v>
      </c>
      <c r="B6" s="75"/>
      <c r="C6" s="75"/>
      <c r="D6" s="76"/>
    </row>
    <row r="7" spans="1:4" ht="26.25" customHeight="1" thickBot="1">
      <c r="A7" s="82" t="s">
        <v>166</v>
      </c>
      <c r="B7" s="81"/>
      <c r="C7" s="81"/>
      <c r="D7" s="74"/>
    </row>
    <row r="8" spans="1:4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00B050"/>
  </sheetPr>
  <dimension ref="A1:F15"/>
  <sheetViews>
    <sheetView showGridLines="0" zoomScaleNormal="100" workbookViewId="0">
      <selection activeCell="C12" sqref="C12"/>
    </sheetView>
  </sheetViews>
  <sheetFormatPr defaultRowHeight="15"/>
  <cols>
    <col min="1" max="1" width="35.42578125" customWidth="1"/>
    <col min="2" max="3" width="25.5703125" customWidth="1"/>
    <col min="4" max="4" width="22.28515625" customWidth="1"/>
  </cols>
  <sheetData>
    <row r="1" spans="1:6" ht="17.25" thickBot="1">
      <c r="A1" s="1" t="s">
        <v>177</v>
      </c>
    </row>
    <row r="2" spans="1:6" ht="35.25" thickTop="1" thickBot="1">
      <c r="A2" s="80" t="s">
        <v>178</v>
      </c>
      <c r="B2" s="161" t="s">
        <v>2</v>
      </c>
      <c r="C2" s="161" t="s">
        <v>3</v>
      </c>
    </row>
    <row r="3" spans="1:6" ht="24" thickTop="1" thickBot="1">
      <c r="A3" s="167" t="s">
        <v>179</v>
      </c>
      <c r="B3" s="270">
        <f>SUMIF(SUA!C:C,"062*",SUA!F:F)</f>
        <v>17524.82</v>
      </c>
      <c r="C3" s="271">
        <f>SUMIF(SUA!C:C,"062*",SUA!G:G)</f>
        <v>0</v>
      </c>
      <c r="D3" s="259"/>
      <c r="E3" s="272"/>
      <c r="F3" s="259"/>
    </row>
    <row r="4" spans="1:6" ht="16.5" thickTop="1" thickBot="1">
      <c r="A4" s="166"/>
      <c r="B4" s="266"/>
      <c r="C4" s="267"/>
      <c r="D4" s="259"/>
      <c r="E4" s="259"/>
      <c r="F4" s="259"/>
    </row>
    <row r="5" spans="1:6" ht="15.75" thickBot="1">
      <c r="A5" s="169"/>
      <c r="B5" s="268"/>
      <c r="C5" s="269"/>
      <c r="D5" s="259"/>
      <c r="E5" s="259"/>
      <c r="F5" s="259"/>
    </row>
    <row r="6" spans="1:6" ht="24" thickTop="1" thickBot="1">
      <c r="A6" s="167" t="s">
        <v>180</v>
      </c>
      <c r="B6" s="270">
        <f>SUMIF(SUA!C:C,"063*",SUA!F:F)</f>
        <v>0</v>
      </c>
      <c r="C6" s="271">
        <f>SUMIF(SUA!C:C,"063*",SUA!G:G)</f>
        <v>0</v>
      </c>
      <c r="D6" s="259"/>
      <c r="E6" s="272"/>
      <c r="F6" s="259"/>
    </row>
    <row r="7" spans="1:6" ht="16.5" thickTop="1" thickBot="1">
      <c r="A7" s="166"/>
      <c r="B7" s="266"/>
      <c r="C7" s="267"/>
      <c r="D7" s="259"/>
      <c r="E7" s="259"/>
      <c r="F7" s="259"/>
    </row>
    <row r="8" spans="1:6" ht="15.75" thickBot="1">
      <c r="A8" s="169"/>
      <c r="B8" s="268"/>
      <c r="C8" s="269"/>
      <c r="D8" s="259"/>
      <c r="E8" s="259"/>
      <c r="F8" s="259"/>
    </row>
    <row r="9" spans="1:6" ht="24" customHeight="1" thickTop="1" thickBot="1">
      <c r="A9" s="167" t="s">
        <v>181</v>
      </c>
      <c r="B9" s="270">
        <f>SUMIF(SUA!C:C,"064*",SUA!F:F)</f>
        <v>0</v>
      </c>
      <c r="C9" s="271">
        <f>SUMIF(SUA!C:C,"064*",SUA!G:G)</f>
        <v>0</v>
      </c>
      <c r="D9" s="259"/>
      <c r="E9" s="272"/>
      <c r="F9" s="259"/>
    </row>
    <row r="10" spans="1:6" ht="16.5" thickTop="1" thickBot="1">
      <c r="A10" s="166"/>
      <c r="B10" s="266"/>
      <c r="C10" s="267"/>
      <c r="D10" s="259"/>
      <c r="E10" s="259"/>
      <c r="F10" s="259"/>
    </row>
    <row r="11" spans="1:6" ht="15.75" thickBot="1">
      <c r="A11" s="169"/>
      <c r="B11" s="268"/>
      <c r="C11" s="269"/>
      <c r="D11" s="259"/>
      <c r="E11" s="259"/>
      <c r="F11" s="259"/>
    </row>
    <row r="12" spans="1:6" ht="24" thickTop="1" thickBot="1">
      <c r="A12" s="167" t="s">
        <v>182</v>
      </c>
      <c r="B12" s="270">
        <f>SUMIF(SUA!C:C,"065*",SUA!F:F)</f>
        <v>0</v>
      </c>
      <c r="C12" s="271">
        <f>SUMIF(SUA!C:C,"065*",SUA!G:G)</f>
        <v>0</v>
      </c>
      <c r="D12" s="259"/>
      <c r="E12" s="272"/>
      <c r="F12" s="259"/>
    </row>
    <row r="13" spans="1:6" ht="16.5" thickTop="1" thickBot="1">
      <c r="A13" s="166"/>
      <c r="B13" s="156"/>
      <c r="C13" s="76"/>
    </row>
    <row r="14" spans="1:6" ht="15.75" thickBot="1">
      <c r="A14" s="169"/>
      <c r="B14" s="157"/>
      <c r="C14" s="74"/>
    </row>
    <row r="15" spans="1:6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FF0000"/>
  </sheetPr>
  <dimension ref="A1:G8"/>
  <sheetViews>
    <sheetView showGridLines="0" zoomScaleNormal="100" workbookViewId="0">
      <selection activeCell="F4" sqref="F4"/>
    </sheetView>
  </sheetViews>
  <sheetFormatPr defaultRowHeight="15"/>
  <cols>
    <col min="1" max="1" width="14.42578125" customWidth="1"/>
    <col min="2" max="7" width="12" customWidth="1"/>
  </cols>
  <sheetData>
    <row r="1" spans="1:7" ht="17.25" thickBot="1">
      <c r="A1" s="1" t="s">
        <v>183</v>
      </c>
    </row>
    <row r="2" spans="1:7" ht="49.5" customHeight="1" thickTop="1" thickBot="1">
      <c r="A2" s="345" t="s">
        <v>1</v>
      </c>
      <c r="B2" s="342" t="s">
        <v>2</v>
      </c>
      <c r="C2" s="343"/>
      <c r="D2" s="344"/>
      <c r="E2" s="323" t="s">
        <v>492</v>
      </c>
      <c r="F2" s="329"/>
      <c r="G2" s="324"/>
    </row>
    <row r="3" spans="1:7" ht="16.5" thickTop="1" thickBot="1">
      <c r="A3" s="346"/>
      <c r="B3" s="342" t="s">
        <v>184</v>
      </c>
      <c r="C3" s="343"/>
      <c r="D3" s="344"/>
      <c r="E3" s="342" t="s">
        <v>184</v>
      </c>
      <c r="F3" s="343"/>
      <c r="G3" s="344"/>
    </row>
    <row r="4" spans="1:7" s="4" customFormat="1" ht="45" customHeight="1" thickTop="1" thickBot="1">
      <c r="A4" s="347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</row>
    <row r="5" spans="1:7" ht="16.5" thickTop="1" thickBot="1">
      <c r="A5" s="67" t="s">
        <v>188</v>
      </c>
      <c r="B5" s="75"/>
      <c r="C5" s="75"/>
      <c r="D5" s="75"/>
      <c r="E5" s="75"/>
      <c r="F5" s="75"/>
      <c r="G5" s="76"/>
    </row>
    <row r="6" spans="1:7" ht="15.75" thickBot="1">
      <c r="A6" s="67" t="s">
        <v>189</v>
      </c>
      <c r="B6" s="75"/>
      <c r="C6" s="75"/>
      <c r="D6" s="75"/>
      <c r="E6" s="75"/>
      <c r="F6" s="75"/>
      <c r="G6" s="76"/>
    </row>
    <row r="7" spans="1:7" ht="15.75" thickBot="1">
      <c r="A7" s="68" t="s">
        <v>14</v>
      </c>
      <c r="B7" s="81">
        <f>B5+B6</f>
        <v>0</v>
      </c>
      <c r="C7" s="81">
        <f t="shared" ref="C7:G7" si="0">C5+C6</f>
        <v>0</v>
      </c>
      <c r="D7" s="81">
        <f t="shared" si="0"/>
        <v>0</v>
      </c>
      <c r="E7" s="81">
        <f t="shared" si="0"/>
        <v>0</v>
      </c>
      <c r="F7" s="81">
        <f t="shared" si="0"/>
        <v>0</v>
      </c>
      <c r="G7" s="74">
        <f t="shared" si="0"/>
        <v>0</v>
      </c>
    </row>
    <row r="8" spans="1:7" ht="15.75" thickTop="1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1:G12"/>
  <sheetViews>
    <sheetView showGridLines="0" zoomScaleNormal="100" workbookViewId="0">
      <selection activeCell="A5" sqref="A5"/>
    </sheetView>
  </sheetViews>
  <sheetFormatPr defaultRowHeight="15"/>
  <cols>
    <col min="1" max="1" width="29.140625" customWidth="1"/>
    <col min="2" max="3" width="15.42578125" customWidth="1"/>
    <col min="4" max="5" width="12.85546875" customWidth="1"/>
    <col min="6" max="6" width="12.140625" customWidth="1"/>
  </cols>
  <sheetData>
    <row r="1" spans="1:7" ht="16.5">
      <c r="A1" s="1" t="s">
        <v>7</v>
      </c>
    </row>
    <row r="2" spans="1:7" ht="17.25" thickBot="1">
      <c r="A2" s="2" t="s">
        <v>8</v>
      </c>
    </row>
    <row r="3" spans="1:7" ht="43.5" customHeight="1" thickTop="1" thickBot="1">
      <c r="A3" s="321" t="s">
        <v>9</v>
      </c>
      <c r="B3" s="323" t="s">
        <v>10</v>
      </c>
      <c r="C3" s="324"/>
      <c r="D3" s="321" t="s">
        <v>11</v>
      </c>
      <c r="E3" s="321" t="s">
        <v>454</v>
      </c>
      <c r="F3" s="20"/>
      <c r="G3" s="20"/>
    </row>
    <row r="4" spans="1:7" ht="15" customHeight="1" thickTop="1" thickBot="1">
      <c r="A4" s="322"/>
      <c r="B4" s="21" t="s">
        <v>13</v>
      </c>
      <c r="C4" s="21" t="s">
        <v>12</v>
      </c>
      <c r="D4" s="322"/>
      <c r="E4" s="322"/>
      <c r="F4" s="20"/>
      <c r="G4" s="20"/>
    </row>
    <row r="5" spans="1:7" ht="16.5" thickTop="1" thickBot="1">
      <c r="A5" s="14"/>
      <c r="B5" s="22"/>
      <c r="C5" s="23"/>
      <c r="D5" s="23"/>
      <c r="E5" s="24"/>
      <c r="F5" s="20"/>
      <c r="G5" s="20"/>
    </row>
    <row r="6" spans="1:7" ht="15.75" thickBot="1">
      <c r="A6" s="14"/>
      <c r="B6" s="22"/>
      <c r="C6" s="23"/>
      <c r="D6" s="23"/>
      <c r="E6" s="24"/>
      <c r="F6" s="20"/>
      <c r="G6" s="20"/>
    </row>
    <row r="7" spans="1:7" ht="15.75" thickBot="1">
      <c r="A7" s="14"/>
      <c r="B7" s="22"/>
      <c r="C7" s="23"/>
      <c r="D7" s="23"/>
      <c r="E7" s="24"/>
      <c r="F7" s="20"/>
      <c r="G7" s="20"/>
    </row>
    <row r="8" spans="1:7" ht="15.75" thickBot="1">
      <c r="A8" s="14"/>
      <c r="B8" s="22"/>
      <c r="C8" s="23"/>
      <c r="D8" s="23"/>
      <c r="E8" s="24"/>
      <c r="F8" s="20"/>
      <c r="G8" s="20"/>
    </row>
    <row r="9" spans="1:7" ht="15.75" thickBot="1">
      <c r="A9" s="14"/>
      <c r="B9" s="22"/>
      <c r="C9" s="23"/>
      <c r="D9" s="23"/>
      <c r="E9" s="24"/>
      <c r="F9" s="20"/>
      <c r="G9" s="20"/>
    </row>
    <row r="10" spans="1:7" ht="15.75" thickBot="1">
      <c r="A10" s="25" t="s">
        <v>14</v>
      </c>
      <c r="B10" s="26">
        <f>SUM(B5:B9)</f>
        <v>0</v>
      </c>
      <c r="C10" s="27">
        <f>SUM(C5:C9)</f>
        <v>0</v>
      </c>
      <c r="D10" s="28">
        <f t="shared" ref="D10:E10" si="0">SUM(D5:D9)</f>
        <v>0</v>
      </c>
      <c r="E10" s="29">
        <f t="shared" si="0"/>
        <v>0</v>
      </c>
      <c r="F10" s="20"/>
      <c r="G10" s="20"/>
    </row>
    <row r="11" spans="1:7" ht="15.75" thickTop="1">
      <c r="A11" s="20"/>
      <c r="B11" s="20"/>
      <c r="C11" s="20"/>
      <c r="D11" s="20"/>
      <c r="E11" s="20"/>
      <c r="F11" s="20"/>
      <c r="G11" s="20"/>
    </row>
    <row r="12" spans="1:7">
      <c r="A12" s="37"/>
      <c r="B12" s="37"/>
      <c r="C12" s="37"/>
      <c r="D12" s="37"/>
      <c r="E12" s="37"/>
      <c r="F12" s="37"/>
      <c r="G12" s="37"/>
    </row>
  </sheetData>
  <mergeCells count="4">
    <mergeCell ref="A3:A4"/>
    <mergeCell ref="B3:C3"/>
    <mergeCell ref="D3:D4"/>
    <mergeCell ref="E3:E4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B050"/>
  </sheetPr>
  <dimension ref="A1:F27"/>
  <sheetViews>
    <sheetView showGridLines="0" zoomScaleNormal="100" workbookViewId="0">
      <selection activeCell="B18" sqref="B18"/>
    </sheetView>
  </sheetViews>
  <sheetFormatPr defaultRowHeight="15"/>
  <cols>
    <col min="1" max="1" width="41" customWidth="1"/>
    <col min="2" max="2" width="45.42578125" customWidth="1"/>
    <col min="3" max="3" width="15.7109375" customWidth="1"/>
    <col min="4" max="4" width="14.140625" customWidth="1"/>
    <col min="5" max="5" width="14.42578125" customWidth="1"/>
    <col min="6" max="6" width="15.5703125" customWidth="1"/>
    <col min="7" max="7" width="11.42578125" customWidth="1"/>
  </cols>
  <sheetData>
    <row r="1" spans="1:6" ht="49.5">
      <c r="A1" s="159" t="s">
        <v>190</v>
      </c>
    </row>
    <row r="2" spans="1:6" ht="15.75" thickBot="1">
      <c r="A2" s="20" t="s">
        <v>8</v>
      </c>
      <c r="B2" s="20"/>
    </row>
    <row r="3" spans="1:6" ht="18.75" customHeight="1" thickTop="1" thickBot="1">
      <c r="A3" s="80" t="s">
        <v>131</v>
      </c>
      <c r="B3" s="50" t="s">
        <v>3</v>
      </c>
    </row>
    <row r="4" spans="1:6" ht="18.75" customHeight="1" thickTop="1" thickBot="1">
      <c r="A4" s="68" t="s">
        <v>191</v>
      </c>
      <c r="B4" s="277">
        <f>IF(SUMIF(SUP!C:C,"087",SUP!E:E)&gt; 0,SUMIF(SUP!C:C,"087",SUP!E:E), 0)</f>
        <v>0</v>
      </c>
      <c r="C4" s="257"/>
      <c r="D4" s="251"/>
      <c r="E4" s="257"/>
      <c r="F4" s="257"/>
    </row>
    <row r="5" spans="1:6" ht="18.75" customHeight="1" thickTop="1" thickBot="1">
      <c r="A5" s="68" t="s">
        <v>192</v>
      </c>
      <c r="B5" s="273" t="s">
        <v>2</v>
      </c>
      <c r="C5" s="257"/>
      <c r="D5" s="257"/>
      <c r="E5" s="257"/>
      <c r="F5" s="257"/>
    </row>
    <row r="6" spans="1:6" ht="18.75" customHeight="1" thickTop="1" thickBot="1">
      <c r="A6" s="67" t="s">
        <v>193</v>
      </c>
      <c r="B6" s="274"/>
      <c r="C6" s="257"/>
      <c r="D6" s="257"/>
      <c r="E6" s="257"/>
      <c r="F6" s="257"/>
    </row>
    <row r="7" spans="1:6" ht="18.75" customHeight="1" thickBot="1">
      <c r="A7" s="67" t="s">
        <v>194</v>
      </c>
      <c r="B7" s="274"/>
      <c r="C7" s="257"/>
      <c r="D7" s="257"/>
      <c r="E7" s="257"/>
      <c r="F7" s="257"/>
    </row>
    <row r="8" spans="1:6" ht="18.75" customHeight="1" thickBot="1">
      <c r="A8" s="67" t="s">
        <v>195</v>
      </c>
      <c r="B8" s="274"/>
      <c r="C8" s="257"/>
      <c r="D8" s="257"/>
      <c r="E8" s="257"/>
      <c r="F8" s="257"/>
    </row>
    <row r="9" spans="1:6" ht="18.75" customHeight="1" thickBot="1">
      <c r="A9" s="67" t="s">
        <v>196</v>
      </c>
      <c r="B9" s="274"/>
      <c r="C9" s="257"/>
      <c r="D9" s="257"/>
      <c r="E9" s="257"/>
      <c r="F9" s="257"/>
    </row>
    <row r="10" spans="1:6" ht="18.75" customHeight="1" thickBot="1">
      <c r="A10" s="67" t="s">
        <v>197</v>
      </c>
      <c r="B10" s="274"/>
      <c r="C10" s="257"/>
      <c r="D10" s="257"/>
      <c r="E10" s="257"/>
      <c r="F10" s="257"/>
    </row>
    <row r="11" spans="1:6" ht="18.75" customHeight="1" thickBot="1">
      <c r="A11" s="67" t="s">
        <v>198</v>
      </c>
      <c r="B11" s="274"/>
      <c r="C11" s="257"/>
      <c r="D11" s="257"/>
      <c r="E11" s="257"/>
      <c r="F11" s="257"/>
    </row>
    <row r="12" spans="1:6" ht="18.75" customHeight="1" thickBot="1">
      <c r="A12" s="67" t="s">
        <v>199</v>
      </c>
      <c r="B12" s="274"/>
      <c r="C12" s="257"/>
      <c r="D12" s="257"/>
      <c r="E12" s="257"/>
      <c r="F12" s="257"/>
    </row>
    <row r="13" spans="1:6" ht="18.75" customHeight="1" thickBot="1">
      <c r="A13" s="67" t="s">
        <v>200</v>
      </c>
      <c r="B13" s="274"/>
      <c r="C13" s="257"/>
      <c r="D13" s="257"/>
      <c r="E13" s="257"/>
      <c r="F13" s="257"/>
    </row>
    <row r="14" spans="1:6" ht="18.75" customHeight="1" thickBot="1">
      <c r="A14" s="68" t="s">
        <v>14</v>
      </c>
      <c r="B14" s="275">
        <f>SUM(B6:B13)</f>
        <v>0</v>
      </c>
      <c r="C14" s="257"/>
      <c r="D14" s="257"/>
      <c r="E14" s="257"/>
      <c r="F14" s="257"/>
    </row>
    <row r="15" spans="1:6" ht="18.75" customHeight="1" thickTop="1">
      <c r="A15" s="20"/>
      <c r="B15" s="236"/>
      <c r="C15" s="257"/>
      <c r="D15" s="257"/>
      <c r="E15" s="257"/>
      <c r="F15" s="257"/>
    </row>
    <row r="16" spans="1:6" ht="18.75" customHeight="1" thickBot="1">
      <c r="A16" s="20" t="s">
        <v>15</v>
      </c>
      <c r="B16" s="236"/>
      <c r="C16" s="257"/>
      <c r="D16" s="257"/>
      <c r="E16" s="257"/>
      <c r="F16" s="257"/>
    </row>
    <row r="17" spans="1:6" ht="18.75" customHeight="1" thickTop="1" thickBot="1">
      <c r="A17" s="80" t="s">
        <v>131</v>
      </c>
      <c r="B17" s="276" t="s">
        <v>3</v>
      </c>
      <c r="C17" s="257"/>
      <c r="D17" s="257"/>
      <c r="E17" s="257"/>
      <c r="F17" s="257"/>
    </row>
    <row r="18" spans="1:6" ht="18.75" customHeight="1" thickTop="1" thickBot="1">
      <c r="A18" s="68" t="s">
        <v>201</v>
      </c>
      <c r="B18" s="277">
        <f>IF(SUMIF(SUP!C:C,"087",SUP!E:E)&gt; 0,0,SUMIF(SUP!C:C,"087",SUP!E:E))</f>
        <v>0</v>
      </c>
      <c r="C18" s="257"/>
      <c r="D18" s="251"/>
      <c r="E18" s="257"/>
      <c r="F18" s="257"/>
    </row>
    <row r="19" spans="1:6" ht="18.75" customHeight="1" thickTop="1" thickBot="1">
      <c r="A19" s="68" t="s">
        <v>202</v>
      </c>
      <c r="B19" s="273" t="s">
        <v>2</v>
      </c>
      <c r="C19" s="257"/>
      <c r="D19" s="257"/>
      <c r="E19" s="257"/>
      <c r="F19" s="257"/>
    </row>
    <row r="20" spans="1:6" ht="18.75" customHeight="1" thickTop="1" thickBot="1">
      <c r="A20" s="67" t="s">
        <v>203</v>
      </c>
      <c r="B20" s="274"/>
      <c r="C20" s="257"/>
      <c r="D20" s="257"/>
      <c r="E20" s="257"/>
      <c r="F20" s="257"/>
    </row>
    <row r="21" spans="1:6" ht="18.75" customHeight="1" thickBot="1">
      <c r="A21" s="67" t="s">
        <v>204</v>
      </c>
      <c r="B21" s="76"/>
    </row>
    <row r="22" spans="1:6" ht="18.75" customHeight="1" thickBot="1">
      <c r="A22" s="67" t="s">
        <v>205</v>
      </c>
      <c r="B22" s="76"/>
    </row>
    <row r="23" spans="1:6" ht="18.75" customHeight="1" thickBot="1">
      <c r="A23" s="67" t="s">
        <v>206</v>
      </c>
      <c r="B23" s="76"/>
    </row>
    <row r="24" spans="1:6" ht="18.75" customHeight="1" thickBot="1">
      <c r="A24" s="67" t="s">
        <v>207</v>
      </c>
      <c r="B24" s="76"/>
    </row>
    <row r="25" spans="1:6" ht="18.75" customHeight="1" thickBot="1">
      <c r="A25" s="67" t="s">
        <v>200</v>
      </c>
      <c r="B25" s="76"/>
    </row>
    <row r="26" spans="1:6" ht="18.75" customHeight="1" thickBot="1">
      <c r="A26" s="68" t="s">
        <v>208</v>
      </c>
      <c r="B26" s="74">
        <f>SUM(B20:B25)</f>
        <v>0</v>
      </c>
    </row>
    <row r="27" spans="1:6" ht="17.25" thickTop="1">
      <c r="A27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00B050"/>
  </sheetPr>
  <dimension ref="A2:J47"/>
  <sheetViews>
    <sheetView showGridLines="0" topLeftCell="B1" workbookViewId="0">
      <selection activeCell="H13" sqref="H13"/>
    </sheetView>
  </sheetViews>
  <sheetFormatPr defaultRowHeight="11.25"/>
  <cols>
    <col min="1" max="1" width="28.42578125" style="20" customWidth="1"/>
    <col min="2" max="4" width="11.5703125" style="20" customWidth="1"/>
    <col min="5" max="5" width="9.140625" style="20" customWidth="1"/>
    <col min="6" max="6" width="17.85546875" style="20" bestFit="1" customWidth="1"/>
    <col min="7" max="16384" width="9.140625" style="20"/>
  </cols>
  <sheetData>
    <row r="2" spans="1:9" ht="12" thickBot="1"/>
    <row r="3" spans="1:9" ht="13.5" customHeight="1" thickTop="1" thickBot="1">
      <c r="A3" s="351" t="s">
        <v>465</v>
      </c>
      <c r="B3" s="348" t="s">
        <v>2</v>
      </c>
      <c r="C3" s="349"/>
      <c r="D3" s="349"/>
      <c r="E3" s="349"/>
      <c r="F3" s="350"/>
    </row>
    <row r="4" spans="1:9" ht="45.75" thickBot="1">
      <c r="A4" s="352"/>
      <c r="B4" s="86" t="s">
        <v>472</v>
      </c>
      <c r="C4" s="86" t="s">
        <v>27</v>
      </c>
      <c r="D4" s="86" t="s">
        <v>28</v>
      </c>
      <c r="E4" s="86" t="s">
        <v>29</v>
      </c>
      <c r="F4" s="21" t="s">
        <v>392</v>
      </c>
    </row>
    <row r="5" spans="1:9" ht="12.75" thickTop="1" thickBot="1">
      <c r="A5" s="166" t="s">
        <v>393</v>
      </c>
      <c r="B5" s="260">
        <f>SUMIF(HK!A:A,"411*",HK!D:D)-SUMIF(HK!A:A,"411*",HK!C:C)</f>
        <v>0</v>
      </c>
      <c r="C5" s="278"/>
      <c r="D5" s="278"/>
      <c r="E5" s="278"/>
      <c r="F5" s="281">
        <f>SUMIF(HK!A:A,"411*",HK!L:L)-SUMIF(HK!A:A,"411*",HK!K:K)</f>
        <v>0</v>
      </c>
      <c r="G5" s="245"/>
      <c r="H5" s="255"/>
      <c r="I5" s="245"/>
    </row>
    <row r="6" spans="1:9" ht="23.25" thickBot="1">
      <c r="A6" s="166" t="s">
        <v>394</v>
      </c>
      <c r="B6" s="282">
        <f>SUMIF(HKM!A:A,"252*",HKM!C:C)-SUMIF(HKM!A:A,"252*",HKM!D:D)</f>
        <v>0</v>
      </c>
      <c r="C6" s="279"/>
      <c r="D6" s="279"/>
      <c r="E6" s="279"/>
      <c r="F6" s="283">
        <f>SUMIF(HK!A:A,"252*",HK!K:K)-SUMIF(HK!A:A,"252*",HK!L:L)</f>
        <v>0</v>
      </c>
      <c r="G6" s="245"/>
      <c r="H6" s="255"/>
      <c r="I6" s="245"/>
    </row>
    <row r="7" spans="1:9" ht="12" thickBot="1">
      <c r="A7" s="166" t="s">
        <v>466</v>
      </c>
      <c r="B7" s="282">
        <f>SUMIF(HK!A:A,"419*",HK!D:D)-SUMIF(HK!A:A,"419*",HK!C:C)</f>
        <v>0</v>
      </c>
      <c r="C7" s="279"/>
      <c r="D7" s="279"/>
      <c r="E7" s="279"/>
      <c r="F7" s="283">
        <f>SUMIF(HK!A:A,"419*",HK!L:L)-SUMIF(HK!A:A,"419*",HK!K:K)</f>
        <v>0</v>
      </c>
      <c r="G7" s="245"/>
      <c r="H7" s="255"/>
      <c r="I7" s="245"/>
    </row>
    <row r="8" spans="1:9" ht="12" thickBot="1">
      <c r="A8" s="166" t="s">
        <v>467</v>
      </c>
      <c r="B8" s="282">
        <f>SUMIF(HKM!A:A,"353*",HKM!C:C)-SUMIF(HKM!A:A,"353*",HKM!D:D)</f>
        <v>0</v>
      </c>
      <c r="C8" s="279"/>
      <c r="D8" s="279"/>
      <c r="E8" s="279"/>
      <c r="F8" s="283">
        <f>SUMIF(HK!A:A,"353*",HK!K:K)-SUMIF(HK!A:A,"353*",HK!L:L)</f>
        <v>0</v>
      </c>
      <c r="G8" s="245"/>
      <c r="H8" s="255"/>
      <c r="I8" s="245"/>
    </row>
    <row r="9" spans="1:9" ht="12" thickBot="1">
      <c r="A9" s="166" t="s">
        <v>395</v>
      </c>
      <c r="B9" s="282">
        <f>SUMIF(HK!A:A,"412*",HK!D:D)-SUMIF(HK!A:A,"412*",HK!C:C)</f>
        <v>0</v>
      </c>
      <c r="C9" s="279"/>
      <c r="D9" s="279"/>
      <c r="E9" s="279"/>
      <c r="F9" s="283">
        <f>SUMIF(HK!A:A,"412*",HK!L:L)-SUMIF(HK!A:A,"412*",HK!K:K)</f>
        <v>0</v>
      </c>
      <c r="G9" s="245"/>
      <c r="H9" s="255"/>
      <c r="I9" s="245"/>
    </row>
    <row r="10" spans="1:9" ht="12" thickBot="1">
      <c r="A10" s="166" t="s">
        <v>396</v>
      </c>
      <c r="B10" s="282">
        <f>SUMIF(HK!A:A,"413*",HK!D:D)-SUMIF(HK!A:A,"413*",HK!C:C)</f>
        <v>0</v>
      </c>
      <c r="C10" s="279"/>
      <c r="D10" s="279"/>
      <c r="E10" s="279"/>
      <c r="F10" s="283">
        <f>SUMIF(HK!A:A,"413*",HK!L:L)-SUMIF(HK!A:A,"413*",HK!K:K)</f>
        <v>0</v>
      </c>
      <c r="G10" s="245"/>
      <c r="H10" s="255"/>
      <c r="I10" s="245"/>
    </row>
    <row r="11" spans="1:9" ht="23.25" thickBot="1">
      <c r="A11" s="166" t="s">
        <v>397</v>
      </c>
      <c r="B11" s="282">
        <f>SUMIF(HK!A:A,"417*",HK!D:D)-SUMIF(HK!A:A,"417*",HK!C:C)</f>
        <v>0</v>
      </c>
      <c r="C11" s="279"/>
      <c r="D11" s="279"/>
      <c r="E11" s="279"/>
      <c r="F11" s="283">
        <f>SUMIF(HK!A:A,"417*",HK!L:L)-SUMIF(HK!A:A,"417*",HK!K:K)</f>
        <v>0</v>
      </c>
      <c r="G11" s="245"/>
      <c r="H11" s="255"/>
      <c r="I11" s="245"/>
    </row>
    <row r="12" spans="1:9" ht="23.25" thickBot="1">
      <c r="A12" s="166" t="s">
        <v>515</v>
      </c>
      <c r="B12" s="282">
        <f>SUMIF(HK!A:A,"414*",HK!D:D)-SUMIF(HK!A:A,"414*",HK!C:C)</f>
        <v>0</v>
      </c>
      <c r="C12" s="279"/>
      <c r="D12" s="279"/>
      <c r="E12" s="279"/>
      <c r="F12" s="283">
        <f>SUMIF(HK!A:A,"414*",HK!L:L)-SUMIF(HK!A:A,"414*",HK!K:K)</f>
        <v>0</v>
      </c>
      <c r="G12" s="245"/>
      <c r="H12" s="255"/>
      <c r="I12" s="245"/>
    </row>
    <row r="13" spans="1:9" ht="23.25" thickBot="1">
      <c r="A13" s="166" t="s">
        <v>398</v>
      </c>
      <c r="B13" s="316">
        <f>SUMIF(HK!A:A,"415*",HK!D:D)-SUMIF(HK!A:A,"415*",HK!C:C)</f>
        <v>0</v>
      </c>
      <c r="C13" s="279"/>
      <c r="D13" s="279"/>
      <c r="E13" s="279"/>
      <c r="F13" s="283">
        <f>SUMIF(HK!A:A,"415*",HK!L:L)--SUMIF(HK!A:A,"415*",HK!K:K)</f>
        <v>0</v>
      </c>
      <c r="G13" s="245"/>
      <c r="H13" s="255"/>
      <c r="I13" s="245"/>
    </row>
    <row r="14" spans="1:9" ht="23.25" thickBot="1">
      <c r="A14" s="166" t="s">
        <v>468</v>
      </c>
      <c r="B14" s="282">
        <f>SUMIF(HK!A:A,"416*",HK!D:D)-SUMIF(HK!A:A,"416*",HK!C:C)</f>
        <v>0</v>
      </c>
      <c r="C14" s="279"/>
      <c r="D14" s="279"/>
      <c r="E14" s="279"/>
      <c r="F14" s="283">
        <f>SUMIF(HK!A:A,"416*",HK!L:L)-SUMIF(HK!A:A,"416*",HK!K:K)</f>
        <v>0</v>
      </c>
      <c r="G14" s="245"/>
      <c r="H14" s="255"/>
      <c r="I14" s="245"/>
    </row>
    <row r="15" spans="1:9" ht="12" thickBot="1">
      <c r="A15" s="166" t="s">
        <v>399</v>
      </c>
      <c r="B15" s="282">
        <f>SUMIF(HK!A:A,"421*",HK!D:D)-SUMIF(HK!A:A,"421*",HK!C:C)</f>
        <v>0</v>
      </c>
      <c r="C15" s="279"/>
      <c r="D15" s="279"/>
      <c r="E15" s="279"/>
      <c r="F15" s="283">
        <f>SUMIF(HK!A:A,"421*",HK!L:L)-SUMIF(HK!A:A,"421*",HK!K:K)</f>
        <v>0</v>
      </c>
      <c r="G15" s="245"/>
      <c r="H15" s="255"/>
      <c r="I15" s="245"/>
    </row>
    <row r="16" spans="1:9" ht="12" thickBot="1">
      <c r="A16" s="166" t="s">
        <v>400</v>
      </c>
      <c r="B16" s="282">
        <f>SUMIF(HK!A:A,"422*",HK!D:D)-SUMIF(HK!A:A,"422*",HK!C:C)</f>
        <v>0</v>
      </c>
      <c r="C16" s="279"/>
      <c r="D16" s="279"/>
      <c r="E16" s="279"/>
      <c r="F16" s="283">
        <f>SUMIF(HK!A:A,"422*",HK!L:L)-SUMIF(HK!A:A,"422*",HK!K:K)</f>
        <v>0</v>
      </c>
      <c r="G16" s="245"/>
      <c r="H16" s="255"/>
      <c r="I16" s="245"/>
    </row>
    <row r="17" spans="1:9" ht="12" thickBot="1">
      <c r="A17" s="166" t="s">
        <v>401</v>
      </c>
      <c r="B17" s="282">
        <f>SUMIF(HK!A:A,"423*",HK!D:D)-SUMIF(HK!A:A,"423*",HK!C:C)+SUMIF(HK!A:A,"427*",HK!D:D)-SUMIF(HK!A:A,"427*",HK!C:C)</f>
        <v>0</v>
      </c>
      <c r="C17" s="279"/>
      <c r="D17" s="279"/>
      <c r="E17" s="279"/>
      <c r="F17" s="283">
        <f>SUMIF(HK!A:A,"423*",HK!L:L)-SUMIF(HK!A:A,"423*",HK!K:K)+SUMIF(HK!A:A,"427*",HK!L:L)-SUMIF(HK!A:A,"427*",HK!K:K)</f>
        <v>0</v>
      </c>
      <c r="G17" s="245"/>
      <c r="H17" s="255"/>
      <c r="I17" s="245"/>
    </row>
    <row r="18" spans="1:9" ht="12" thickBot="1">
      <c r="A18" s="166" t="s">
        <v>402</v>
      </c>
      <c r="B18" s="282">
        <f>SUMIF(HK!A:A,"428*",HK!D:D)-SUMIF(HK!A:A,"428*",HK!C:C)</f>
        <v>0</v>
      </c>
      <c r="C18" s="279"/>
      <c r="D18" s="279"/>
      <c r="E18" s="279"/>
      <c r="F18" s="283">
        <f>SUMIF(HK!A:A,"428*",HK!L:L)-SUMIF(HK!A:A,"428*",HK!K:K)</f>
        <v>0</v>
      </c>
      <c r="G18" s="245"/>
      <c r="H18" s="255"/>
      <c r="I18" s="245"/>
    </row>
    <row r="19" spans="1:9" ht="12" thickBot="1">
      <c r="A19" s="166" t="s">
        <v>469</v>
      </c>
      <c r="B19" s="282">
        <f>SUMIF(HK!A:A,"429*",HK!D:D)-SUMIF(HK!A:A,"429*",HK!C:C)</f>
        <v>0</v>
      </c>
      <c r="C19" s="279"/>
      <c r="D19" s="279"/>
      <c r="E19" s="279"/>
      <c r="F19" s="283">
        <f>SUMIF(HK!A:A,"429*",HK!L:L)-SUMIF(HK!A:A,"429*",HK!K:K)</f>
        <v>0</v>
      </c>
      <c r="G19" s="245"/>
      <c r="H19" s="255"/>
      <c r="I19" s="245"/>
    </row>
    <row r="20" spans="1:9" ht="23.25" thickBot="1">
      <c r="A20" s="166" t="s">
        <v>470</v>
      </c>
      <c r="B20" s="284">
        <f>SUMIF(SUP!C:C,"087",SUP!E:E)</f>
        <v>0</v>
      </c>
      <c r="C20" s="279"/>
      <c r="D20" s="279"/>
      <c r="E20" s="279"/>
      <c r="F20" s="285">
        <f>SUMIF(SUP!C:C,"087",SUP!D:D)</f>
        <v>-275377.99</v>
      </c>
      <c r="G20" s="245"/>
      <c r="H20" s="255"/>
      <c r="I20" s="245"/>
    </row>
    <row r="21" spans="1:9" ht="22.5" customHeight="1" thickBot="1">
      <c r="A21" s="166" t="s">
        <v>403</v>
      </c>
      <c r="B21" s="284"/>
      <c r="C21" s="279"/>
      <c r="D21" s="279"/>
      <c r="E21" s="279"/>
      <c r="F21" s="285"/>
      <c r="G21" s="245"/>
      <c r="H21" s="245"/>
      <c r="I21" s="245"/>
    </row>
    <row r="22" spans="1:9" ht="12" thickBot="1">
      <c r="A22" s="166" t="s">
        <v>404</v>
      </c>
      <c r="B22" s="282">
        <f>SUMIF(HK!A:A,"418*",HK!D:D)-SUMIF(HK!A:A,"418*",HK!C:C)</f>
        <v>0</v>
      </c>
      <c r="C22" s="279"/>
      <c r="D22" s="279"/>
      <c r="E22" s="279"/>
      <c r="F22" s="283">
        <f>SUMIF(HK!A:A,"418*",HK!L:L)-SUMIF(HK!A:A,"418*",HK!K:K)</f>
        <v>0</v>
      </c>
      <c r="G22" s="245"/>
      <c r="H22" s="255"/>
      <c r="I22" s="245"/>
    </row>
    <row r="23" spans="1:9" ht="23.25" thickBot="1">
      <c r="A23" s="169" t="s">
        <v>471</v>
      </c>
      <c r="B23" s="286">
        <f>SUMIF(HK!A:A,"491*",HK!D:D)-SUMIF(HK!A:A,"491*",HK!C:C)</f>
        <v>0</v>
      </c>
      <c r="C23" s="280"/>
      <c r="D23" s="280"/>
      <c r="E23" s="280"/>
      <c r="F23" s="287">
        <f>SUMIF(HK!A:A,"491*",HK!L:L)-SUMIF(HK!A:A,"491*",HK!K:K)</f>
        <v>0</v>
      </c>
      <c r="G23" s="245"/>
      <c r="H23" s="255"/>
      <c r="I23" s="245"/>
    </row>
    <row r="24" spans="1:9" ht="22.5" customHeight="1" thickTop="1">
      <c r="A24" s="89"/>
      <c r="B24" s="90"/>
      <c r="C24" s="90"/>
      <c r="D24" s="90"/>
      <c r="E24" s="90"/>
      <c r="F24" s="90"/>
    </row>
    <row r="25" spans="1:9" ht="12" thickBot="1"/>
    <row r="26" spans="1:9" ht="13.5" customHeight="1" thickTop="1" thickBot="1">
      <c r="A26" s="351" t="s">
        <v>465</v>
      </c>
      <c r="B26" s="348" t="s">
        <v>3</v>
      </c>
      <c r="C26" s="349"/>
      <c r="D26" s="349"/>
      <c r="E26" s="349"/>
      <c r="F26" s="350"/>
    </row>
    <row r="27" spans="1:9" ht="45.75" thickBot="1">
      <c r="A27" s="352"/>
      <c r="B27" s="86" t="s">
        <v>472</v>
      </c>
      <c r="C27" s="86" t="s">
        <v>27</v>
      </c>
      <c r="D27" s="86" t="s">
        <v>28</v>
      </c>
      <c r="E27" s="86" t="s">
        <v>29</v>
      </c>
      <c r="F27" s="21" t="s">
        <v>392</v>
      </c>
    </row>
    <row r="28" spans="1:9" ht="22.5" customHeight="1" thickTop="1" thickBot="1">
      <c r="A28" s="84" t="s">
        <v>393</v>
      </c>
      <c r="B28" s="260">
        <f>SUMIF(HKM!A:A,"411*",HKM!D:D)-SUMIF(HKM!A:A,"411*",HKM!C:C)</f>
        <v>5000</v>
      </c>
      <c r="C28" s="278"/>
      <c r="D28" s="278"/>
      <c r="E28" s="278"/>
      <c r="F28" s="281">
        <f>SUMIF(HKM!A:A,"411*",HKM!L:L)-SUMIF(HKM!A:A,"411*",HKM!K:K)</f>
        <v>5000</v>
      </c>
      <c r="G28" s="245"/>
      <c r="H28" s="255"/>
    </row>
    <row r="29" spans="1:9" ht="22.5" customHeight="1" thickBot="1">
      <c r="A29" s="84" t="s">
        <v>394</v>
      </c>
      <c r="B29" s="282">
        <f>SUMIF(HKM!A:A,"252*",HKM!C:C)-SUMIF(HKM!A:A,"252*",HKM!D:D)</f>
        <v>0</v>
      </c>
      <c r="C29" s="279"/>
      <c r="D29" s="279"/>
      <c r="E29" s="279"/>
      <c r="F29" s="283">
        <f>SUMIF(HKM!A:A,"252*",HKM!K:K)-SUMIF(HKM!A:A,"252*",HKM!L:L)</f>
        <v>0</v>
      </c>
      <c r="G29" s="245"/>
      <c r="H29" s="255"/>
    </row>
    <row r="30" spans="1:9" ht="22.5" customHeight="1" thickBot="1">
      <c r="A30" s="84" t="s">
        <v>466</v>
      </c>
      <c r="B30" s="282">
        <f>SUMIF(HKM!A:A,"419*",HKM!D:D)-SUMIF(HKM!A:A,"419*",HKM!C:C)</f>
        <v>0</v>
      </c>
      <c r="C30" s="279"/>
      <c r="D30" s="279"/>
      <c r="E30" s="279"/>
      <c r="F30" s="283">
        <f>SUMIF(HKM!A:A,"419*",HKM!L:L)-SUMIF(HKM!A:A,"419*",HKM!K:K)</f>
        <v>0</v>
      </c>
      <c r="G30" s="245"/>
      <c r="H30" s="255"/>
    </row>
    <row r="31" spans="1:9" ht="22.5" customHeight="1" thickBot="1">
      <c r="A31" s="84" t="s">
        <v>467</v>
      </c>
      <c r="B31" s="282">
        <f>SUMIF(HKM!A:A,"353*",HKM!C:C)-SUMIF(HKM!A:A,"353*",HKM!D:D)</f>
        <v>0</v>
      </c>
      <c r="C31" s="279"/>
      <c r="D31" s="279"/>
      <c r="E31" s="279"/>
      <c r="F31" s="283">
        <f>SUMIF(HKM!A:A,"353*",HKM!K:K)-SUMIF(HKM!A:A,"353*",HKM!L:L)</f>
        <v>0</v>
      </c>
      <c r="G31" s="245"/>
      <c r="H31" s="255"/>
    </row>
    <row r="32" spans="1:9" ht="22.5" customHeight="1" thickBot="1">
      <c r="A32" s="84" t="s">
        <v>395</v>
      </c>
      <c r="B32" s="282">
        <f>SUMIF(HKM!A:A,"412*",HKM!D:D)-SUMIF(HKM!A:A,"412*",HKM!C:C)</f>
        <v>0</v>
      </c>
      <c r="C32" s="279"/>
      <c r="D32" s="279"/>
      <c r="E32" s="279"/>
      <c r="F32" s="283">
        <f>SUMIF(HKM!A:A,"412*",HKM!L:L)-SUMIF(HKM!A:A,"412*",HKM!K:K)</f>
        <v>0</v>
      </c>
      <c r="G32" s="245"/>
      <c r="H32" s="255"/>
    </row>
    <row r="33" spans="1:10" ht="22.5" customHeight="1" thickBot="1">
      <c r="A33" s="84" t="s">
        <v>396</v>
      </c>
      <c r="B33" s="316">
        <f>SUMIF(HKM!A:A,"413*",HKM!D:D)-SUMIF(HKM!A:A,"413*",HKM!C:C)</f>
        <v>0</v>
      </c>
      <c r="C33" s="279"/>
      <c r="D33" s="279"/>
      <c r="E33" s="279"/>
      <c r="F33" s="283">
        <f>SUMIF(HKM!A:A,"413*",HKM!L:L)-SUMIF(HKM!A:A,"413*",HKM!K:K)</f>
        <v>0</v>
      </c>
      <c r="G33" s="245"/>
      <c r="H33" s="255"/>
    </row>
    <row r="34" spans="1:10" ht="22.5" customHeight="1" thickBot="1">
      <c r="A34" s="84" t="s">
        <v>397</v>
      </c>
      <c r="B34" s="282">
        <f>SUMIF(HKM!A:A,"417*",HKM!D:D)-SUMIF(HKM!A:A,"417*",HKM!C:C)</f>
        <v>0</v>
      </c>
      <c r="C34" s="279"/>
      <c r="D34" s="279"/>
      <c r="E34" s="279"/>
      <c r="F34" s="283">
        <f>SUMIF(HKM!A:A,"417*",HKM!L:L)-SUMIF(HKM!A:A,"417*",HKM!K:K)</f>
        <v>0</v>
      </c>
      <c r="G34" s="245"/>
      <c r="H34" s="255"/>
    </row>
    <row r="35" spans="1:10" ht="22.5" customHeight="1" thickBot="1">
      <c r="A35" s="166" t="s">
        <v>515</v>
      </c>
      <c r="B35" s="282">
        <f>SUMIF(HKM!A:A,"414*",HKM!D:D)-SUMIF(HKM!A:A,"414*",HKM!C:C)</f>
        <v>0</v>
      </c>
      <c r="C35" s="279"/>
      <c r="D35" s="279"/>
      <c r="E35" s="279"/>
      <c r="F35" s="283">
        <f>SUMIF(HKM!A:A,"414*",HKM!L:L)-SUMIF(HKM!A:A,"414*",HKM!K:K)</f>
        <v>0</v>
      </c>
      <c r="G35" s="245"/>
      <c r="H35" s="255"/>
    </row>
    <row r="36" spans="1:10" ht="22.5" customHeight="1" thickBot="1">
      <c r="A36" s="84" t="s">
        <v>398</v>
      </c>
      <c r="B36" s="316">
        <f>SUMIF(HKM!A:A,"415*",HKM!D:D)-SUMIF(HKM!A:A,"415*",HKM!C:C)</f>
        <v>0</v>
      </c>
      <c r="C36" s="279"/>
      <c r="D36" s="279"/>
      <c r="E36" s="279"/>
      <c r="F36" s="283">
        <f>SUMIF(HKM!A:A,"415*",HKM!L:L)-SUMIF(HKM!A:A,"415*",HKM!K:K)</f>
        <v>0</v>
      </c>
      <c r="G36" s="245"/>
      <c r="H36" s="255"/>
    </row>
    <row r="37" spans="1:10" ht="22.5" customHeight="1" thickBot="1">
      <c r="A37" s="84" t="s">
        <v>468</v>
      </c>
      <c r="B37" s="316">
        <f>SUMIF(HKM!A:A,"416*",HKM!D:D)-SUMIF(HKM!A:A,"416*",HKM!C:C)</f>
        <v>0</v>
      </c>
      <c r="C37" s="279"/>
      <c r="D37" s="279"/>
      <c r="E37" s="279"/>
      <c r="F37" s="283">
        <f>SUMIF(HKM!A:A,"416*",HKM!L:L)-SUMIF(HKM!A:A,"416*",HKM!K:K)</f>
        <v>0</v>
      </c>
      <c r="G37" s="245"/>
      <c r="H37" s="255"/>
    </row>
    <row r="38" spans="1:10" ht="22.5" customHeight="1" thickBot="1">
      <c r="A38" s="84" t="s">
        <v>399</v>
      </c>
      <c r="B38" s="282">
        <f>SUMIF(HKM!A:A,"421*",HKM!D:D)-SUMIF(HKM!A:A,"421*",HKM!C:C)</f>
        <v>0</v>
      </c>
      <c r="C38" s="279"/>
      <c r="D38" s="279"/>
      <c r="E38" s="279"/>
      <c r="F38" s="283">
        <f>SUMIF(HKM!A:A,"421*",HKM!L:L)-SUMIF(HKM!A:A,"421*",HKM!K:K)</f>
        <v>0</v>
      </c>
      <c r="G38" s="245"/>
      <c r="H38" s="255"/>
    </row>
    <row r="39" spans="1:10" ht="22.5" customHeight="1" thickBot="1">
      <c r="A39" s="84" t="s">
        <v>400</v>
      </c>
      <c r="B39" s="282">
        <f>SUMIF(HKM!A:A,"422*",HKM!D:D)-SUMIF(HKM!A:A,"422*",HKM!C:C)</f>
        <v>0</v>
      </c>
      <c r="C39" s="279"/>
      <c r="D39" s="279"/>
      <c r="E39" s="279"/>
      <c r="F39" s="283">
        <f>SUMIF(HKM!A:A,"422*",HKM!L:L)-SUMIF(HKM!A:A,"422*",HKM!K:K)</f>
        <v>0</v>
      </c>
      <c r="G39" s="245"/>
      <c r="H39" s="255"/>
    </row>
    <row r="40" spans="1:10" ht="22.5" customHeight="1" thickBot="1">
      <c r="A40" s="84" t="s">
        <v>401</v>
      </c>
      <c r="B40" s="282">
        <f>SUMIF(HKM!A:A,"423*",HKM!D:D)-SUMIF(HKM!A:A,"423*",HKM!C:C)+SUMIF(HKM!A:A,"427*",HKM!D:D)-SUMIF(HKM!A:A,"427*",HKM!C:C)</f>
        <v>0</v>
      </c>
      <c r="C40" s="279"/>
      <c r="D40" s="279"/>
      <c r="E40" s="279"/>
      <c r="F40" s="288">
        <f>SUMIF(HKM!A:A,"423*",HKM!L:L)-SUMIF(HKM!A:A,"423*",HKM!K:K)+SUMIF(HKM!A:A,"427*",HKM!L:L)-SUMIF(HKM!A:A,"427*",HKM!K:K)</f>
        <v>0</v>
      </c>
      <c r="G40" s="245"/>
      <c r="H40" s="255"/>
      <c r="I40" s="207"/>
    </row>
    <row r="41" spans="1:10" ht="22.5" customHeight="1" thickBot="1">
      <c r="A41" s="84" t="s">
        <v>402</v>
      </c>
      <c r="B41" s="282">
        <f>SUMIF(HKM!A:A,"428*",HKM!D:D)-SUMIF(HKM!A:A,"428*",HKM!C:C)</f>
        <v>0</v>
      </c>
      <c r="C41" s="279"/>
      <c r="D41" s="279"/>
      <c r="E41" s="279"/>
      <c r="F41" s="283">
        <f>SUMIF(HKM!A:A,"428*",HKM!L:L)-SUMIF(HKM!A:A,"428*",HKM!K:K)</f>
        <v>0</v>
      </c>
      <c r="G41" s="245"/>
      <c r="H41" s="255"/>
    </row>
    <row r="42" spans="1:10" ht="22.5" customHeight="1" thickBot="1">
      <c r="A42" s="84" t="s">
        <v>469</v>
      </c>
      <c r="B42" s="282">
        <f>SUMIF(HKM!A:A,"429*",HKM!D:D)-SUMIF(HKM!A:A,"429*",HKM!C:C)</f>
        <v>0</v>
      </c>
      <c r="C42" s="279"/>
      <c r="D42" s="279"/>
      <c r="E42" s="279"/>
      <c r="F42" s="283">
        <f>SUMIF(HKM!A:A,"429*",HKM!L:L)-SUMIF(HKM!A:A,"429*",HKM!K:K)</f>
        <v>-36247.68</v>
      </c>
      <c r="G42" s="245"/>
      <c r="H42" s="255"/>
    </row>
    <row r="43" spans="1:10" ht="22.5" customHeight="1" thickBot="1">
      <c r="A43" s="84" t="s">
        <v>470</v>
      </c>
      <c r="B43" s="284">
        <f>SUMIF(SUPM!C:C,"087",SUPM!E:E)</f>
        <v>0</v>
      </c>
      <c r="C43" s="279"/>
      <c r="D43" s="279"/>
      <c r="E43" s="279"/>
      <c r="F43" s="285">
        <f>SUMIF(SUPM!C:C,"087",SUPM!D:D)</f>
        <v>-211307.84</v>
      </c>
      <c r="G43" s="245"/>
      <c r="H43" s="255"/>
      <c r="J43" s="171"/>
    </row>
    <row r="44" spans="1:10" ht="22.5" customHeight="1" thickBot="1">
      <c r="A44" s="84" t="s">
        <v>403</v>
      </c>
      <c r="B44" s="284"/>
      <c r="C44" s="279"/>
      <c r="D44" s="279"/>
      <c r="E44" s="279"/>
      <c r="F44" s="285"/>
      <c r="G44" s="245"/>
      <c r="H44" s="245"/>
    </row>
    <row r="45" spans="1:10" ht="22.5" customHeight="1" thickBot="1">
      <c r="A45" s="84" t="s">
        <v>404</v>
      </c>
      <c r="B45" s="282">
        <f>SUMIF(HKM!A:A,"418*",HKM!D:D)-SUMIF(HKM!A:A,"418*",HKM!C:C)</f>
        <v>0</v>
      </c>
      <c r="C45" s="279"/>
      <c r="D45" s="279"/>
      <c r="E45" s="279"/>
      <c r="F45" s="283">
        <f>SUMIF(HKM!A:A,"418*",HKM!L:L)-SUMIF(HKM!A:A,"418*",HKM!K:K)</f>
        <v>0</v>
      </c>
      <c r="G45" s="245"/>
      <c r="H45" s="255"/>
    </row>
    <row r="46" spans="1:10" ht="22.5" customHeight="1" thickBot="1">
      <c r="A46" s="85" t="s">
        <v>471</v>
      </c>
      <c r="B46" s="286">
        <f>SUMIF(HKM!A:A,"491*",HKM!D:D)-SUMIF(HKM!A:A,"491*",HKM!C:C)</f>
        <v>0</v>
      </c>
      <c r="C46" s="280"/>
      <c r="D46" s="280"/>
      <c r="E46" s="280"/>
      <c r="F46" s="287">
        <f>SUMIF(HKM!A:A,"491*",HKM!L:L)-SUMIF(HKM!A:A,"491*",HKM!K:K)</f>
        <v>0</v>
      </c>
      <c r="G46" s="245"/>
      <c r="H46" s="255"/>
    </row>
    <row r="47" spans="1:10" ht="12" thickTop="1">
      <c r="B47" s="245"/>
      <c r="C47" s="245"/>
      <c r="D47" s="245"/>
      <c r="E47" s="245"/>
      <c r="F47" s="245"/>
      <c r="G47" s="245"/>
      <c r="H47" s="245"/>
    </row>
  </sheetData>
  <mergeCells count="4">
    <mergeCell ref="B3:F3"/>
    <mergeCell ref="A26:A27"/>
    <mergeCell ref="B26:F26"/>
    <mergeCell ref="A3:A4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00B050"/>
  </sheetPr>
  <dimension ref="A1:I36"/>
  <sheetViews>
    <sheetView showGridLines="0" zoomScaleNormal="100" workbookViewId="0">
      <selection activeCell="F29" sqref="F29"/>
    </sheetView>
  </sheetViews>
  <sheetFormatPr defaultRowHeight="1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>
      <c r="A1" s="91" t="s">
        <v>209</v>
      </c>
      <c r="B1" s="20"/>
      <c r="C1" s="20"/>
      <c r="D1" s="20"/>
      <c r="E1" s="20"/>
      <c r="F1" s="20"/>
    </row>
    <row r="2" spans="1:9" ht="15.75" thickBot="1">
      <c r="A2" s="20" t="s">
        <v>8</v>
      </c>
      <c r="B2" s="20"/>
      <c r="C2" s="20"/>
      <c r="D2" s="20"/>
      <c r="E2" s="20"/>
      <c r="F2" s="20"/>
    </row>
    <row r="3" spans="1:9" ht="16.5" thickTop="1" thickBot="1">
      <c r="A3" s="345" t="s">
        <v>131</v>
      </c>
      <c r="B3" s="342" t="s">
        <v>2</v>
      </c>
      <c r="C3" s="343"/>
      <c r="D3" s="343"/>
      <c r="E3" s="343"/>
      <c r="F3" s="344"/>
    </row>
    <row r="4" spans="1:9" s="4" customFormat="1" ht="33" customHeight="1" thickTop="1" thickBot="1">
      <c r="A4" s="347"/>
      <c r="B4" s="21" t="s">
        <v>32</v>
      </c>
      <c r="C4" s="21" t="s">
        <v>124</v>
      </c>
      <c r="D4" s="94" t="s">
        <v>210</v>
      </c>
      <c r="E4" s="151" t="s">
        <v>211</v>
      </c>
      <c r="F4" s="21" t="s">
        <v>30</v>
      </c>
    </row>
    <row r="5" spans="1:9" ht="21" customHeight="1" thickTop="1" thickBot="1">
      <c r="A5" s="82" t="s">
        <v>212</v>
      </c>
      <c r="B5" s="270">
        <f>SUMIF(HK!A:A,"459*",HK!D:D)-SUMIF(HK!A:A,"459*",HK!C:C)</f>
        <v>0</v>
      </c>
      <c r="C5" s="289">
        <f>SUM(C6:C10)</f>
        <v>0</v>
      </c>
      <c r="D5" s="289">
        <f t="shared" ref="D5:E5" si="0">SUM(D6:D10)</f>
        <v>0</v>
      </c>
      <c r="E5" s="289">
        <f t="shared" si="0"/>
        <v>0</v>
      </c>
      <c r="F5" s="296">
        <f>SUMIF(HK!A:A,"459*",HK!L:L)-SUMIF(HK!A:A,"459*",HK!K:K)</f>
        <v>0</v>
      </c>
      <c r="G5" s="259"/>
      <c r="H5" s="255"/>
      <c r="I5" s="259"/>
    </row>
    <row r="6" spans="1:9" ht="21" customHeight="1" thickTop="1" thickBot="1">
      <c r="A6" s="100"/>
      <c r="B6" s="266"/>
      <c r="C6" s="264"/>
      <c r="D6" s="290"/>
      <c r="E6" s="290"/>
      <c r="F6" s="291">
        <f t="shared" ref="F6:F17" si="1">SUM(B6:E6)</f>
        <v>0</v>
      </c>
      <c r="G6" s="259"/>
      <c r="H6" s="259"/>
      <c r="I6" s="259"/>
    </row>
    <row r="7" spans="1:9" ht="21" customHeight="1" thickBot="1">
      <c r="A7" s="100"/>
      <c r="B7" s="266"/>
      <c r="C7" s="264"/>
      <c r="D7" s="292"/>
      <c r="E7" s="292"/>
      <c r="F7" s="291">
        <f t="shared" si="1"/>
        <v>0</v>
      </c>
      <c r="G7" s="259"/>
      <c r="H7" s="259"/>
      <c r="I7" s="259"/>
    </row>
    <row r="8" spans="1:9" ht="21" customHeight="1" thickBot="1">
      <c r="A8" s="100"/>
      <c r="B8" s="266"/>
      <c r="C8" s="264"/>
      <c r="D8" s="292"/>
      <c r="E8" s="292"/>
      <c r="F8" s="291">
        <f t="shared" si="1"/>
        <v>0</v>
      </c>
      <c r="G8" s="259"/>
      <c r="H8" s="259"/>
      <c r="I8" s="259"/>
    </row>
    <row r="9" spans="1:9" ht="21" customHeight="1" thickBot="1">
      <c r="A9" s="100"/>
      <c r="B9" s="266"/>
      <c r="C9" s="264"/>
      <c r="D9" s="292"/>
      <c r="E9" s="292"/>
      <c r="F9" s="291">
        <f t="shared" si="1"/>
        <v>0</v>
      </c>
      <c r="G9" s="259"/>
      <c r="H9" s="259"/>
      <c r="I9" s="259"/>
    </row>
    <row r="10" spans="1:9" ht="21" customHeight="1" thickBot="1">
      <c r="A10" s="136"/>
      <c r="B10" s="268"/>
      <c r="C10" s="293"/>
      <c r="D10" s="294"/>
      <c r="E10" s="294"/>
      <c r="F10" s="295">
        <f t="shared" si="1"/>
        <v>0</v>
      </c>
      <c r="G10" s="259"/>
      <c r="H10" s="259"/>
      <c r="I10" s="259"/>
    </row>
    <row r="11" spans="1:9" ht="21" customHeight="1" thickTop="1" thickBot="1">
      <c r="A11" s="82" t="s">
        <v>213</v>
      </c>
      <c r="B11" s="297">
        <f>SUMIF(HK!A:A,"323*",HK!D:D)-SUMIF(HK!A:A,"323*",HK!C:C)</f>
        <v>0</v>
      </c>
      <c r="C11" s="293">
        <f>SUM(C12:C16)</f>
        <v>0</v>
      </c>
      <c r="D11" s="293">
        <f t="shared" ref="D11:E11" si="2">SUM(D12:D16)</f>
        <v>0</v>
      </c>
      <c r="E11" s="293">
        <f t="shared" si="2"/>
        <v>0</v>
      </c>
      <c r="F11" s="298">
        <f>SUMIF(HK!A:A,"323*",HK!L:L)-SUMIF(HK!A:A,"323*",HK!K:K)</f>
        <v>0</v>
      </c>
      <c r="G11" s="259"/>
      <c r="H11" s="255"/>
      <c r="I11" s="259"/>
    </row>
    <row r="12" spans="1:9" ht="21" customHeight="1" thickTop="1" thickBot="1">
      <c r="A12" s="100"/>
      <c r="B12" s="266"/>
      <c r="C12" s="264"/>
      <c r="D12" s="290"/>
      <c r="E12" s="290"/>
      <c r="F12" s="291">
        <f t="shared" si="1"/>
        <v>0</v>
      </c>
      <c r="G12" s="259"/>
      <c r="H12" s="259"/>
      <c r="I12" s="259"/>
    </row>
    <row r="13" spans="1:9" ht="21" customHeight="1" thickBot="1">
      <c r="A13" s="100"/>
      <c r="B13" s="156"/>
      <c r="C13" s="75"/>
      <c r="D13" s="111"/>
      <c r="E13" s="111"/>
      <c r="F13" s="132">
        <f t="shared" si="1"/>
        <v>0</v>
      </c>
    </row>
    <row r="14" spans="1:9" ht="21" customHeight="1" thickBot="1">
      <c r="A14" s="100"/>
      <c r="B14" s="156"/>
      <c r="C14" s="75"/>
      <c r="D14" s="111"/>
      <c r="E14" s="111"/>
      <c r="F14" s="132">
        <f t="shared" si="1"/>
        <v>0</v>
      </c>
    </row>
    <row r="15" spans="1:9" ht="21" customHeight="1" thickBot="1">
      <c r="A15" s="100"/>
      <c r="B15" s="156"/>
      <c r="C15" s="75"/>
      <c r="D15" s="111"/>
      <c r="E15" s="111"/>
      <c r="F15" s="132">
        <f t="shared" si="1"/>
        <v>0</v>
      </c>
    </row>
    <row r="16" spans="1:9" ht="21" customHeight="1" thickBot="1">
      <c r="A16" s="100"/>
      <c r="B16" s="156"/>
      <c r="C16" s="75"/>
      <c r="D16" s="111"/>
      <c r="E16" s="111"/>
      <c r="F16" s="132">
        <f t="shared" si="1"/>
        <v>0</v>
      </c>
    </row>
    <row r="17" spans="1:9" ht="21" customHeight="1" thickBot="1">
      <c r="A17" s="136"/>
      <c r="B17" s="172"/>
      <c r="C17" s="77"/>
      <c r="D17" s="134"/>
      <c r="E17" s="134"/>
      <c r="F17" s="135">
        <f t="shared" si="1"/>
        <v>0</v>
      </c>
    </row>
    <row r="18" spans="1:9" ht="15.75" thickTop="1">
      <c r="A18" s="4"/>
      <c r="B18" s="4"/>
      <c r="C18" s="4"/>
      <c r="D18" s="4"/>
      <c r="E18" s="4"/>
      <c r="F18" s="4"/>
    </row>
    <row r="19" spans="1:9" ht="16.5">
      <c r="A19" s="2"/>
    </row>
    <row r="20" spans="1:9" ht="15.75" thickBot="1">
      <c r="A20" s="20" t="s">
        <v>15</v>
      </c>
      <c r="B20" s="20"/>
      <c r="C20" s="20"/>
      <c r="D20" s="20"/>
      <c r="E20" s="20"/>
      <c r="F20" s="20"/>
    </row>
    <row r="21" spans="1:9" ht="16.5" thickTop="1" thickBot="1">
      <c r="A21" s="345" t="s">
        <v>131</v>
      </c>
      <c r="B21" s="342" t="s">
        <v>3</v>
      </c>
      <c r="C21" s="343"/>
      <c r="D21" s="343"/>
      <c r="E21" s="343"/>
      <c r="F21" s="344"/>
    </row>
    <row r="22" spans="1:9" s="4" customFormat="1" ht="24" thickTop="1" thickBot="1">
      <c r="A22" s="347"/>
      <c r="B22" s="21" t="s">
        <v>32</v>
      </c>
      <c r="C22" s="21" t="s">
        <v>124</v>
      </c>
      <c r="D22" s="94" t="s">
        <v>210</v>
      </c>
      <c r="E22" s="151" t="s">
        <v>211</v>
      </c>
      <c r="F22" s="21" t="s">
        <v>30</v>
      </c>
    </row>
    <row r="23" spans="1:9" ht="21" customHeight="1" thickTop="1" thickBot="1">
      <c r="A23" s="136" t="s">
        <v>212</v>
      </c>
      <c r="B23" s="270">
        <f>SUMIF(HKM!A:A,"459*",HKM!D:D)-SUMIF(HKM!A:A,"459*",HKM!C:C)</f>
        <v>0</v>
      </c>
      <c r="C23" s="289">
        <f>SUM(C24:C28)</f>
        <v>0</v>
      </c>
      <c r="D23" s="289">
        <f t="shared" ref="D23:E23" si="3">SUM(D24:D28)</f>
        <v>0</v>
      </c>
      <c r="E23" s="289">
        <f t="shared" si="3"/>
        <v>0</v>
      </c>
      <c r="F23" s="296">
        <f>SUMIF(HKM!A:A,"459*",HKM!L:L)-SUMIF(HKM!A:A,"459*",HKM!K:K)</f>
        <v>0</v>
      </c>
      <c r="G23" s="259"/>
      <c r="H23" s="255"/>
      <c r="I23" s="259"/>
    </row>
    <row r="24" spans="1:9" ht="21" customHeight="1" thickTop="1" thickBot="1">
      <c r="A24" s="100"/>
      <c r="B24" s="266"/>
      <c r="C24" s="264"/>
      <c r="D24" s="290"/>
      <c r="E24" s="290"/>
      <c r="F24" s="291">
        <f t="shared" ref="F24:F35" si="4">SUM(B24:E24)</f>
        <v>0</v>
      </c>
      <c r="G24" s="259"/>
      <c r="H24" s="259"/>
      <c r="I24" s="259"/>
    </row>
    <row r="25" spans="1:9" ht="21" customHeight="1" thickBot="1">
      <c r="A25" s="100"/>
      <c r="B25" s="266"/>
      <c r="C25" s="264"/>
      <c r="D25" s="292"/>
      <c r="E25" s="292"/>
      <c r="F25" s="291">
        <f t="shared" si="4"/>
        <v>0</v>
      </c>
      <c r="G25" s="259"/>
      <c r="H25" s="259"/>
      <c r="I25" s="259"/>
    </row>
    <row r="26" spans="1:9" ht="21" customHeight="1" thickBot="1">
      <c r="A26" s="100"/>
      <c r="B26" s="266"/>
      <c r="C26" s="264"/>
      <c r="D26" s="292"/>
      <c r="E26" s="292"/>
      <c r="F26" s="291">
        <f t="shared" si="4"/>
        <v>0</v>
      </c>
      <c r="G26" s="259"/>
      <c r="H26" s="259"/>
      <c r="I26" s="259"/>
    </row>
    <row r="27" spans="1:9" ht="21" customHeight="1" thickBot="1">
      <c r="A27" s="100"/>
      <c r="B27" s="266"/>
      <c r="C27" s="264"/>
      <c r="D27" s="292"/>
      <c r="E27" s="292"/>
      <c r="F27" s="291">
        <f t="shared" si="4"/>
        <v>0</v>
      </c>
      <c r="G27" s="259"/>
      <c r="H27" s="259"/>
      <c r="I27" s="259"/>
    </row>
    <row r="28" spans="1:9" ht="21" customHeight="1" thickBot="1">
      <c r="A28" s="136"/>
      <c r="B28" s="268"/>
      <c r="C28" s="293"/>
      <c r="D28" s="294"/>
      <c r="E28" s="294"/>
      <c r="F28" s="295">
        <f t="shared" si="4"/>
        <v>0</v>
      </c>
      <c r="G28" s="259"/>
      <c r="H28" s="259"/>
      <c r="I28" s="259"/>
    </row>
    <row r="29" spans="1:9" ht="21" customHeight="1" thickTop="1" thickBot="1">
      <c r="A29" s="136" t="s">
        <v>213</v>
      </c>
      <c r="B29" s="297">
        <f>SUMIF(HKM!A:A,"323*",HKM!D:D)-SUMIF(HKM!A:A,"323*",HKM!C:C)</f>
        <v>0</v>
      </c>
      <c r="C29" s="293">
        <f>SUM(C30:C34)</f>
        <v>0</v>
      </c>
      <c r="D29" s="293">
        <f t="shared" ref="D29:E29" si="5">SUM(D30:D34)</f>
        <v>0</v>
      </c>
      <c r="E29" s="293">
        <f t="shared" si="5"/>
        <v>0</v>
      </c>
      <c r="F29" s="298">
        <f>SUMIF(HKM!A:A,"323*",HKM!L:L)-SUMIF(HKM!A:A,"323*",HKM!K:K)</f>
        <v>21861.67</v>
      </c>
      <c r="G29" s="259"/>
      <c r="H29" s="255"/>
      <c r="I29" s="259"/>
    </row>
    <row r="30" spans="1:9" ht="21" customHeight="1" thickTop="1" thickBot="1">
      <c r="A30" s="100"/>
      <c r="B30" s="266"/>
      <c r="C30" s="264"/>
      <c r="D30" s="290"/>
      <c r="E30" s="290"/>
      <c r="F30" s="291">
        <f t="shared" si="4"/>
        <v>0</v>
      </c>
      <c r="G30" s="259"/>
      <c r="H30" s="259"/>
      <c r="I30" s="259"/>
    </row>
    <row r="31" spans="1:9" ht="21" customHeight="1" thickBot="1">
      <c r="A31" s="100"/>
      <c r="B31" s="156"/>
      <c r="C31" s="75"/>
      <c r="D31" s="111"/>
      <c r="E31" s="111"/>
      <c r="F31" s="132">
        <f t="shared" si="4"/>
        <v>0</v>
      </c>
    </row>
    <row r="32" spans="1:9" ht="21" customHeight="1" thickBot="1">
      <c r="A32" s="100"/>
      <c r="B32" s="156"/>
      <c r="C32" s="75"/>
      <c r="D32" s="111"/>
      <c r="E32" s="111"/>
      <c r="F32" s="132">
        <f t="shared" si="4"/>
        <v>0</v>
      </c>
    </row>
    <row r="33" spans="1:6" ht="21" customHeight="1" thickBot="1">
      <c r="A33" s="100"/>
      <c r="B33" s="156"/>
      <c r="C33" s="75"/>
      <c r="D33" s="111"/>
      <c r="E33" s="111"/>
      <c r="F33" s="132">
        <f t="shared" si="4"/>
        <v>0</v>
      </c>
    </row>
    <row r="34" spans="1:6" ht="21" customHeight="1" thickBot="1">
      <c r="A34" s="100"/>
      <c r="B34" s="156"/>
      <c r="C34" s="75"/>
      <c r="D34" s="111"/>
      <c r="E34" s="111"/>
      <c r="F34" s="132">
        <f t="shared" si="4"/>
        <v>0</v>
      </c>
    </row>
    <row r="35" spans="1:6" ht="21" customHeight="1" thickBot="1">
      <c r="A35" s="136"/>
      <c r="B35" s="172"/>
      <c r="C35" s="77"/>
      <c r="D35" s="134"/>
      <c r="E35" s="134"/>
      <c r="F35" s="135">
        <f t="shared" si="4"/>
        <v>0</v>
      </c>
    </row>
    <row r="36" spans="1:6" ht="15.75" thickTop="1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Normal="100" workbookViewId="0">
      <selection activeCell="F12" sqref="F12"/>
    </sheetView>
  </sheetViews>
  <sheetFormatPr defaultRowHeight="1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>
      <c r="A1" s="1" t="s">
        <v>214</v>
      </c>
    </row>
    <row r="2" spans="1:3" ht="26.25" customHeight="1" thickTop="1" thickBot="1">
      <c r="A2" s="80" t="s">
        <v>131</v>
      </c>
      <c r="B2" s="38" t="s">
        <v>2</v>
      </c>
      <c r="C2" s="38" t="s">
        <v>3</v>
      </c>
    </row>
    <row r="3" spans="1:3" ht="20.25" customHeight="1" thickTop="1" thickBot="1">
      <c r="A3" s="14" t="s">
        <v>215</v>
      </c>
      <c r="B3" s="173"/>
      <c r="C3" s="174"/>
    </row>
    <row r="4" spans="1:3" ht="20.25" customHeight="1" thickBot="1">
      <c r="A4" s="14" t="s">
        <v>473</v>
      </c>
      <c r="B4" s="175"/>
      <c r="C4" s="137"/>
    </row>
    <row r="5" spans="1:3" ht="20.25" customHeight="1" thickBot="1">
      <c r="A5" s="44" t="s">
        <v>216</v>
      </c>
      <c r="B5" s="175"/>
      <c r="C5" s="137"/>
    </row>
    <row r="6" spans="1:3" ht="20.25" customHeight="1" thickBot="1">
      <c r="A6" s="14" t="s">
        <v>217</v>
      </c>
      <c r="B6" s="156"/>
      <c r="C6" s="76"/>
    </row>
    <row r="7" spans="1:3" ht="20.25" customHeight="1" thickBot="1">
      <c r="A7" s="14" t="s">
        <v>218</v>
      </c>
      <c r="B7" s="156"/>
      <c r="C7" s="76"/>
    </row>
    <row r="8" spans="1:3" ht="20.25" customHeight="1" thickBot="1">
      <c r="A8" s="25" t="s">
        <v>219</v>
      </c>
      <c r="B8" s="175"/>
      <c r="C8" s="137"/>
    </row>
    <row r="9" spans="1:3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>
      <c r="A1" s="1" t="s">
        <v>478</v>
      </c>
    </row>
    <row r="2" spans="1:6" ht="21.75" customHeight="1" thickTop="1" thickBot="1">
      <c r="A2" s="58" t="s">
        <v>131</v>
      </c>
      <c r="B2" s="38" t="s">
        <v>2</v>
      </c>
      <c r="C2" s="38" t="s">
        <v>3</v>
      </c>
    </row>
    <row r="3" spans="1:6" ht="21.75" customHeight="1" thickTop="1" thickBot="1">
      <c r="A3" s="95" t="s">
        <v>234</v>
      </c>
      <c r="B3" s="300">
        <f>SUMIF(HK!A:A,"472*",HK!D:D)-SUMIF(HK!A:A,"472*",HK!C:C)</f>
        <v>0</v>
      </c>
      <c r="C3" s="265">
        <f>SUMIF(HKM!A:A,"472*",HKM!D:D)-SUMIF(HKM!A:A,"472*",HKM!C:C)</f>
        <v>0</v>
      </c>
      <c r="D3" s="259"/>
      <c r="E3" s="301"/>
      <c r="F3" s="259"/>
    </row>
    <row r="4" spans="1:6" ht="21.75" customHeight="1" thickBot="1">
      <c r="A4" s="67" t="s">
        <v>235</v>
      </c>
      <c r="B4" s="264"/>
      <c r="C4" s="274"/>
      <c r="D4" s="259"/>
      <c r="E4" s="259"/>
      <c r="F4" s="259"/>
    </row>
    <row r="5" spans="1:6" ht="21.75" customHeight="1" thickBot="1">
      <c r="A5" s="67" t="s">
        <v>236</v>
      </c>
      <c r="B5" s="264"/>
      <c r="C5" s="274"/>
      <c r="D5" s="259"/>
      <c r="E5" s="259"/>
      <c r="F5" s="259"/>
    </row>
    <row r="6" spans="1:6" ht="21.75" customHeight="1" thickBot="1">
      <c r="A6" s="67" t="s">
        <v>237</v>
      </c>
      <c r="B6" s="264"/>
      <c r="C6" s="274"/>
      <c r="D6" s="259"/>
      <c r="E6" s="259"/>
      <c r="F6" s="259"/>
    </row>
    <row r="7" spans="1:6" ht="21.75" customHeight="1" thickBot="1">
      <c r="A7" s="95" t="s">
        <v>238</v>
      </c>
      <c r="B7" s="264"/>
      <c r="C7" s="274"/>
      <c r="D7" s="259"/>
      <c r="E7" s="259"/>
      <c r="F7" s="259"/>
    </row>
    <row r="8" spans="1:6" ht="21.75" customHeight="1" thickBot="1">
      <c r="A8" s="95" t="s">
        <v>239</v>
      </c>
      <c r="B8" s="264"/>
      <c r="C8" s="274"/>
      <c r="D8" s="259"/>
      <c r="E8" s="259"/>
      <c r="F8" s="259"/>
    </row>
    <row r="9" spans="1:6" ht="21.75" customHeight="1" thickBot="1">
      <c r="A9" s="68" t="s">
        <v>240</v>
      </c>
      <c r="B9" s="302">
        <f>SUMIF(HK!A:A,"472*",HK!L:L)-SUMIF(HK!A:A,"472*",HK!K:K)</f>
        <v>0</v>
      </c>
      <c r="C9" s="298">
        <f>SUMIF(HKM!A:A,"472*",HKM!L:L)-SUMIF(HKM!A:A,"472*",HKM!K:K)</f>
        <v>0</v>
      </c>
      <c r="D9" s="259"/>
      <c r="E9" s="301"/>
      <c r="F9" s="259"/>
    </row>
    <row r="10" spans="1:6" ht="17.25" thickTop="1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0000"/>
  </sheetPr>
  <dimension ref="A1:F7"/>
  <sheetViews>
    <sheetView showGridLines="0" zoomScaleNormal="100" workbookViewId="0">
      <selection activeCell="G22" sqref="G22"/>
    </sheetView>
  </sheetViews>
  <sheetFormatPr defaultRowHeight="15"/>
  <cols>
    <col min="1" max="6" width="14.42578125" customWidth="1"/>
    <col min="7" max="7" width="23.28515625" customWidth="1"/>
  </cols>
  <sheetData>
    <row r="1" spans="1:6" ht="17.25" thickBot="1">
      <c r="A1" s="1" t="s">
        <v>479</v>
      </c>
    </row>
    <row r="2" spans="1:6" s="4" customFormat="1" ht="21.75" customHeight="1" thickTop="1" thickBot="1">
      <c r="A2" s="58" t="s">
        <v>241</v>
      </c>
      <c r="B2" s="38" t="s">
        <v>242</v>
      </c>
      <c r="C2" s="38" t="s">
        <v>243</v>
      </c>
      <c r="D2" s="38" t="s">
        <v>244</v>
      </c>
      <c r="E2" s="38" t="s">
        <v>245</v>
      </c>
      <c r="F2" s="38" t="s">
        <v>184</v>
      </c>
    </row>
    <row r="3" spans="1:6" ht="21.75" customHeight="1" thickTop="1" thickBot="1">
      <c r="A3" s="100"/>
      <c r="B3" s="98"/>
      <c r="C3" s="75"/>
      <c r="D3" s="75"/>
      <c r="E3" s="75"/>
      <c r="F3" s="76"/>
    </row>
    <row r="4" spans="1:6" ht="21.75" customHeight="1" thickBot="1">
      <c r="A4" s="100"/>
      <c r="B4" s="98"/>
      <c r="C4" s="75"/>
      <c r="D4" s="75"/>
      <c r="E4" s="75"/>
      <c r="F4" s="76"/>
    </row>
    <row r="5" spans="1:6" ht="21.75" customHeight="1" thickBot="1">
      <c r="A5" s="100"/>
      <c r="B5" s="98"/>
      <c r="C5" s="75"/>
      <c r="D5" s="75"/>
      <c r="E5" s="75"/>
      <c r="F5" s="76"/>
    </row>
    <row r="6" spans="1:6" ht="21.75" customHeight="1" thickBot="1">
      <c r="A6" s="101"/>
      <c r="B6" s="99"/>
      <c r="C6" s="81"/>
      <c r="D6" s="81"/>
      <c r="E6" s="81"/>
      <c r="F6" s="74"/>
    </row>
    <row r="7" spans="1:6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00B050"/>
  </sheetPr>
  <dimension ref="A1:I26"/>
  <sheetViews>
    <sheetView showGridLines="0" topLeftCell="A19" zoomScaleNormal="100" workbookViewId="0">
      <selection activeCell="F26" sqref="F26"/>
    </sheetView>
  </sheetViews>
  <sheetFormatPr defaultRowHeight="11.25"/>
  <cols>
    <col min="1" max="1" width="23" style="20" customWidth="1"/>
    <col min="2" max="2" width="8.28515625" style="20" customWidth="1"/>
    <col min="3" max="6" width="13.85546875" style="20" customWidth="1"/>
    <col min="7" max="7" width="23.28515625" style="20" customWidth="1"/>
    <col min="8" max="16384" width="9.140625" style="20"/>
  </cols>
  <sheetData>
    <row r="1" spans="1:9">
      <c r="A1" s="91" t="s">
        <v>480</v>
      </c>
    </row>
    <row r="2" spans="1:9" ht="12" thickBot="1">
      <c r="A2" s="20" t="s">
        <v>8</v>
      </c>
    </row>
    <row r="3" spans="1:9" ht="66.75" customHeight="1" thickTop="1" thickBot="1">
      <c r="A3" s="19" t="s">
        <v>131</v>
      </c>
      <c r="B3" s="19" t="s">
        <v>246</v>
      </c>
      <c r="C3" s="49" t="s">
        <v>477</v>
      </c>
      <c r="D3" s="19" t="s">
        <v>247</v>
      </c>
      <c r="E3" s="19" t="s">
        <v>248</v>
      </c>
      <c r="F3" s="19" t="s">
        <v>249</v>
      </c>
    </row>
    <row r="4" spans="1:9" ht="21.75" customHeight="1" thickTop="1" thickBot="1">
      <c r="A4" s="51" t="s">
        <v>250</v>
      </c>
      <c r="B4" s="83"/>
      <c r="C4" s="83"/>
      <c r="D4" s="83"/>
      <c r="E4" s="83"/>
      <c r="F4" s="79"/>
    </row>
    <row r="5" spans="1:9" ht="21.75" customHeight="1" thickTop="1" thickBot="1">
      <c r="A5" s="70"/>
      <c r="B5" s="176"/>
      <c r="C5" s="177"/>
      <c r="D5" s="178"/>
      <c r="E5" s="131"/>
      <c r="F5" s="73"/>
    </row>
    <row r="6" spans="1:9" ht="21.75" customHeight="1" thickBot="1">
      <c r="A6" s="162"/>
      <c r="B6" s="102"/>
      <c r="C6" s="105"/>
      <c r="D6" s="87"/>
      <c r="E6" s="75"/>
      <c r="F6" s="76"/>
    </row>
    <row r="7" spans="1:9" ht="21.75" customHeight="1" thickBot="1">
      <c r="A7" s="162"/>
      <c r="B7" s="102"/>
      <c r="C7" s="105"/>
      <c r="D7" s="87"/>
      <c r="E7" s="300">
        <f>SUMIF(SUP!C:C,"119",SUP!D:D)</f>
        <v>0</v>
      </c>
      <c r="F7" s="265">
        <f>SUMIF(SUP!C:C,"119",SUP!E:E)</f>
        <v>0</v>
      </c>
      <c r="G7" s="245"/>
      <c r="H7" s="303"/>
      <c r="I7" s="245"/>
    </row>
    <row r="8" spans="1:9" ht="21.75" customHeight="1" thickBot="1">
      <c r="A8" s="92" t="s">
        <v>251</v>
      </c>
      <c r="B8" s="103"/>
      <c r="C8" s="106"/>
      <c r="D8" s="106"/>
      <c r="E8" s="304"/>
      <c r="F8" s="305"/>
      <c r="G8" s="245"/>
      <c r="H8" s="245"/>
      <c r="I8" s="245"/>
    </row>
    <row r="9" spans="1:9" ht="21.75" customHeight="1" thickTop="1" thickBot="1">
      <c r="A9" s="162"/>
      <c r="B9" s="102"/>
      <c r="C9" s="105"/>
      <c r="D9" s="87"/>
      <c r="E9" s="264"/>
      <c r="F9" s="274"/>
      <c r="G9" s="245"/>
      <c r="H9" s="245"/>
      <c r="I9" s="245"/>
    </row>
    <row r="10" spans="1:9" ht="21.75" customHeight="1" thickBot="1">
      <c r="A10" s="162"/>
      <c r="B10" s="102"/>
      <c r="C10" s="105"/>
      <c r="D10" s="87"/>
      <c r="E10" s="264"/>
      <c r="F10" s="274"/>
      <c r="G10" s="245"/>
      <c r="H10" s="245"/>
      <c r="I10" s="245"/>
    </row>
    <row r="11" spans="1:9" ht="21.75" customHeight="1" thickBot="1">
      <c r="A11" s="68"/>
      <c r="B11" s="104"/>
      <c r="C11" s="108"/>
      <c r="D11" s="88"/>
      <c r="E11" s="302">
        <f>SUMIF(SUP!C:C,"120",SUP!D:D)</f>
        <v>0</v>
      </c>
      <c r="F11" s="298">
        <f>SUMIF(SUP!C:C,"120",SUP!E:E)</f>
        <v>0</v>
      </c>
      <c r="G11" s="245"/>
      <c r="H11" s="303"/>
      <c r="I11" s="245"/>
    </row>
    <row r="12" spans="1:9" ht="12" thickTop="1">
      <c r="A12" s="91"/>
    </row>
    <row r="13" spans="1:9" ht="12" thickBot="1">
      <c r="A13" s="20" t="s">
        <v>15</v>
      </c>
    </row>
    <row r="14" spans="1:9" ht="66.75" customHeight="1" thickTop="1" thickBot="1">
      <c r="A14" s="19" t="s">
        <v>131</v>
      </c>
      <c r="B14" s="19" t="s">
        <v>246</v>
      </c>
      <c r="C14" s="49" t="s">
        <v>477</v>
      </c>
      <c r="D14" s="19" t="s">
        <v>247</v>
      </c>
      <c r="E14" s="19" t="s">
        <v>248</v>
      </c>
      <c r="F14" s="19" t="s">
        <v>249</v>
      </c>
    </row>
    <row r="15" spans="1:9" ht="21.75" customHeight="1" thickTop="1" thickBot="1">
      <c r="A15" s="51" t="s">
        <v>474</v>
      </c>
      <c r="B15" s="83"/>
      <c r="C15" s="83"/>
      <c r="D15" s="83"/>
      <c r="E15" s="83"/>
      <c r="F15" s="79"/>
    </row>
    <row r="16" spans="1:9" ht="21.75" customHeight="1" thickTop="1" thickBot="1">
      <c r="A16" s="67"/>
      <c r="B16" s="102"/>
      <c r="C16" s="105"/>
      <c r="D16" s="87"/>
      <c r="E16" s="75"/>
      <c r="F16" s="76"/>
    </row>
    <row r="17" spans="1:8" ht="21.75" customHeight="1" thickBot="1">
      <c r="A17" s="67"/>
      <c r="B17" s="102"/>
      <c r="C17" s="105"/>
      <c r="D17" s="87"/>
      <c r="E17" s="75"/>
      <c r="F17" s="76"/>
    </row>
    <row r="18" spans="1:8" ht="21.75" customHeight="1" thickBot="1">
      <c r="A18" s="67"/>
      <c r="B18" s="102"/>
      <c r="C18" s="105"/>
      <c r="D18" s="87"/>
      <c r="E18" s="75"/>
      <c r="F18" s="76"/>
    </row>
    <row r="19" spans="1:8" ht="21.75" customHeight="1" thickBot="1">
      <c r="A19" s="92" t="s">
        <v>475</v>
      </c>
      <c r="B19" s="103"/>
      <c r="C19" s="106"/>
      <c r="D19" s="106"/>
      <c r="E19" s="106"/>
      <c r="F19" s="107"/>
    </row>
    <row r="20" spans="1:8" ht="21.75" customHeight="1" thickTop="1" thickBot="1">
      <c r="A20" s="67"/>
      <c r="B20" s="102"/>
      <c r="C20" s="105"/>
      <c r="D20" s="87"/>
      <c r="E20" s="75"/>
      <c r="F20" s="76"/>
    </row>
    <row r="21" spans="1:8" ht="21.75" customHeight="1" thickBot="1">
      <c r="A21" s="67"/>
      <c r="B21" s="102"/>
      <c r="C21" s="105"/>
      <c r="D21" s="87"/>
      <c r="E21" s="75"/>
      <c r="F21" s="76"/>
    </row>
    <row r="22" spans="1:8" ht="21.75" customHeight="1" thickBot="1">
      <c r="A22" s="67"/>
      <c r="B22" s="102"/>
      <c r="C22" s="105"/>
      <c r="D22" s="87"/>
      <c r="E22" s="75"/>
      <c r="F22" s="76"/>
    </row>
    <row r="23" spans="1:8" ht="21.75" customHeight="1" thickBot="1">
      <c r="A23" s="92" t="s">
        <v>476</v>
      </c>
      <c r="B23" s="103"/>
      <c r="C23" s="106"/>
      <c r="D23" s="106"/>
      <c r="E23" s="106"/>
      <c r="F23" s="107"/>
    </row>
    <row r="24" spans="1:8" ht="21.75" customHeight="1" thickTop="1" thickBot="1">
      <c r="A24" s="67"/>
      <c r="B24" s="102"/>
      <c r="C24" s="105"/>
      <c r="D24" s="87"/>
      <c r="E24" s="75"/>
      <c r="F24" s="76"/>
    </row>
    <row r="25" spans="1:8" ht="21.75" customHeight="1" thickBot="1">
      <c r="A25" s="68"/>
      <c r="B25" s="104"/>
      <c r="C25" s="108"/>
      <c r="D25" s="88"/>
      <c r="E25" s="302">
        <f>SUMIF(SUP!C:C,"117",SUP!D:D)</f>
        <v>0</v>
      </c>
      <c r="F25" s="298">
        <f>SUMIF(SUP!C:C,"117",SUP!E:E)</f>
        <v>0</v>
      </c>
      <c r="G25" s="245"/>
      <c r="H25" s="303"/>
    </row>
    <row r="26" spans="1:8" ht="12" thickTop="1">
      <c r="E26" s="245"/>
      <c r="F26" s="245"/>
      <c r="G26" s="245"/>
      <c r="H26" s="245"/>
    </row>
  </sheetData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00B050"/>
  </sheetPr>
  <dimension ref="A1:E20"/>
  <sheetViews>
    <sheetView showGridLines="0" topLeftCell="A13" zoomScaleNormal="100" workbookViewId="0">
      <selection activeCell="C16" sqref="C16"/>
    </sheetView>
  </sheetViews>
  <sheetFormatPr defaultRowHeight="1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ht="17.25" thickBot="1">
      <c r="A1" s="1" t="s">
        <v>481</v>
      </c>
    </row>
    <row r="2" spans="1:5" ht="24" thickTop="1" thickBot="1">
      <c r="A2" s="80" t="s">
        <v>131</v>
      </c>
      <c r="B2" s="38" t="s">
        <v>2</v>
      </c>
      <c r="C2" s="38" t="s">
        <v>3</v>
      </c>
    </row>
    <row r="3" spans="1:5" ht="35.25" thickTop="1" thickBot="1">
      <c r="A3" s="44" t="s">
        <v>220</v>
      </c>
      <c r="B3" s="75"/>
      <c r="C3" s="76"/>
    </row>
    <row r="4" spans="1:5" ht="23.25" customHeight="1" thickBot="1">
      <c r="A4" s="14" t="s">
        <v>221</v>
      </c>
      <c r="B4" s="75"/>
      <c r="C4" s="76"/>
    </row>
    <row r="5" spans="1:5" ht="23.25" customHeight="1" thickBot="1">
      <c r="A5" s="14" t="s">
        <v>222</v>
      </c>
      <c r="B5" s="75"/>
      <c r="C5" s="76"/>
    </row>
    <row r="6" spans="1:5" ht="45.75" thickBot="1">
      <c r="A6" s="44" t="s">
        <v>223</v>
      </c>
      <c r="B6" s="75"/>
      <c r="C6" s="76"/>
    </row>
    <row r="7" spans="1:5" ht="23.25" customHeight="1" thickBot="1">
      <c r="A7" s="14" t="s">
        <v>221</v>
      </c>
      <c r="B7" s="75"/>
      <c r="C7" s="76"/>
    </row>
    <row r="8" spans="1:5" ht="23.25" customHeight="1" thickBot="1">
      <c r="A8" s="14" t="s">
        <v>222</v>
      </c>
      <c r="B8" s="75"/>
      <c r="C8" s="76"/>
    </row>
    <row r="9" spans="1:5" ht="23.25" customHeight="1" thickBot="1">
      <c r="A9" s="44" t="s">
        <v>224</v>
      </c>
      <c r="B9" s="75"/>
      <c r="C9" s="76"/>
    </row>
    <row r="10" spans="1:5" ht="23.25" customHeight="1" thickBot="1">
      <c r="A10" s="44" t="s">
        <v>225</v>
      </c>
      <c r="B10" s="75"/>
      <c r="C10" s="76"/>
    </row>
    <row r="11" spans="1:5" ht="23.25" customHeight="1" thickBot="1">
      <c r="A11" s="44" t="s">
        <v>226</v>
      </c>
      <c r="B11" s="105">
        <v>0.19</v>
      </c>
      <c r="C11" s="109">
        <v>0.19</v>
      </c>
    </row>
    <row r="12" spans="1:5" ht="23.25" customHeight="1" thickBot="1">
      <c r="A12" s="44" t="s">
        <v>227</v>
      </c>
      <c r="B12" s="300">
        <f>SUMIF(SUA!C:C,"045",SUA!F:F)</f>
        <v>140082.04</v>
      </c>
      <c r="C12" s="265">
        <f>SUMIF(SUA!C:C,"045",SUA!G:G)</f>
        <v>0</v>
      </c>
      <c r="D12" s="259"/>
      <c r="E12" s="303"/>
    </row>
    <row r="13" spans="1:5" ht="23.25" customHeight="1" thickBot="1">
      <c r="A13" s="44" t="s">
        <v>228</v>
      </c>
      <c r="B13" s="264"/>
      <c r="C13" s="274"/>
      <c r="D13" s="259"/>
      <c r="E13" s="259"/>
    </row>
    <row r="14" spans="1:5" ht="23.25" customHeight="1" thickBot="1">
      <c r="A14" s="14" t="s">
        <v>229</v>
      </c>
      <c r="B14" s="264"/>
      <c r="C14" s="274"/>
      <c r="D14" s="259"/>
      <c r="E14" s="259"/>
    </row>
    <row r="15" spans="1:5" ht="23.25" customHeight="1" thickBot="1">
      <c r="A15" s="14" t="s">
        <v>230</v>
      </c>
      <c r="B15" s="264"/>
      <c r="C15" s="274"/>
      <c r="D15" s="259"/>
      <c r="E15" s="259"/>
    </row>
    <row r="16" spans="1:5" ht="23.25" customHeight="1" thickBot="1">
      <c r="A16" s="96" t="s">
        <v>231</v>
      </c>
      <c r="B16" s="300">
        <f>SUMIF(SUA!C:C,"105",SUA!F:F)</f>
        <v>0</v>
      </c>
      <c r="C16" s="265">
        <f>SUMIF(SUA!C:C,"105",SUA!G:G)</f>
        <v>0</v>
      </c>
      <c r="D16" s="259"/>
      <c r="E16" s="303"/>
    </row>
    <row r="17" spans="1:3" ht="23.25" customHeight="1" thickBot="1">
      <c r="A17" s="97" t="s">
        <v>232</v>
      </c>
      <c r="B17" s="75"/>
      <c r="C17" s="76"/>
    </row>
    <row r="18" spans="1:3" ht="23.25" customHeight="1" thickBot="1">
      <c r="A18" s="14" t="s">
        <v>233</v>
      </c>
      <c r="B18" s="75"/>
      <c r="C18" s="76"/>
    </row>
    <row r="19" spans="1:3" ht="23.25" customHeight="1" thickBot="1">
      <c r="A19" s="16" t="s">
        <v>230</v>
      </c>
      <c r="B19" s="81"/>
      <c r="C19" s="74"/>
    </row>
    <row r="20" spans="1:3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00B050"/>
  </sheetPr>
  <dimension ref="A1:F17"/>
  <sheetViews>
    <sheetView showGridLines="0" topLeftCell="A10" zoomScaleNormal="100" workbookViewId="0">
      <selection activeCell="D11" sqref="D11"/>
    </sheetView>
  </sheetViews>
  <sheetFormatPr defaultRowHeight="15"/>
  <cols>
    <col min="1" max="1" width="32.7109375" customWidth="1"/>
    <col min="2" max="3" width="26.85546875" customWidth="1"/>
    <col min="4" max="4" width="22.28515625" customWidth="1"/>
  </cols>
  <sheetData>
    <row r="1" spans="1:6" ht="17.25" thickBot="1">
      <c r="A1" s="1" t="s">
        <v>252</v>
      </c>
    </row>
    <row r="2" spans="1:6" ht="23.25" customHeight="1" thickTop="1" thickBot="1">
      <c r="A2" s="80" t="s">
        <v>1</v>
      </c>
      <c r="B2" s="152" t="s">
        <v>2</v>
      </c>
      <c r="C2" s="152" t="s">
        <v>3</v>
      </c>
    </row>
    <row r="3" spans="1:6" ht="23.25" customHeight="1" thickTop="1" thickBot="1">
      <c r="A3" s="69" t="s">
        <v>253</v>
      </c>
      <c r="B3" s="302">
        <f>SUMIF(SUP!C:C,"122",SUP!D:D)</f>
        <v>0</v>
      </c>
      <c r="C3" s="298">
        <f>SUMIF(SUP!C:C,"122",SUP!E:E)</f>
        <v>0</v>
      </c>
      <c r="D3" s="259"/>
      <c r="E3" s="303"/>
      <c r="F3" s="259"/>
    </row>
    <row r="4" spans="1:6" ht="23.25" customHeight="1" thickTop="1" thickBot="1">
      <c r="A4" s="14"/>
      <c r="B4" s="264"/>
      <c r="C4" s="274"/>
      <c r="D4" s="259"/>
      <c r="E4" s="259"/>
      <c r="F4" s="259"/>
    </row>
    <row r="5" spans="1:6" ht="23.25" customHeight="1" thickBot="1">
      <c r="A5" s="16"/>
      <c r="B5" s="293"/>
      <c r="C5" s="275"/>
      <c r="D5" s="259"/>
      <c r="E5" s="259"/>
      <c r="F5" s="259"/>
    </row>
    <row r="6" spans="1:6" ht="23.25" customHeight="1" thickTop="1" thickBot="1">
      <c r="A6" s="25" t="s">
        <v>254</v>
      </c>
      <c r="B6" s="302">
        <f>SUMIF(SUP!C:C,"123",SUP!D:D)</f>
        <v>0</v>
      </c>
      <c r="C6" s="298">
        <f>SUMIF(SUP!C:C,"123",SUP!E:E)</f>
        <v>0</v>
      </c>
      <c r="D6" s="259"/>
      <c r="E6" s="303"/>
      <c r="F6" s="259"/>
    </row>
    <row r="7" spans="1:6" ht="23.25" customHeight="1" thickTop="1" thickBot="1">
      <c r="A7" s="14"/>
      <c r="B7" s="264"/>
      <c r="C7" s="274"/>
      <c r="D7" s="259"/>
      <c r="E7" s="259"/>
      <c r="F7" s="259"/>
    </row>
    <row r="8" spans="1:6" ht="23.25" customHeight="1" thickBot="1">
      <c r="A8" s="16"/>
      <c r="B8" s="293"/>
      <c r="C8" s="275"/>
      <c r="D8" s="259"/>
      <c r="E8" s="259"/>
      <c r="F8" s="259"/>
    </row>
    <row r="9" spans="1:6" ht="23.25" customHeight="1" thickTop="1" thickBot="1">
      <c r="A9" s="25" t="s">
        <v>482</v>
      </c>
      <c r="B9" s="302">
        <f>SUMIF(SUP!C:C,"124",SUP!D:D)</f>
        <v>0</v>
      </c>
      <c r="C9" s="298">
        <f>SUMIF(SUP!C:C,"124",SUP!E:E)</f>
        <v>0</v>
      </c>
      <c r="D9" s="259"/>
      <c r="E9" s="303"/>
      <c r="F9" s="259"/>
    </row>
    <row r="10" spans="1:6" ht="23.25" customHeight="1" thickTop="1" thickBot="1">
      <c r="A10" s="14"/>
      <c r="B10" s="264"/>
      <c r="C10" s="274"/>
      <c r="D10" s="259"/>
      <c r="E10" s="259"/>
      <c r="F10" s="259"/>
    </row>
    <row r="11" spans="1:6" ht="23.25" customHeight="1" thickBot="1">
      <c r="A11" s="14"/>
      <c r="B11" s="264"/>
      <c r="C11" s="274"/>
      <c r="D11" s="259"/>
      <c r="E11" s="259"/>
      <c r="F11" s="259"/>
    </row>
    <row r="12" spans="1:6" ht="23.25" customHeight="1" thickBot="1">
      <c r="A12" s="16"/>
      <c r="B12" s="293"/>
      <c r="C12" s="275"/>
      <c r="D12" s="259"/>
      <c r="E12" s="259"/>
      <c r="F12" s="259"/>
    </row>
    <row r="13" spans="1:6" ht="23.25" customHeight="1" thickTop="1" thickBot="1">
      <c r="A13" s="25" t="s">
        <v>483</v>
      </c>
      <c r="B13" s="302">
        <f>SUMIF(SUP!C:C,"125",SUP!D:D)</f>
        <v>0</v>
      </c>
      <c r="C13" s="298">
        <f>SUMIF(SUP!C:C,"125",SUP!E:E)</f>
        <v>0</v>
      </c>
      <c r="D13" s="259"/>
      <c r="E13" s="303"/>
      <c r="F13" s="259"/>
    </row>
    <row r="14" spans="1:6" ht="23.25" customHeight="1" thickTop="1" thickBot="1">
      <c r="A14" s="14"/>
      <c r="B14" s="75"/>
      <c r="C14" s="76"/>
    </row>
    <row r="15" spans="1:6" ht="23.25" customHeight="1" thickBot="1">
      <c r="A15" s="110"/>
      <c r="B15" s="111"/>
      <c r="C15" s="112"/>
    </row>
    <row r="16" spans="1:6" ht="23.25" customHeight="1" thickBot="1">
      <c r="A16" s="16"/>
      <c r="B16" s="81"/>
      <c r="C16" s="74"/>
    </row>
    <row r="17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FF0000"/>
  </sheetPr>
  <dimension ref="A1:E15"/>
  <sheetViews>
    <sheetView showGridLines="0" zoomScaleNormal="100" workbookViewId="0">
      <selection activeCell="F15" sqref="F15"/>
    </sheetView>
  </sheetViews>
  <sheetFormatPr defaultRowHeight="15"/>
  <cols>
    <col min="1" max="1" width="27.5703125" customWidth="1"/>
    <col min="2" max="5" width="19.5703125" customWidth="1"/>
  </cols>
  <sheetData>
    <row r="1" spans="1:5" ht="16.5">
      <c r="A1" s="1" t="s">
        <v>255</v>
      </c>
    </row>
    <row r="2" spans="1:5" ht="15.75" thickBot="1">
      <c r="A2" s="20" t="s">
        <v>8</v>
      </c>
      <c r="B2" s="20"/>
      <c r="C2" s="20"/>
      <c r="D2" s="20"/>
      <c r="E2" s="20"/>
    </row>
    <row r="3" spans="1:5" ht="16.5" thickTop="1" thickBot="1">
      <c r="A3" s="345" t="s">
        <v>131</v>
      </c>
      <c r="B3" s="323" t="s">
        <v>256</v>
      </c>
      <c r="C3" s="329"/>
      <c r="D3" s="321" t="s">
        <v>257</v>
      </c>
      <c r="E3" s="20"/>
    </row>
    <row r="4" spans="1:5" ht="16.5" thickTop="1" thickBot="1">
      <c r="A4" s="347"/>
      <c r="B4" s="21" t="s">
        <v>258</v>
      </c>
      <c r="C4" s="65" t="s">
        <v>259</v>
      </c>
      <c r="D4" s="322"/>
      <c r="E4" s="20"/>
    </row>
    <row r="5" spans="1:5" ht="18.75" customHeight="1" thickTop="1" thickBot="1">
      <c r="A5" s="25" t="s">
        <v>260</v>
      </c>
      <c r="B5" s="57"/>
      <c r="C5" s="57"/>
      <c r="D5" s="59"/>
      <c r="E5" s="20"/>
    </row>
    <row r="6" spans="1:5" ht="18.75" customHeight="1" thickTop="1" thickBot="1">
      <c r="A6" s="14"/>
      <c r="B6" s="75"/>
      <c r="C6" s="75"/>
      <c r="D6" s="76"/>
      <c r="E6" s="20"/>
    </row>
    <row r="7" spans="1:5" ht="18.75" customHeight="1" thickBot="1">
      <c r="A7" s="14"/>
      <c r="B7" s="75"/>
      <c r="C7" s="75"/>
      <c r="D7" s="76"/>
      <c r="E7" s="20"/>
    </row>
    <row r="8" spans="1:5" ht="18.75" customHeight="1" thickBot="1">
      <c r="A8" s="14"/>
      <c r="B8" s="75"/>
      <c r="C8" s="75"/>
      <c r="D8" s="76"/>
      <c r="E8" s="20"/>
    </row>
    <row r="9" spans="1:5" ht="18.75" customHeight="1" thickBot="1">
      <c r="A9" s="16"/>
      <c r="B9" s="81"/>
      <c r="C9" s="138"/>
      <c r="D9" s="74"/>
      <c r="E9" s="20"/>
    </row>
    <row r="10" spans="1:5" ht="18.75" customHeight="1" thickTop="1" thickBot="1">
      <c r="A10" s="25" t="s">
        <v>261</v>
      </c>
      <c r="B10" s="81"/>
      <c r="C10" s="139"/>
      <c r="D10" s="74"/>
      <c r="E10" s="20"/>
    </row>
    <row r="11" spans="1:5" ht="18.75" customHeight="1" thickTop="1" thickBot="1">
      <c r="A11" s="14"/>
      <c r="B11" s="75"/>
      <c r="C11" s="75"/>
      <c r="D11" s="76"/>
      <c r="E11" s="20"/>
    </row>
    <row r="12" spans="1:5" ht="18.75" customHeight="1" thickBot="1">
      <c r="A12" s="14"/>
      <c r="B12" s="75"/>
      <c r="C12" s="75"/>
      <c r="D12" s="76"/>
      <c r="E12" s="20"/>
    </row>
    <row r="13" spans="1:5" ht="18.75" customHeight="1" thickBot="1">
      <c r="A13" s="14"/>
      <c r="B13" s="75"/>
      <c r="C13" s="75"/>
      <c r="D13" s="76"/>
      <c r="E13" s="20"/>
    </row>
    <row r="14" spans="1:5" ht="18.75" customHeight="1" thickBot="1">
      <c r="A14" s="25"/>
      <c r="B14" s="81"/>
      <c r="C14" s="81"/>
      <c r="D14" s="74"/>
      <c r="E14" s="20"/>
    </row>
    <row r="15" spans="1:5" ht="15.75" thickTop="1">
      <c r="A15" s="20"/>
      <c r="B15" s="20"/>
      <c r="C15" s="20"/>
      <c r="D15" s="20"/>
      <c r="E15" s="20"/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G10"/>
  <sheetViews>
    <sheetView showGridLines="0" zoomScaleNormal="100" workbookViewId="0">
      <selection activeCell="G13" sqref="G13"/>
    </sheetView>
  </sheetViews>
  <sheetFormatPr defaultRowHeight="15"/>
  <cols>
    <col min="1" max="1" width="24.85546875" customWidth="1"/>
    <col min="2" max="2" width="10.42578125" customWidth="1"/>
    <col min="3" max="4" width="13.42578125" customWidth="1"/>
    <col min="5" max="6" width="11.85546875" customWidth="1"/>
  </cols>
  <sheetData>
    <row r="1" spans="1:7" s="39" customFormat="1" ht="16.5">
      <c r="A1" s="1" t="s">
        <v>7</v>
      </c>
    </row>
    <row r="2" spans="1:7">
      <c r="A2" s="20"/>
      <c r="B2" s="20"/>
      <c r="C2" s="20"/>
      <c r="D2" s="20"/>
      <c r="E2" s="20"/>
      <c r="F2" s="20"/>
      <c r="G2" s="20"/>
    </row>
    <row r="3" spans="1:7" ht="15.75" thickBot="1">
      <c r="A3" s="20" t="s">
        <v>15</v>
      </c>
      <c r="B3" s="20"/>
      <c r="C3" s="20"/>
      <c r="D3" s="20"/>
      <c r="E3" s="20"/>
      <c r="F3" s="20"/>
      <c r="G3" s="20"/>
    </row>
    <row r="4" spans="1:7" ht="44.25" customHeight="1" thickTop="1" thickBot="1">
      <c r="A4" s="323" t="s">
        <v>16</v>
      </c>
      <c r="B4" s="324"/>
      <c r="C4" s="323" t="s">
        <v>10</v>
      </c>
      <c r="D4" s="324"/>
      <c r="E4" s="321" t="s">
        <v>11</v>
      </c>
      <c r="F4" s="321" t="s">
        <v>454</v>
      </c>
      <c r="G4" s="20"/>
    </row>
    <row r="5" spans="1:7" ht="27" customHeight="1" thickTop="1" thickBot="1">
      <c r="A5" s="30" t="s">
        <v>9</v>
      </c>
      <c r="B5" s="21" t="s">
        <v>17</v>
      </c>
      <c r="C5" s="21" t="s">
        <v>13</v>
      </c>
      <c r="D5" s="21" t="s">
        <v>12</v>
      </c>
      <c r="E5" s="322"/>
      <c r="F5" s="322"/>
      <c r="G5" s="20"/>
    </row>
    <row r="6" spans="1:7" ht="16.5" thickTop="1" thickBot="1">
      <c r="A6" s="14"/>
      <c r="B6" s="31"/>
      <c r="C6" s="22"/>
      <c r="D6" s="32"/>
      <c r="E6" s="32"/>
      <c r="F6" s="33"/>
      <c r="G6" s="20"/>
    </row>
    <row r="7" spans="1:7" ht="15.75" thickBot="1">
      <c r="A7" s="14"/>
      <c r="B7" s="31"/>
      <c r="C7" s="22"/>
      <c r="D7" s="32"/>
      <c r="E7" s="32"/>
      <c r="F7" s="33"/>
      <c r="G7" s="20"/>
    </row>
    <row r="8" spans="1:7" ht="15.75" thickBot="1">
      <c r="A8" s="14"/>
      <c r="B8" s="31"/>
      <c r="C8" s="22"/>
      <c r="D8" s="32"/>
      <c r="E8" s="32"/>
      <c r="F8" s="33"/>
      <c r="G8" s="20"/>
    </row>
    <row r="9" spans="1:7" ht="15.75" thickBot="1">
      <c r="A9" s="25" t="s">
        <v>14</v>
      </c>
      <c r="B9" s="34" t="s">
        <v>18</v>
      </c>
      <c r="C9" s="26">
        <f>SUM(C6:C8)</f>
        <v>0</v>
      </c>
      <c r="D9" s="35">
        <f>SUM(D6:D8)</f>
        <v>0</v>
      </c>
      <c r="E9" s="35">
        <f t="shared" ref="E9:F9" si="0">SUM(E6:E8)</f>
        <v>0</v>
      </c>
      <c r="F9" s="36">
        <f t="shared" si="0"/>
        <v>0</v>
      </c>
      <c r="G9" s="20"/>
    </row>
    <row r="10" spans="1:7" ht="15.75" thickTop="1">
      <c r="A10" s="37"/>
      <c r="B10" s="37"/>
      <c r="C10" s="37"/>
      <c r="D10" s="37"/>
      <c r="E10" s="37"/>
      <c r="F10" s="37"/>
      <c r="G10" s="37"/>
    </row>
  </sheetData>
  <mergeCells count="4">
    <mergeCell ref="F4:F5"/>
    <mergeCell ref="A4:B4"/>
    <mergeCell ref="C4:D4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FF0000"/>
  </sheetPr>
  <dimension ref="A1:E17"/>
  <sheetViews>
    <sheetView showGridLines="0" zoomScaleNormal="100" workbookViewId="0">
      <selection activeCell="H14" sqref="H14"/>
    </sheetView>
  </sheetViews>
  <sheetFormatPr defaultRowHeight="15"/>
  <cols>
    <col min="1" max="1" width="18.5703125" customWidth="1"/>
    <col min="2" max="5" width="17" customWidth="1"/>
  </cols>
  <sheetData>
    <row r="1" spans="1:5" ht="16.5">
      <c r="A1" s="1" t="s">
        <v>255</v>
      </c>
    </row>
    <row r="2" spans="1:5">
      <c r="A2" s="20"/>
      <c r="B2" s="20"/>
      <c r="C2" s="20"/>
      <c r="D2" s="20"/>
      <c r="E2" s="20"/>
    </row>
    <row r="3" spans="1:5" ht="15.75" thickBot="1">
      <c r="A3" s="20" t="s">
        <v>15</v>
      </c>
      <c r="B3" s="20"/>
      <c r="C3" s="20"/>
      <c r="D3" s="20"/>
      <c r="E3" s="20"/>
    </row>
    <row r="4" spans="1:5" ht="28.5" customHeight="1" thickTop="1" thickBot="1">
      <c r="A4" s="345" t="s">
        <v>131</v>
      </c>
      <c r="B4" s="323" t="s">
        <v>2</v>
      </c>
      <c r="C4" s="324"/>
      <c r="D4" s="323" t="s">
        <v>3</v>
      </c>
      <c r="E4" s="324"/>
    </row>
    <row r="5" spans="1:5" ht="17.25" customHeight="1" thickTop="1" thickBot="1">
      <c r="A5" s="346"/>
      <c r="B5" s="323" t="s">
        <v>262</v>
      </c>
      <c r="C5" s="324"/>
      <c r="D5" s="323" t="s">
        <v>262</v>
      </c>
      <c r="E5" s="324"/>
    </row>
    <row r="6" spans="1:5" ht="24" thickTop="1" thickBot="1">
      <c r="A6" s="347"/>
      <c r="B6" s="21" t="s">
        <v>263</v>
      </c>
      <c r="C6" s="21" t="s">
        <v>264</v>
      </c>
      <c r="D6" s="21" t="s">
        <v>263</v>
      </c>
      <c r="E6" s="21" t="s">
        <v>264</v>
      </c>
    </row>
    <row r="7" spans="1:5" ht="35.25" thickTop="1" thickBot="1">
      <c r="A7" s="25" t="s">
        <v>260</v>
      </c>
      <c r="B7" s="57"/>
      <c r="C7" s="57"/>
      <c r="D7" s="59"/>
      <c r="E7" s="59"/>
    </row>
    <row r="8" spans="1:5" ht="18.75" customHeight="1" thickTop="1" thickBot="1">
      <c r="A8" s="14"/>
      <c r="B8" s="75"/>
      <c r="C8" s="75"/>
      <c r="D8" s="76"/>
      <c r="E8" s="76"/>
    </row>
    <row r="9" spans="1:5" ht="18.75" customHeight="1" thickBot="1">
      <c r="A9" s="14"/>
      <c r="B9" s="75"/>
      <c r="C9" s="75"/>
      <c r="D9" s="76"/>
      <c r="E9" s="76"/>
    </row>
    <row r="10" spans="1:5" ht="18.75" customHeight="1" thickBot="1">
      <c r="A10" s="14"/>
      <c r="B10" s="75"/>
      <c r="C10" s="75"/>
      <c r="D10" s="76"/>
      <c r="E10" s="76"/>
    </row>
    <row r="11" spans="1:5" ht="18.75" customHeight="1" thickBot="1">
      <c r="A11" s="16"/>
      <c r="B11" s="81"/>
      <c r="C11" s="138"/>
      <c r="D11" s="74"/>
      <c r="E11" s="74"/>
    </row>
    <row r="12" spans="1:5" ht="24" thickTop="1" thickBot="1">
      <c r="A12" s="25" t="s">
        <v>261</v>
      </c>
      <c r="B12" s="81"/>
      <c r="C12" s="139"/>
      <c r="D12" s="74"/>
      <c r="E12" s="74"/>
    </row>
    <row r="13" spans="1:5" ht="18.75" customHeight="1" thickTop="1" thickBot="1">
      <c r="A13" s="14"/>
      <c r="B13" s="75"/>
      <c r="C13" s="75"/>
      <c r="D13" s="76"/>
      <c r="E13" s="76"/>
    </row>
    <row r="14" spans="1:5" ht="18.75" customHeight="1" thickBot="1">
      <c r="A14" s="14"/>
      <c r="B14" s="75"/>
      <c r="C14" s="75"/>
      <c r="D14" s="76"/>
      <c r="E14" s="76"/>
    </row>
    <row r="15" spans="1:5" ht="18.75" customHeight="1" thickBot="1">
      <c r="A15" s="14"/>
      <c r="B15" s="75"/>
      <c r="C15" s="75"/>
      <c r="D15" s="76"/>
      <c r="E15" s="76"/>
    </row>
    <row r="16" spans="1:5" ht="18.75" customHeight="1" thickBot="1">
      <c r="A16" s="25"/>
      <c r="B16" s="81"/>
      <c r="C16" s="81"/>
      <c r="D16" s="74"/>
      <c r="E16" s="74"/>
    </row>
    <row r="17" spans="1:5" ht="15.75" thickTop="1">
      <c r="A17" s="20"/>
      <c r="B17" s="20"/>
      <c r="C17" s="20"/>
      <c r="D17" s="20"/>
      <c r="E17" s="20"/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Normal="100" workbookViewId="0">
      <selection activeCell="F12" sqref="F12"/>
    </sheetView>
  </sheetViews>
  <sheetFormatPr defaultRowHeight="1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>
      <c r="A1" s="1" t="s">
        <v>265</v>
      </c>
    </row>
    <row r="2" spans="1:3" ht="16.5" thickTop="1" thickBot="1">
      <c r="A2" s="345" t="s">
        <v>266</v>
      </c>
      <c r="B2" s="323" t="s">
        <v>267</v>
      </c>
      <c r="C2" s="324"/>
    </row>
    <row r="3" spans="1:3" ht="24" thickTop="1" thickBot="1">
      <c r="A3" s="347"/>
      <c r="B3" s="66" t="s">
        <v>2</v>
      </c>
      <c r="C3" s="66" t="s">
        <v>3</v>
      </c>
    </row>
    <row r="4" spans="1:3" ht="20.25" customHeight="1" thickTop="1" thickBot="1">
      <c r="A4" s="14" t="s">
        <v>268</v>
      </c>
      <c r="B4" s="75"/>
      <c r="C4" s="76"/>
    </row>
    <row r="5" spans="1:3" ht="20.25" customHeight="1" thickBot="1">
      <c r="A5" s="14" t="s">
        <v>269</v>
      </c>
      <c r="B5" s="75"/>
      <c r="C5" s="76"/>
    </row>
    <row r="6" spans="1:3" ht="20.25" customHeight="1" thickBot="1">
      <c r="A6" s="14" t="s">
        <v>270</v>
      </c>
      <c r="B6" s="75"/>
      <c r="C6" s="76"/>
    </row>
    <row r="7" spans="1:3" ht="20.25" customHeight="1" thickBot="1">
      <c r="A7" s="14" t="s">
        <v>271</v>
      </c>
      <c r="B7" s="75"/>
      <c r="C7" s="76"/>
    </row>
    <row r="8" spans="1:3" ht="20.25" customHeight="1" thickBot="1">
      <c r="A8" s="25" t="s">
        <v>14</v>
      </c>
      <c r="B8" s="81">
        <f>SUM(B4:B7)</f>
        <v>0</v>
      </c>
      <c r="C8" s="74">
        <f>SUM(C4:C7)</f>
        <v>0</v>
      </c>
    </row>
    <row r="9" spans="1:3" ht="17.25" thickTop="1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rgb="FFFF0000"/>
  </sheetPr>
  <dimension ref="A1:G8"/>
  <sheetViews>
    <sheetView showGridLines="0" topLeftCell="A4" zoomScaleNormal="100" workbookViewId="0">
      <selection activeCell="I18" sqref="I18"/>
    </sheetView>
  </sheetViews>
  <sheetFormatPr defaultRowHeight="15"/>
  <cols>
    <col min="1" max="1" width="18.85546875" customWidth="1"/>
    <col min="2" max="7" width="11.28515625" customWidth="1"/>
  </cols>
  <sheetData>
    <row r="1" spans="1:7" ht="17.25" thickBot="1">
      <c r="A1" s="1" t="s">
        <v>272</v>
      </c>
    </row>
    <row r="2" spans="1:7" ht="24.75" customHeight="1" thickTop="1" thickBot="1">
      <c r="A2" s="345" t="s">
        <v>1</v>
      </c>
      <c r="B2" s="342" t="s">
        <v>2</v>
      </c>
      <c r="C2" s="343"/>
      <c r="D2" s="344"/>
      <c r="E2" s="323" t="s">
        <v>3</v>
      </c>
      <c r="F2" s="329"/>
      <c r="G2" s="324"/>
    </row>
    <row r="3" spans="1:7" ht="16.5" customHeight="1" thickTop="1" thickBot="1">
      <c r="A3" s="346"/>
      <c r="B3" s="342" t="s">
        <v>184</v>
      </c>
      <c r="C3" s="343"/>
      <c r="D3" s="344"/>
      <c r="E3" s="342" t="s">
        <v>184</v>
      </c>
      <c r="F3" s="343"/>
      <c r="G3" s="344"/>
    </row>
    <row r="4" spans="1:7" s="4" customFormat="1" ht="45" customHeight="1" thickTop="1" thickBot="1">
      <c r="A4" s="347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</row>
    <row r="5" spans="1:7" ht="18.75" customHeight="1" thickTop="1" thickBot="1">
      <c r="A5" s="70" t="s">
        <v>188</v>
      </c>
      <c r="B5" s="131"/>
      <c r="C5" s="131"/>
      <c r="D5" s="131"/>
      <c r="E5" s="131"/>
      <c r="F5" s="131"/>
      <c r="G5" s="73"/>
    </row>
    <row r="6" spans="1:7" ht="18.75" customHeight="1" thickBot="1">
      <c r="A6" s="67" t="s">
        <v>273</v>
      </c>
      <c r="B6" s="75"/>
      <c r="C6" s="75"/>
      <c r="D6" s="75"/>
      <c r="E6" s="75"/>
      <c r="F6" s="75"/>
      <c r="G6" s="76"/>
    </row>
    <row r="7" spans="1:7" ht="18.75" customHeight="1" thickBot="1">
      <c r="A7" s="68" t="s">
        <v>14</v>
      </c>
      <c r="B7" s="81">
        <f>B5+B6</f>
        <v>0</v>
      </c>
      <c r="C7" s="81">
        <f t="shared" ref="C7:G7" si="0">C5+C6</f>
        <v>0</v>
      </c>
      <c r="D7" s="81">
        <f t="shared" si="0"/>
        <v>0</v>
      </c>
      <c r="E7" s="81">
        <f t="shared" si="0"/>
        <v>0</v>
      </c>
      <c r="F7" s="81">
        <f t="shared" si="0"/>
        <v>0</v>
      </c>
      <c r="G7" s="74">
        <f t="shared" si="0"/>
        <v>0</v>
      </c>
    </row>
    <row r="8" spans="1:7" ht="15.75" thickTop="1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FF0000"/>
  </sheetPr>
  <dimension ref="A1:J9"/>
  <sheetViews>
    <sheetView showGridLines="0" zoomScaleNormal="100" workbookViewId="0">
      <selection activeCell="I13" sqref="I13"/>
    </sheetView>
  </sheetViews>
  <sheetFormatPr defaultRowHeight="15"/>
  <cols>
    <col min="1" max="1" width="16.7109375" customWidth="1"/>
    <col min="2" max="7" width="11.5703125" customWidth="1"/>
  </cols>
  <sheetData>
    <row r="1" spans="1:10" ht="17.25" thickBot="1">
      <c r="A1" s="1" t="s">
        <v>274</v>
      </c>
    </row>
    <row r="2" spans="1:10" ht="44.25" customHeight="1" thickTop="1" thickBot="1">
      <c r="A2" s="345" t="s">
        <v>275</v>
      </c>
      <c r="B2" s="323" t="s">
        <v>276</v>
      </c>
      <c r="C2" s="324"/>
      <c r="D2" s="323" t="s">
        <v>277</v>
      </c>
      <c r="E2" s="324"/>
      <c r="F2" s="323" t="s">
        <v>278</v>
      </c>
      <c r="G2" s="324"/>
    </row>
    <row r="3" spans="1:10" s="158" customFormat="1" ht="57.75" thickTop="1" thickBot="1">
      <c r="A3" s="347"/>
      <c r="B3" s="58" t="s">
        <v>2</v>
      </c>
      <c r="C3" s="152" t="s">
        <v>484</v>
      </c>
      <c r="D3" s="152" t="s">
        <v>2</v>
      </c>
      <c r="E3" s="152" t="s">
        <v>484</v>
      </c>
      <c r="F3" s="152" t="s">
        <v>2</v>
      </c>
      <c r="G3" s="152" t="s">
        <v>484</v>
      </c>
    </row>
    <row r="4" spans="1:10" ht="18.75" customHeight="1" thickTop="1" thickBot="1">
      <c r="A4" s="100"/>
      <c r="B4" s="76"/>
      <c r="C4" s="76"/>
      <c r="D4" s="76"/>
      <c r="E4" s="76"/>
      <c r="F4" s="76"/>
      <c r="G4" s="76"/>
    </row>
    <row r="5" spans="1:10" ht="18.75" customHeight="1" thickBot="1">
      <c r="A5" s="100"/>
      <c r="B5" s="76"/>
      <c r="C5" s="76"/>
      <c r="D5" s="76"/>
      <c r="E5" s="76"/>
      <c r="F5" s="76"/>
      <c r="G5" s="76"/>
    </row>
    <row r="6" spans="1:10" ht="18.75" customHeight="1" thickBot="1">
      <c r="A6" s="100"/>
      <c r="B6" s="76"/>
      <c r="C6" s="76"/>
      <c r="D6" s="76"/>
      <c r="E6" s="76"/>
      <c r="F6" s="76"/>
      <c r="G6" s="76"/>
    </row>
    <row r="7" spans="1:10" ht="18.75" customHeight="1" thickBot="1">
      <c r="A7" s="100"/>
      <c r="B7" s="76"/>
      <c r="C7" s="76"/>
      <c r="D7" s="76"/>
      <c r="E7" s="76"/>
      <c r="F7" s="76"/>
      <c r="G7" s="76"/>
    </row>
    <row r="8" spans="1:10" ht="18.75" customHeight="1" thickBot="1">
      <c r="A8" s="68" t="s">
        <v>14</v>
      </c>
      <c r="B8" s="74">
        <f t="shared" ref="B8:G8" si="0">SUM(B4:B7)</f>
        <v>0</v>
      </c>
      <c r="C8" s="74">
        <f t="shared" si="0"/>
        <v>0</v>
      </c>
      <c r="D8" s="74">
        <f t="shared" si="0"/>
        <v>0</v>
      </c>
      <c r="E8" s="74">
        <f t="shared" si="0"/>
        <v>0</v>
      </c>
      <c r="F8" s="74">
        <f t="shared" si="0"/>
        <v>0</v>
      </c>
      <c r="G8" s="74">
        <f t="shared" si="0"/>
        <v>0</v>
      </c>
      <c r="J8" s="170" t="s">
        <v>514</v>
      </c>
    </row>
    <row r="9" spans="1:10" ht="15.75" thickTop="1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00B050"/>
  </sheetPr>
  <dimension ref="A1:J13"/>
  <sheetViews>
    <sheetView showGridLines="0" zoomScaleNormal="100" workbookViewId="0">
      <selection activeCell="B8" sqref="B8:D12"/>
    </sheetView>
  </sheetViews>
  <sheetFormatPr defaultRowHeight="15"/>
  <cols>
    <col min="1" max="1" width="24.5703125" customWidth="1"/>
    <col min="2" max="6" width="12.28515625" customWidth="1"/>
    <col min="7" max="7" width="13" customWidth="1"/>
  </cols>
  <sheetData>
    <row r="1" spans="1:10" ht="17.25" thickBot="1">
      <c r="A1" s="1" t="s">
        <v>279</v>
      </c>
    </row>
    <row r="2" spans="1:10" ht="33" customHeight="1" thickTop="1" thickBot="1">
      <c r="A2" s="345" t="s">
        <v>131</v>
      </c>
      <c r="B2" s="38" t="s">
        <v>2</v>
      </c>
      <c r="C2" s="323" t="s">
        <v>3</v>
      </c>
      <c r="D2" s="324"/>
      <c r="E2" s="323" t="s">
        <v>280</v>
      </c>
      <c r="F2" s="324"/>
    </row>
    <row r="3" spans="1:10" ht="45" customHeight="1" thickTop="1" thickBot="1">
      <c r="A3" s="347"/>
      <c r="B3" s="21" t="s">
        <v>281</v>
      </c>
      <c r="C3" s="21" t="s">
        <v>281</v>
      </c>
      <c r="D3" s="21" t="s">
        <v>282</v>
      </c>
      <c r="E3" s="21" t="s">
        <v>2</v>
      </c>
      <c r="F3" s="21" t="s">
        <v>486</v>
      </c>
    </row>
    <row r="4" spans="1:10" ht="35.25" thickTop="1" thickBot="1">
      <c r="A4" s="113" t="s">
        <v>485</v>
      </c>
      <c r="B4" s="258">
        <f>SUMIF(HK!A:A,"121*",HK!K:K)-SUMIF(HK!A:A,"121*",HK!L:L)+SUMIF(HK!A:A,"122*",HK!K:K)-SUMIF(HK!A:A,"122*",HK!L:L)</f>
        <v>0</v>
      </c>
      <c r="C4" s="258">
        <f>SUMIF(HKM!A:A,"121*",HKM!K:K)-SUMIF(HKM!A:A,"121*",HKM!L:L)+SUMIF(HKM!A:A,"122*",HKM!K:K)-SUMIF(HKM!A:A,"122*",HKM!L:L)</f>
        <v>0</v>
      </c>
      <c r="D4" s="258">
        <f>SUMIF(HKM!A:A,"121*",HKM!C:C)-SUMIF(HKM!A:A,"121*",HKM!D:D)+SUMIF(HKM!A:A,"122*",HKM!C:C)-SUMIF(HKM!A:A,"122*",HKM!D:D)</f>
        <v>0</v>
      </c>
      <c r="E4" s="258">
        <f>SUMIF(HK!A:A,"611*",HK!L:L)-SUMIF(HK!A:A,"611*",HK!K:K)+SUMIF(HK!A:A,"612*",HK!L:L)-SUMIF(HK!A:A,"611*",HK!K:K)</f>
        <v>0</v>
      </c>
      <c r="F4" s="258">
        <f>SUMIF(HKM!A:A,"611*",HKM!L:L)-SUMIF(HKM!A:A,"611*",HKM!K:K)+SUMIF(HKM!A:A,"612*",HKM!L:L)-SUMIF(HKM!A:A,"612*",HKM!K:K)</f>
        <v>0</v>
      </c>
      <c r="G4" s="259"/>
      <c r="H4" s="255"/>
      <c r="I4" s="259"/>
      <c r="J4" s="259"/>
    </row>
    <row r="5" spans="1:10" ht="15.75" thickBot="1">
      <c r="A5" s="110" t="s">
        <v>91</v>
      </c>
      <c r="B5" s="258">
        <f>SUMIF(HK!A:A,"123*",HK!K:K)-SUMIF(HK!A:A,"123*",HK!L:L)</f>
        <v>0</v>
      </c>
      <c r="C5" s="258">
        <f>SUMIF(HKM!A:A,"123*",HKM!K:K)-SUMIF(HKM!A:A,"123*",HKM!L:L)</f>
        <v>0</v>
      </c>
      <c r="D5" s="258">
        <f>SUMIF(HKM!A:A,"123*",HKM!C:C)</f>
        <v>0</v>
      </c>
      <c r="E5" s="258">
        <f>SUMIF(HK!A:A,"613*",HK!L:L)-SUMIF(HK!A:A,"613*",HK!K:K)</f>
        <v>0</v>
      </c>
      <c r="F5" s="258">
        <f>SUMIF(HKM!A:A,"613*",HKM!L:L)-SUMIF(HKM!A:A,"613*",HKM!K:K)</f>
        <v>0</v>
      </c>
      <c r="G5" s="259"/>
      <c r="H5" s="255"/>
      <c r="I5" s="259"/>
      <c r="J5" s="259"/>
    </row>
    <row r="6" spans="1:10" ht="15.75" thickBot="1">
      <c r="A6" s="14" t="s">
        <v>283</v>
      </c>
      <c r="B6" s="258">
        <f>SUMIF(HK!A:A,"124*",HK!K:K)-SUMIF(HK!A:A,"124*",HK!L:L)</f>
        <v>0</v>
      </c>
      <c r="C6" s="258">
        <f>SUMIF(HKM!A:A,"124*",HKM!K:K)-SUMIF(HKM!A:A,"124*",HKM!L:L)</f>
        <v>0</v>
      </c>
      <c r="D6" s="258">
        <f>SUMIF(HKM!A:A,"124*",HKM!C:C)-SUMIF(HKM!A:A,"124*",HKM!D:D)</f>
        <v>0</v>
      </c>
      <c r="E6" s="258">
        <f>SUMIF(HK!A:A,"614*",HK!L:L)-SUMIF(HK!A:A,"614*",HK!K:K)</f>
        <v>0</v>
      </c>
      <c r="F6" s="258">
        <f>SUMIF(HKM!A:A,"614*",HKM!L:L)-SUMIF(HKM!A:A,"614*",HKM!K:K)</f>
        <v>0</v>
      </c>
      <c r="G6" s="259"/>
      <c r="H6" s="255"/>
      <c r="I6" s="259"/>
      <c r="J6" s="259"/>
    </row>
    <row r="7" spans="1:10" ht="19.5" customHeight="1" thickBot="1">
      <c r="A7" s="14" t="s">
        <v>14</v>
      </c>
      <c r="B7" s="279"/>
      <c r="C7" s="279"/>
      <c r="D7" s="306"/>
      <c r="E7" s="274"/>
      <c r="F7" s="274"/>
      <c r="G7" s="259"/>
      <c r="H7" s="307"/>
      <c r="I7" s="259"/>
      <c r="J7" s="259"/>
    </row>
    <row r="8" spans="1:10" ht="15.75" thickBot="1">
      <c r="A8" s="14" t="s">
        <v>284</v>
      </c>
      <c r="B8" s="317" t="s">
        <v>18</v>
      </c>
      <c r="C8" s="317" t="s">
        <v>18</v>
      </c>
      <c r="D8" s="318" t="s">
        <v>18</v>
      </c>
      <c r="E8" s="258">
        <f>SUMIF(HK!A:A,"549*",HK!K:K)-SUMIF(HK!A:A,"549*",HK!L:L)</f>
        <v>0</v>
      </c>
      <c r="F8" s="258">
        <f>SUMIF(HKM!A:A,"549*",HKM!K:K)-SUMIF(HKM!A:A,"549*",HKM!L:L)</f>
        <v>0</v>
      </c>
      <c r="G8" s="259"/>
      <c r="H8" s="255"/>
      <c r="I8" s="259"/>
      <c r="J8" s="259"/>
    </row>
    <row r="9" spans="1:10" ht="15.75" thickBot="1">
      <c r="A9" s="14" t="s">
        <v>285</v>
      </c>
      <c r="B9" s="317" t="s">
        <v>18</v>
      </c>
      <c r="C9" s="317" t="s">
        <v>18</v>
      </c>
      <c r="D9" s="318" t="s">
        <v>18</v>
      </c>
      <c r="E9" s="258">
        <f>SUMIF(HK!A:A,"513*",HK!K:K)-SUMIF(HK!A:A,"513*",HK!L:L)</f>
        <v>0</v>
      </c>
      <c r="F9" s="258">
        <f>SUMIF(HKM!A:A,"513*",HKM!K:K)-SUMIF(HKM!A:A,"513*",HKM!L:L)</f>
        <v>3213.9</v>
      </c>
      <c r="G9" s="259"/>
      <c r="H9" s="255"/>
      <c r="I9" s="259"/>
      <c r="J9" s="259"/>
    </row>
    <row r="10" spans="1:10" ht="15.75" thickBot="1">
      <c r="A10" s="14" t="s">
        <v>286</v>
      </c>
      <c r="B10" s="317" t="s">
        <v>18</v>
      </c>
      <c r="C10" s="317" t="s">
        <v>18</v>
      </c>
      <c r="D10" s="318" t="s">
        <v>18</v>
      </c>
      <c r="E10" s="258">
        <f>SUMIF(HK!A:A,"543*",HK!K:K)-SUMIF(HK!A:A,"543*",HK!L:L)</f>
        <v>0</v>
      </c>
      <c r="F10" s="258">
        <f>SUMIF(HKM!A:A,"543*",HKM!K:K)-SUMIF(HKM!A:A,"543*",HKM!L:L)</f>
        <v>0</v>
      </c>
      <c r="G10" s="259"/>
      <c r="H10" s="255"/>
      <c r="I10" s="259"/>
      <c r="J10" s="259"/>
    </row>
    <row r="11" spans="1:10" ht="19.5" customHeight="1" thickBot="1">
      <c r="A11" s="16" t="s">
        <v>287</v>
      </c>
      <c r="B11" s="319" t="s">
        <v>18</v>
      </c>
      <c r="C11" s="319" t="s">
        <v>18</v>
      </c>
      <c r="D11" s="320" t="s">
        <v>18</v>
      </c>
      <c r="E11" s="275"/>
      <c r="F11" s="275"/>
      <c r="G11" s="259"/>
      <c r="H11" s="307"/>
      <c r="I11" s="259"/>
      <c r="J11" s="259"/>
    </row>
    <row r="12" spans="1:10" ht="35.25" thickTop="1" thickBot="1">
      <c r="A12" s="25" t="s">
        <v>288</v>
      </c>
      <c r="B12" s="319" t="s">
        <v>18</v>
      </c>
      <c r="C12" s="319" t="s">
        <v>18</v>
      </c>
      <c r="D12" s="320" t="s">
        <v>18</v>
      </c>
      <c r="E12" s="265">
        <f>SUMIF(VZaS!C:C,"006",VZaS!D:D)</f>
        <v>0</v>
      </c>
      <c r="F12" s="265">
        <f>SUMIF(VZaS!C:C,"006",VZaS!E:E)</f>
        <v>0</v>
      </c>
      <c r="G12" s="259"/>
      <c r="H12" s="308"/>
      <c r="I12" s="259"/>
      <c r="J12" s="259"/>
    </row>
    <row r="13" spans="1:10" ht="15.75" thickTop="1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00B050"/>
  </sheetPr>
  <dimension ref="A1:E20"/>
  <sheetViews>
    <sheetView showGridLines="0" topLeftCell="A13" zoomScaleNormal="100" workbookViewId="0">
      <selection activeCell="C17" sqref="C17"/>
    </sheetView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16.25" thickBot="1">
      <c r="A1" s="160" t="s">
        <v>289</v>
      </c>
    </row>
    <row r="2" spans="1:5" ht="21" customHeight="1" thickTop="1" thickBot="1">
      <c r="A2" s="58" t="s">
        <v>131</v>
      </c>
      <c r="B2" s="38" t="s">
        <v>2</v>
      </c>
      <c r="C2" s="38" t="s">
        <v>3</v>
      </c>
    </row>
    <row r="3" spans="1:5" ht="24" thickTop="1" thickBot="1">
      <c r="A3" s="44" t="s">
        <v>487</v>
      </c>
      <c r="B3" s="265">
        <f>SUMIF(VZaS!C:C,"007",VZaS!D:D)</f>
        <v>0</v>
      </c>
      <c r="C3" s="265">
        <f>SUMIF(VZaS!C:C,"007",VZaS!E:E)</f>
        <v>0</v>
      </c>
      <c r="D3" s="259"/>
      <c r="E3" s="301"/>
    </row>
    <row r="4" spans="1:5" ht="18.75" customHeight="1" thickBot="1">
      <c r="A4" s="14"/>
      <c r="B4" s="274"/>
      <c r="C4" s="274"/>
      <c r="D4" s="259"/>
      <c r="E4" s="259"/>
    </row>
    <row r="5" spans="1:5" ht="18.75" customHeight="1" thickBot="1">
      <c r="A5" s="14"/>
      <c r="B5" s="274"/>
      <c r="C5" s="274"/>
      <c r="D5" s="259"/>
      <c r="E5" s="259"/>
    </row>
    <row r="6" spans="1:5" ht="34.5" thickBot="1">
      <c r="A6" s="44" t="s">
        <v>290</v>
      </c>
      <c r="B6" s="265">
        <f>SUMIF(VZaS!C:C,"019",VZaS!D:D)+SUMIF(VZaS!C:C,"022",VZaS!D:D)</f>
        <v>69554.09</v>
      </c>
      <c r="C6" s="265">
        <f>SUMIF(VZaS!C:C,"019",VZaS!E:E)+SUMIF(VZaS!C:C,"022",VZaS!E:E)</f>
        <v>0</v>
      </c>
      <c r="D6" s="259"/>
      <c r="E6" s="301"/>
    </row>
    <row r="7" spans="1:5" ht="18.75" customHeight="1" thickBot="1">
      <c r="A7" s="14"/>
      <c r="B7" s="274"/>
      <c r="C7" s="274"/>
      <c r="D7" s="259"/>
      <c r="E7" s="259"/>
    </row>
    <row r="8" spans="1:5" ht="18.75" customHeight="1" thickBot="1">
      <c r="A8" s="14"/>
      <c r="B8" s="274"/>
      <c r="C8" s="274"/>
      <c r="D8" s="259"/>
      <c r="E8" s="259"/>
    </row>
    <row r="9" spans="1:5" ht="18.75" customHeight="1" thickBot="1">
      <c r="A9" s="14"/>
      <c r="B9" s="274"/>
      <c r="C9" s="274"/>
      <c r="D9" s="259"/>
      <c r="E9" s="259"/>
    </row>
    <row r="10" spans="1:5" ht="47.25" customHeight="1" thickBot="1">
      <c r="A10" s="44" t="s">
        <v>291</v>
      </c>
      <c r="B10" s="258">
        <f>SUMIF(VZaS!C:C,"027",VZaS!D:D)+SUMIF(VZaS!C:C,"029",VZaS!D:D)+SUMIF(VZaS!C:C,"033",VZaS!D:D)+SUMIF(VZaS!C:C,"035",VZaS!D:D)+SUMIF(VZaS!C:C,"038",VZaS!D:D)+SUMIF(VZaS!C:C,"040",VZaS!D:D)+SUMIF(VZaS!C:C,"042",VZaS!D:D)+SUMIF(VZaS!C:C,"044",VZaS!D:D)</f>
        <v>560.14</v>
      </c>
      <c r="C10" s="258">
        <f>SUMIF(VZaS!C:C,"027",VZaS!E:E)+SUMIF(VZaS!C:C,"029",VZaS!E:E)+SUMIF(VZaS!C:C,"033",VZaS!E:E)+SUMIF(VZaS!C:C,"035",VZaS!E:E)+SUMIF(VZaS!C:C,"038",VZaS!E:E)+SUMIF(VZaS!C:C,"040",VZaS!E:E)+SUMIF(VZaS!C:C,"042",VZaS!E:E)+SUMIF(VZaS!C:C,"044",VZaS!E:E)</f>
        <v>0</v>
      </c>
      <c r="D10" s="259"/>
      <c r="E10" s="301"/>
    </row>
    <row r="11" spans="1:5" ht="18.75" customHeight="1" thickBot="1">
      <c r="A11" s="118" t="s">
        <v>292</v>
      </c>
      <c r="B11" s="265">
        <f>SUMIF(VZaS!C:C,"040",VZaS!D:D)</f>
        <v>65.319999999999993</v>
      </c>
      <c r="C11" s="265">
        <f>SUMIF(VZaS!C:C,"040",VZaS!E:E)</f>
        <v>0</v>
      </c>
      <c r="D11" s="259"/>
      <c r="E11" s="301"/>
    </row>
    <row r="12" spans="1:5" ht="23.25" thickBot="1">
      <c r="A12" s="14" t="s">
        <v>293</v>
      </c>
      <c r="B12" s="274"/>
      <c r="C12" s="274"/>
      <c r="D12" s="259"/>
      <c r="E12" s="259"/>
    </row>
    <row r="13" spans="1:5" ht="18.75" customHeight="1" thickBot="1">
      <c r="A13" s="118" t="s">
        <v>294</v>
      </c>
      <c r="B13" s="309"/>
      <c r="C13" s="309"/>
      <c r="D13" s="259"/>
      <c r="E13" s="259"/>
    </row>
    <row r="14" spans="1:5" ht="18.75" customHeight="1" thickBot="1">
      <c r="A14" s="14"/>
      <c r="B14" s="274"/>
      <c r="C14" s="274"/>
      <c r="D14" s="259"/>
      <c r="E14" s="259"/>
    </row>
    <row r="15" spans="1:5" ht="18.75" customHeight="1" thickBot="1">
      <c r="A15" s="14"/>
      <c r="B15" s="274"/>
      <c r="C15" s="274"/>
      <c r="D15" s="259"/>
      <c r="E15" s="259"/>
    </row>
    <row r="16" spans="1:5" ht="18.75" customHeight="1" thickBot="1">
      <c r="A16" s="14"/>
      <c r="B16" s="274"/>
      <c r="C16" s="274"/>
      <c r="D16" s="259"/>
      <c r="E16" s="259"/>
    </row>
    <row r="17" spans="1:5" ht="18.75" customHeight="1" thickBot="1">
      <c r="A17" s="44" t="s">
        <v>295</v>
      </c>
      <c r="B17" s="265">
        <f>SUMIF(VZaS!C:C,"052",VZaS!D:D)</f>
        <v>0</v>
      </c>
      <c r="C17" s="265">
        <f>SUMIF(VZaS!C:C,"052",VZaS!E:E)</f>
        <v>0</v>
      </c>
      <c r="D17" s="259"/>
      <c r="E17" s="301"/>
    </row>
    <row r="18" spans="1:5" ht="18.75" customHeight="1" thickBot="1">
      <c r="A18" s="113"/>
      <c r="B18" s="310"/>
      <c r="C18" s="310"/>
      <c r="D18" s="259"/>
      <c r="E18" s="259"/>
    </row>
    <row r="19" spans="1:5" ht="18.75" customHeight="1" thickBot="1">
      <c r="A19" s="93"/>
      <c r="B19" s="311"/>
      <c r="C19" s="311"/>
      <c r="D19" s="259"/>
      <c r="E19" s="259"/>
    </row>
    <row r="20" spans="1:5" ht="15.75" thickTop="1">
      <c r="A20" s="91"/>
      <c r="B20" s="20"/>
      <c r="C20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00B050"/>
  </sheetPr>
  <dimension ref="A1:G10"/>
  <sheetViews>
    <sheetView showGridLines="0" zoomScaleNormal="100" workbookViewId="0">
      <selection activeCell="C6" sqref="C6"/>
    </sheetView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>
      <c r="A1" s="1" t="s">
        <v>296</v>
      </c>
    </row>
    <row r="2" spans="1:7" ht="26.25" customHeight="1" thickTop="1" thickBot="1">
      <c r="A2" s="58" t="s">
        <v>131</v>
      </c>
      <c r="B2" s="38" t="s">
        <v>2</v>
      </c>
      <c r="C2" s="38" t="s">
        <v>3</v>
      </c>
    </row>
    <row r="3" spans="1:7" ht="18.75" customHeight="1" thickTop="1" thickBot="1">
      <c r="A3" s="67" t="s">
        <v>297</v>
      </c>
      <c r="B3" s="265">
        <f>SUMIF(HK!A:A,"601*",HK!L:L)-SUMIF(HK!A:A,"601*",HK!K:K)</f>
        <v>0</v>
      </c>
      <c r="C3" s="265">
        <f>SUMIF(HKM!A:A,"601*",HKM!L:L)-SUMIF(HKM!A:A,"601*",HKM!K:K)</f>
        <v>0</v>
      </c>
      <c r="D3" s="259"/>
      <c r="E3" s="301"/>
      <c r="G3" s="170"/>
    </row>
    <row r="4" spans="1:7" ht="18.75" customHeight="1" thickBot="1">
      <c r="A4" s="67" t="s">
        <v>298</v>
      </c>
      <c r="B4" s="265">
        <f>SUMIF(HK!A:A,"602*",HK!L:L)-SUMIF(HK!A:A,"602*",HK!K:K)</f>
        <v>0</v>
      </c>
      <c r="C4" s="265">
        <f>SUMIF(HKM!A:A,"602*",HKM!L:L)-SUMIF(HKM!A:A,"602*",HKM!K:K)</f>
        <v>253546.57</v>
      </c>
      <c r="D4" s="259"/>
      <c r="E4" s="301"/>
      <c r="G4" s="170"/>
    </row>
    <row r="5" spans="1:7" ht="18.75" customHeight="1" thickBot="1">
      <c r="A5" s="67" t="s">
        <v>299</v>
      </c>
      <c r="B5" s="265">
        <f>SUMIF(HK!A:A,"604*",HK!L:L)-SUMIF(HK!A:A,"604*",HK!K:K)</f>
        <v>0</v>
      </c>
      <c r="C5" s="265">
        <f>SUMIF(HKM!A:A,"604*",HKM!L:L)-SUMIF(HKM!A:A,"604*",HKM!K:K)</f>
        <v>1039828.1600000001</v>
      </c>
      <c r="D5" s="259"/>
      <c r="E5" s="301"/>
      <c r="G5" s="170"/>
    </row>
    <row r="6" spans="1:7" ht="18.75" customHeight="1" thickBot="1">
      <c r="A6" s="67" t="s">
        <v>300</v>
      </c>
      <c r="B6" s="265">
        <f>SUMIF(HK!A:A,"606*",HK!L:L)-SUMIF(HK!A:A,"606*",HK!K:K)</f>
        <v>0</v>
      </c>
      <c r="C6" s="265">
        <f>SUMIF(HKM!A:A,"606*",HKM!L:L)-SUMIF(HKM!A:A,"606*",HKM!K:K)</f>
        <v>0</v>
      </c>
      <c r="D6" s="259"/>
      <c r="E6" s="301"/>
      <c r="G6" s="170"/>
    </row>
    <row r="7" spans="1:7" ht="18.75" customHeight="1" thickBot="1">
      <c r="A7" s="67" t="s">
        <v>301</v>
      </c>
      <c r="B7" s="265"/>
      <c r="C7" s="265"/>
      <c r="D7" s="259"/>
      <c r="E7" s="301"/>
      <c r="G7" s="185"/>
    </row>
    <row r="8" spans="1:7" ht="23.25" thickBot="1">
      <c r="A8" s="14" t="s">
        <v>302</v>
      </c>
      <c r="B8" s="274"/>
      <c r="C8" s="274"/>
      <c r="D8" s="259"/>
      <c r="E8" s="259"/>
      <c r="G8" s="170"/>
    </row>
    <row r="9" spans="1:7" ht="18.75" customHeight="1" thickBot="1">
      <c r="A9" s="68" t="s">
        <v>303</v>
      </c>
      <c r="B9" s="74">
        <f>SUM(B3:B8)</f>
        <v>0</v>
      </c>
      <c r="C9" s="74">
        <f>SUM(C3:C8)</f>
        <v>1293374.7300000002</v>
      </c>
    </row>
    <row r="10" spans="1:7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00B050"/>
  </sheetPr>
  <dimension ref="A1:E29"/>
  <sheetViews>
    <sheetView showGridLines="0" zoomScaleNormal="100" workbookViewId="0">
      <selection activeCell="C3" sqref="C3"/>
    </sheetView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>
      <c r="A1" s="1" t="s">
        <v>304</v>
      </c>
    </row>
    <row r="2" spans="1:5" ht="26.25" customHeight="1" thickTop="1" thickBot="1">
      <c r="A2" s="58" t="s">
        <v>131</v>
      </c>
      <c r="B2" s="38" t="s">
        <v>2</v>
      </c>
      <c r="C2" s="38" t="s">
        <v>3</v>
      </c>
    </row>
    <row r="3" spans="1:5" ht="20.25" customHeight="1" thickTop="1" thickBot="1">
      <c r="A3" s="44" t="s">
        <v>305</v>
      </c>
      <c r="B3" s="265">
        <f>SUMIF(VZaS!C:C,"010",VZaS!D:D)</f>
        <v>259747.75</v>
      </c>
      <c r="C3" s="265">
        <f>SUMIF(VZaS!C:C,"010",VZaS!E:E)</f>
        <v>0</v>
      </c>
      <c r="D3" s="259"/>
      <c r="E3" s="301"/>
    </row>
    <row r="4" spans="1:5" ht="23.25" thickBot="1">
      <c r="A4" s="118" t="s">
        <v>306</v>
      </c>
      <c r="B4" s="309"/>
      <c r="C4" s="309"/>
      <c r="D4" s="259"/>
      <c r="E4" s="259"/>
    </row>
    <row r="5" spans="1:5" ht="23.25" thickBot="1">
      <c r="A5" s="14" t="s">
        <v>307</v>
      </c>
      <c r="B5" s="274"/>
      <c r="C5" s="274"/>
      <c r="D5" s="259"/>
      <c r="E5" s="259"/>
    </row>
    <row r="6" spans="1:5" ht="20.25" customHeight="1" thickBot="1">
      <c r="A6" s="14" t="s">
        <v>308</v>
      </c>
      <c r="B6" s="274"/>
      <c r="C6" s="274"/>
      <c r="D6" s="259"/>
      <c r="E6" s="259"/>
    </row>
    <row r="7" spans="1:5" ht="20.25" customHeight="1" thickBot="1">
      <c r="A7" s="14" t="s">
        <v>309</v>
      </c>
      <c r="B7" s="274"/>
      <c r="C7" s="274"/>
      <c r="D7" s="259"/>
      <c r="E7" s="259"/>
    </row>
    <row r="8" spans="1:5" ht="20.25" customHeight="1" thickBot="1">
      <c r="A8" s="14" t="s">
        <v>310</v>
      </c>
      <c r="B8" s="274"/>
      <c r="C8" s="274"/>
      <c r="D8" s="259"/>
      <c r="E8" s="259"/>
    </row>
    <row r="9" spans="1:5" ht="20.25" customHeight="1" thickBot="1">
      <c r="A9" s="14" t="s">
        <v>311</v>
      </c>
      <c r="B9" s="274"/>
      <c r="C9" s="274"/>
      <c r="D9" s="259"/>
      <c r="E9" s="259"/>
    </row>
    <row r="10" spans="1:5" ht="23.25" thickBot="1">
      <c r="A10" s="118" t="s">
        <v>312</v>
      </c>
      <c r="B10" s="309"/>
      <c r="C10" s="309"/>
      <c r="D10" s="259"/>
      <c r="E10" s="259"/>
    </row>
    <row r="11" spans="1:5" ht="20.25" customHeight="1" thickBot="1">
      <c r="A11" s="14"/>
      <c r="B11" s="274"/>
      <c r="C11" s="274"/>
      <c r="D11" s="259"/>
      <c r="E11" s="259"/>
    </row>
    <row r="12" spans="1:5" ht="20.25" customHeight="1" thickBot="1">
      <c r="A12" s="14"/>
      <c r="B12" s="274"/>
      <c r="C12" s="274"/>
      <c r="D12" s="259"/>
      <c r="E12" s="259"/>
    </row>
    <row r="13" spans="1:5" ht="20.25" customHeight="1" thickBot="1">
      <c r="A13" s="14"/>
      <c r="B13" s="274"/>
      <c r="C13" s="274"/>
      <c r="D13" s="259"/>
      <c r="E13" s="259"/>
    </row>
    <row r="14" spans="1:5" ht="34.5" thickBot="1">
      <c r="A14" s="44" t="s">
        <v>313</v>
      </c>
      <c r="B14" s="258">
        <f>SUMIF(VZaS!C:C,"009",VZaS!D:D)+SUMIF(VZaS!C:C,"017",VZaS!D:D)+SUMIF(VZaS!C:C,"018",VZaS!D:D)+SUMIF(VZaS!C:C,"020",VZaS!D:D)+SUMIF(VZaS!C:C,"021",VZaS!D:D)+SUMIF(VZaS!C:C,"023",VZaS!D:D)</f>
        <v>252407.44</v>
      </c>
      <c r="C14" s="258">
        <f>SUMIF(VZaS!C:C,"009",VZaS!E:E)+SUMIF(VZaS!C:C,"017",VZaS!E:E)+SUMIF(VZaS!C:C,"018",VZaS!E:E)+SUMIF(VZaS!C:C,"020",VZaS!E:E)+SUMIF(VZaS!C:C,"021",VZaS!E:E)+SUMIF(VZaS!C:C,"023",VZaS!E:E)</f>
        <v>0</v>
      </c>
      <c r="D14" s="259"/>
      <c r="E14" s="301"/>
    </row>
    <row r="15" spans="1:5" ht="20.25" customHeight="1" thickBot="1">
      <c r="A15" s="14"/>
      <c r="B15" s="274"/>
      <c r="C15" s="274"/>
      <c r="D15" s="259"/>
      <c r="E15" s="259"/>
    </row>
    <row r="16" spans="1:5" ht="20.25" customHeight="1" thickBot="1">
      <c r="A16" s="14"/>
      <c r="B16" s="274"/>
      <c r="C16" s="274"/>
      <c r="D16" s="259"/>
      <c r="E16" s="259"/>
    </row>
    <row r="17" spans="1:5" ht="20.25" customHeight="1" thickBot="1">
      <c r="A17" s="14"/>
      <c r="B17" s="274"/>
      <c r="C17" s="274"/>
      <c r="D17" s="259"/>
      <c r="E17" s="259"/>
    </row>
    <row r="18" spans="1:5" ht="20.25" customHeight="1" thickBot="1">
      <c r="A18" s="14"/>
      <c r="B18" s="274"/>
      <c r="C18" s="274"/>
      <c r="D18" s="259"/>
      <c r="E18" s="259"/>
    </row>
    <row r="19" spans="1:5" ht="15.75" thickBot="1">
      <c r="A19" s="44" t="s">
        <v>314</v>
      </c>
      <c r="B19" s="258">
        <f>SUMIF(VZaS!C:C,"028",VZaS!D:D)+SUMIF(VZaS!C:C,"034",VZaS!D:D)+SUMIF(VZaS!C:C,"036",VZaS!D:D)+SUMIF(VZaS!C:C,"039",VZaS!D:D)+SUMIF(VZaS!C:C,"041",VZaS!D:D)+SUMIF(VZaS!C:C,"043",VZaS!D:D)+SUMIF(VZaS!C:C,"045",VZaS!D:D)</f>
        <v>76095.240000000005</v>
      </c>
      <c r="C19" s="258">
        <f>SUMIF(VZaS!C:C,"028",VZaS!E:E)+SUMIF(VZaS!C:C,"034",VZaS!E:E)+SUMIF(VZaS!C:C,"036",VZaS!E:E)+SUMIF(VZaS!C:C,"039",VZaS!E:E)+SUMIF(VZaS!C:C,"041",VZaS!E:E)+SUMIF(VZaS!C:C,"043",VZaS!E:E)+SUMIF(VZaS!C:C,"045",VZaS!E:E)</f>
        <v>0</v>
      </c>
      <c r="D19" s="259"/>
      <c r="E19" s="301"/>
    </row>
    <row r="20" spans="1:5" ht="20.25" customHeight="1" thickBot="1">
      <c r="A20" s="118" t="s">
        <v>315</v>
      </c>
      <c r="B20" s="265">
        <f>SUMIF(VZaS!C:C,"041",VZaS!D:D)</f>
        <v>2587.71</v>
      </c>
      <c r="C20" s="265">
        <f>SUMIF(VZaS!C:C,"041",VZaS!E:E)</f>
        <v>0</v>
      </c>
      <c r="D20" s="259"/>
      <c r="E20" s="301"/>
    </row>
    <row r="21" spans="1:5" ht="20.25" customHeight="1" thickBot="1">
      <c r="A21" s="14" t="s">
        <v>316</v>
      </c>
      <c r="B21" s="274"/>
      <c r="C21" s="274"/>
      <c r="D21" s="259"/>
      <c r="E21" s="259"/>
    </row>
    <row r="22" spans="1:5" ht="20.25" customHeight="1" thickBot="1">
      <c r="A22" s="118" t="s">
        <v>317</v>
      </c>
      <c r="B22" s="309"/>
      <c r="C22" s="309"/>
      <c r="D22" s="259"/>
      <c r="E22" s="259"/>
    </row>
    <row r="23" spans="1:5" ht="20.25" customHeight="1" thickBot="1">
      <c r="A23" s="14"/>
      <c r="B23" s="274"/>
      <c r="C23" s="274"/>
      <c r="D23" s="259"/>
      <c r="E23" s="259"/>
    </row>
    <row r="24" spans="1:5" ht="20.25" customHeight="1" thickBot="1">
      <c r="A24" s="14"/>
      <c r="B24" s="274"/>
      <c r="C24" s="274"/>
      <c r="D24" s="259"/>
      <c r="E24" s="259"/>
    </row>
    <row r="25" spans="1:5" ht="20.25" customHeight="1" thickBot="1">
      <c r="A25" s="96" t="s">
        <v>318</v>
      </c>
      <c r="B25" s="265">
        <f>SUMIF(VZaS!C:C,"053",VZaS!D:D)</f>
        <v>0</v>
      </c>
      <c r="C25" s="265">
        <f>SUMIF(VZaS!C:C,"053",VZaS!E:E)</f>
        <v>0</v>
      </c>
      <c r="D25" s="259"/>
      <c r="E25" s="301"/>
    </row>
    <row r="26" spans="1:5" ht="20.25" customHeight="1" thickBot="1">
      <c r="A26" s="97"/>
      <c r="B26" s="312"/>
      <c r="C26" s="312"/>
      <c r="D26" s="259"/>
      <c r="E26" s="259"/>
    </row>
    <row r="27" spans="1:5" ht="20.25" customHeight="1" thickBot="1">
      <c r="A27" s="25"/>
      <c r="B27" s="275"/>
      <c r="C27" s="275"/>
      <c r="D27" s="259"/>
      <c r="E27" s="259"/>
    </row>
    <row r="28" spans="1:5" ht="17.25" thickTop="1">
      <c r="A28" s="1"/>
      <c r="B28" s="259"/>
      <c r="C28" s="259"/>
      <c r="D28" s="259"/>
      <c r="E28" s="259"/>
    </row>
    <row r="29" spans="1:5">
      <c r="B29" s="259"/>
      <c r="C29" s="259"/>
      <c r="D29" s="259"/>
      <c r="E29" s="259"/>
    </row>
  </sheetData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Normal="100" workbookViewId="0">
      <selection activeCell="H5" sqref="H5"/>
    </sheetView>
  </sheetViews>
  <sheetFormatPr defaultRowHeight="1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>
      <c r="A1" s="1" t="s">
        <v>319</v>
      </c>
    </row>
    <row r="2" spans="1:3" ht="35.25" thickTop="1" thickBot="1">
      <c r="A2" s="58" t="s">
        <v>131</v>
      </c>
      <c r="B2" s="38" t="s">
        <v>2</v>
      </c>
      <c r="C2" s="38" t="s">
        <v>3</v>
      </c>
    </row>
    <row r="3" spans="1:3" ht="35.25" thickTop="1" thickBot="1">
      <c r="A3" s="113" t="s">
        <v>320</v>
      </c>
      <c r="B3" s="15"/>
      <c r="C3" s="15"/>
    </row>
    <row r="4" spans="1:3" ht="34.5" thickBot="1">
      <c r="A4" s="119" t="s">
        <v>321</v>
      </c>
      <c r="B4" s="15"/>
      <c r="C4" s="15"/>
    </row>
    <row r="5" spans="1:3" ht="79.5" thickBot="1">
      <c r="A5" s="110" t="s">
        <v>322</v>
      </c>
      <c r="B5" s="15"/>
      <c r="C5" s="15"/>
    </row>
    <row r="6" spans="1:3" ht="57" thickBot="1">
      <c r="A6" s="14" t="s">
        <v>323</v>
      </c>
      <c r="B6" s="15"/>
      <c r="C6" s="15"/>
    </row>
    <row r="7" spans="1:3" ht="57" thickBot="1">
      <c r="A7" s="113" t="s">
        <v>324</v>
      </c>
      <c r="B7" s="15"/>
      <c r="C7" s="15"/>
    </row>
    <row r="8" spans="1:3" ht="34.5" thickBot="1">
      <c r="A8" s="120" t="s">
        <v>325</v>
      </c>
      <c r="B8" s="17"/>
      <c r="C8" s="17"/>
    </row>
    <row r="9" spans="1:3" ht="17.25" thickTop="1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tabColor rgb="FF00B050"/>
  </sheetPr>
  <dimension ref="A1:J13"/>
  <sheetViews>
    <sheetView showGridLines="0" zoomScaleNormal="100" workbookViewId="0">
      <selection activeCell="F11" sqref="F11"/>
    </sheetView>
  </sheetViews>
  <sheetFormatPr defaultRowHeight="1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>
      <c r="A1" s="1" t="s">
        <v>326</v>
      </c>
    </row>
    <row r="2" spans="1:10" ht="35.25" customHeight="1" thickTop="1" thickBot="1">
      <c r="A2" s="321" t="s">
        <v>131</v>
      </c>
      <c r="B2" s="323" t="s">
        <v>2</v>
      </c>
      <c r="C2" s="329"/>
      <c r="D2" s="324"/>
      <c r="E2" s="323" t="s">
        <v>3</v>
      </c>
      <c r="F2" s="329"/>
      <c r="G2" s="324"/>
    </row>
    <row r="3" spans="1:10" s="121" customFormat="1" ht="16.5" thickTop="1" thickBot="1">
      <c r="A3" s="322"/>
      <c r="B3" s="21" t="s">
        <v>327</v>
      </c>
      <c r="C3" s="21" t="s">
        <v>328</v>
      </c>
      <c r="D3" s="21" t="s">
        <v>329</v>
      </c>
      <c r="E3" s="21" t="s">
        <v>327</v>
      </c>
      <c r="F3" s="21" t="s">
        <v>328</v>
      </c>
      <c r="G3" s="21" t="s">
        <v>329</v>
      </c>
    </row>
    <row r="4" spans="1:10" ht="24" thickTop="1" thickBot="1">
      <c r="A4" s="14" t="s">
        <v>330</v>
      </c>
      <c r="B4" s="300">
        <f>SUMIF(VZaS!C:C,"059",VZaS!D:D)</f>
        <v>-353508.93</v>
      </c>
      <c r="C4" s="313" t="s">
        <v>18</v>
      </c>
      <c r="D4" s="314" t="s">
        <v>18</v>
      </c>
      <c r="E4" s="300">
        <f>SUMIF(VZaS!C:C,"059",VZaS!E:E)</f>
        <v>0</v>
      </c>
      <c r="F4" s="313" t="s">
        <v>18</v>
      </c>
      <c r="G4" s="314" t="s">
        <v>18</v>
      </c>
      <c r="H4" s="257"/>
      <c r="I4" s="257"/>
      <c r="J4" s="299"/>
    </row>
    <row r="5" spans="1:10" ht="20.25" customHeight="1" thickBot="1">
      <c r="A5" s="14" t="s">
        <v>331</v>
      </c>
      <c r="B5" s="313" t="s">
        <v>18</v>
      </c>
      <c r="C5" s="264"/>
      <c r="D5" s="315"/>
      <c r="E5" s="313" t="s">
        <v>18</v>
      </c>
      <c r="F5" s="264"/>
      <c r="G5" s="315"/>
      <c r="H5" s="257"/>
      <c r="I5" s="257"/>
      <c r="J5" s="257"/>
    </row>
    <row r="6" spans="1:10" ht="20.25" customHeight="1" thickBot="1">
      <c r="A6" s="14" t="s">
        <v>332</v>
      </c>
      <c r="B6" s="264"/>
      <c r="C6" s="264"/>
      <c r="D6" s="315"/>
      <c r="E6" s="264"/>
      <c r="F6" s="264"/>
      <c r="G6" s="315"/>
      <c r="H6" s="257"/>
      <c r="I6" s="257"/>
      <c r="J6" s="257"/>
    </row>
    <row r="7" spans="1:10" ht="20.25" customHeight="1" thickBot="1">
      <c r="A7" s="14" t="s">
        <v>333</v>
      </c>
      <c r="B7" s="264"/>
      <c r="C7" s="264"/>
      <c r="D7" s="315"/>
      <c r="E7" s="264"/>
      <c r="F7" s="264"/>
      <c r="G7" s="315"/>
      <c r="H7" s="257"/>
      <c r="I7" s="257"/>
      <c r="J7" s="257"/>
    </row>
    <row r="8" spans="1:10" ht="20.25" customHeight="1" thickBot="1">
      <c r="A8" s="14" t="s">
        <v>334</v>
      </c>
      <c r="B8" s="264"/>
      <c r="C8" s="264"/>
      <c r="D8" s="315"/>
      <c r="E8" s="264"/>
      <c r="F8" s="264"/>
      <c r="G8" s="315"/>
      <c r="H8" s="257"/>
      <c r="I8" s="257"/>
      <c r="J8" s="257"/>
    </row>
    <row r="9" spans="1:10" ht="20.25" customHeight="1" thickBot="1">
      <c r="A9" s="14" t="s">
        <v>14</v>
      </c>
      <c r="B9" s="264"/>
      <c r="C9" s="264"/>
      <c r="D9" s="315"/>
      <c r="E9" s="264"/>
      <c r="F9" s="264"/>
      <c r="G9" s="315"/>
      <c r="H9" s="257"/>
      <c r="I9" s="257"/>
      <c r="J9" s="257"/>
    </row>
    <row r="10" spans="1:10" ht="20.25" customHeight="1" thickBot="1">
      <c r="A10" s="14" t="s">
        <v>335</v>
      </c>
      <c r="B10" s="313" t="s">
        <v>18</v>
      </c>
      <c r="C10" s="300">
        <f>SUMIF(VZaS!C:C,"049",VZaS!D:D)+SUMIF(VZaS!C:C,"056",VZaS!D:D)</f>
        <v>0</v>
      </c>
      <c r="D10" s="315"/>
      <c r="E10" s="313" t="s">
        <v>18</v>
      </c>
      <c r="F10" s="300">
        <f>SUMIF(VZaS!C:C,"049",VZaS!E:E)+SUMIF(VZaS!C:C,"056",VZaS!E:E)</f>
        <v>0</v>
      </c>
      <c r="G10" s="315"/>
      <c r="H10" s="257"/>
      <c r="I10" s="257"/>
      <c r="J10" s="257"/>
    </row>
    <row r="11" spans="1:10" ht="20.25" customHeight="1" thickBot="1">
      <c r="A11" s="14" t="s">
        <v>336</v>
      </c>
      <c r="B11" s="313" t="s">
        <v>18</v>
      </c>
      <c r="C11" s="300">
        <f>SUMIF(VZaS!C:C,"050",VZaS!D:D)+SUMIF(VZaS!C:C,"057",VZaS!D:D)</f>
        <v>-78130.94</v>
      </c>
      <c r="D11" s="315"/>
      <c r="E11" s="313" t="s">
        <v>18</v>
      </c>
      <c r="F11" s="300">
        <f>SUMIF(VZaS!C:C,"050",VZaS!E:E)+SUMIF(VZaS!C:C,"057",VZaS!E:E)</f>
        <v>0</v>
      </c>
      <c r="G11" s="315"/>
      <c r="H11" s="257"/>
      <c r="I11" s="257"/>
      <c r="J11" s="257"/>
    </row>
    <row r="12" spans="1:10" ht="20.25" customHeight="1" thickBot="1">
      <c r="A12" s="16" t="s">
        <v>337</v>
      </c>
      <c r="B12" s="99" t="s">
        <v>18</v>
      </c>
      <c r="C12" s="81"/>
      <c r="D12" s="146"/>
      <c r="E12" s="99" t="s">
        <v>18</v>
      </c>
      <c r="F12" s="81"/>
      <c r="G12" s="146"/>
    </row>
    <row r="13" spans="1:10" ht="15.75" thickTop="1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>
    <tabColor rgb="FF00B050"/>
  </sheetPr>
  <dimension ref="A1:M49"/>
  <sheetViews>
    <sheetView showGridLines="0" tabSelected="1" zoomScaleNormal="100" workbookViewId="0">
      <selection activeCell="C22" sqref="C22"/>
    </sheetView>
  </sheetViews>
  <sheetFormatPr defaultRowHeight="15"/>
  <cols>
    <col min="1" max="1" width="29.42578125" customWidth="1"/>
    <col min="2" max="9" width="12.5703125" customWidth="1"/>
  </cols>
  <sheetData>
    <row r="1" spans="1:12" ht="16.5">
      <c r="A1" s="1" t="s">
        <v>19</v>
      </c>
    </row>
    <row r="2" spans="1:12" ht="17.25" thickBot="1">
      <c r="A2" s="2" t="s">
        <v>8</v>
      </c>
    </row>
    <row r="3" spans="1:12" ht="15" customHeight="1" thickTop="1" thickBot="1">
      <c r="A3" s="321" t="s">
        <v>20</v>
      </c>
      <c r="B3" s="323" t="s">
        <v>2</v>
      </c>
      <c r="C3" s="329"/>
      <c r="D3" s="329"/>
      <c r="E3" s="329"/>
      <c r="F3" s="329"/>
      <c r="G3" s="329"/>
      <c r="H3" s="329"/>
      <c r="I3" s="324"/>
    </row>
    <row r="4" spans="1:12" ht="35.25" customHeight="1" thickTop="1" thickBot="1">
      <c r="A4" s="325"/>
      <c r="B4" s="40" t="s">
        <v>441</v>
      </c>
      <c r="C4" s="155" t="s">
        <v>21</v>
      </c>
      <c r="D4" s="155" t="s">
        <v>442</v>
      </c>
      <c r="E4" s="154" t="s">
        <v>22</v>
      </c>
      <c r="F4" s="40" t="s">
        <v>23</v>
      </c>
      <c r="G4" s="155" t="s">
        <v>443</v>
      </c>
      <c r="H4" s="155" t="s">
        <v>24</v>
      </c>
      <c r="I4" s="155" t="s">
        <v>14</v>
      </c>
    </row>
    <row r="5" spans="1:12" ht="15" customHeight="1" thickTop="1" thickBot="1">
      <c r="A5" s="41" t="s">
        <v>25</v>
      </c>
      <c r="B5" s="42"/>
      <c r="C5" s="42"/>
      <c r="D5" s="42"/>
      <c r="E5" s="42"/>
      <c r="F5" s="42"/>
      <c r="G5" s="42"/>
      <c r="H5" s="42"/>
      <c r="I5" s="43"/>
    </row>
    <row r="6" spans="1:12" ht="16.5" thickTop="1" thickBot="1">
      <c r="A6" s="44" t="s">
        <v>26</v>
      </c>
      <c r="B6" s="223">
        <f>SUMIF(HK!A:A,"012*",HK!C:C)-SUMIF(HK!A:A,"012*",HK!D:D)</f>
        <v>0</v>
      </c>
      <c r="C6" s="223">
        <f>SUMIF(HK!A:A,"013*",HK!C:C)-SUMIF(HK!A:A,"013*",HK!D:D)</f>
        <v>0</v>
      </c>
      <c r="D6" s="223">
        <f>SUMIF(HK!A:A,"014*",HK!C:C)-SUMIF(HK!A:A,"014*",HK!D:D)</f>
        <v>0</v>
      </c>
      <c r="E6" s="223">
        <f>SUMIF(HK!A:A,"015*",HK!C:C)-SUMIF(HK!A:A,"015*",HK!D:D)</f>
        <v>0</v>
      </c>
      <c r="F6" s="223">
        <f>SUMIF(HK!A:A,"019*",HK!C:C)-SUMIF(HK!A:A,"019*",HK!D:D)</f>
        <v>0</v>
      </c>
      <c r="G6" s="223">
        <f>SUMIF(HK!A:A,"041*",HK!C:C)-SUMIF(HK!A:A,"041*",HK!D:D)</f>
        <v>0</v>
      </c>
      <c r="H6" s="223">
        <f>SUMIF(HK!A:A,"051*",HK!C:C)-SUMIF(HK!A:A,"051*",HK!D:D)</f>
        <v>0</v>
      </c>
      <c r="I6" s="208">
        <f>SUM(B6:H6)</f>
        <v>0</v>
      </c>
      <c r="J6" s="192"/>
      <c r="K6" s="209"/>
      <c r="L6" s="192"/>
    </row>
    <row r="7" spans="1:12" ht="25.5" customHeight="1" thickBot="1">
      <c r="A7" s="14" t="s">
        <v>27</v>
      </c>
      <c r="B7" s="186"/>
      <c r="C7" s="223"/>
      <c r="D7" s="223"/>
      <c r="E7" s="223"/>
      <c r="F7" s="223"/>
      <c r="G7" s="223"/>
      <c r="H7" s="223"/>
      <c r="I7" s="208">
        <f>SUM(B7:H7)</f>
        <v>0</v>
      </c>
      <c r="J7" s="192"/>
      <c r="K7" s="192"/>
      <c r="L7" s="192"/>
    </row>
    <row r="8" spans="1:12" ht="15" customHeight="1" thickBot="1">
      <c r="A8" s="14" t="s">
        <v>28</v>
      </c>
      <c r="B8" s="186"/>
      <c r="C8" s="186"/>
      <c r="D8" s="186"/>
      <c r="E8" s="186"/>
      <c r="F8" s="187"/>
      <c r="G8" s="186"/>
      <c r="H8" s="186"/>
      <c r="I8" s="208">
        <f t="shared" ref="I8:I9" si="0">SUM(B8:H8)</f>
        <v>0</v>
      </c>
      <c r="J8" s="192"/>
      <c r="K8" s="192"/>
      <c r="L8" s="192"/>
    </row>
    <row r="9" spans="1:12" ht="23.25" customHeight="1" thickBot="1">
      <c r="A9" s="14" t="s">
        <v>29</v>
      </c>
      <c r="B9" s="186"/>
      <c r="C9" s="223"/>
      <c r="D9" s="223"/>
      <c r="E9" s="223"/>
      <c r="F9" s="223"/>
      <c r="G9" s="223"/>
      <c r="H9" s="223"/>
      <c r="I9" s="208">
        <f t="shared" si="0"/>
        <v>0</v>
      </c>
      <c r="J9" s="192"/>
      <c r="K9" s="192"/>
      <c r="L9" s="192"/>
    </row>
    <row r="10" spans="1:12" ht="15.75" thickBot="1">
      <c r="A10" s="25" t="s">
        <v>30</v>
      </c>
      <c r="B10" s="223">
        <f>SUMIF(HK!A:A,"012*",HK!K:K)-SUMIF(HK!A:A,"012*",HK!L:L)</f>
        <v>0</v>
      </c>
      <c r="C10" s="223">
        <f>SUMIF(HK!A:A,"013*",HK!K:K)-SUMIF(HK!A:A,"013*",HK!L:L)</f>
        <v>0</v>
      </c>
      <c r="D10" s="223">
        <f>SUMIF(HK!A:A,"014*",HK!K:K)-SUMIF(HK!A:A,"014*",HK!L:L)</f>
        <v>0</v>
      </c>
      <c r="E10" s="223">
        <f>SUMIF(HK!A:A,"015*",HK!K:K)-SUMIF(HK!A:A,"015*",HK!L:L)</f>
        <v>0</v>
      </c>
      <c r="F10" s="223">
        <f>SUMIF(HK!A:A,"019*",HK!K:K)-SUMIF(HK!A:A,"019*",HK!L:L)</f>
        <v>0</v>
      </c>
      <c r="G10" s="223">
        <f>SUMIF(HK!A:A,"041*",HK!K:K)-SUMIF(HK!A:A,"041*",HK!L:L)</f>
        <v>0</v>
      </c>
      <c r="H10" s="223">
        <f>SUMIF(HK!A:A,"051*",HK!K:K)-SUMIF(HK!A:A,"051*",HK!L:L)</f>
        <v>0</v>
      </c>
      <c r="I10" s="210">
        <f>I6+I7-I8+I9</f>
        <v>0</v>
      </c>
      <c r="J10" s="192"/>
      <c r="K10" s="209"/>
      <c r="L10" s="192"/>
    </row>
    <row r="11" spans="1:12" ht="15" customHeight="1" thickTop="1" thickBot="1">
      <c r="A11" s="41" t="s">
        <v>31</v>
      </c>
      <c r="B11" s="224"/>
      <c r="C11" s="224"/>
      <c r="D11" s="225"/>
      <c r="E11" s="224"/>
      <c r="F11" s="224"/>
      <c r="G11" s="224"/>
      <c r="H11" s="224"/>
      <c r="I11" s="212"/>
      <c r="J11" s="192"/>
      <c r="K11" s="192"/>
      <c r="L11" s="192"/>
    </row>
    <row r="12" spans="1:12" ht="16.5" thickTop="1" thickBot="1">
      <c r="A12" s="44" t="s">
        <v>32</v>
      </c>
      <c r="B12" s="223">
        <f>SUMIF(HK!A:A,"071*",HK!D:D)-SUMIF(HK!A:A,"071*",HK!C:C)</f>
        <v>0</v>
      </c>
      <c r="C12" s="223">
        <f>SUMIF(HK!A:A,"073*",HK!D:D)-SUMIF(HK!A:A,"073*",HK!C:C)</f>
        <v>0</v>
      </c>
      <c r="D12" s="226">
        <f>SUMIF(HK!A:A,"074*",HK!D:D)-SUMIF(HK!A:A,"074*",HK!C:C)</f>
        <v>0</v>
      </c>
      <c r="E12" s="223">
        <f>SUMIF(HK!A:A,"075*",HK!D:D)-SUMIF(HK!A:A,"075*",HK!C:C)</f>
        <v>0</v>
      </c>
      <c r="F12" s="223">
        <f>SUMIF(HK!A:A,"079*",HK!D:D)-SUMIF(HK!A:A,"079*",HK!C:C)</f>
        <v>0</v>
      </c>
      <c r="G12" s="227"/>
      <c r="H12" s="227"/>
      <c r="I12" s="208">
        <f>SUM(B12:H12)</f>
        <v>0</v>
      </c>
      <c r="J12" s="192"/>
      <c r="K12" s="209"/>
      <c r="L12" s="192"/>
    </row>
    <row r="13" spans="1:12" ht="22.5" customHeight="1" thickBot="1">
      <c r="A13" s="14" t="s">
        <v>27</v>
      </c>
      <c r="B13" s="186"/>
      <c r="C13" s="223"/>
      <c r="D13" s="223"/>
      <c r="E13" s="223"/>
      <c r="F13" s="223"/>
      <c r="G13" s="213"/>
      <c r="H13" s="213"/>
      <c r="I13" s="208">
        <f t="shared" ref="I13:I14" si="1">SUM(B13:H13)</f>
        <v>0</v>
      </c>
      <c r="J13" s="192"/>
      <c r="K13" s="192"/>
      <c r="L13" s="192"/>
    </row>
    <row r="14" spans="1:12" ht="21.75" customHeight="1" thickBot="1">
      <c r="A14" s="14" t="s">
        <v>28</v>
      </c>
      <c r="B14" s="223"/>
      <c r="C14" s="223"/>
      <c r="D14" s="223"/>
      <c r="E14" s="223"/>
      <c r="F14" s="223"/>
      <c r="G14" s="213"/>
      <c r="H14" s="213"/>
      <c r="I14" s="208">
        <f t="shared" si="1"/>
        <v>0</v>
      </c>
      <c r="J14" s="192"/>
      <c r="K14" s="192"/>
      <c r="L14" s="192"/>
    </row>
    <row r="15" spans="1:12" ht="15.75" thickBot="1">
      <c r="A15" s="25" t="s">
        <v>30</v>
      </c>
      <c r="B15" s="223">
        <f>SUMIF(HK!A:A,"071*",HK!L:L)-SUMIF(HK!A:A,"071*",HK!K:K)</f>
        <v>0</v>
      </c>
      <c r="C15" s="223">
        <f>SUMIF(HK!A:A,"073*",HK!L:L)-SUMIF(HK!A:A,"073*",HK!K:K)</f>
        <v>0</v>
      </c>
      <c r="D15" s="223">
        <f>SUMIF(HK!A:A,"074*",HK!L:L)-SUMIF(HK!A:A,"074*",HK!K:K)</f>
        <v>0</v>
      </c>
      <c r="E15" s="223">
        <f>SUMIF(HK!A:A,"075*",HK!L:L)-SUMIF(HK!A:A,"075*",HK!K:K)</f>
        <v>0</v>
      </c>
      <c r="F15" s="223">
        <f>SUMIF(HK!A:A,"079*",HK!L:L)-SUMIF(HK!A:A,"079*",HK!K:K)</f>
        <v>0</v>
      </c>
      <c r="G15" s="214"/>
      <c r="H15" s="214"/>
      <c r="I15" s="210">
        <f>I12+I13-I14</f>
        <v>0</v>
      </c>
      <c r="J15" s="192"/>
      <c r="K15" s="209"/>
      <c r="L15" s="192"/>
    </row>
    <row r="16" spans="1:12" ht="15" customHeight="1" thickTop="1" thickBot="1">
      <c r="A16" s="41" t="s">
        <v>33</v>
      </c>
      <c r="B16" s="224"/>
      <c r="C16" s="224"/>
      <c r="D16" s="224"/>
      <c r="E16" s="224"/>
      <c r="F16" s="224"/>
      <c r="G16" s="224"/>
      <c r="H16" s="224"/>
      <c r="I16" s="212"/>
      <c r="J16" s="192"/>
      <c r="K16" s="192"/>
      <c r="L16" s="192"/>
    </row>
    <row r="17" spans="1:13" ht="16.5" thickTop="1" thickBot="1">
      <c r="A17" s="44" t="s">
        <v>32</v>
      </c>
      <c r="B17" s="223"/>
      <c r="C17" s="223"/>
      <c r="D17" s="223"/>
      <c r="E17" s="223"/>
      <c r="F17" s="223"/>
      <c r="G17" s="223">
        <f>SUMIF(HK!A:A,"093*",HK!D:D)-SUMIF(HK!A:A,"093*",HK!C:C)</f>
        <v>0</v>
      </c>
      <c r="H17" s="223">
        <f>SUMIF(SUAM!C:C,"010",SUAM!E:E)</f>
        <v>0</v>
      </c>
      <c r="I17" s="208">
        <f>SUM(B17:H17)</f>
        <v>0</v>
      </c>
      <c r="J17" s="192"/>
      <c r="K17" s="209"/>
      <c r="L17" s="215"/>
      <c r="M17" s="164"/>
    </row>
    <row r="18" spans="1:13" ht="15" customHeight="1" thickBot="1">
      <c r="A18" s="14" t="s">
        <v>27</v>
      </c>
      <c r="B18" s="186"/>
      <c r="C18" s="186"/>
      <c r="D18" s="186"/>
      <c r="E18" s="186"/>
      <c r="F18" s="186"/>
      <c r="G18" s="186"/>
      <c r="H18" s="186"/>
      <c r="I18" s="208">
        <f t="shared" ref="I18:I19" si="2">SUM(B18:H18)</f>
        <v>0</v>
      </c>
      <c r="J18" s="192"/>
      <c r="K18" s="216"/>
      <c r="L18" s="192"/>
    </row>
    <row r="19" spans="1:13" ht="15" customHeight="1" thickBot="1">
      <c r="A19" s="14" t="s">
        <v>28</v>
      </c>
      <c r="B19" s="186"/>
      <c r="C19" s="186"/>
      <c r="D19" s="186"/>
      <c r="E19" s="186"/>
      <c r="F19" s="186"/>
      <c r="G19" s="186"/>
      <c r="H19" s="186"/>
      <c r="I19" s="208">
        <f t="shared" si="2"/>
        <v>0</v>
      </c>
      <c r="J19" s="192"/>
      <c r="K19" s="216"/>
      <c r="L19" s="192"/>
    </row>
    <row r="20" spans="1:13" ht="15.75" thickBot="1">
      <c r="A20" s="25" t="s">
        <v>30</v>
      </c>
      <c r="B20" s="223"/>
      <c r="C20" s="223"/>
      <c r="D20" s="223"/>
      <c r="E20" s="223"/>
      <c r="F20" s="223"/>
      <c r="G20" s="223">
        <f>SUMIF(HK!A:A,"093*",HK!L:L)-SUMIF(HK!A:A,"093*",HK!K:K)</f>
        <v>0</v>
      </c>
      <c r="H20" s="223">
        <f>SUMIF(SUA!C:C,"010",SUA!E:E)</f>
        <v>0</v>
      </c>
      <c r="I20" s="210">
        <f>I17+I18-I19</f>
        <v>0</v>
      </c>
      <c r="J20" s="192"/>
      <c r="K20" s="209"/>
      <c r="L20" s="215"/>
      <c r="M20" s="164"/>
    </row>
    <row r="21" spans="1:13" ht="15" customHeight="1" thickTop="1" thickBot="1">
      <c r="A21" s="41" t="s">
        <v>34</v>
      </c>
      <c r="B21" s="224"/>
      <c r="C21" s="224"/>
      <c r="D21" s="224"/>
      <c r="E21" s="224"/>
      <c r="F21" s="224"/>
      <c r="G21" s="224"/>
      <c r="H21" s="224"/>
      <c r="I21" s="212"/>
      <c r="J21" s="192"/>
      <c r="K21" s="192"/>
      <c r="L21" s="192"/>
    </row>
    <row r="22" spans="1:13" ht="15" customHeight="1" thickTop="1" thickBot="1">
      <c r="A22" s="44" t="s">
        <v>32</v>
      </c>
      <c r="B22" s="213"/>
      <c r="C22" s="213"/>
      <c r="D22" s="213"/>
      <c r="E22" s="213"/>
      <c r="F22" s="213"/>
      <c r="G22" s="213"/>
      <c r="H22" s="213"/>
      <c r="I22" s="208">
        <f t="shared" ref="I22" si="3">I6-I12-I17</f>
        <v>0</v>
      </c>
      <c r="J22" s="192"/>
      <c r="K22" s="192"/>
      <c r="L22" s="192"/>
    </row>
    <row r="23" spans="1:13" ht="15" customHeight="1" thickBot="1">
      <c r="A23" s="25" t="s">
        <v>30</v>
      </c>
      <c r="B23" s="214"/>
      <c r="C23" s="214"/>
      <c r="D23" s="214"/>
      <c r="E23" s="214"/>
      <c r="F23" s="214"/>
      <c r="G23" s="214"/>
      <c r="H23" s="214"/>
      <c r="I23" s="210">
        <f t="shared" ref="I23" si="4">I10-I15-I20</f>
        <v>0</v>
      </c>
      <c r="J23" s="192"/>
      <c r="K23" s="192"/>
      <c r="L23" s="192"/>
    </row>
    <row r="24" spans="1:13" ht="15.75" thickTop="1">
      <c r="A24" s="47"/>
      <c r="B24" s="217"/>
      <c r="C24" s="217"/>
      <c r="D24" s="217"/>
      <c r="E24" s="217"/>
      <c r="F24" s="217"/>
      <c r="G24" s="217"/>
      <c r="H24" s="217"/>
      <c r="I24" s="217"/>
      <c r="J24" s="192"/>
      <c r="K24" s="192"/>
      <c r="L24" s="192"/>
    </row>
    <row r="25" spans="1:13">
      <c r="A25" s="48"/>
      <c r="B25" s="218"/>
      <c r="C25" s="218"/>
      <c r="D25" s="218"/>
      <c r="E25" s="218"/>
      <c r="F25" s="218"/>
      <c r="G25" s="218"/>
      <c r="H25" s="218"/>
      <c r="I25" s="218"/>
      <c r="J25" s="192"/>
      <c r="K25" s="192"/>
      <c r="L25" s="192"/>
    </row>
    <row r="26" spans="1:13">
      <c r="A26" s="48" t="s">
        <v>15</v>
      </c>
      <c r="B26" s="218"/>
      <c r="C26" s="218"/>
      <c r="D26" s="218"/>
      <c r="E26" s="218"/>
      <c r="F26" s="218"/>
      <c r="G26" s="218"/>
      <c r="H26" s="218"/>
      <c r="I26" s="218"/>
      <c r="J26" s="192"/>
      <c r="K26" s="192"/>
      <c r="L26" s="192"/>
    </row>
    <row r="27" spans="1:13" ht="15.75" thickBot="1">
      <c r="A27" s="47"/>
      <c r="B27" s="217"/>
      <c r="C27" s="217"/>
      <c r="D27" s="217"/>
      <c r="E27" s="217"/>
      <c r="F27" s="217"/>
      <c r="G27" s="217"/>
      <c r="H27" s="217"/>
      <c r="I27" s="218"/>
      <c r="J27" s="192"/>
      <c r="K27" s="192"/>
      <c r="L27" s="192"/>
    </row>
    <row r="28" spans="1:13" ht="15" customHeight="1" thickTop="1" thickBot="1">
      <c r="A28" s="321" t="s">
        <v>20</v>
      </c>
      <c r="B28" s="326" t="s">
        <v>3</v>
      </c>
      <c r="C28" s="327"/>
      <c r="D28" s="327"/>
      <c r="E28" s="327"/>
      <c r="F28" s="327"/>
      <c r="G28" s="327"/>
      <c r="H28" s="327"/>
      <c r="I28" s="328"/>
      <c r="J28" s="192"/>
      <c r="K28" s="192"/>
      <c r="L28" s="192"/>
    </row>
    <row r="29" spans="1:13" ht="35.25" thickTop="1" thickBot="1">
      <c r="A29" s="325"/>
      <c r="B29" s="219" t="s">
        <v>441</v>
      </c>
      <c r="C29" s="220" t="s">
        <v>21</v>
      </c>
      <c r="D29" s="220" t="s">
        <v>442</v>
      </c>
      <c r="E29" s="221" t="s">
        <v>22</v>
      </c>
      <c r="F29" s="219" t="s">
        <v>23</v>
      </c>
      <c r="G29" s="220" t="s">
        <v>443</v>
      </c>
      <c r="H29" s="220" t="s">
        <v>24</v>
      </c>
      <c r="I29" s="220" t="s">
        <v>14</v>
      </c>
      <c r="J29" s="192"/>
      <c r="K29" s="192"/>
      <c r="L29" s="192"/>
    </row>
    <row r="30" spans="1:13" ht="15" customHeight="1" thickTop="1" thickBot="1">
      <c r="A30" s="41" t="s">
        <v>25</v>
      </c>
      <c r="B30" s="211"/>
      <c r="C30" s="211"/>
      <c r="D30" s="211"/>
      <c r="E30" s="211"/>
      <c r="F30" s="211"/>
      <c r="G30" s="211"/>
      <c r="H30" s="211"/>
      <c r="I30" s="212"/>
      <c r="J30" s="192"/>
      <c r="K30" s="192"/>
      <c r="L30" s="192"/>
    </row>
    <row r="31" spans="1:13" ht="16.5" thickTop="1" thickBot="1">
      <c r="A31" s="44" t="s">
        <v>26</v>
      </c>
      <c r="B31" s="223">
        <f>SUMIF(HKM!A:A,"012*",HKM!C:C)-SUMIF(HKM!A:A,"012*",HKM!D:D)</f>
        <v>0</v>
      </c>
      <c r="C31" s="223">
        <f>SUMIF(HKM!A:A,"013*",HKM!C:C)-SUMIF(HKM!A:A,"013*",HKM!D:D)</f>
        <v>7561.33</v>
      </c>
      <c r="D31" s="223">
        <f>SUMIF(HKM!A:A,"014*",HKM!C:C)-SUMIF(HKM!A:A,"014*",HKM!D:D)</f>
        <v>0</v>
      </c>
      <c r="E31" s="223">
        <f>SUMIF(HKM!A:A,"015*",HKM!C:C)-SUMIF(HKM!A:A,"015*",HKM!D:D)</f>
        <v>247842.96</v>
      </c>
      <c r="F31" s="223">
        <f>SUMIF(HKM!A:A,"019*",HKM!C:C)-SUMIF(HKM!A:A,"019*",HKM!D:D)</f>
        <v>0</v>
      </c>
      <c r="G31" s="223">
        <f>SUMIF(HKM!A:A,"041*",HKM!C:C)-SUMIF(HKM!A:A,"041*",HKM!D:D)</f>
        <v>0</v>
      </c>
      <c r="H31" s="223">
        <f>SUMIF(HKM!A:A,"051*",HKM!C:C)-SUMIF(HKM!A:A,"051*",HKM!D:D)</f>
        <v>0</v>
      </c>
      <c r="I31" s="208">
        <f>SUM(B31:H31)</f>
        <v>255404.28999999998</v>
      </c>
      <c r="J31" s="192"/>
      <c r="K31" s="209"/>
      <c r="L31" s="192"/>
    </row>
    <row r="32" spans="1:13" ht="15" customHeight="1" thickBot="1">
      <c r="A32" s="14" t="s">
        <v>27</v>
      </c>
      <c r="B32" s="186"/>
      <c r="C32" s="186"/>
      <c r="D32" s="186"/>
      <c r="E32" s="186"/>
      <c r="F32" s="187"/>
      <c r="G32" s="186"/>
      <c r="H32" s="186"/>
      <c r="I32" s="208">
        <f>SUM(B32:H32)</f>
        <v>0</v>
      </c>
      <c r="J32" s="192"/>
      <c r="K32" s="192"/>
      <c r="L32" s="192"/>
    </row>
    <row r="33" spans="1:13" ht="15" customHeight="1" thickBot="1">
      <c r="A33" s="14" t="s">
        <v>28</v>
      </c>
      <c r="B33" s="186"/>
      <c r="C33" s="186"/>
      <c r="D33" s="186"/>
      <c r="E33" s="186"/>
      <c r="F33" s="187"/>
      <c r="G33" s="186"/>
      <c r="H33" s="186"/>
      <c r="I33" s="208">
        <f t="shared" ref="I33:I34" si="5">SUM(B33:H33)</f>
        <v>0</v>
      </c>
      <c r="J33" s="192"/>
      <c r="K33" s="192"/>
      <c r="L33" s="192"/>
    </row>
    <row r="34" spans="1:13" ht="15" customHeight="1" thickBot="1">
      <c r="A34" s="14" t="s">
        <v>29</v>
      </c>
      <c r="B34" s="186"/>
      <c r="C34" s="186"/>
      <c r="D34" s="186"/>
      <c r="E34" s="186"/>
      <c r="F34" s="187"/>
      <c r="G34" s="186"/>
      <c r="H34" s="186"/>
      <c r="I34" s="208">
        <f t="shared" si="5"/>
        <v>0</v>
      </c>
      <c r="J34" s="192"/>
      <c r="K34" s="192"/>
      <c r="L34" s="192"/>
    </row>
    <row r="35" spans="1:13" ht="15.75" thickBot="1">
      <c r="A35" s="25" t="s">
        <v>30</v>
      </c>
      <c r="B35" s="223">
        <f>SUMIF(HKM!A:A,"012*",HKM!K:K)-SUMIF(HKM!A:A,"012*",HKM!L:L)</f>
        <v>0</v>
      </c>
      <c r="C35" s="223">
        <f>SUMIF(HKM!A:A,"013*",HKM!K:K)-SUMIF(HKM!A:A,"013*",HKM!L:L)</f>
        <v>9543.69</v>
      </c>
      <c r="D35" s="223">
        <f>SUMIF(HKM!A:A,"014*",HKM!K:K)-SUMIF(HKM!A:A,"014*",HKM!L:L)</f>
        <v>0</v>
      </c>
      <c r="E35" s="223">
        <f>SUMIF(HKM!A:A,"015*",HKM!K:K)-SUMIF(HKM!A:A,"015*",HKM!L:L)</f>
        <v>247842.96</v>
      </c>
      <c r="F35" s="223">
        <f>SUMIF(HKM!A:A,"019*",HKM!K:K)-SUMIF(HKM!A:A,"019*",HKM!L:L)</f>
        <v>0</v>
      </c>
      <c r="G35" s="223">
        <f>SUMIF(HKM!A:A,"041*",HKM!K:K)-SUMIF(HKM!A:A,"041*",HKM!L:L)</f>
        <v>0</v>
      </c>
      <c r="H35" s="223">
        <f>SUMIF(HKM!A:A,"051*",HKM!K:K)-SUMIF(HKM!A:A,"051*",HKM!L:L)</f>
        <v>0</v>
      </c>
      <c r="I35" s="210">
        <f>I31+I32-I33+I34</f>
        <v>255404.28999999998</v>
      </c>
      <c r="J35" s="192"/>
      <c r="K35" s="209"/>
      <c r="L35" s="192"/>
    </row>
    <row r="36" spans="1:13" ht="15" customHeight="1" thickTop="1" thickBot="1">
      <c r="A36" s="41" t="s">
        <v>31</v>
      </c>
      <c r="B36" s="228"/>
      <c r="C36" s="228"/>
      <c r="D36" s="228"/>
      <c r="E36" s="228"/>
      <c r="F36" s="228"/>
      <c r="G36" s="228"/>
      <c r="H36" s="228"/>
      <c r="I36" s="212"/>
      <c r="J36" s="192"/>
      <c r="K36" s="192"/>
      <c r="L36" s="192"/>
    </row>
    <row r="37" spans="1:13" ht="16.5" thickTop="1" thickBot="1">
      <c r="A37" s="44" t="s">
        <v>32</v>
      </c>
      <c r="B37" s="223">
        <f>SUMIF(HKM!A:A,"071*",HKM!D:D)-SUMIF(HKM!A:A,"071*",HKM!C:C)</f>
        <v>0</v>
      </c>
      <c r="C37" s="223">
        <f>SUMIF(HKM!A:A,"073*",HKM!D:D)-SUMIF(HKM!A:A,"073*",HKM!C:C)</f>
        <v>127</v>
      </c>
      <c r="D37" s="223">
        <f>SUMIF(HKM!A:A,"074*",HKM!D:D)-SUMIF(HKM!A:A,"074*",HKM!C:C)</f>
        <v>0</v>
      </c>
      <c r="E37" s="223">
        <f>SUMIF(HKM!A:A,"075*",HKM!D:D)-SUMIF(HKM!A:A,"075*",HKM!C:C)</f>
        <v>37112.35</v>
      </c>
      <c r="F37" s="223">
        <f>SUMIF(HKM!A:A,"079*",HKM!D:D)-SUMIF(HKM!A:A,"079*",HKM!C:C)</f>
        <v>0</v>
      </c>
      <c r="G37" s="223"/>
      <c r="H37" s="223"/>
      <c r="I37" s="208">
        <f>SUM(B37:H37)</f>
        <v>37239.35</v>
      </c>
      <c r="J37" s="192"/>
      <c r="K37" s="209"/>
      <c r="L37" s="192"/>
    </row>
    <row r="38" spans="1:13" ht="15" customHeight="1" thickBot="1">
      <c r="A38" s="14" t="s">
        <v>27</v>
      </c>
      <c r="B38" s="186"/>
      <c r="C38" s="186"/>
      <c r="D38" s="186"/>
      <c r="E38" s="186"/>
      <c r="F38" s="186"/>
      <c r="G38" s="186"/>
      <c r="H38" s="186"/>
      <c r="I38" s="208">
        <f t="shared" ref="I38:I39" si="6">SUM(B38:H38)</f>
        <v>0</v>
      </c>
      <c r="J38" s="192"/>
      <c r="K38" s="192"/>
      <c r="L38" s="192"/>
    </row>
    <row r="39" spans="1:13" ht="15" customHeight="1" thickBot="1">
      <c r="A39" s="14" t="s">
        <v>28</v>
      </c>
      <c r="B39" s="186"/>
      <c r="C39" s="186"/>
      <c r="D39" s="186"/>
      <c r="E39" s="186"/>
      <c r="F39" s="186"/>
      <c r="G39" s="186"/>
      <c r="H39" s="186"/>
      <c r="I39" s="208">
        <f t="shared" si="6"/>
        <v>0</v>
      </c>
      <c r="J39" s="192"/>
      <c r="K39" s="192"/>
      <c r="L39" s="192"/>
    </row>
    <row r="40" spans="1:13" ht="15.75" thickBot="1">
      <c r="A40" s="25" t="s">
        <v>30</v>
      </c>
      <c r="B40" s="223">
        <f>SUMIF(HKM!A:A,"071*",HKM!L:L)-SUMIF(HKM!A:A,"071*",HKM!K:K)</f>
        <v>0</v>
      </c>
      <c r="C40" s="223">
        <f>SUMIF(HKM!A:A,"073*",HKM!L:L)-SUMIF(HKM!A:A,"073*",HKM!K:K)</f>
        <v>1799</v>
      </c>
      <c r="D40" s="223">
        <f>SUMIF(HKM!A:A,"074*",HKM!L:L)-SUMIF(HKM!A:A,"074*",HKM!K:K)</f>
        <v>0</v>
      </c>
      <c r="E40" s="223">
        <f>SUMIF(HKM!A:A,"075*",HKM!L:L)-SUMIF(HKM!A:A,"075*",HKM!K:K)</f>
        <v>74224.27</v>
      </c>
      <c r="F40" s="223">
        <f>SUMIF(HKM!A:A,"079*",HKM!L:L)-SUMIF(HKM!A:A,"079*",HKM!K:K)</f>
        <v>0</v>
      </c>
      <c r="G40" s="189"/>
      <c r="H40" s="189"/>
      <c r="I40" s="210">
        <f>I37+I38-I39</f>
        <v>37239.35</v>
      </c>
      <c r="J40" s="192"/>
      <c r="K40" s="209"/>
      <c r="L40" s="192"/>
    </row>
    <row r="41" spans="1:13" ht="15" customHeight="1" thickTop="1" thickBot="1">
      <c r="A41" s="41" t="s">
        <v>33</v>
      </c>
      <c r="B41" s="228"/>
      <c r="C41" s="228"/>
      <c r="D41" s="228"/>
      <c r="E41" s="228"/>
      <c r="F41" s="228"/>
      <c r="G41" s="228"/>
      <c r="H41" s="228"/>
      <c r="I41" s="212"/>
      <c r="J41" s="192"/>
      <c r="K41" s="192"/>
      <c r="L41" s="192"/>
    </row>
    <row r="42" spans="1:13" ht="16.5" thickTop="1" thickBot="1">
      <c r="A42" s="44" t="s">
        <v>32</v>
      </c>
      <c r="B42" s="223"/>
      <c r="C42" s="223"/>
      <c r="D42" s="223"/>
      <c r="E42" s="223"/>
      <c r="F42" s="223"/>
      <c r="G42" s="223">
        <f>SUMIF(HKM!A:A,"093*",HKM!D:D)-SUMIF(HKM!A:A,"093*",HKM!C:C)</f>
        <v>0</v>
      </c>
      <c r="H42" s="223"/>
      <c r="I42" s="208">
        <f>SUM(B42:H42)</f>
        <v>0</v>
      </c>
      <c r="J42" s="192"/>
      <c r="K42" s="209"/>
      <c r="L42" s="222"/>
      <c r="M42" s="164"/>
    </row>
    <row r="43" spans="1:13" ht="15" customHeight="1" thickBot="1">
      <c r="A43" s="14" t="s">
        <v>27</v>
      </c>
      <c r="B43" s="186"/>
      <c r="C43" s="186"/>
      <c r="D43" s="186"/>
      <c r="E43" s="186"/>
      <c r="F43" s="186"/>
      <c r="G43" s="186"/>
      <c r="H43" s="186"/>
      <c r="I43" s="208">
        <f t="shared" ref="I43:I44" si="7">SUM(B43:H43)</f>
        <v>0</v>
      </c>
      <c r="J43" s="192"/>
      <c r="K43" s="216"/>
      <c r="L43" s="192"/>
    </row>
    <row r="44" spans="1:13" ht="15" customHeight="1" thickBot="1">
      <c r="A44" s="14" t="s">
        <v>28</v>
      </c>
      <c r="B44" s="186"/>
      <c r="C44" s="186"/>
      <c r="D44" s="186"/>
      <c r="E44" s="186"/>
      <c r="F44" s="186"/>
      <c r="G44" s="186"/>
      <c r="H44" s="186"/>
      <c r="I44" s="208">
        <f t="shared" si="7"/>
        <v>0</v>
      </c>
      <c r="J44" s="192"/>
      <c r="K44" s="216"/>
      <c r="L44" s="192"/>
    </row>
    <row r="45" spans="1:13" ht="15.75" thickBot="1">
      <c r="A45" s="25" t="s">
        <v>30</v>
      </c>
      <c r="B45" s="223"/>
      <c r="C45" s="223"/>
      <c r="D45" s="223"/>
      <c r="E45" s="223"/>
      <c r="F45" s="223"/>
      <c r="G45" s="223">
        <f>SUMIF(HKM!A:A,"093*",HKM!L:L)-SUMIF(HKM!A:A,"093*",HKM!K:K)</f>
        <v>0</v>
      </c>
      <c r="H45" s="223">
        <f>SUMIF(SUAM!C:C,"010",SUAM!E:E)</f>
        <v>0</v>
      </c>
      <c r="I45" s="210">
        <f>I42+I43-I44</f>
        <v>0</v>
      </c>
      <c r="J45" s="192"/>
      <c r="K45" s="209"/>
      <c r="L45" s="215"/>
      <c r="M45" s="164"/>
    </row>
    <row r="46" spans="1:13" ht="15" customHeight="1" thickTop="1" thickBot="1">
      <c r="A46" s="41" t="s">
        <v>34</v>
      </c>
      <c r="B46" s="228"/>
      <c r="C46" s="228"/>
      <c r="D46" s="228"/>
      <c r="E46" s="228"/>
      <c r="F46" s="228"/>
      <c r="G46" s="228"/>
      <c r="H46" s="228"/>
      <c r="I46" s="212"/>
      <c r="J46" s="192"/>
      <c r="K46" s="192"/>
      <c r="L46" s="192"/>
    </row>
    <row r="47" spans="1:13" ht="15" customHeight="1" thickTop="1" thickBot="1">
      <c r="A47" s="44" t="s">
        <v>32</v>
      </c>
      <c r="B47" s="186"/>
      <c r="C47" s="186"/>
      <c r="D47" s="186"/>
      <c r="E47" s="186"/>
      <c r="F47" s="186"/>
      <c r="G47" s="186"/>
      <c r="H47" s="186"/>
      <c r="I47" s="208">
        <f t="shared" ref="I47" si="8">I31-I37-I42</f>
        <v>218164.93999999997</v>
      </c>
      <c r="J47" s="192"/>
      <c r="K47" s="192"/>
      <c r="L47" s="192"/>
    </row>
    <row r="48" spans="1:13" ht="15" customHeight="1" thickBot="1">
      <c r="A48" s="25" t="s">
        <v>30</v>
      </c>
      <c r="B48" s="189"/>
      <c r="C48" s="189"/>
      <c r="D48" s="189"/>
      <c r="E48" s="189"/>
      <c r="F48" s="189"/>
      <c r="G48" s="189"/>
      <c r="H48" s="189"/>
      <c r="I48" s="210">
        <f t="shared" ref="I48" si="9">I35-I40-I45</f>
        <v>218164.93999999997</v>
      </c>
      <c r="J48" s="192"/>
      <c r="K48" s="192"/>
      <c r="L48" s="192"/>
    </row>
    <row r="49" spans="2:12" ht="15.75" thickTop="1"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</row>
  </sheetData>
  <mergeCells count="4">
    <mergeCell ref="A28:A29"/>
    <mergeCell ref="B28:I28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tabColor rgb="FFFF0000"/>
  </sheetPr>
  <dimension ref="A1:C12"/>
  <sheetViews>
    <sheetView showGridLines="0" zoomScaleNormal="100" workbookViewId="0">
      <selection activeCell="D15" sqref="D15"/>
    </sheetView>
  </sheetViews>
  <sheetFormatPr defaultRowHeight="1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>
      <c r="A1" s="1" t="s">
        <v>338</v>
      </c>
    </row>
    <row r="2" spans="1:3" ht="33" customHeight="1" thickTop="1" thickBot="1">
      <c r="A2" s="80" t="s">
        <v>131</v>
      </c>
      <c r="B2" s="66" t="s">
        <v>2</v>
      </c>
      <c r="C2" s="66" t="s">
        <v>3</v>
      </c>
    </row>
    <row r="3" spans="1:3" ht="18.75" customHeight="1" thickTop="1" thickBot="1">
      <c r="A3" s="140" t="s">
        <v>339</v>
      </c>
      <c r="B3" s="76"/>
      <c r="C3" s="76"/>
    </row>
    <row r="4" spans="1:3" ht="18.75" customHeight="1" thickBot="1">
      <c r="A4" s="141" t="s">
        <v>340</v>
      </c>
      <c r="B4" s="76"/>
      <c r="C4" s="76"/>
    </row>
    <row r="5" spans="1:3" ht="18.75" customHeight="1" thickBot="1">
      <c r="A5" s="67" t="s">
        <v>341</v>
      </c>
      <c r="B5" s="76"/>
      <c r="C5" s="76"/>
    </row>
    <row r="6" spans="1:3" ht="18.75" customHeight="1" thickBot="1">
      <c r="A6" s="140" t="s">
        <v>342</v>
      </c>
      <c r="B6" s="76"/>
      <c r="C6" s="76"/>
    </row>
    <row r="7" spans="1:3" ht="18.75" customHeight="1" thickBot="1">
      <c r="A7" s="142" t="s">
        <v>343</v>
      </c>
      <c r="B7" s="76"/>
      <c r="C7" s="76"/>
    </row>
    <row r="8" spans="1:3" ht="18.75" customHeight="1" thickBot="1">
      <c r="A8" s="119" t="s">
        <v>344</v>
      </c>
      <c r="B8" s="76"/>
      <c r="C8" s="76"/>
    </row>
    <row r="9" spans="1:3" ht="18.75" customHeight="1" thickBot="1">
      <c r="A9" s="141" t="s">
        <v>345</v>
      </c>
      <c r="B9" s="76"/>
      <c r="C9" s="76"/>
    </row>
    <row r="10" spans="1:3" ht="18.75" customHeight="1" thickBot="1">
      <c r="A10" s="140" t="s">
        <v>346</v>
      </c>
      <c r="B10" s="116"/>
      <c r="C10" s="116"/>
    </row>
    <row r="11" spans="1:3" ht="18.75" customHeight="1" thickBot="1">
      <c r="A11" s="143" t="s">
        <v>347</v>
      </c>
      <c r="B11" s="117"/>
      <c r="C11" s="117"/>
    </row>
    <row r="12" spans="1:3" ht="17.25" thickTop="1">
      <c r="A1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tabColor rgb="FFFF0000"/>
  </sheetPr>
  <dimension ref="A1:D20"/>
  <sheetViews>
    <sheetView showGridLines="0" zoomScaleNormal="100" workbookViewId="0">
      <selection activeCell="E16" sqref="E16"/>
    </sheetView>
  </sheetViews>
  <sheetFormatPr defaultRowHeight="1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>
      <c r="A1" s="1" t="s">
        <v>348</v>
      </c>
    </row>
    <row r="2" spans="1:4" ht="15.75" thickBot="1">
      <c r="A2" s="48" t="s">
        <v>8</v>
      </c>
      <c r="B2" s="20"/>
      <c r="C2" s="20"/>
      <c r="D2" s="20"/>
    </row>
    <row r="3" spans="1:4" ht="16.5" thickTop="1" thickBot="1">
      <c r="A3" s="345" t="s">
        <v>349</v>
      </c>
      <c r="B3" s="323" t="s">
        <v>350</v>
      </c>
      <c r="C3" s="324"/>
      <c r="D3" s="20"/>
    </row>
    <row r="4" spans="1:4" ht="16.5" thickTop="1" thickBot="1">
      <c r="A4" s="347"/>
      <c r="B4" s="21" t="s">
        <v>351</v>
      </c>
      <c r="C4" s="144" t="s">
        <v>352</v>
      </c>
      <c r="D4" s="20"/>
    </row>
    <row r="5" spans="1:4" ht="20.25" customHeight="1" thickTop="1" thickBot="1">
      <c r="A5" s="14" t="s">
        <v>353</v>
      </c>
      <c r="B5" s="76"/>
      <c r="C5" s="76"/>
      <c r="D5" s="20"/>
    </row>
    <row r="6" spans="1:4" ht="20.25" customHeight="1" thickBot="1">
      <c r="A6" s="14" t="s">
        <v>354</v>
      </c>
      <c r="B6" s="76"/>
      <c r="C6" s="76"/>
      <c r="D6" s="20"/>
    </row>
    <row r="7" spans="1:4" ht="23.25" thickBot="1">
      <c r="A7" s="14" t="s">
        <v>355</v>
      </c>
      <c r="B7" s="76"/>
      <c r="C7" s="76"/>
      <c r="D7" s="20"/>
    </row>
    <row r="8" spans="1:4" ht="20.25" customHeight="1" thickBot="1">
      <c r="A8" s="14" t="s">
        <v>356</v>
      </c>
      <c r="B8" s="76"/>
      <c r="C8" s="76"/>
      <c r="D8" s="20"/>
    </row>
    <row r="9" spans="1:4" ht="20.25" customHeight="1" thickBot="1">
      <c r="A9" s="14" t="s">
        <v>357</v>
      </c>
      <c r="B9" s="76"/>
      <c r="C9" s="76"/>
      <c r="D9" s="20"/>
    </row>
    <row r="10" spans="1:4" ht="20.25" customHeight="1" thickBot="1">
      <c r="A10" s="16" t="s">
        <v>358</v>
      </c>
      <c r="B10" s="74"/>
      <c r="C10" s="74"/>
      <c r="D10" s="20"/>
    </row>
    <row r="11" spans="1:4" ht="16.5" thickTop="1" thickBot="1">
      <c r="A11" s="145" t="s">
        <v>15</v>
      </c>
      <c r="B11" s="20"/>
      <c r="C11" s="20"/>
      <c r="D11" s="20"/>
    </row>
    <row r="12" spans="1:4" ht="16.5" thickTop="1" thickBot="1">
      <c r="A12" s="321" t="s">
        <v>349</v>
      </c>
      <c r="B12" s="323" t="s">
        <v>359</v>
      </c>
      <c r="C12" s="324"/>
      <c r="D12" s="20"/>
    </row>
    <row r="13" spans="1:4" ht="16.5" thickTop="1" thickBot="1">
      <c r="A13" s="322"/>
      <c r="B13" s="21" t="s">
        <v>351</v>
      </c>
      <c r="C13" s="144" t="s">
        <v>352</v>
      </c>
      <c r="D13" s="20"/>
    </row>
    <row r="14" spans="1:4" ht="20.25" customHeight="1" thickTop="1" thickBot="1">
      <c r="A14" s="14" t="s">
        <v>353</v>
      </c>
      <c r="B14" s="76"/>
      <c r="C14" s="76"/>
      <c r="D14" s="20"/>
    </row>
    <row r="15" spans="1:4" ht="20.25" customHeight="1" thickBot="1">
      <c r="A15" s="14" t="s">
        <v>354</v>
      </c>
      <c r="B15" s="76"/>
      <c r="C15" s="76"/>
      <c r="D15" s="20"/>
    </row>
    <row r="16" spans="1:4" ht="23.25" thickBot="1">
      <c r="A16" s="14" t="s">
        <v>355</v>
      </c>
      <c r="B16" s="76"/>
      <c r="C16" s="76"/>
      <c r="D16" s="20"/>
    </row>
    <row r="17" spans="1:4" ht="20.25" customHeight="1" thickBot="1">
      <c r="A17" s="14" t="s">
        <v>356</v>
      </c>
      <c r="B17" s="76"/>
      <c r="C17" s="76"/>
      <c r="D17" s="20"/>
    </row>
    <row r="18" spans="1:4" ht="20.25" customHeight="1" thickBot="1">
      <c r="A18" s="14" t="s">
        <v>357</v>
      </c>
      <c r="B18" s="76"/>
      <c r="C18" s="76"/>
      <c r="D18" s="20"/>
    </row>
    <row r="19" spans="1:4" ht="20.25" customHeight="1" thickBot="1">
      <c r="A19" s="130" t="s">
        <v>358</v>
      </c>
      <c r="B19" s="74"/>
      <c r="C19" s="74"/>
      <c r="D19" s="20"/>
    </row>
    <row r="20" spans="1:4" ht="15.75" thickTop="1">
      <c r="A20" s="20"/>
      <c r="B20" s="20"/>
      <c r="C20" s="20"/>
      <c r="D20" s="20"/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tabColor rgb="FFFF0000"/>
  </sheetPr>
  <dimension ref="A1:C11"/>
  <sheetViews>
    <sheetView showGridLines="0" topLeftCell="A4" zoomScaleNormal="100" workbookViewId="0">
      <selection activeCell="E18" sqref="E18"/>
    </sheetView>
  </sheetViews>
  <sheetFormatPr defaultRowHeight="1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>
      <c r="A1" s="1" t="s">
        <v>360</v>
      </c>
    </row>
    <row r="2" spans="1:3" ht="24" thickTop="1" thickBot="1">
      <c r="A2" s="80" t="s">
        <v>361</v>
      </c>
      <c r="B2" s="66" t="s">
        <v>362</v>
      </c>
      <c r="C2" s="66" t="s">
        <v>363</v>
      </c>
    </row>
    <row r="3" spans="1:3" ht="20.25" customHeight="1" thickTop="1" thickBot="1">
      <c r="A3" s="113" t="s">
        <v>364</v>
      </c>
      <c r="B3" s="76"/>
      <c r="C3" s="76"/>
    </row>
    <row r="4" spans="1:3" ht="20.25" customHeight="1" thickBot="1">
      <c r="A4" s="119" t="s">
        <v>365</v>
      </c>
      <c r="B4" s="76"/>
      <c r="C4" s="76"/>
    </row>
    <row r="5" spans="1:3" ht="20.25" customHeight="1" thickBot="1">
      <c r="A5" s="119" t="s">
        <v>366</v>
      </c>
      <c r="B5" s="76"/>
      <c r="C5" s="76"/>
    </row>
    <row r="6" spans="1:3" ht="20.25" customHeight="1" thickBot="1">
      <c r="A6" s="119" t="s">
        <v>367</v>
      </c>
      <c r="B6" s="76"/>
      <c r="C6" s="76"/>
    </row>
    <row r="7" spans="1:3" ht="34.5" thickBot="1">
      <c r="A7" s="119" t="s">
        <v>493</v>
      </c>
      <c r="B7" s="76"/>
      <c r="C7" s="76"/>
    </row>
    <row r="8" spans="1:3" ht="20.25" customHeight="1" thickBot="1">
      <c r="A8" s="110" t="s">
        <v>368</v>
      </c>
      <c r="B8" s="76"/>
      <c r="C8" s="76"/>
    </row>
    <row r="9" spans="1:3" ht="20.25" customHeight="1" thickBot="1">
      <c r="A9" s="113" t="s">
        <v>369</v>
      </c>
      <c r="B9" s="76"/>
      <c r="C9" s="116"/>
    </row>
    <row r="10" spans="1:3" ht="20.25" customHeight="1" thickBot="1">
      <c r="A10" s="120" t="s">
        <v>370</v>
      </c>
      <c r="B10" s="74"/>
      <c r="C10" s="117"/>
    </row>
    <row r="11" spans="1:3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>
  <sheetPr>
    <tabColor rgb="FFFF0000"/>
  </sheetPr>
  <dimension ref="A1:I21"/>
  <sheetViews>
    <sheetView showGridLines="0" topLeftCell="A10" zoomScaleNormal="100" workbookViewId="0">
      <selection activeCell="K26" sqref="K26"/>
    </sheetView>
  </sheetViews>
  <sheetFormatPr defaultRowHeight="15"/>
  <cols>
    <col min="1" max="1" width="17.7109375" customWidth="1"/>
    <col min="2" max="7" width="11.42578125" customWidth="1"/>
  </cols>
  <sheetData>
    <row r="1" spans="1:9" ht="17.25" thickBot="1">
      <c r="A1" s="1" t="s">
        <v>371</v>
      </c>
    </row>
    <row r="2" spans="1:9" ht="25.5" customHeight="1" thickTop="1" thickBot="1">
      <c r="A2" s="345" t="s">
        <v>372</v>
      </c>
      <c r="B2" s="340" t="s">
        <v>373</v>
      </c>
      <c r="C2" s="357"/>
      <c r="D2" s="357"/>
      <c r="E2" s="340" t="s">
        <v>374</v>
      </c>
      <c r="F2" s="357"/>
      <c r="G2" s="341"/>
      <c r="H2" s="20"/>
      <c r="I2" s="20"/>
    </row>
    <row r="3" spans="1:9" ht="20.25" customHeight="1" thickTop="1" thickBot="1">
      <c r="A3" s="346"/>
      <c r="B3" s="58" t="s">
        <v>375</v>
      </c>
      <c r="C3" s="58" t="s">
        <v>376</v>
      </c>
      <c r="D3" s="65" t="s">
        <v>377</v>
      </c>
      <c r="E3" s="58" t="s">
        <v>375</v>
      </c>
      <c r="F3" s="58" t="s">
        <v>376</v>
      </c>
      <c r="G3" s="58" t="s">
        <v>377</v>
      </c>
      <c r="H3" s="20"/>
      <c r="I3" s="20"/>
    </row>
    <row r="4" spans="1:9" ht="20.25" customHeight="1" thickTop="1" thickBot="1">
      <c r="A4" s="346"/>
      <c r="B4" s="358" t="s">
        <v>378</v>
      </c>
      <c r="C4" s="359"/>
      <c r="D4" s="359"/>
      <c r="E4" s="358" t="s">
        <v>378</v>
      </c>
      <c r="F4" s="359"/>
      <c r="G4" s="360"/>
      <c r="H4" s="20"/>
      <c r="I4" s="20"/>
    </row>
    <row r="5" spans="1:9" ht="24.75" customHeight="1" thickBot="1">
      <c r="A5" s="347"/>
      <c r="B5" s="361" t="s">
        <v>379</v>
      </c>
      <c r="C5" s="362"/>
      <c r="D5" s="362"/>
      <c r="E5" s="361" t="s">
        <v>379</v>
      </c>
      <c r="F5" s="362"/>
      <c r="G5" s="363"/>
      <c r="H5" s="20"/>
      <c r="I5" s="20"/>
    </row>
    <row r="6" spans="1:9" ht="20.25" customHeight="1" thickTop="1" thickBot="1">
      <c r="A6" s="353" t="s">
        <v>380</v>
      </c>
      <c r="B6" s="75"/>
      <c r="C6" s="147"/>
      <c r="D6" s="131"/>
      <c r="E6" s="75"/>
      <c r="F6" s="131"/>
      <c r="G6" s="73"/>
      <c r="H6" s="20"/>
      <c r="I6" s="20"/>
    </row>
    <row r="7" spans="1:9" ht="20.25" customHeight="1" thickBot="1">
      <c r="A7" s="356"/>
      <c r="B7" s="75"/>
      <c r="C7" s="148"/>
      <c r="D7" s="111"/>
      <c r="E7" s="75"/>
      <c r="F7" s="111"/>
      <c r="G7" s="112"/>
      <c r="H7" s="20"/>
      <c r="I7" s="20"/>
    </row>
    <row r="8" spans="1:9" ht="20.25" customHeight="1" thickBot="1">
      <c r="A8" s="355" t="s">
        <v>381</v>
      </c>
      <c r="B8" s="75"/>
      <c r="C8" s="148"/>
      <c r="D8" s="111"/>
      <c r="E8" s="75"/>
      <c r="F8" s="111"/>
      <c r="G8" s="112"/>
      <c r="H8" s="20"/>
      <c r="I8" s="20"/>
    </row>
    <row r="9" spans="1:9" ht="20.25" customHeight="1" thickBot="1">
      <c r="A9" s="354"/>
      <c r="B9" s="75"/>
      <c r="C9" s="148"/>
      <c r="D9" s="111"/>
      <c r="E9" s="75"/>
      <c r="F9" s="111"/>
      <c r="G9" s="112"/>
      <c r="H9" s="20"/>
      <c r="I9" s="20"/>
    </row>
    <row r="10" spans="1:9" ht="20.25" customHeight="1" thickTop="1" thickBot="1">
      <c r="A10" s="353" t="s">
        <v>382</v>
      </c>
      <c r="B10" s="75"/>
      <c r="C10" s="148"/>
      <c r="D10" s="111"/>
      <c r="E10" s="75"/>
      <c r="F10" s="111"/>
      <c r="G10" s="112"/>
      <c r="H10" s="20"/>
      <c r="I10" s="20"/>
    </row>
    <row r="11" spans="1:9" ht="20.25" customHeight="1" thickBot="1">
      <c r="A11" s="356"/>
      <c r="B11" s="75"/>
      <c r="C11" s="148"/>
      <c r="D11" s="111"/>
      <c r="E11" s="75"/>
      <c r="F11" s="111"/>
      <c r="G11" s="112"/>
      <c r="H11" s="20"/>
      <c r="I11" s="20"/>
    </row>
    <row r="12" spans="1:9" ht="20.25" customHeight="1" thickBot="1">
      <c r="A12" s="355" t="s">
        <v>383</v>
      </c>
      <c r="B12" s="75"/>
      <c r="C12" s="148"/>
      <c r="D12" s="111"/>
      <c r="E12" s="75"/>
      <c r="F12" s="111"/>
      <c r="G12" s="112"/>
      <c r="H12" s="20"/>
      <c r="I12" s="20"/>
    </row>
    <row r="13" spans="1:9" ht="20.25" customHeight="1" thickBot="1">
      <c r="A13" s="356"/>
      <c r="B13" s="75"/>
      <c r="C13" s="148"/>
      <c r="D13" s="111"/>
      <c r="E13" s="75"/>
      <c r="F13" s="111"/>
      <c r="G13" s="112"/>
      <c r="H13" s="20"/>
      <c r="I13" s="20"/>
    </row>
    <row r="14" spans="1:9" ht="20.25" customHeight="1" thickBot="1">
      <c r="A14" s="355" t="s">
        <v>384</v>
      </c>
      <c r="B14" s="75"/>
      <c r="C14" s="148"/>
      <c r="D14" s="111"/>
      <c r="E14" s="75"/>
      <c r="F14" s="111"/>
      <c r="G14" s="112"/>
      <c r="H14" s="20"/>
      <c r="I14" s="20"/>
    </row>
    <row r="15" spans="1:9" ht="20.25" customHeight="1" thickBot="1">
      <c r="A15" s="354"/>
      <c r="B15" s="75"/>
      <c r="C15" s="148"/>
      <c r="D15" s="111"/>
      <c r="E15" s="75"/>
      <c r="F15" s="111"/>
      <c r="G15" s="112"/>
      <c r="H15" s="20"/>
      <c r="I15" s="20"/>
    </row>
    <row r="16" spans="1:9" ht="20.25" customHeight="1" thickTop="1" thickBot="1">
      <c r="A16" s="353" t="s">
        <v>385</v>
      </c>
      <c r="B16" s="75"/>
      <c r="C16" s="148"/>
      <c r="D16" s="111"/>
      <c r="E16" s="75"/>
      <c r="F16" s="111"/>
      <c r="G16" s="112"/>
      <c r="H16" s="20"/>
      <c r="I16" s="20"/>
    </row>
    <row r="17" spans="1:9" ht="20.25" customHeight="1" thickBot="1">
      <c r="A17" s="354"/>
      <c r="B17" s="75"/>
      <c r="C17" s="148"/>
      <c r="D17" s="111"/>
      <c r="E17" s="75"/>
      <c r="F17" s="111"/>
      <c r="G17" s="112"/>
      <c r="H17" s="20"/>
      <c r="I17" s="20"/>
    </row>
    <row r="18" spans="1:9" ht="20.25" customHeight="1" thickTop="1" thickBot="1">
      <c r="A18" s="353" t="s">
        <v>287</v>
      </c>
      <c r="B18" s="75"/>
      <c r="C18" s="148"/>
      <c r="D18" s="111"/>
      <c r="E18" s="75"/>
      <c r="F18" s="111"/>
      <c r="G18" s="112"/>
      <c r="H18" s="20"/>
      <c r="I18" s="20"/>
    </row>
    <row r="19" spans="1:9" ht="20.25" customHeight="1" thickBot="1">
      <c r="A19" s="354"/>
      <c r="B19" s="81"/>
      <c r="C19" s="149"/>
      <c r="D19" s="133"/>
      <c r="E19" s="81"/>
      <c r="F19" s="133"/>
      <c r="G19" s="117"/>
      <c r="H19" s="20"/>
      <c r="I19" s="20"/>
    </row>
    <row r="20" spans="1:9" ht="15.75" thickTop="1">
      <c r="A20" s="47"/>
      <c r="B20" s="47"/>
      <c r="C20" s="47"/>
      <c r="D20" s="47"/>
      <c r="E20" s="47"/>
      <c r="F20" s="47"/>
      <c r="G20" s="47"/>
      <c r="H20" s="20"/>
      <c r="I20" s="20"/>
    </row>
    <row r="21" spans="1:9">
      <c r="A21" s="150"/>
      <c r="B21" s="20"/>
      <c r="C21" s="20"/>
      <c r="D21" s="20"/>
      <c r="E21" s="20"/>
      <c r="F21" s="20"/>
      <c r="G21" s="20"/>
      <c r="H21" s="20"/>
      <c r="I21" s="20"/>
    </row>
  </sheetData>
  <mergeCells count="14">
    <mergeCell ref="B2:D2"/>
    <mergeCell ref="E2:G2"/>
    <mergeCell ref="B4:D4"/>
    <mergeCell ref="A2:A5"/>
    <mergeCell ref="A8:A9"/>
    <mergeCell ref="E4:G4"/>
    <mergeCell ref="B5:D5"/>
    <mergeCell ref="E5:G5"/>
    <mergeCell ref="A6:A7"/>
    <mergeCell ref="A18:A19"/>
    <mergeCell ref="A16:A17"/>
    <mergeCell ref="A14:A15"/>
    <mergeCell ref="A12:A13"/>
    <mergeCell ref="A10:A11"/>
  </mergeCells>
  <pageMargins left="0.7" right="0.7" top="0.75" bottom="0.75" header="0.3" footer="0.3"/>
  <pageSetup paperSize="9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>
  <sheetPr>
    <tabColor rgb="FFFF0000"/>
  </sheetPr>
  <dimension ref="A1:D29"/>
  <sheetViews>
    <sheetView showGridLines="0" topLeftCell="A13" zoomScaleNormal="100" workbookViewId="0">
      <selection activeCell="G31" sqref="G31"/>
    </sheetView>
  </sheetViews>
  <sheetFormatPr defaultRowHeight="1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>
      <c r="A1" s="1" t="s">
        <v>386</v>
      </c>
    </row>
    <row r="2" spans="1:4" ht="17.25" thickBot="1">
      <c r="A2" s="5" t="s">
        <v>8</v>
      </c>
    </row>
    <row r="3" spans="1:4" ht="19.5" customHeight="1" thickTop="1" thickBot="1">
      <c r="A3" s="321" t="s">
        <v>387</v>
      </c>
      <c r="B3" s="321" t="s">
        <v>388</v>
      </c>
      <c r="C3" s="323" t="s">
        <v>389</v>
      </c>
      <c r="D3" s="324"/>
    </row>
    <row r="4" spans="1:4" ht="33" customHeight="1" thickTop="1" thickBot="1">
      <c r="A4" s="322"/>
      <c r="B4" s="322"/>
      <c r="C4" s="38" t="s">
        <v>2</v>
      </c>
      <c r="D4" s="38" t="s">
        <v>390</v>
      </c>
    </row>
    <row r="5" spans="1:4" ht="18.75" customHeight="1" thickTop="1" thickBot="1">
      <c r="A5" s="122"/>
      <c r="B5" s="125"/>
      <c r="C5" s="76"/>
      <c r="D5" s="76"/>
    </row>
    <row r="6" spans="1:4" ht="18.75" customHeight="1" thickBot="1">
      <c r="A6" s="122"/>
      <c r="B6" s="125"/>
      <c r="C6" s="76"/>
      <c r="D6" s="76"/>
    </row>
    <row r="7" spans="1:4" ht="18.75" customHeight="1" thickBot="1">
      <c r="A7" s="123"/>
      <c r="B7" s="114"/>
      <c r="C7" s="76"/>
      <c r="D7" s="76"/>
    </row>
    <row r="8" spans="1:4" ht="18.75" customHeight="1" thickBot="1">
      <c r="A8" s="123"/>
      <c r="B8" s="114"/>
      <c r="C8" s="76"/>
      <c r="D8" s="76"/>
    </row>
    <row r="9" spans="1:4" ht="18.75" customHeight="1" thickBot="1">
      <c r="A9" s="123"/>
      <c r="B9" s="114"/>
      <c r="C9" s="76"/>
      <c r="D9" s="76"/>
    </row>
    <row r="10" spans="1:4" ht="18.75" customHeight="1" thickBot="1">
      <c r="A10" s="123"/>
      <c r="B10" s="114"/>
      <c r="C10" s="76"/>
      <c r="D10" s="76"/>
    </row>
    <row r="11" spans="1:4" ht="18.75" customHeight="1" thickBot="1">
      <c r="A11" s="123"/>
      <c r="B11" s="114"/>
      <c r="C11" s="76"/>
      <c r="D11" s="76"/>
    </row>
    <row r="12" spans="1:4" ht="18.75" customHeight="1" thickBot="1">
      <c r="A12" s="123"/>
      <c r="B12" s="114"/>
      <c r="C12" s="76"/>
      <c r="D12" s="76"/>
    </row>
    <row r="13" spans="1:4" ht="18.75" customHeight="1" thickBot="1">
      <c r="A13" s="122"/>
      <c r="B13" s="125"/>
      <c r="C13" s="76"/>
      <c r="D13" s="76"/>
    </row>
    <row r="14" spans="1:4" ht="18.75" customHeight="1" thickBot="1">
      <c r="A14" s="124"/>
      <c r="B14" s="115"/>
      <c r="C14" s="74"/>
      <c r="D14" s="74"/>
    </row>
    <row r="15" spans="1:4" ht="15.75" thickTop="1">
      <c r="A15" s="20"/>
      <c r="B15" s="20"/>
      <c r="C15" s="20"/>
      <c r="D15" s="20"/>
    </row>
    <row r="16" spans="1:4" ht="15.75" thickBot="1">
      <c r="A16" s="20" t="s">
        <v>391</v>
      </c>
      <c r="B16" s="20"/>
      <c r="C16" s="20"/>
      <c r="D16" s="20"/>
    </row>
    <row r="17" spans="1:4" ht="19.5" customHeight="1" thickTop="1" thickBot="1">
      <c r="A17" s="321" t="s">
        <v>488</v>
      </c>
      <c r="B17" s="321" t="s">
        <v>388</v>
      </c>
      <c r="C17" s="323" t="s">
        <v>389</v>
      </c>
      <c r="D17" s="324"/>
    </row>
    <row r="18" spans="1:4" ht="33" customHeight="1" thickTop="1" thickBot="1">
      <c r="A18" s="322"/>
      <c r="B18" s="322"/>
      <c r="C18" s="38" t="s">
        <v>2</v>
      </c>
      <c r="D18" s="38" t="s">
        <v>390</v>
      </c>
    </row>
    <row r="19" spans="1:4" ht="18.75" customHeight="1" thickTop="1" thickBot="1">
      <c r="A19" s="100"/>
      <c r="B19" s="114"/>
      <c r="C19" s="76"/>
      <c r="D19" s="76"/>
    </row>
    <row r="20" spans="1:4" ht="18.75" customHeight="1" thickBot="1">
      <c r="A20" s="100"/>
      <c r="B20" s="114"/>
      <c r="C20" s="76"/>
      <c r="D20" s="76"/>
    </row>
    <row r="21" spans="1:4" ht="18.75" customHeight="1" thickBot="1">
      <c r="A21" s="100"/>
      <c r="B21" s="114"/>
      <c r="C21" s="76"/>
      <c r="D21" s="76"/>
    </row>
    <row r="22" spans="1:4" ht="18.75" customHeight="1" thickBot="1">
      <c r="A22" s="100"/>
      <c r="B22" s="114"/>
      <c r="C22" s="76"/>
      <c r="D22" s="76"/>
    </row>
    <row r="23" spans="1:4" ht="18.75" customHeight="1" thickBot="1">
      <c r="A23" s="100"/>
      <c r="B23" s="114"/>
      <c r="C23" s="76"/>
      <c r="D23" s="76"/>
    </row>
    <row r="24" spans="1:4" ht="18.75" customHeight="1" thickBot="1">
      <c r="A24" s="100"/>
      <c r="B24" s="114"/>
      <c r="C24" s="76"/>
      <c r="D24" s="76"/>
    </row>
    <row r="25" spans="1:4" ht="18.75" customHeight="1" thickBot="1">
      <c r="A25" s="100"/>
      <c r="B25" s="114"/>
      <c r="C25" s="76"/>
      <c r="D25" s="76"/>
    </row>
    <row r="26" spans="1:4" ht="18.75" customHeight="1" thickBot="1">
      <c r="A26" s="100"/>
      <c r="B26" s="114"/>
      <c r="C26" s="76"/>
      <c r="D26" s="76"/>
    </row>
    <row r="27" spans="1:4" ht="18.75" customHeight="1" thickBot="1">
      <c r="A27" s="101"/>
      <c r="B27" s="115"/>
      <c r="C27" s="74"/>
      <c r="D27" s="74"/>
    </row>
    <row r="28" spans="1:4" ht="17.25" thickTop="1">
      <c r="A28" s="2"/>
    </row>
    <row r="29" spans="1:4" ht="16.5">
      <c r="A29" s="2"/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3" sqref="B3"/>
    </sheetView>
  </sheetViews>
  <sheetFormatPr defaultRowHeight="15"/>
  <cols>
    <col min="1" max="1" width="32" customWidth="1"/>
  </cols>
  <sheetData>
    <row r="1" spans="1:2">
      <c r="A1" t="s">
        <v>496</v>
      </c>
      <c r="B1" t="s">
        <v>502</v>
      </c>
    </row>
    <row r="2" spans="1:2">
      <c r="A2" t="s">
        <v>497</v>
      </c>
      <c r="B2" t="s">
        <v>500</v>
      </c>
    </row>
    <row r="3" spans="1:2">
      <c r="A3" t="s">
        <v>498</v>
      </c>
      <c r="B3" t="s">
        <v>501</v>
      </c>
    </row>
    <row r="4" spans="1:2">
      <c r="A4" t="s">
        <v>499</v>
      </c>
      <c r="B4" t="s">
        <v>501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workbookViewId="0">
      <selection activeCell="B2" sqref="B2"/>
    </sheetView>
  </sheetViews>
  <sheetFormatPr defaultRowHeight="15"/>
  <cols>
    <col min="1" max="1" width="16.140625" style="197" customWidth="1"/>
    <col min="2" max="2" width="46.7109375" style="198" customWidth="1"/>
    <col min="3" max="3" width="15.28515625" style="199" customWidth="1"/>
    <col min="4" max="4" width="15.28515625" style="199" bestFit="1" customWidth="1"/>
    <col min="5" max="5" width="15.140625" style="199" customWidth="1"/>
    <col min="6" max="7" width="15.28515625" style="199" bestFit="1" customWidth="1"/>
    <col min="8" max="8" width="15.28515625" style="199" customWidth="1"/>
    <col min="9" max="11" width="15.28515625" style="199" bestFit="1" customWidth="1"/>
    <col min="12" max="12" width="14.85546875" style="199" customWidth="1"/>
    <col min="13" max="16384" width="9.140625" style="193"/>
  </cols>
  <sheetData>
    <row r="1" spans="1:12" ht="22.5">
      <c r="A1" s="203" t="s">
        <v>512</v>
      </c>
      <c r="B1" s="204" t="s">
        <v>513</v>
      </c>
      <c r="C1" s="205" t="s">
        <v>516</v>
      </c>
      <c r="D1" s="205" t="s">
        <v>517</v>
      </c>
      <c r="E1" s="205" t="s">
        <v>518</v>
      </c>
      <c r="F1" s="205" t="s">
        <v>519</v>
      </c>
      <c r="G1" s="205" t="s">
        <v>520</v>
      </c>
      <c r="H1" s="205" t="s">
        <v>521</v>
      </c>
      <c r="I1" s="205" t="s">
        <v>522</v>
      </c>
      <c r="J1" s="205" t="s">
        <v>523</v>
      </c>
      <c r="K1" s="205" t="s">
        <v>524</v>
      </c>
      <c r="L1" s="205" t="s">
        <v>525</v>
      </c>
    </row>
    <row r="2" spans="1:12">
      <c r="A2" s="194"/>
      <c r="B2" s="195"/>
      <c r="C2" s="196"/>
      <c r="D2" s="196"/>
      <c r="E2" s="196"/>
      <c r="F2" s="196"/>
      <c r="G2" s="196"/>
      <c r="H2" s="196"/>
      <c r="I2" s="196"/>
      <c r="J2" s="196"/>
      <c r="K2" s="196"/>
      <c r="L2" s="196"/>
    </row>
    <row r="3" spans="1:12">
      <c r="A3" s="194"/>
      <c r="B3" s="195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>
      <c r="A4" s="194"/>
      <c r="B4" s="195"/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2">
      <c r="A5" s="194"/>
      <c r="B5" s="195"/>
      <c r="C5" s="196"/>
      <c r="D5" s="196"/>
      <c r="E5" s="196"/>
      <c r="F5" s="196"/>
      <c r="G5" s="196"/>
      <c r="H5" s="196"/>
      <c r="I5" s="196"/>
      <c r="J5" s="196"/>
      <c r="K5" s="196"/>
      <c r="L5" s="196"/>
    </row>
    <row r="6" spans="1:12">
      <c r="A6" s="194"/>
      <c r="B6" s="195"/>
      <c r="C6" s="196"/>
      <c r="D6" s="196"/>
      <c r="E6" s="196"/>
      <c r="F6" s="196"/>
      <c r="G6" s="196"/>
      <c r="H6" s="196"/>
      <c r="I6" s="196"/>
      <c r="J6" s="196"/>
      <c r="K6" s="196"/>
      <c r="L6" s="196"/>
    </row>
    <row r="7" spans="1:12">
      <c r="A7" s="194"/>
      <c r="B7" s="195"/>
      <c r="C7" s="196"/>
      <c r="D7" s="196"/>
      <c r="E7" s="196"/>
      <c r="F7" s="196"/>
      <c r="G7" s="196"/>
      <c r="H7" s="196"/>
      <c r="I7" s="196"/>
      <c r="J7" s="196"/>
      <c r="K7" s="196"/>
      <c r="L7" s="196"/>
    </row>
    <row r="8" spans="1:12">
      <c r="A8" s="194"/>
      <c r="B8" s="195"/>
      <c r="C8" s="196"/>
      <c r="D8" s="196"/>
      <c r="E8" s="196"/>
      <c r="F8" s="196"/>
      <c r="G8" s="196"/>
      <c r="H8" s="196"/>
      <c r="I8" s="196"/>
      <c r="J8" s="196"/>
      <c r="K8" s="196"/>
      <c r="L8" s="196"/>
    </row>
    <row r="9" spans="1:12">
      <c r="A9" s="194"/>
      <c r="B9" s="195"/>
      <c r="C9" s="196"/>
      <c r="D9" s="196"/>
      <c r="E9" s="196"/>
      <c r="F9" s="196"/>
      <c r="G9" s="196"/>
      <c r="H9" s="196"/>
      <c r="I9" s="196"/>
      <c r="J9" s="196"/>
      <c r="K9" s="196"/>
      <c r="L9" s="196"/>
    </row>
    <row r="10" spans="1:12">
      <c r="A10" s="194"/>
      <c r="B10" s="195"/>
      <c r="C10" s="196"/>
      <c r="D10" s="196"/>
      <c r="E10" s="196"/>
      <c r="F10" s="196"/>
      <c r="G10" s="196"/>
      <c r="H10" s="196"/>
      <c r="I10" s="196"/>
      <c r="J10" s="196"/>
      <c r="K10" s="196"/>
      <c r="L10" s="196"/>
    </row>
    <row r="11" spans="1:12">
      <c r="A11" s="194"/>
      <c r="B11" s="195"/>
      <c r="C11" s="196"/>
      <c r="D11" s="196"/>
      <c r="E11" s="196"/>
      <c r="F11" s="196"/>
      <c r="G11" s="196"/>
      <c r="H11" s="196"/>
      <c r="I11" s="196"/>
      <c r="J11" s="196"/>
      <c r="K11" s="196"/>
      <c r="L11" s="196"/>
    </row>
    <row r="12" spans="1:12">
      <c r="A12" s="194"/>
      <c r="B12" s="195"/>
      <c r="C12" s="196"/>
      <c r="D12" s="196"/>
      <c r="E12" s="196"/>
      <c r="F12" s="196"/>
      <c r="G12" s="196"/>
      <c r="H12" s="196"/>
      <c r="I12" s="196"/>
      <c r="J12" s="196"/>
      <c r="K12" s="196"/>
      <c r="L12" s="196"/>
    </row>
    <row r="13" spans="1:12">
      <c r="A13" s="194"/>
      <c r="B13" s="195"/>
      <c r="C13" s="196"/>
      <c r="D13" s="196"/>
      <c r="E13" s="196"/>
      <c r="F13" s="196"/>
      <c r="G13" s="196"/>
      <c r="H13" s="196"/>
      <c r="I13" s="196"/>
      <c r="J13" s="196"/>
      <c r="K13" s="196"/>
      <c r="L13" s="196"/>
    </row>
    <row r="14" spans="1:12">
      <c r="A14" s="194"/>
      <c r="B14" s="195"/>
      <c r="C14" s="196"/>
      <c r="D14" s="196"/>
      <c r="E14" s="196"/>
      <c r="F14" s="196"/>
      <c r="G14" s="196"/>
      <c r="H14" s="196"/>
      <c r="I14" s="196"/>
      <c r="J14" s="196"/>
      <c r="K14" s="196"/>
      <c r="L14" s="196"/>
    </row>
    <row r="15" spans="1:12">
      <c r="A15" s="194"/>
      <c r="B15" s="195"/>
      <c r="C15" s="196"/>
      <c r="D15" s="196"/>
      <c r="E15" s="196"/>
      <c r="F15" s="196"/>
      <c r="G15" s="196"/>
      <c r="H15" s="196"/>
      <c r="I15" s="196"/>
      <c r="J15" s="196"/>
      <c r="K15" s="196"/>
      <c r="L15" s="196"/>
    </row>
    <row r="16" spans="1:12">
      <c r="A16" s="194"/>
      <c r="B16" s="195"/>
      <c r="C16" s="196"/>
      <c r="D16" s="196"/>
      <c r="E16" s="196"/>
      <c r="F16" s="196"/>
      <c r="G16" s="196"/>
      <c r="H16" s="196"/>
      <c r="I16" s="196"/>
      <c r="J16" s="196"/>
      <c r="K16" s="196"/>
      <c r="L16" s="196"/>
    </row>
    <row r="17" spans="1:12">
      <c r="A17" s="194"/>
      <c r="B17" s="195"/>
      <c r="C17" s="196"/>
      <c r="D17" s="196"/>
      <c r="E17" s="196"/>
      <c r="F17" s="196"/>
      <c r="G17" s="196"/>
      <c r="H17" s="196"/>
      <c r="I17" s="196"/>
      <c r="J17" s="196"/>
      <c r="K17" s="196"/>
      <c r="L17" s="196"/>
    </row>
    <row r="18" spans="1:12">
      <c r="A18" s="194"/>
      <c r="B18" s="195"/>
      <c r="C18" s="196"/>
      <c r="D18" s="196"/>
      <c r="E18" s="196"/>
      <c r="F18" s="196"/>
      <c r="G18" s="196"/>
      <c r="H18" s="196"/>
      <c r="I18" s="196"/>
      <c r="J18" s="196"/>
      <c r="K18" s="196"/>
      <c r="L18" s="196"/>
    </row>
    <row r="19" spans="1:12">
      <c r="A19" s="194"/>
      <c r="B19" s="195"/>
      <c r="C19" s="196"/>
      <c r="D19" s="196"/>
      <c r="E19" s="196"/>
      <c r="F19" s="196"/>
      <c r="G19" s="196"/>
      <c r="H19" s="196"/>
      <c r="I19" s="196"/>
      <c r="J19" s="196"/>
      <c r="K19" s="196"/>
      <c r="L19" s="196"/>
    </row>
    <row r="20" spans="1:12">
      <c r="A20" s="194"/>
      <c r="B20" s="195"/>
      <c r="C20" s="196"/>
      <c r="D20" s="196"/>
      <c r="E20" s="196"/>
      <c r="F20" s="196"/>
      <c r="G20" s="196"/>
      <c r="H20" s="196"/>
      <c r="I20" s="196"/>
      <c r="J20" s="196"/>
      <c r="K20" s="196"/>
      <c r="L20" s="196"/>
    </row>
    <row r="21" spans="1:12">
      <c r="A21" s="194"/>
      <c r="B21" s="195"/>
      <c r="C21" s="196"/>
      <c r="D21" s="196"/>
      <c r="E21" s="196"/>
      <c r="F21" s="196"/>
      <c r="G21" s="196"/>
      <c r="H21" s="196"/>
      <c r="I21" s="196"/>
      <c r="J21" s="196"/>
      <c r="K21" s="196"/>
      <c r="L21" s="196"/>
    </row>
    <row r="22" spans="1:12">
      <c r="A22" s="194"/>
      <c r="B22" s="195"/>
      <c r="C22" s="196"/>
      <c r="D22" s="196"/>
      <c r="E22" s="196"/>
      <c r="F22" s="196"/>
      <c r="G22" s="196"/>
      <c r="H22" s="196"/>
      <c r="I22" s="196"/>
      <c r="J22" s="196"/>
      <c r="K22" s="196"/>
      <c r="L22" s="196"/>
    </row>
    <row r="23" spans="1:12">
      <c r="A23" s="194"/>
      <c r="B23" s="195"/>
      <c r="C23" s="196"/>
      <c r="D23" s="196"/>
      <c r="E23" s="196"/>
      <c r="F23" s="196"/>
      <c r="G23" s="196"/>
      <c r="H23" s="196"/>
      <c r="I23" s="196"/>
      <c r="J23" s="196"/>
      <c r="K23" s="196"/>
      <c r="L23" s="196"/>
    </row>
    <row r="24" spans="1:12">
      <c r="A24" s="194"/>
      <c r="B24" s="195"/>
      <c r="C24" s="196"/>
      <c r="D24" s="196"/>
      <c r="E24" s="196"/>
      <c r="F24" s="196"/>
      <c r="G24" s="196"/>
      <c r="H24" s="196"/>
      <c r="I24" s="196"/>
      <c r="J24" s="196"/>
      <c r="K24" s="196"/>
      <c r="L24" s="196"/>
    </row>
    <row r="25" spans="1:12">
      <c r="A25" s="194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</row>
    <row r="26" spans="1:12">
      <c r="A26" s="194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</row>
    <row r="27" spans="1:12">
      <c r="A27" s="194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</row>
    <row r="28" spans="1:12">
      <c r="A28" s="194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</row>
    <row r="29" spans="1:12">
      <c r="A29" s="194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</row>
    <row r="30" spans="1:12">
      <c r="A30" s="194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</row>
    <row r="31" spans="1:12">
      <c r="A31" s="194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</row>
    <row r="32" spans="1:12">
      <c r="A32" s="194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</row>
    <row r="33" spans="1:12">
      <c r="A33" s="194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</row>
    <row r="34" spans="1:12">
      <c r="A34" s="194"/>
      <c r="B34" s="195"/>
      <c r="C34" s="196"/>
      <c r="D34" s="196"/>
      <c r="E34" s="196"/>
      <c r="F34" s="196"/>
      <c r="G34" s="196"/>
      <c r="H34" s="196"/>
      <c r="I34" s="196"/>
      <c r="J34" s="196"/>
      <c r="K34" s="196"/>
      <c r="L34" s="196"/>
    </row>
    <row r="35" spans="1:12">
      <c r="A35" s="194"/>
      <c r="B35" s="195"/>
      <c r="C35" s="196"/>
      <c r="D35" s="196"/>
      <c r="E35" s="196"/>
      <c r="F35" s="196"/>
      <c r="G35" s="196"/>
      <c r="H35" s="196"/>
      <c r="I35" s="196"/>
      <c r="J35" s="196"/>
      <c r="K35" s="196"/>
      <c r="L35" s="196"/>
    </row>
    <row r="36" spans="1:12">
      <c r="A36" s="194"/>
      <c r="B36" s="195"/>
      <c r="C36" s="196"/>
      <c r="D36" s="196"/>
      <c r="E36" s="196"/>
      <c r="F36" s="196"/>
      <c r="G36" s="196"/>
      <c r="H36" s="196"/>
      <c r="I36" s="196"/>
      <c r="J36" s="196"/>
      <c r="K36" s="196"/>
      <c r="L36" s="196"/>
    </row>
    <row r="37" spans="1:12">
      <c r="A37" s="194"/>
      <c r="B37" s="195"/>
      <c r="C37" s="196"/>
      <c r="D37" s="196"/>
      <c r="E37" s="196"/>
      <c r="F37" s="196"/>
      <c r="G37" s="196"/>
      <c r="H37" s="196"/>
      <c r="I37" s="196"/>
      <c r="J37" s="196"/>
      <c r="K37" s="196"/>
      <c r="L37" s="196"/>
    </row>
    <row r="38" spans="1:12">
      <c r="A38" s="194"/>
      <c r="B38" s="195"/>
      <c r="C38" s="196"/>
      <c r="D38" s="196"/>
      <c r="E38" s="196"/>
      <c r="F38" s="196"/>
      <c r="G38" s="196"/>
      <c r="H38" s="196"/>
      <c r="I38" s="196"/>
      <c r="J38" s="196"/>
      <c r="K38" s="196"/>
      <c r="L38" s="196"/>
    </row>
    <row r="39" spans="1:12">
      <c r="A39" s="194"/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</row>
    <row r="40" spans="1:12">
      <c r="A40" s="194"/>
      <c r="B40" s="195"/>
      <c r="C40" s="196"/>
      <c r="D40" s="196"/>
      <c r="E40" s="196"/>
      <c r="F40" s="196"/>
      <c r="G40" s="196"/>
      <c r="H40" s="196"/>
      <c r="I40" s="196"/>
      <c r="J40" s="196"/>
      <c r="K40" s="196"/>
      <c r="L40" s="196"/>
    </row>
    <row r="41" spans="1:12">
      <c r="A41" s="194"/>
      <c r="B41" s="195"/>
      <c r="C41" s="196"/>
      <c r="D41" s="196"/>
      <c r="E41" s="196"/>
      <c r="F41" s="196"/>
      <c r="G41" s="196"/>
      <c r="H41" s="196"/>
      <c r="I41" s="196"/>
      <c r="J41" s="196"/>
      <c r="K41" s="196"/>
      <c r="L41" s="196"/>
    </row>
    <row r="42" spans="1:12">
      <c r="A42" s="194"/>
      <c r="B42" s="195"/>
      <c r="C42" s="196"/>
      <c r="D42" s="196"/>
      <c r="E42" s="196"/>
      <c r="F42" s="196"/>
      <c r="G42" s="196"/>
      <c r="H42" s="196"/>
      <c r="I42" s="196"/>
      <c r="J42" s="196"/>
      <c r="K42" s="196"/>
      <c r="L42" s="196"/>
    </row>
    <row r="43" spans="1:12">
      <c r="A43" s="194"/>
      <c r="B43" s="195"/>
      <c r="C43" s="196"/>
      <c r="D43" s="196"/>
      <c r="E43" s="196"/>
      <c r="F43" s="196"/>
      <c r="G43" s="196"/>
      <c r="H43" s="196"/>
      <c r="I43" s="196"/>
      <c r="J43" s="196"/>
      <c r="K43" s="196"/>
      <c r="L43" s="196"/>
    </row>
    <row r="44" spans="1:12">
      <c r="A44" s="194"/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</row>
    <row r="45" spans="1:12">
      <c r="A45" s="194"/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</row>
    <row r="46" spans="1:12">
      <c r="A46" s="194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</row>
    <row r="47" spans="1:12">
      <c r="A47" s="194"/>
      <c r="B47" s="195"/>
      <c r="C47" s="196"/>
      <c r="D47" s="196"/>
      <c r="E47" s="196"/>
      <c r="F47" s="196"/>
      <c r="G47" s="196"/>
      <c r="H47" s="196"/>
      <c r="I47" s="196"/>
      <c r="J47" s="196"/>
      <c r="K47" s="196"/>
      <c r="L47" s="196"/>
    </row>
    <row r="48" spans="1:12">
      <c r="A48" s="194"/>
      <c r="B48" s="195"/>
      <c r="C48" s="196"/>
      <c r="D48" s="196"/>
      <c r="E48" s="196"/>
      <c r="F48" s="196"/>
      <c r="G48" s="196"/>
      <c r="H48" s="196"/>
      <c r="I48" s="196"/>
      <c r="J48" s="196"/>
      <c r="K48" s="196"/>
      <c r="L48" s="196"/>
    </row>
    <row r="49" spans="1:12">
      <c r="A49" s="194"/>
      <c r="B49" s="195"/>
      <c r="C49" s="196"/>
      <c r="D49" s="196"/>
      <c r="E49" s="196"/>
      <c r="F49" s="196"/>
      <c r="G49" s="196"/>
      <c r="H49" s="196"/>
      <c r="I49" s="196"/>
      <c r="J49" s="196"/>
      <c r="K49" s="196"/>
      <c r="L49" s="196"/>
    </row>
    <row r="50" spans="1:12">
      <c r="A50" s="194"/>
      <c r="B50" s="195"/>
      <c r="C50" s="196"/>
      <c r="D50" s="196"/>
      <c r="E50" s="196"/>
      <c r="F50" s="196"/>
      <c r="G50" s="196"/>
      <c r="H50" s="196"/>
      <c r="I50" s="196"/>
      <c r="J50" s="196"/>
      <c r="K50" s="196"/>
      <c r="L50" s="196"/>
    </row>
    <row r="51" spans="1:12">
      <c r="A51" s="194"/>
      <c r="B51" s="195"/>
      <c r="C51" s="196"/>
      <c r="D51" s="196"/>
      <c r="E51" s="196"/>
      <c r="F51" s="196"/>
      <c r="G51" s="196"/>
      <c r="H51" s="196"/>
      <c r="I51" s="196"/>
      <c r="J51" s="196"/>
      <c r="K51" s="196"/>
      <c r="L51" s="196"/>
    </row>
    <row r="52" spans="1:12">
      <c r="A52" s="194"/>
      <c r="B52" s="195"/>
      <c r="C52" s="196"/>
      <c r="D52" s="196"/>
      <c r="E52" s="196"/>
      <c r="F52" s="196"/>
      <c r="G52" s="196"/>
      <c r="H52" s="196"/>
      <c r="I52" s="196"/>
      <c r="J52" s="196"/>
      <c r="K52" s="196"/>
      <c r="L52" s="196"/>
    </row>
    <row r="53" spans="1:12">
      <c r="A53" s="194"/>
      <c r="B53" s="195"/>
      <c r="C53" s="196"/>
      <c r="D53" s="196"/>
      <c r="E53" s="196"/>
      <c r="F53" s="196"/>
      <c r="G53" s="196"/>
      <c r="H53" s="196"/>
      <c r="I53" s="196"/>
      <c r="J53" s="196"/>
      <c r="K53" s="196"/>
      <c r="L53" s="196"/>
    </row>
    <row r="54" spans="1:12">
      <c r="A54" s="194"/>
      <c r="B54" s="195"/>
      <c r="C54" s="196"/>
      <c r="D54" s="196"/>
      <c r="E54" s="196"/>
      <c r="F54" s="196"/>
      <c r="G54" s="196"/>
      <c r="H54" s="196"/>
      <c r="I54" s="196"/>
      <c r="J54" s="196"/>
      <c r="K54" s="196"/>
      <c r="L54" s="196"/>
    </row>
    <row r="55" spans="1:12">
      <c r="A55" s="194"/>
      <c r="B55" s="195"/>
      <c r="C55" s="196"/>
      <c r="D55" s="196"/>
      <c r="E55" s="196"/>
      <c r="F55" s="196"/>
      <c r="G55" s="196"/>
      <c r="H55" s="196"/>
      <c r="I55" s="196"/>
      <c r="J55" s="196"/>
      <c r="K55" s="196"/>
      <c r="L55" s="196"/>
    </row>
    <row r="56" spans="1:12">
      <c r="A56" s="194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</row>
    <row r="57" spans="1:12">
      <c r="A57" s="194"/>
      <c r="B57" s="195"/>
      <c r="C57" s="196"/>
      <c r="D57" s="196"/>
      <c r="E57" s="196"/>
      <c r="F57" s="196"/>
      <c r="G57" s="196"/>
      <c r="H57" s="196"/>
      <c r="I57" s="196"/>
      <c r="J57" s="196"/>
      <c r="K57" s="196"/>
      <c r="L57" s="196"/>
    </row>
    <row r="58" spans="1:12">
      <c r="A58" s="194"/>
      <c r="B58" s="195"/>
      <c r="C58" s="196"/>
      <c r="D58" s="196"/>
      <c r="E58" s="196"/>
      <c r="F58" s="196"/>
      <c r="G58" s="196"/>
      <c r="H58" s="196"/>
      <c r="I58" s="196"/>
      <c r="J58" s="196"/>
      <c r="K58" s="196"/>
      <c r="L58" s="196"/>
    </row>
    <row r="59" spans="1:12">
      <c r="A59" s="194"/>
      <c r="B59" s="195"/>
      <c r="C59" s="196"/>
      <c r="D59" s="196"/>
      <c r="E59" s="196"/>
      <c r="F59" s="196"/>
      <c r="G59" s="196"/>
      <c r="H59" s="196"/>
      <c r="I59" s="196"/>
      <c r="J59" s="196"/>
      <c r="K59" s="196"/>
      <c r="L59" s="196"/>
    </row>
    <row r="60" spans="1:12">
      <c r="A60" s="194"/>
      <c r="B60" s="195"/>
      <c r="C60" s="196"/>
      <c r="D60" s="196"/>
      <c r="E60" s="196"/>
      <c r="F60" s="196"/>
      <c r="G60" s="196"/>
      <c r="H60" s="196"/>
      <c r="I60" s="196"/>
      <c r="J60" s="196"/>
      <c r="K60" s="196"/>
      <c r="L60" s="196"/>
    </row>
    <row r="61" spans="1:12">
      <c r="A61" s="194"/>
      <c r="B61" s="195"/>
      <c r="C61" s="196"/>
      <c r="D61" s="196"/>
      <c r="E61" s="196"/>
      <c r="F61" s="196"/>
      <c r="G61" s="196"/>
      <c r="H61" s="196"/>
      <c r="I61" s="196"/>
      <c r="J61" s="196"/>
      <c r="K61" s="196"/>
      <c r="L61" s="196"/>
    </row>
    <row r="62" spans="1:12">
      <c r="A62" s="194"/>
      <c r="B62" s="195"/>
      <c r="C62" s="196"/>
      <c r="D62" s="196"/>
      <c r="E62" s="196"/>
      <c r="F62" s="196"/>
      <c r="G62" s="196"/>
      <c r="H62" s="196"/>
      <c r="I62" s="196"/>
      <c r="J62" s="196"/>
      <c r="K62" s="196"/>
      <c r="L62" s="196"/>
    </row>
    <row r="63" spans="1:12">
      <c r="A63" s="194"/>
      <c r="B63" s="195"/>
      <c r="C63" s="196"/>
      <c r="D63" s="196"/>
      <c r="E63" s="196"/>
      <c r="F63" s="196"/>
      <c r="G63" s="196"/>
      <c r="H63" s="196"/>
      <c r="I63" s="196"/>
      <c r="J63" s="196"/>
      <c r="K63" s="196"/>
      <c r="L63" s="196"/>
    </row>
    <row r="64" spans="1:12">
      <c r="A64" s="194"/>
      <c r="B64" s="195"/>
      <c r="C64" s="196"/>
      <c r="D64" s="196"/>
      <c r="E64" s="196"/>
      <c r="F64" s="196"/>
      <c r="G64" s="196"/>
      <c r="H64" s="196"/>
      <c r="I64" s="196"/>
      <c r="J64" s="196"/>
      <c r="K64" s="196"/>
      <c r="L64" s="196"/>
    </row>
    <row r="65" spans="1:12">
      <c r="A65" s="194"/>
      <c r="B65" s="195"/>
      <c r="C65" s="196"/>
      <c r="D65" s="196"/>
      <c r="E65" s="196"/>
      <c r="F65" s="196"/>
      <c r="G65" s="196"/>
      <c r="H65" s="196"/>
      <c r="I65" s="196"/>
      <c r="J65" s="196"/>
      <c r="K65" s="196"/>
      <c r="L65" s="196"/>
    </row>
    <row r="66" spans="1:12">
      <c r="A66" s="194"/>
      <c r="B66" s="195"/>
      <c r="C66" s="196"/>
      <c r="D66" s="196"/>
      <c r="E66" s="196"/>
      <c r="F66" s="196"/>
      <c r="G66" s="196"/>
      <c r="H66" s="196"/>
      <c r="I66" s="196"/>
      <c r="J66" s="196"/>
      <c r="K66" s="196"/>
      <c r="L66" s="196"/>
    </row>
    <row r="67" spans="1:12">
      <c r="A67" s="194"/>
      <c r="B67" s="195"/>
      <c r="C67" s="196"/>
      <c r="D67" s="196"/>
      <c r="E67" s="196"/>
      <c r="F67" s="196"/>
      <c r="G67" s="196"/>
      <c r="H67" s="196"/>
      <c r="I67" s="196"/>
      <c r="J67" s="196"/>
      <c r="K67" s="196"/>
      <c r="L67" s="196"/>
    </row>
    <row r="68" spans="1:12">
      <c r="A68" s="194"/>
      <c r="B68" s="195"/>
      <c r="C68" s="196"/>
      <c r="D68" s="196"/>
      <c r="E68" s="196"/>
      <c r="F68" s="196"/>
      <c r="G68" s="196"/>
      <c r="H68" s="196"/>
      <c r="I68" s="196"/>
      <c r="J68" s="196"/>
      <c r="K68" s="196"/>
      <c r="L68" s="196"/>
    </row>
    <row r="69" spans="1:12">
      <c r="A69" s="194"/>
      <c r="B69" s="195"/>
      <c r="C69" s="196"/>
      <c r="D69" s="196"/>
      <c r="E69" s="196"/>
      <c r="F69" s="196"/>
      <c r="G69" s="196"/>
      <c r="H69" s="196"/>
      <c r="I69" s="196"/>
      <c r="J69" s="196"/>
      <c r="K69" s="196"/>
      <c r="L69" s="196"/>
    </row>
    <row r="70" spans="1:12">
      <c r="A70" s="194"/>
      <c r="B70" s="195"/>
      <c r="C70" s="196"/>
      <c r="D70" s="196"/>
      <c r="E70" s="196"/>
      <c r="F70" s="196"/>
      <c r="G70" s="196"/>
      <c r="H70" s="196"/>
      <c r="I70" s="196"/>
      <c r="J70" s="196"/>
      <c r="K70" s="196"/>
      <c r="L70" s="196"/>
    </row>
    <row r="71" spans="1:12">
      <c r="A71" s="194"/>
      <c r="B71" s="195"/>
      <c r="C71" s="196"/>
      <c r="D71" s="196"/>
      <c r="E71" s="196"/>
      <c r="F71" s="196"/>
      <c r="G71" s="196"/>
      <c r="H71" s="196"/>
      <c r="I71" s="196"/>
      <c r="J71" s="196"/>
      <c r="K71" s="196"/>
      <c r="L71" s="196"/>
    </row>
    <row r="72" spans="1:12">
      <c r="A72" s="194"/>
      <c r="B72" s="195"/>
      <c r="C72" s="196"/>
      <c r="D72" s="196"/>
      <c r="E72" s="196"/>
      <c r="F72" s="196"/>
      <c r="G72" s="196"/>
      <c r="H72" s="196"/>
      <c r="I72" s="196"/>
      <c r="J72" s="196"/>
      <c r="K72" s="196"/>
      <c r="L72" s="196"/>
    </row>
    <row r="73" spans="1:12">
      <c r="A73" s="194"/>
      <c r="B73" s="195"/>
      <c r="C73" s="196"/>
      <c r="D73" s="196"/>
      <c r="E73" s="196"/>
      <c r="F73" s="196"/>
      <c r="G73" s="196"/>
      <c r="H73" s="196"/>
      <c r="I73" s="196"/>
      <c r="J73" s="196"/>
      <c r="K73" s="196"/>
      <c r="L73" s="196"/>
    </row>
    <row r="74" spans="1:12">
      <c r="A74" s="194"/>
      <c r="B74" s="195"/>
      <c r="C74" s="196"/>
      <c r="D74" s="196"/>
      <c r="E74" s="196"/>
      <c r="F74" s="196"/>
      <c r="G74" s="196"/>
      <c r="H74" s="196"/>
      <c r="I74" s="196"/>
      <c r="J74" s="196"/>
      <c r="K74" s="196"/>
      <c r="L74" s="196"/>
    </row>
    <row r="75" spans="1:12">
      <c r="A75" s="194"/>
      <c r="B75" s="195"/>
      <c r="C75" s="196"/>
      <c r="D75" s="196"/>
      <c r="E75" s="196"/>
      <c r="F75" s="196"/>
      <c r="G75" s="196"/>
      <c r="H75" s="196"/>
      <c r="I75" s="196"/>
      <c r="J75" s="196"/>
      <c r="K75" s="196"/>
      <c r="L75" s="196"/>
    </row>
    <row r="76" spans="1:12">
      <c r="A76" s="194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</row>
    <row r="77" spans="1:12">
      <c r="A77" s="194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</row>
    <row r="78" spans="1:12">
      <c r="A78" s="194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</row>
    <row r="79" spans="1:12">
      <c r="A79" s="194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</row>
    <row r="80" spans="1:12">
      <c r="A80" s="194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</row>
    <row r="81" spans="1:12">
      <c r="A81" s="194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</row>
    <row r="82" spans="1:12">
      <c r="A82" s="194"/>
      <c r="B82" s="195"/>
      <c r="C82" s="196"/>
      <c r="D82" s="196"/>
      <c r="E82" s="196"/>
      <c r="F82" s="196"/>
      <c r="G82" s="196"/>
      <c r="H82" s="196"/>
      <c r="I82" s="196"/>
      <c r="J82" s="196"/>
      <c r="K82" s="196"/>
      <c r="L82" s="196"/>
    </row>
    <row r="83" spans="1:12">
      <c r="A83" s="194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</row>
    <row r="84" spans="1:12">
      <c r="A84" s="194"/>
      <c r="B84" s="195"/>
      <c r="C84" s="196"/>
      <c r="D84" s="196"/>
      <c r="E84" s="196"/>
      <c r="F84" s="196"/>
      <c r="G84" s="196"/>
      <c r="H84" s="196"/>
      <c r="I84" s="196"/>
      <c r="J84" s="196"/>
      <c r="K84" s="196"/>
      <c r="L84" s="196"/>
    </row>
    <row r="85" spans="1:12">
      <c r="A85" s="194"/>
      <c r="B85" s="195"/>
      <c r="C85" s="196"/>
      <c r="D85" s="196"/>
      <c r="E85" s="196"/>
      <c r="F85" s="196"/>
      <c r="G85" s="196"/>
      <c r="H85" s="196"/>
      <c r="I85" s="196"/>
      <c r="J85" s="196"/>
      <c r="K85" s="196"/>
      <c r="L85" s="196"/>
    </row>
    <row r="86" spans="1:12">
      <c r="A86" s="194"/>
      <c r="B86" s="195"/>
      <c r="C86" s="196"/>
      <c r="D86" s="196"/>
      <c r="E86" s="196"/>
      <c r="F86" s="196"/>
      <c r="G86" s="196"/>
      <c r="H86" s="196"/>
      <c r="I86" s="196"/>
      <c r="J86" s="196"/>
      <c r="K86" s="196"/>
      <c r="L86" s="196"/>
    </row>
    <row r="87" spans="1:12">
      <c r="A87" s="194"/>
      <c r="B87" s="195"/>
      <c r="C87" s="196"/>
      <c r="D87" s="196"/>
      <c r="E87" s="196"/>
      <c r="F87" s="196"/>
      <c r="G87" s="196"/>
      <c r="H87" s="196"/>
      <c r="I87" s="196"/>
      <c r="J87" s="196"/>
      <c r="K87" s="196"/>
      <c r="L87" s="196"/>
    </row>
    <row r="88" spans="1:12">
      <c r="A88" s="194"/>
      <c r="B88" s="195"/>
      <c r="C88" s="196"/>
      <c r="D88" s="196"/>
      <c r="E88" s="196"/>
      <c r="F88" s="196"/>
      <c r="G88" s="196"/>
      <c r="H88" s="196"/>
      <c r="I88" s="196"/>
      <c r="J88" s="196"/>
      <c r="K88" s="196"/>
      <c r="L88" s="196"/>
    </row>
    <row r="89" spans="1:12">
      <c r="A89" s="194"/>
      <c r="B89" s="195"/>
      <c r="C89" s="196"/>
      <c r="D89" s="196"/>
      <c r="E89" s="196"/>
      <c r="F89" s="196"/>
      <c r="G89" s="196"/>
      <c r="H89" s="196"/>
      <c r="I89" s="196"/>
      <c r="J89" s="196"/>
      <c r="K89" s="196"/>
      <c r="L89" s="196"/>
    </row>
    <row r="90" spans="1:12">
      <c r="A90" s="194"/>
      <c r="B90" s="195"/>
      <c r="C90" s="196"/>
      <c r="D90" s="196"/>
      <c r="E90" s="196"/>
      <c r="F90" s="196"/>
      <c r="G90" s="196"/>
      <c r="H90" s="196"/>
      <c r="I90" s="196"/>
      <c r="J90" s="196"/>
      <c r="K90" s="196"/>
      <c r="L90" s="196"/>
    </row>
    <row r="91" spans="1:12">
      <c r="A91" s="194"/>
      <c r="B91" s="195"/>
      <c r="C91" s="196"/>
      <c r="D91" s="196"/>
      <c r="E91" s="196"/>
      <c r="F91" s="196"/>
      <c r="G91" s="196"/>
      <c r="H91" s="196"/>
      <c r="I91" s="196"/>
      <c r="J91" s="196"/>
      <c r="K91" s="196"/>
      <c r="L91" s="196"/>
    </row>
    <row r="92" spans="1:12">
      <c r="A92" s="194"/>
      <c r="B92" s="195"/>
      <c r="C92" s="196"/>
      <c r="D92" s="196"/>
      <c r="E92" s="196"/>
      <c r="F92" s="196"/>
      <c r="G92" s="196"/>
      <c r="H92" s="196"/>
      <c r="I92" s="196"/>
      <c r="J92" s="196"/>
      <c r="K92" s="196"/>
      <c r="L92" s="196"/>
    </row>
    <row r="93" spans="1:12">
      <c r="A93" s="194"/>
      <c r="B93" s="195"/>
      <c r="C93" s="196"/>
      <c r="D93" s="196"/>
      <c r="E93" s="196"/>
      <c r="F93" s="196"/>
      <c r="G93" s="196"/>
      <c r="H93" s="196"/>
      <c r="I93" s="196"/>
      <c r="J93" s="196"/>
      <c r="K93" s="196"/>
      <c r="L93" s="196"/>
    </row>
    <row r="94" spans="1:12">
      <c r="A94" s="194"/>
      <c r="B94" s="195"/>
      <c r="C94" s="196"/>
      <c r="D94" s="196"/>
      <c r="E94" s="196"/>
      <c r="F94" s="196"/>
      <c r="G94" s="196"/>
      <c r="H94" s="196"/>
      <c r="I94" s="196"/>
      <c r="J94" s="196"/>
      <c r="K94" s="196"/>
      <c r="L94" s="196"/>
    </row>
    <row r="95" spans="1:12">
      <c r="A95" s="194"/>
      <c r="B95" s="195"/>
      <c r="C95" s="196"/>
      <c r="D95" s="196"/>
      <c r="E95" s="196"/>
      <c r="F95" s="196"/>
      <c r="G95" s="196"/>
      <c r="H95" s="196"/>
      <c r="I95" s="196"/>
      <c r="J95" s="196"/>
      <c r="K95" s="196"/>
      <c r="L95" s="196"/>
    </row>
    <row r="96" spans="1:12">
      <c r="A96" s="194"/>
      <c r="B96" s="195"/>
      <c r="C96" s="196"/>
      <c r="D96" s="196"/>
      <c r="E96" s="196"/>
      <c r="F96" s="196"/>
      <c r="G96" s="196"/>
      <c r="H96" s="196"/>
      <c r="I96" s="196"/>
      <c r="J96" s="196"/>
      <c r="K96" s="196"/>
      <c r="L96" s="196"/>
    </row>
    <row r="97" spans="1:12">
      <c r="A97" s="194"/>
      <c r="B97" s="195"/>
      <c r="C97" s="196"/>
      <c r="D97" s="196"/>
      <c r="E97" s="196"/>
      <c r="F97" s="196"/>
      <c r="G97" s="196"/>
      <c r="H97" s="196"/>
      <c r="I97" s="196"/>
      <c r="J97" s="196"/>
      <c r="K97" s="196"/>
      <c r="L97" s="196"/>
    </row>
    <row r="98" spans="1:12">
      <c r="A98" s="194"/>
      <c r="B98" s="195"/>
      <c r="C98" s="196"/>
      <c r="D98" s="196"/>
      <c r="E98" s="196"/>
      <c r="F98" s="196"/>
      <c r="G98" s="196"/>
      <c r="H98" s="196"/>
      <c r="I98" s="196"/>
      <c r="J98" s="196"/>
      <c r="K98" s="196"/>
      <c r="L98" s="196"/>
    </row>
    <row r="99" spans="1:12">
      <c r="A99" s="194"/>
      <c r="B99" s="195"/>
      <c r="C99" s="196"/>
      <c r="D99" s="196"/>
      <c r="E99" s="196"/>
      <c r="F99" s="196"/>
      <c r="G99" s="196"/>
      <c r="H99" s="196"/>
      <c r="I99" s="196"/>
      <c r="J99" s="196"/>
      <c r="K99" s="196"/>
      <c r="L99" s="196"/>
    </row>
    <row r="100" spans="1:12">
      <c r="A100" s="194"/>
      <c r="B100" s="195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</row>
    <row r="101" spans="1:12">
      <c r="A101" s="194"/>
      <c r="B101" s="195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</row>
    <row r="102" spans="1:12">
      <c r="A102" s="194"/>
      <c r="B102" s="195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</row>
    <row r="103" spans="1:12">
      <c r="A103" s="194"/>
      <c r="B103" s="195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</row>
    <row r="104" spans="1:12">
      <c r="A104" s="194"/>
      <c r="B104" s="195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</row>
    <row r="105" spans="1:12">
      <c r="A105" s="194"/>
      <c r="B105" s="195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</row>
    <row r="106" spans="1:12">
      <c r="A106" s="194"/>
      <c r="B106" s="195"/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</row>
    <row r="107" spans="1:12">
      <c r="A107" s="194"/>
      <c r="B107" s="195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</row>
    <row r="108" spans="1:12">
      <c r="A108" s="194"/>
      <c r="B108" s="195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</row>
    <row r="109" spans="1:12">
      <c r="A109" s="194"/>
      <c r="B109" s="195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</row>
    <row r="110" spans="1:12">
      <c r="A110" s="194"/>
      <c r="B110" s="195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</row>
    <row r="111" spans="1:12">
      <c r="A111" s="194"/>
      <c r="B111" s="195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</row>
    <row r="112" spans="1:12">
      <c r="A112" s="194"/>
      <c r="B112" s="195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</row>
    <row r="113" spans="1:12">
      <c r="A113" s="194"/>
      <c r="B113" s="195"/>
      <c r="C113" s="196"/>
      <c r="D113" s="196"/>
      <c r="E113" s="196"/>
      <c r="F113" s="196"/>
      <c r="G113" s="196"/>
      <c r="H113" s="196"/>
      <c r="I113" s="196"/>
      <c r="J113" s="196"/>
      <c r="K113" s="196"/>
      <c r="L113" s="196"/>
    </row>
    <row r="114" spans="1:12">
      <c r="A114" s="194"/>
      <c r="B114" s="195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</row>
    <row r="115" spans="1:12">
      <c r="A115" s="194"/>
      <c r="B115" s="195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</row>
    <row r="116" spans="1:12">
      <c r="A116" s="194"/>
      <c r="B116" s="195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</row>
    <row r="117" spans="1:12">
      <c r="A117" s="194"/>
      <c r="B117" s="195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</row>
    <row r="118" spans="1:12">
      <c r="A118" s="194"/>
      <c r="B118" s="195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</row>
    <row r="119" spans="1:12">
      <c r="A119" s="194"/>
      <c r="B119" s="195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</row>
    <row r="120" spans="1:12">
      <c r="A120" s="194"/>
      <c r="B120" s="195"/>
      <c r="C120" s="196"/>
      <c r="D120" s="196"/>
      <c r="E120" s="196"/>
      <c r="F120" s="196"/>
      <c r="G120" s="196"/>
      <c r="H120" s="196"/>
      <c r="I120" s="196"/>
      <c r="J120" s="196"/>
      <c r="K120" s="196"/>
      <c r="L120" s="196"/>
    </row>
    <row r="121" spans="1:12">
      <c r="A121" s="194"/>
      <c r="B121" s="195"/>
      <c r="C121" s="196"/>
      <c r="D121" s="196"/>
      <c r="E121" s="196"/>
      <c r="F121" s="196"/>
      <c r="G121" s="196"/>
      <c r="H121" s="196"/>
      <c r="I121" s="196"/>
      <c r="J121" s="196"/>
      <c r="K121" s="196"/>
      <c r="L121" s="196"/>
    </row>
    <row r="122" spans="1:12">
      <c r="A122" s="194"/>
      <c r="B122" s="195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</row>
    <row r="123" spans="1:12">
      <c r="A123" s="194"/>
      <c r="B123" s="195"/>
      <c r="C123" s="196"/>
      <c r="D123" s="196"/>
      <c r="E123" s="196"/>
      <c r="F123" s="196"/>
      <c r="G123" s="196"/>
      <c r="H123" s="196"/>
      <c r="I123" s="196"/>
      <c r="J123" s="196"/>
      <c r="K123" s="196"/>
      <c r="L123" s="196"/>
    </row>
    <row r="124" spans="1:12">
      <c r="A124" s="194"/>
      <c r="B124" s="195"/>
      <c r="C124" s="196"/>
      <c r="D124" s="196"/>
      <c r="E124" s="196"/>
      <c r="F124" s="196"/>
      <c r="G124" s="196"/>
      <c r="H124" s="196"/>
      <c r="I124" s="196"/>
      <c r="J124" s="196"/>
      <c r="K124" s="196"/>
      <c r="L124" s="196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workbookViewId="0">
      <selection activeCell="B2" sqref="B2"/>
    </sheetView>
  </sheetViews>
  <sheetFormatPr defaultRowHeight="15"/>
  <cols>
    <col min="1" max="1" width="16.140625" style="197" customWidth="1"/>
    <col min="2" max="2" width="46.7109375" style="198" customWidth="1"/>
    <col min="3" max="3" width="15.28515625" style="199" customWidth="1"/>
    <col min="4" max="4" width="15.28515625" style="199" bestFit="1" customWidth="1"/>
    <col min="5" max="5" width="15.140625" style="199" customWidth="1"/>
    <col min="6" max="7" width="15.28515625" style="199" bestFit="1" customWidth="1"/>
    <col min="8" max="8" width="15.28515625" style="199" customWidth="1"/>
    <col min="9" max="11" width="15.28515625" style="199" bestFit="1" customWidth="1"/>
    <col min="12" max="12" width="14.85546875" style="199" customWidth="1"/>
    <col min="13" max="16384" width="9.140625" style="193"/>
  </cols>
  <sheetData>
    <row r="1" spans="1:12" ht="22.5">
      <c r="A1" s="203" t="s">
        <v>536</v>
      </c>
      <c r="B1" s="204" t="s">
        <v>537</v>
      </c>
      <c r="C1" s="205" t="s">
        <v>516</v>
      </c>
      <c r="D1" s="205" t="s">
        <v>517</v>
      </c>
      <c r="E1" s="205" t="s">
        <v>518</v>
      </c>
      <c r="F1" s="205" t="s">
        <v>519</v>
      </c>
      <c r="G1" s="205" t="s">
        <v>520</v>
      </c>
      <c r="H1" s="205" t="s">
        <v>521</v>
      </c>
      <c r="I1" s="205" t="s">
        <v>522</v>
      </c>
      <c r="J1" s="205" t="s">
        <v>523</v>
      </c>
      <c r="K1" s="205" t="s">
        <v>524</v>
      </c>
      <c r="L1" s="205" t="s">
        <v>525</v>
      </c>
    </row>
    <row r="2" spans="1:12">
      <c r="A2" s="194"/>
      <c r="B2" s="195"/>
      <c r="C2" s="196"/>
      <c r="D2" s="196"/>
      <c r="E2" s="196"/>
      <c r="F2" s="196"/>
      <c r="G2" s="196"/>
      <c r="H2" s="196"/>
      <c r="I2" s="196"/>
      <c r="J2" s="196"/>
      <c r="K2" s="196"/>
      <c r="L2" s="196"/>
    </row>
    <row r="3" spans="1:12">
      <c r="A3" s="194"/>
      <c r="B3" s="195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>
      <c r="A4" s="194"/>
      <c r="B4" s="195"/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2">
      <c r="A5" s="194"/>
      <c r="B5" s="195"/>
      <c r="C5" s="196"/>
      <c r="D5" s="196"/>
      <c r="E5" s="196"/>
      <c r="F5" s="196"/>
      <c r="G5" s="196"/>
      <c r="H5" s="196"/>
      <c r="I5" s="196"/>
      <c r="J5" s="196"/>
      <c r="K5" s="196"/>
      <c r="L5" s="196"/>
    </row>
    <row r="6" spans="1:12">
      <c r="A6" s="194"/>
      <c r="B6" s="195"/>
      <c r="C6" s="196"/>
      <c r="D6" s="196"/>
      <c r="E6" s="196"/>
      <c r="F6" s="196"/>
      <c r="G6" s="196"/>
      <c r="H6" s="196"/>
      <c r="I6" s="196"/>
      <c r="J6" s="196"/>
      <c r="K6" s="196"/>
      <c r="L6" s="196"/>
    </row>
    <row r="7" spans="1:12">
      <c r="A7" s="194"/>
      <c r="B7" s="195"/>
      <c r="C7" s="196"/>
      <c r="D7" s="196"/>
      <c r="E7" s="196"/>
      <c r="F7" s="196"/>
      <c r="G7" s="196"/>
      <c r="H7" s="196"/>
      <c r="I7" s="196"/>
      <c r="J7" s="196"/>
      <c r="K7" s="196"/>
      <c r="L7" s="196"/>
    </row>
    <row r="8" spans="1:12">
      <c r="A8" s="194"/>
      <c r="B8" s="195"/>
      <c r="C8" s="196"/>
      <c r="D8" s="196"/>
      <c r="E8" s="196"/>
      <c r="F8" s="196"/>
      <c r="G8" s="196"/>
      <c r="H8" s="196"/>
      <c r="I8" s="196"/>
      <c r="J8" s="196"/>
      <c r="K8" s="196"/>
      <c r="L8" s="196"/>
    </row>
    <row r="9" spans="1:12">
      <c r="A9" s="194"/>
      <c r="B9" s="195"/>
      <c r="C9" s="196"/>
      <c r="D9" s="196"/>
      <c r="E9" s="196"/>
      <c r="F9" s="196"/>
      <c r="G9" s="196"/>
      <c r="H9" s="196"/>
      <c r="I9" s="196"/>
      <c r="J9" s="196"/>
      <c r="K9" s="196"/>
      <c r="L9" s="196"/>
    </row>
    <row r="10" spans="1:12">
      <c r="A10" s="194"/>
      <c r="B10" s="195"/>
      <c r="C10" s="196"/>
      <c r="D10" s="196"/>
      <c r="E10" s="196"/>
      <c r="F10" s="196"/>
      <c r="G10" s="196"/>
      <c r="H10" s="196"/>
      <c r="I10" s="196"/>
      <c r="J10" s="196"/>
      <c r="K10" s="196"/>
      <c r="L10" s="196"/>
    </row>
    <row r="11" spans="1:12">
      <c r="A11" s="194"/>
      <c r="B11" s="195"/>
      <c r="C11" s="196"/>
      <c r="D11" s="196"/>
      <c r="E11" s="196"/>
      <c r="F11" s="196"/>
      <c r="G11" s="196"/>
      <c r="H11" s="196"/>
      <c r="I11" s="196"/>
      <c r="J11" s="196"/>
      <c r="K11" s="196"/>
      <c r="L11" s="196"/>
    </row>
    <row r="12" spans="1:12">
      <c r="A12" s="194"/>
      <c r="B12" s="195"/>
      <c r="C12" s="196"/>
      <c r="D12" s="196"/>
      <c r="E12" s="196"/>
      <c r="F12" s="196"/>
      <c r="G12" s="196"/>
      <c r="H12" s="196"/>
      <c r="I12" s="196"/>
      <c r="J12" s="196"/>
      <c r="K12" s="196"/>
      <c r="L12" s="196"/>
    </row>
    <row r="13" spans="1:12">
      <c r="A13" s="194"/>
      <c r="B13" s="195"/>
      <c r="C13" s="196"/>
      <c r="D13" s="196"/>
      <c r="E13" s="196"/>
      <c r="F13" s="196"/>
      <c r="G13" s="196"/>
      <c r="H13" s="196"/>
      <c r="I13" s="196"/>
      <c r="J13" s="196"/>
      <c r="K13" s="196"/>
      <c r="L13" s="196"/>
    </row>
    <row r="14" spans="1:12">
      <c r="A14" s="194"/>
      <c r="B14" s="195"/>
      <c r="C14" s="196"/>
      <c r="D14" s="196"/>
      <c r="E14" s="196"/>
      <c r="F14" s="196"/>
      <c r="G14" s="196"/>
      <c r="H14" s="196"/>
      <c r="I14" s="196"/>
      <c r="J14" s="196"/>
      <c r="K14" s="196"/>
      <c r="L14" s="196"/>
    </row>
    <row r="15" spans="1:12">
      <c r="A15" s="194"/>
      <c r="B15" s="195"/>
      <c r="C15" s="196"/>
      <c r="D15" s="196"/>
      <c r="E15" s="196"/>
      <c r="F15" s="196"/>
      <c r="G15" s="196"/>
      <c r="H15" s="196"/>
      <c r="I15" s="196"/>
      <c r="J15" s="196"/>
      <c r="K15" s="196"/>
      <c r="L15" s="196"/>
    </row>
    <row r="16" spans="1:12">
      <c r="A16" s="194"/>
      <c r="B16" s="195"/>
      <c r="C16" s="196"/>
      <c r="D16" s="196"/>
      <c r="E16" s="196"/>
      <c r="F16" s="196"/>
      <c r="G16" s="196"/>
      <c r="H16" s="196"/>
      <c r="I16" s="196"/>
      <c r="J16" s="196"/>
      <c r="K16" s="196"/>
      <c r="L16" s="196"/>
    </row>
    <row r="17" spans="1:12">
      <c r="A17" s="194"/>
      <c r="B17" s="195"/>
      <c r="C17" s="196"/>
      <c r="D17" s="196"/>
      <c r="E17" s="196"/>
      <c r="F17" s="196"/>
      <c r="G17" s="196"/>
      <c r="H17" s="196"/>
      <c r="I17" s="196"/>
      <c r="J17" s="196"/>
      <c r="K17" s="196"/>
      <c r="L17" s="196"/>
    </row>
    <row r="18" spans="1:12">
      <c r="A18" s="194"/>
      <c r="B18" s="195"/>
      <c r="C18" s="196"/>
      <c r="D18" s="196"/>
      <c r="E18" s="196"/>
      <c r="F18" s="196"/>
      <c r="G18" s="196"/>
      <c r="H18" s="196"/>
      <c r="I18" s="196"/>
      <c r="J18" s="196"/>
      <c r="K18" s="196"/>
      <c r="L18" s="196"/>
    </row>
    <row r="19" spans="1:12">
      <c r="A19" s="194"/>
      <c r="B19" s="195"/>
      <c r="C19" s="196"/>
      <c r="D19" s="196"/>
      <c r="E19" s="196"/>
      <c r="F19" s="196"/>
      <c r="G19" s="196"/>
      <c r="H19" s="196"/>
      <c r="I19" s="196"/>
      <c r="J19" s="196"/>
      <c r="K19" s="196"/>
      <c r="L19" s="196"/>
    </row>
    <row r="20" spans="1:12">
      <c r="A20" s="194"/>
      <c r="B20" s="195"/>
      <c r="C20" s="196"/>
      <c r="D20" s="196"/>
      <c r="E20" s="196"/>
      <c r="F20" s="196"/>
      <c r="G20" s="196"/>
      <c r="H20" s="196"/>
      <c r="I20" s="196"/>
      <c r="J20" s="196"/>
      <c r="K20" s="196"/>
      <c r="L20" s="196"/>
    </row>
    <row r="21" spans="1:12">
      <c r="A21" s="194"/>
      <c r="B21" s="195"/>
      <c r="C21" s="196"/>
      <c r="D21" s="196"/>
      <c r="E21" s="196"/>
      <c r="F21" s="196"/>
      <c r="G21" s="196"/>
      <c r="H21" s="196"/>
      <c r="I21" s="196"/>
      <c r="J21" s="196"/>
      <c r="K21" s="196"/>
      <c r="L21" s="196"/>
    </row>
    <row r="22" spans="1:12">
      <c r="A22" s="194"/>
      <c r="B22" s="195"/>
      <c r="C22" s="196"/>
      <c r="D22" s="196"/>
      <c r="E22" s="196"/>
      <c r="F22" s="196"/>
      <c r="G22" s="196"/>
      <c r="H22" s="196"/>
      <c r="I22" s="196"/>
      <c r="J22" s="196"/>
      <c r="K22" s="196"/>
      <c r="L22" s="196"/>
    </row>
    <row r="23" spans="1:12">
      <c r="A23" s="194"/>
      <c r="B23" s="195"/>
      <c r="C23" s="196"/>
      <c r="D23" s="196"/>
      <c r="E23" s="196"/>
      <c r="F23" s="196"/>
      <c r="G23" s="196"/>
      <c r="H23" s="196"/>
      <c r="I23" s="196"/>
      <c r="J23" s="196"/>
      <c r="K23" s="196"/>
      <c r="L23" s="196"/>
    </row>
    <row r="24" spans="1:12">
      <c r="A24" s="194"/>
      <c r="B24" s="195"/>
      <c r="C24" s="196"/>
      <c r="D24" s="196"/>
      <c r="E24" s="196"/>
      <c r="F24" s="196"/>
      <c r="G24" s="196"/>
      <c r="H24" s="196"/>
      <c r="I24" s="196"/>
      <c r="J24" s="196"/>
      <c r="K24" s="196"/>
      <c r="L24" s="196"/>
    </row>
    <row r="25" spans="1:12">
      <c r="A25" s="194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</row>
    <row r="26" spans="1:12">
      <c r="A26" s="194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</row>
    <row r="27" spans="1:12">
      <c r="A27" s="194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</row>
    <row r="28" spans="1:12">
      <c r="A28" s="194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</row>
    <row r="29" spans="1:12">
      <c r="A29" s="194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</row>
    <row r="30" spans="1:12">
      <c r="A30" s="194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</row>
    <row r="31" spans="1:12">
      <c r="A31" s="194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</row>
    <row r="32" spans="1:12">
      <c r="A32" s="194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</row>
    <row r="33" spans="1:12">
      <c r="A33" s="194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</row>
    <row r="34" spans="1:12">
      <c r="A34" s="194"/>
      <c r="B34" s="195"/>
      <c r="C34" s="196"/>
      <c r="D34" s="196"/>
      <c r="E34" s="196"/>
      <c r="F34" s="196"/>
      <c r="G34" s="196"/>
      <c r="H34" s="196"/>
      <c r="I34" s="196"/>
      <c r="J34" s="196"/>
      <c r="K34" s="196"/>
      <c r="L34" s="196"/>
    </row>
    <row r="35" spans="1:12">
      <c r="A35" s="194"/>
      <c r="B35" s="195"/>
      <c r="C35" s="196"/>
      <c r="D35" s="196"/>
      <c r="E35" s="196"/>
      <c r="F35" s="196"/>
      <c r="G35" s="196"/>
      <c r="H35" s="196"/>
      <c r="I35" s="196"/>
      <c r="J35" s="196"/>
      <c r="K35" s="196"/>
      <c r="L35" s="196"/>
    </row>
    <row r="36" spans="1:12">
      <c r="A36" s="194"/>
      <c r="B36" s="195"/>
      <c r="C36" s="196"/>
      <c r="D36" s="196"/>
      <c r="E36" s="196"/>
      <c r="F36" s="196"/>
      <c r="G36" s="196"/>
      <c r="H36" s="196"/>
      <c r="I36" s="196"/>
      <c r="J36" s="196"/>
      <c r="K36" s="196"/>
      <c r="L36" s="196"/>
    </row>
    <row r="37" spans="1:12">
      <c r="A37" s="194"/>
      <c r="B37" s="195"/>
      <c r="C37" s="196"/>
      <c r="D37" s="196"/>
      <c r="E37" s="196"/>
      <c r="F37" s="196"/>
      <c r="G37" s="196"/>
      <c r="H37" s="196"/>
      <c r="I37" s="196"/>
      <c r="J37" s="196"/>
      <c r="K37" s="196"/>
      <c r="L37" s="196"/>
    </row>
    <row r="38" spans="1:12">
      <c r="A38" s="194"/>
      <c r="B38" s="195"/>
      <c r="C38" s="196"/>
      <c r="D38" s="196"/>
      <c r="E38" s="196"/>
      <c r="F38" s="196"/>
      <c r="G38" s="196"/>
      <c r="H38" s="196"/>
      <c r="I38" s="196"/>
      <c r="J38" s="196"/>
      <c r="K38" s="196"/>
      <c r="L38" s="196"/>
    </row>
    <row r="39" spans="1:12">
      <c r="A39" s="194"/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</row>
    <row r="40" spans="1:12">
      <c r="A40" s="194"/>
      <c r="B40" s="195"/>
      <c r="C40" s="196"/>
      <c r="D40" s="196"/>
      <c r="E40" s="196"/>
      <c r="F40" s="196"/>
      <c r="G40" s="196"/>
      <c r="H40" s="196"/>
      <c r="I40" s="196"/>
      <c r="J40" s="196"/>
      <c r="K40" s="196"/>
      <c r="L40" s="196"/>
    </row>
    <row r="41" spans="1:12">
      <c r="A41" s="194"/>
      <c r="B41" s="195"/>
      <c r="C41" s="196"/>
      <c r="D41" s="196"/>
      <c r="E41" s="196"/>
      <c r="F41" s="196"/>
      <c r="G41" s="196"/>
      <c r="H41" s="196"/>
      <c r="I41" s="196"/>
      <c r="J41" s="196"/>
      <c r="K41" s="196"/>
      <c r="L41" s="196"/>
    </row>
    <row r="42" spans="1:12">
      <c r="A42" s="194"/>
      <c r="B42" s="195"/>
      <c r="C42" s="196"/>
      <c r="D42" s="196"/>
      <c r="E42" s="196"/>
      <c r="F42" s="196"/>
      <c r="G42" s="196"/>
      <c r="H42" s="196"/>
      <c r="I42" s="196"/>
      <c r="J42" s="196"/>
      <c r="K42" s="196"/>
      <c r="L42" s="196"/>
    </row>
    <row r="43" spans="1:12">
      <c r="A43" s="194"/>
      <c r="B43" s="195"/>
      <c r="C43" s="196"/>
      <c r="D43" s="196"/>
      <c r="E43" s="196"/>
      <c r="F43" s="196"/>
      <c r="G43" s="196"/>
      <c r="H43" s="196"/>
      <c r="I43" s="196"/>
      <c r="J43" s="196"/>
      <c r="K43" s="196"/>
      <c r="L43" s="196"/>
    </row>
    <row r="44" spans="1:12">
      <c r="A44" s="194"/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</row>
    <row r="45" spans="1:12">
      <c r="A45" s="194"/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</row>
    <row r="46" spans="1:12">
      <c r="A46" s="194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</row>
    <row r="47" spans="1:12">
      <c r="A47" s="194"/>
      <c r="B47" s="195"/>
      <c r="C47" s="196"/>
      <c r="D47" s="196"/>
      <c r="E47" s="196"/>
      <c r="F47" s="196"/>
      <c r="G47" s="196"/>
      <c r="H47" s="196"/>
      <c r="I47" s="196"/>
      <c r="J47" s="196"/>
      <c r="K47" s="196"/>
      <c r="L47" s="196"/>
    </row>
    <row r="48" spans="1:12">
      <c r="A48" s="194"/>
      <c r="B48" s="195"/>
      <c r="C48" s="196"/>
      <c r="D48" s="196"/>
      <c r="E48" s="196"/>
      <c r="F48" s="196"/>
      <c r="G48" s="196"/>
      <c r="H48" s="196"/>
      <c r="I48" s="196"/>
      <c r="J48" s="196"/>
      <c r="K48" s="196"/>
      <c r="L48" s="196"/>
    </row>
    <row r="49" spans="1:12">
      <c r="A49" s="194"/>
      <c r="B49" s="195"/>
      <c r="C49" s="196"/>
      <c r="D49" s="196"/>
      <c r="E49" s="196"/>
      <c r="F49" s="196"/>
      <c r="G49" s="196"/>
      <c r="H49" s="196"/>
      <c r="I49" s="196"/>
      <c r="J49" s="196"/>
      <c r="K49" s="196"/>
      <c r="L49" s="196"/>
    </row>
    <row r="50" spans="1:12">
      <c r="A50" s="194"/>
      <c r="B50" s="195"/>
      <c r="C50" s="196"/>
      <c r="D50" s="196"/>
      <c r="E50" s="196"/>
      <c r="F50" s="196"/>
      <c r="G50" s="196"/>
      <c r="H50" s="196"/>
      <c r="I50" s="196"/>
      <c r="J50" s="196"/>
      <c r="K50" s="196"/>
      <c r="L50" s="196"/>
    </row>
    <row r="51" spans="1:12">
      <c r="A51" s="194"/>
      <c r="B51" s="195"/>
      <c r="C51" s="196"/>
      <c r="D51" s="196"/>
      <c r="E51" s="196"/>
      <c r="F51" s="196"/>
      <c r="G51" s="196"/>
      <c r="H51" s="196"/>
      <c r="I51" s="196"/>
      <c r="J51" s="196"/>
      <c r="K51" s="196"/>
      <c r="L51" s="196"/>
    </row>
    <row r="52" spans="1:12">
      <c r="A52" s="194"/>
      <c r="B52" s="195"/>
      <c r="C52" s="196"/>
      <c r="D52" s="196"/>
      <c r="E52" s="196"/>
      <c r="F52" s="196"/>
      <c r="G52" s="196"/>
      <c r="H52" s="196"/>
      <c r="I52" s="196"/>
      <c r="J52" s="196"/>
      <c r="K52" s="196"/>
      <c r="L52" s="196"/>
    </row>
    <row r="53" spans="1:12">
      <c r="A53" s="194"/>
      <c r="B53" s="195"/>
      <c r="C53" s="196"/>
      <c r="D53" s="196"/>
      <c r="E53" s="196"/>
      <c r="F53" s="196"/>
      <c r="G53" s="196"/>
      <c r="H53" s="196"/>
      <c r="I53" s="196"/>
      <c r="J53" s="196"/>
      <c r="K53" s="196"/>
      <c r="L53" s="196"/>
    </row>
    <row r="54" spans="1:12">
      <c r="A54" s="194"/>
      <c r="B54" s="195"/>
      <c r="C54" s="196"/>
      <c r="D54" s="196"/>
      <c r="E54" s="196"/>
      <c r="F54" s="196"/>
      <c r="G54" s="196"/>
      <c r="H54" s="196"/>
      <c r="I54" s="196"/>
      <c r="J54" s="196"/>
      <c r="K54" s="196"/>
      <c r="L54" s="196"/>
    </row>
    <row r="55" spans="1:12">
      <c r="A55" s="194"/>
      <c r="B55" s="195"/>
      <c r="C55" s="196"/>
      <c r="D55" s="196"/>
      <c r="E55" s="196"/>
      <c r="F55" s="196"/>
      <c r="G55" s="196"/>
      <c r="H55" s="196"/>
      <c r="I55" s="196"/>
      <c r="J55" s="196"/>
      <c r="K55" s="196"/>
      <c r="L55" s="196"/>
    </row>
    <row r="56" spans="1:12">
      <c r="A56" s="194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</row>
    <row r="57" spans="1:12">
      <c r="A57" s="194"/>
      <c r="B57" s="195"/>
      <c r="C57" s="196"/>
      <c r="D57" s="196"/>
      <c r="E57" s="196"/>
      <c r="F57" s="196"/>
      <c r="G57" s="196"/>
      <c r="H57" s="196"/>
      <c r="I57" s="196"/>
      <c r="J57" s="196"/>
      <c r="K57" s="196"/>
      <c r="L57" s="196"/>
    </row>
    <row r="58" spans="1:12">
      <c r="A58" s="194"/>
      <c r="B58" s="195"/>
      <c r="C58" s="196"/>
      <c r="D58" s="196"/>
      <c r="E58" s="196"/>
      <c r="F58" s="196"/>
      <c r="G58" s="196"/>
      <c r="H58" s="196"/>
      <c r="I58" s="196"/>
      <c r="J58" s="196"/>
      <c r="K58" s="196"/>
      <c r="L58" s="196"/>
    </row>
    <row r="59" spans="1:12">
      <c r="A59" s="194"/>
      <c r="B59" s="195"/>
      <c r="C59" s="196"/>
      <c r="D59" s="196"/>
      <c r="E59" s="196"/>
      <c r="F59" s="196"/>
      <c r="G59" s="196"/>
      <c r="H59" s="196"/>
      <c r="I59" s="196"/>
      <c r="J59" s="196"/>
      <c r="K59" s="196"/>
      <c r="L59" s="196"/>
    </row>
    <row r="60" spans="1:12">
      <c r="A60" s="194"/>
      <c r="B60" s="195"/>
      <c r="C60" s="196"/>
      <c r="D60" s="196"/>
      <c r="E60" s="196"/>
      <c r="F60" s="196"/>
      <c r="G60" s="196"/>
      <c r="H60" s="196"/>
      <c r="I60" s="196"/>
      <c r="J60" s="196"/>
      <c r="K60" s="196"/>
      <c r="L60" s="196"/>
    </row>
    <row r="61" spans="1:12">
      <c r="A61" s="194"/>
      <c r="B61" s="195"/>
      <c r="C61" s="196"/>
      <c r="D61" s="196"/>
      <c r="E61" s="196"/>
      <c r="F61" s="196"/>
      <c r="G61" s="196"/>
      <c r="H61" s="196"/>
      <c r="I61" s="196"/>
      <c r="J61" s="196"/>
      <c r="K61" s="196"/>
      <c r="L61" s="196"/>
    </row>
    <row r="62" spans="1:12">
      <c r="A62" s="194"/>
      <c r="B62" s="195"/>
      <c r="C62" s="196"/>
      <c r="D62" s="196"/>
      <c r="E62" s="196"/>
      <c r="F62" s="196"/>
      <c r="G62" s="196"/>
      <c r="H62" s="196"/>
      <c r="I62" s="196"/>
      <c r="J62" s="196"/>
      <c r="K62" s="196"/>
      <c r="L62" s="196"/>
    </row>
    <row r="63" spans="1:12">
      <c r="A63" s="194"/>
      <c r="B63" s="195"/>
      <c r="C63" s="196"/>
      <c r="D63" s="196"/>
      <c r="E63" s="196"/>
      <c r="F63" s="196"/>
      <c r="G63" s="196"/>
      <c r="H63" s="196"/>
      <c r="I63" s="196"/>
      <c r="J63" s="196"/>
      <c r="K63" s="196"/>
      <c r="L63" s="196"/>
    </row>
    <row r="64" spans="1:12">
      <c r="A64" s="194"/>
      <c r="B64" s="195"/>
      <c r="C64" s="196"/>
      <c r="D64" s="196"/>
      <c r="E64" s="196"/>
      <c r="F64" s="196"/>
      <c r="G64" s="196"/>
      <c r="H64" s="196"/>
      <c r="I64" s="196"/>
      <c r="J64" s="196"/>
      <c r="K64" s="196"/>
      <c r="L64" s="196"/>
    </row>
    <row r="65" spans="1:12">
      <c r="A65" s="194"/>
      <c r="B65" s="195"/>
      <c r="C65" s="196"/>
      <c r="D65" s="196"/>
      <c r="E65" s="196"/>
      <c r="F65" s="196"/>
      <c r="G65" s="196"/>
      <c r="H65" s="196"/>
      <c r="I65" s="196"/>
      <c r="J65" s="196"/>
      <c r="K65" s="196"/>
      <c r="L65" s="196"/>
    </row>
    <row r="66" spans="1:12">
      <c r="A66" s="194"/>
      <c r="B66" s="195"/>
      <c r="C66" s="196"/>
      <c r="D66" s="196"/>
      <c r="E66" s="196"/>
      <c r="F66" s="196"/>
      <c r="G66" s="196"/>
      <c r="H66" s="196"/>
      <c r="I66" s="196"/>
      <c r="J66" s="196"/>
      <c r="K66" s="196"/>
      <c r="L66" s="196"/>
    </row>
    <row r="67" spans="1:12">
      <c r="A67" s="194"/>
      <c r="B67" s="195"/>
      <c r="C67" s="196"/>
      <c r="D67" s="196"/>
      <c r="E67" s="196"/>
      <c r="F67" s="196"/>
      <c r="G67" s="196"/>
      <c r="H67" s="196"/>
      <c r="I67" s="196"/>
      <c r="J67" s="196"/>
      <c r="K67" s="196"/>
      <c r="L67" s="196"/>
    </row>
    <row r="68" spans="1:12">
      <c r="A68" s="194"/>
      <c r="B68" s="195"/>
      <c r="C68" s="196"/>
      <c r="D68" s="196"/>
      <c r="E68" s="196"/>
      <c r="F68" s="196"/>
      <c r="G68" s="196"/>
      <c r="H68" s="196"/>
      <c r="I68" s="196"/>
      <c r="J68" s="196"/>
      <c r="K68" s="196"/>
      <c r="L68" s="196"/>
    </row>
    <row r="69" spans="1:12">
      <c r="A69" s="194"/>
      <c r="B69" s="195"/>
      <c r="C69" s="196"/>
      <c r="D69" s="196"/>
      <c r="E69" s="196"/>
      <c r="F69" s="196"/>
      <c r="G69" s="196"/>
      <c r="H69" s="196"/>
      <c r="I69" s="196"/>
      <c r="J69" s="196"/>
      <c r="K69" s="196"/>
      <c r="L69" s="196"/>
    </row>
    <row r="70" spans="1:12">
      <c r="A70" s="194"/>
      <c r="B70" s="195"/>
      <c r="C70" s="196"/>
      <c r="D70" s="196"/>
      <c r="E70" s="196"/>
      <c r="F70" s="196"/>
      <c r="G70" s="196"/>
      <c r="H70" s="196"/>
      <c r="I70" s="196"/>
      <c r="J70" s="196"/>
      <c r="K70" s="196"/>
      <c r="L70" s="196"/>
    </row>
    <row r="71" spans="1:12">
      <c r="A71" s="194"/>
      <c r="B71" s="195"/>
      <c r="C71" s="196"/>
      <c r="D71" s="196"/>
      <c r="E71" s="196"/>
      <c r="F71" s="196"/>
      <c r="G71" s="196"/>
      <c r="H71" s="196"/>
      <c r="I71" s="196"/>
      <c r="J71" s="196"/>
      <c r="K71" s="196"/>
      <c r="L71" s="196"/>
    </row>
    <row r="72" spans="1:12">
      <c r="A72" s="194"/>
      <c r="B72" s="195"/>
      <c r="C72" s="196"/>
      <c r="D72" s="196"/>
      <c r="E72" s="196"/>
      <c r="F72" s="196"/>
      <c r="G72" s="196"/>
      <c r="H72" s="196"/>
      <c r="I72" s="196"/>
      <c r="J72" s="196"/>
      <c r="K72" s="196"/>
      <c r="L72" s="196"/>
    </row>
    <row r="73" spans="1:12">
      <c r="A73" s="194"/>
      <c r="B73" s="195"/>
      <c r="C73" s="196"/>
      <c r="D73" s="196"/>
      <c r="E73" s="196"/>
      <c r="F73" s="196"/>
      <c r="G73" s="196"/>
      <c r="H73" s="196"/>
      <c r="I73" s="196"/>
      <c r="J73" s="196"/>
      <c r="K73" s="196"/>
      <c r="L73" s="196"/>
    </row>
    <row r="74" spans="1:12">
      <c r="A74" s="194"/>
      <c r="B74" s="195"/>
      <c r="C74" s="196"/>
      <c r="D74" s="196"/>
      <c r="E74" s="196"/>
      <c r="F74" s="196"/>
      <c r="G74" s="196"/>
      <c r="H74" s="196"/>
      <c r="I74" s="196"/>
      <c r="J74" s="196"/>
      <c r="K74" s="196"/>
      <c r="L74" s="196"/>
    </row>
    <row r="75" spans="1:12">
      <c r="A75" s="194"/>
      <c r="B75" s="195"/>
      <c r="C75" s="196"/>
      <c r="D75" s="196"/>
      <c r="E75" s="196"/>
      <c r="F75" s="196"/>
      <c r="G75" s="196"/>
      <c r="H75" s="196"/>
      <c r="I75" s="196"/>
      <c r="J75" s="196"/>
      <c r="K75" s="196"/>
      <c r="L75" s="196"/>
    </row>
    <row r="76" spans="1:12">
      <c r="A76" s="194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</row>
    <row r="77" spans="1:12">
      <c r="A77" s="194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</row>
    <row r="78" spans="1:12">
      <c r="A78" s="194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</row>
    <row r="79" spans="1:12">
      <c r="A79" s="194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</row>
    <row r="80" spans="1:12">
      <c r="A80" s="194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</row>
    <row r="81" spans="1:12">
      <c r="A81" s="194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</row>
    <row r="82" spans="1:12">
      <c r="A82" s="194"/>
      <c r="B82" s="195"/>
      <c r="C82" s="196"/>
      <c r="D82" s="196"/>
      <c r="E82" s="196"/>
      <c r="F82" s="196"/>
      <c r="G82" s="196"/>
      <c r="H82" s="196"/>
      <c r="I82" s="196"/>
      <c r="J82" s="196"/>
      <c r="K82" s="196"/>
      <c r="L82" s="196"/>
    </row>
    <row r="83" spans="1:12">
      <c r="A83" s="194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</row>
    <row r="84" spans="1:12">
      <c r="A84" s="194"/>
      <c r="B84" s="195"/>
      <c r="C84" s="196"/>
      <c r="D84" s="196"/>
      <c r="E84" s="196"/>
      <c r="F84" s="196"/>
      <c r="G84" s="196"/>
      <c r="H84" s="196"/>
      <c r="I84" s="196"/>
      <c r="J84" s="196"/>
      <c r="K84" s="196"/>
      <c r="L84" s="196"/>
    </row>
    <row r="85" spans="1:12">
      <c r="A85" s="194"/>
      <c r="B85" s="195"/>
      <c r="C85" s="196"/>
      <c r="D85" s="196"/>
      <c r="E85" s="196"/>
      <c r="F85" s="196"/>
      <c r="G85" s="196"/>
      <c r="H85" s="196"/>
      <c r="I85" s="196"/>
      <c r="J85" s="196"/>
      <c r="K85" s="196"/>
      <c r="L85" s="196"/>
    </row>
    <row r="86" spans="1:12">
      <c r="A86" s="194"/>
      <c r="B86" s="195"/>
      <c r="C86" s="196"/>
      <c r="D86" s="196"/>
      <c r="E86" s="196"/>
      <c r="F86" s="196"/>
      <c r="G86" s="196"/>
      <c r="H86" s="196"/>
      <c r="I86" s="196"/>
      <c r="J86" s="196"/>
      <c r="K86" s="196"/>
      <c r="L86" s="196"/>
    </row>
    <row r="87" spans="1:12">
      <c r="A87" s="194"/>
      <c r="B87" s="195"/>
      <c r="C87" s="196"/>
      <c r="D87" s="196"/>
      <c r="E87" s="196"/>
      <c r="F87" s="196"/>
      <c r="G87" s="196"/>
      <c r="H87" s="196"/>
      <c r="I87" s="196"/>
      <c r="J87" s="196"/>
      <c r="K87" s="196"/>
      <c r="L87" s="196"/>
    </row>
    <row r="88" spans="1:12">
      <c r="A88" s="194"/>
      <c r="B88" s="195"/>
      <c r="C88" s="196"/>
      <c r="D88" s="196"/>
      <c r="E88" s="196"/>
      <c r="F88" s="196"/>
      <c r="G88" s="196"/>
      <c r="H88" s="196"/>
      <c r="I88" s="196"/>
      <c r="J88" s="196"/>
      <c r="K88" s="196"/>
      <c r="L88" s="196"/>
    </row>
    <row r="89" spans="1:12">
      <c r="A89" s="194"/>
      <c r="B89" s="195"/>
      <c r="C89" s="196"/>
      <c r="D89" s="196"/>
      <c r="E89" s="196"/>
      <c r="F89" s="196"/>
      <c r="G89" s="196"/>
      <c r="H89" s="196"/>
      <c r="I89" s="196"/>
      <c r="J89" s="196"/>
      <c r="K89" s="196"/>
      <c r="L89" s="196"/>
    </row>
    <row r="90" spans="1:12">
      <c r="A90" s="194"/>
      <c r="B90" s="195"/>
      <c r="C90" s="196"/>
      <c r="D90" s="196"/>
      <c r="E90" s="196"/>
      <c r="F90" s="196"/>
      <c r="G90" s="196"/>
      <c r="H90" s="196"/>
      <c r="I90" s="196"/>
      <c r="J90" s="196"/>
      <c r="K90" s="196"/>
      <c r="L90" s="196"/>
    </row>
    <row r="91" spans="1:12">
      <c r="A91" s="194"/>
      <c r="B91" s="195"/>
      <c r="C91" s="196"/>
      <c r="D91" s="196"/>
      <c r="E91" s="196"/>
      <c r="F91" s="196"/>
      <c r="G91" s="196"/>
      <c r="H91" s="196"/>
      <c r="I91" s="196"/>
      <c r="J91" s="196"/>
      <c r="K91" s="196"/>
      <c r="L91" s="196"/>
    </row>
    <row r="92" spans="1:12">
      <c r="A92" s="194"/>
      <c r="B92" s="195"/>
      <c r="C92" s="196"/>
      <c r="D92" s="196"/>
      <c r="E92" s="196"/>
      <c r="F92" s="196"/>
      <c r="G92" s="196"/>
      <c r="H92" s="196"/>
      <c r="I92" s="196"/>
      <c r="J92" s="196"/>
      <c r="K92" s="196"/>
      <c r="L92" s="196"/>
    </row>
    <row r="93" spans="1:12">
      <c r="A93" s="194"/>
      <c r="B93" s="195"/>
      <c r="C93" s="196"/>
      <c r="D93" s="196"/>
      <c r="E93" s="196"/>
      <c r="F93" s="196"/>
      <c r="G93" s="196"/>
      <c r="H93" s="196"/>
      <c r="I93" s="196"/>
      <c r="J93" s="196"/>
      <c r="K93" s="196"/>
      <c r="L93" s="196"/>
    </row>
    <row r="94" spans="1:12">
      <c r="A94" s="194"/>
      <c r="B94" s="195"/>
      <c r="C94" s="196"/>
      <c r="D94" s="196"/>
      <c r="E94" s="196"/>
      <c r="F94" s="196"/>
      <c r="G94" s="196"/>
      <c r="H94" s="196"/>
      <c r="I94" s="196"/>
      <c r="J94" s="196"/>
      <c r="K94" s="196"/>
      <c r="L94" s="196"/>
    </row>
    <row r="95" spans="1:12">
      <c r="A95" s="194"/>
      <c r="B95" s="195"/>
      <c r="C95" s="196"/>
      <c r="D95" s="196"/>
      <c r="E95" s="196"/>
      <c r="F95" s="196"/>
      <c r="G95" s="196"/>
      <c r="H95" s="196"/>
      <c r="I95" s="196"/>
      <c r="J95" s="196"/>
      <c r="K95" s="196"/>
      <c r="L95" s="196"/>
    </row>
    <row r="96" spans="1:12">
      <c r="A96" s="194"/>
      <c r="B96" s="195"/>
      <c r="C96" s="196"/>
      <c r="D96" s="196"/>
      <c r="E96" s="196"/>
      <c r="F96" s="196"/>
      <c r="G96" s="196"/>
      <c r="H96" s="196"/>
      <c r="I96" s="196"/>
      <c r="J96" s="196"/>
      <c r="K96" s="196"/>
      <c r="L96" s="196"/>
    </row>
    <row r="97" spans="1:12">
      <c r="A97" s="194"/>
      <c r="B97" s="195"/>
      <c r="C97" s="196"/>
      <c r="D97" s="196"/>
      <c r="E97" s="196"/>
      <c r="F97" s="196"/>
      <c r="G97" s="196"/>
      <c r="H97" s="196"/>
      <c r="I97" s="196"/>
      <c r="J97" s="196"/>
      <c r="K97" s="196"/>
      <c r="L97" s="196"/>
    </row>
    <row r="98" spans="1:12">
      <c r="A98" s="194"/>
      <c r="B98" s="195"/>
      <c r="C98" s="196"/>
      <c r="D98" s="196"/>
      <c r="E98" s="196"/>
      <c r="F98" s="196"/>
      <c r="G98" s="196"/>
      <c r="H98" s="196"/>
      <c r="I98" s="196"/>
      <c r="J98" s="196"/>
      <c r="K98" s="196"/>
      <c r="L98" s="196"/>
    </row>
    <row r="99" spans="1:12">
      <c r="A99" s="194"/>
      <c r="B99" s="195"/>
      <c r="C99" s="196"/>
      <c r="D99" s="196"/>
      <c r="E99" s="196"/>
      <c r="F99" s="196"/>
      <c r="G99" s="196"/>
      <c r="H99" s="196"/>
      <c r="I99" s="196"/>
      <c r="J99" s="196"/>
      <c r="K99" s="196"/>
      <c r="L99" s="196"/>
    </row>
    <row r="100" spans="1:12">
      <c r="A100" s="194"/>
      <c r="B100" s="195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</row>
    <row r="101" spans="1:12">
      <c r="A101" s="194"/>
      <c r="B101" s="195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</row>
    <row r="102" spans="1:12">
      <c r="A102" s="194"/>
      <c r="B102" s="195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</row>
    <row r="103" spans="1:12">
      <c r="A103" s="194"/>
      <c r="B103" s="195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</row>
    <row r="104" spans="1:12">
      <c r="A104" s="194"/>
      <c r="B104" s="195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</row>
    <row r="105" spans="1:12">
      <c r="A105" s="194"/>
      <c r="B105" s="195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</row>
    <row r="106" spans="1:12">
      <c r="A106" s="194"/>
      <c r="B106" s="195"/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</row>
    <row r="107" spans="1:12">
      <c r="A107" s="194"/>
      <c r="B107" s="195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</row>
    <row r="108" spans="1:12">
      <c r="A108" s="194"/>
      <c r="B108" s="195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</row>
    <row r="109" spans="1:12">
      <c r="A109" s="194"/>
      <c r="B109" s="195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</row>
    <row r="110" spans="1:12">
      <c r="A110" s="194"/>
      <c r="B110" s="195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</row>
    <row r="111" spans="1:12">
      <c r="A111" s="194"/>
      <c r="B111" s="195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</row>
    <row r="112" spans="1:12">
      <c r="A112" s="194"/>
      <c r="B112" s="195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</row>
    <row r="113" spans="1:12">
      <c r="A113" s="194"/>
      <c r="B113" s="195"/>
      <c r="C113" s="196"/>
      <c r="D113" s="196"/>
      <c r="E113" s="196"/>
      <c r="F113" s="196"/>
      <c r="G113" s="196"/>
      <c r="H113" s="196"/>
      <c r="I113" s="196"/>
      <c r="J113" s="196"/>
      <c r="K113" s="196"/>
      <c r="L113" s="196"/>
    </row>
    <row r="114" spans="1:12">
      <c r="A114" s="194"/>
      <c r="B114" s="195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</row>
    <row r="115" spans="1:12">
      <c r="A115" s="194"/>
      <c r="B115" s="195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</row>
    <row r="116" spans="1:12">
      <c r="A116" s="194"/>
      <c r="B116" s="195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</row>
    <row r="117" spans="1:12">
      <c r="A117" s="194"/>
      <c r="B117" s="195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</row>
    <row r="118" spans="1:12">
      <c r="A118" s="194"/>
      <c r="B118" s="195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</row>
    <row r="119" spans="1:12">
      <c r="A119" s="194"/>
      <c r="B119" s="195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</row>
    <row r="120" spans="1:12">
      <c r="A120" s="194"/>
      <c r="B120" s="195"/>
      <c r="C120" s="196"/>
      <c r="D120" s="196"/>
      <c r="E120" s="196"/>
      <c r="F120" s="196"/>
      <c r="G120" s="196"/>
      <c r="H120" s="196"/>
      <c r="I120" s="196"/>
      <c r="J120" s="196"/>
      <c r="K120" s="196"/>
      <c r="L120" s="196"/>
    </row>
    <row r="121" spans="1:12">
      <c r="A121" s="194"/>
      <c r="B121" s="195"/>
      <c r="C121" s="196"/>
      <c r="D121" s="196"/>
      <c r="E121" s="196"/>
      <c r="F121" s="196"/>
      <c r="G121" s="196"/>
      <c r="H121" s="196"/>
      <c r="I121" s="196"/>
      <c r="J121" s="196"/>
      <c r="K121" s="196"/>
      <c r="L121" s="196"/>
    </row>
    <row r="122" spans="1:12">
      <c r="A122" s="194"/>
      <c r="B122" s="195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</row>
    <row r="123" spans="1:12">
      <c r="A123" s="194"/>
      <c r="B123" s="195"/>
      <c r="C123" s="196"/>
      <c r="D123" s="196"/>
      <c r="E123" s="196"/>
      <c r="F123" s="196"/>
      <c r="G123" s="196"/>
      <c r="H123" s="196"/>
      <c r="I123" s="196"/>
      <c r="J123" s="196"/>
      <c r="K123" s="196"/>
      <c r="L123" s="196"/>
    </row>
    <row r="124" spans="1:12">
      <c r="A124" s="194"/>
      <c r="B124" s="195"/>
      <c r="C124" s="196"/>
      <c r="D124" s="196"/>
      <c r="E124" s="196"/>
      <c r="F124" s="196"/>
      <c r="G124" s="196"/>
      <c r="H124" s="196"/>
      <c r="I124" s="196"/>
      <c r="J124" s="196"/>
      <c r="K124" s="196"/>
      <c r="L124" s="196"/>
    </row>
  </sheetData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>
  <sheetPr>
    <tabColor rgb="FF0070C0"/>
  </sheetPr>
  <dimension ref="A1:L232"/>
  <sheetViews>
    <sheetView workbookViewId="0">
      <selection activeCell="B2" sqref="B2"/>
    </sheetView>
  </sheetViews>
  <sheetFormatPr defaultRowHeight="15"/>
  <cols>
    <col min="1" max="1" width="16.5703125" style="197" customWidth="1"/>
    <col min="2" max="2" width="46.7109375" style="198" customWidth="1"/>
    <col min="3" max="12" width="15.28515625" style="199" bestFit="1" customWidth="1"/>
    <col min="13" max="16384" width="9.140625" style="193"/>
  </cols>
  <sheetData>
    <row r="1" spans="1:12" ht="22.5">
      <c r="A1" s="203" t="s">
        <v>512</v>
      </c>
      <c r="B1" s="204" t="s">
        <v>513</v>
      </c>
      <c r="C1" s="205" t="s">
        <v>516</v>
      </c>
      <c r="D1" s="205" t="s">
        <v>517</v>
      </c>
      <c r="E1" s="205" t="s">
        <v>518</v>
      </c>
      <c r="F1" s="205" t="s">
        <v>519</v>
      </c>
      <c r="G1" s="205" t="s">
        <v>520</v>
      </c>
      <c r="H1" s="205" t="s">
        <v>521</v>
      </c>
      <c r="I1" s="205" t="s">
        <v>522</v>
      </c>
      <c r="J1" s="205" t="s">
        <v>523</v>
      </c>
      <c r="K1" s="205" t="s">
        <v>524</v>
      </c>
      <c r="L1" s="205" t="s">
        <v>525</v>
      </c>
    </row>
    <row r="2" spans="1:12">
      <c r="A2" s="194" t="s">
        <v>538</v>
      </c>
      <c r="B2" s="195" t="s">
        <v>539</v>
      </c>
      <c r="C2" s="196">
        <v>7561.33</v>
      </c>
      <c r="D2" s="196">
        <v>0</v>
      </c>
      <c r="E2" s="196">
        <v>8616.17</v>
      </c>
      <c r="F2" s="196">
        <v>0</v>
      </c>
      <c r="G2" s="196">
        <v>927.52</v>
      </c>
      <c r="H2" s="196">
        <v>0</v>
      </c>
      <c r="I2" s="196">
        <v>1982.36</v>
      </c>
      <c r="J2" s="196">
        <v>0</v>
      </c>
      <c r="K2" s="196">
        <v>9543.69</v>
      </c>
      <c r="L2" s="196">
        <v>0</v>
      </c>
    </row>
    <row r="3" spans="1:12">
      <c r="A3" s="194" t="s">
        <v>540</v>
      </c>
      <c r="B3" s="195" t="s">
        <v>22</v>
      </c>
      <c r="C3" s="196">
        <v>247842.96</v>
      </c>
      <c r="D3" s="196">
        <v>0</v>
      </c>
      <c r="E3" s="196">
        <v>247842.96</v>
      </c>
      <c r="F3" s="196">
        <v>0</v>
      </c>
      <c r="G3" s="196">
        <v>0</v>
      </c>
      <c r="H3" s="196">
        <v>0</v>
      </c>
      <c r="I3" s="196">
        <v>0</v>
      </c>
      <c r="J3" s="196">
        <v>0</v>
      </c>
      <c r="K3" s="196">
        <v>247842.96</v>
      </c>
      <c r="L3" s="196">
        <v>0</v>
      </c>
    </row>
    <row r="4" spans="1:12">
      <c r="A4" s="194" t="s">
        <v>541</v>
      </c>
      <c r="B4" s="195" t="s">
        <v>542</v>
      </c>
      <c r="C4" s="196">
        <v>72797.279999999999</v>
      </c>
      <c r="D4" s="196">
        <v>0</v>
      </c>
      <c r="E4" s="196">
        <v>102149.27</v>
      </c>
      <c r="F4" s="196">
        <v>0</v>
      </c>
      <c r="G4" s="196">
        <v>16392</v>
      </c>
      <c r="H4" s="196">
        <v>247</v>
      </c>
      <c r="I4" s="196">
        <v>46791</v>
      </c>
      <c r="J4" s="196">
        <v>1294.01</v>
      </c>
      <c r="K4" s="196">
        <v>118294.27</v>
      </c>
      <c r="L4" s="196">
        <v>0</v>
      </c>
    </row>
    <row r="5" spans="1:12">
      <c r="A5" s="194" t="s">
        <v>543</v>
      </c>
      <c r="B5" s="195" t="s">
        <v>544</v>
      </c>
      <c r="C5" s="196">
        <v>29137.8</v>
      </c>
      <c r="D5" s="196">
        <v>0</v>
      </c>
      <c r="E5" s="196">
        <v>117396.49</v>
      </c>
      <c r="F5" s="196">
        <v>0</v>
      </c>
      <c r="G5" s="196">
        <v>70442.149999999994</v>
      </c>
      <c r="H5" s="196">
        <v>21986.06</v>
      </c>
      <c r="I5" s="196">
        <v>158700.84</v>
      </c>
      <c r="J5" s="196">
        <v>21986.06</v>
      </c>
      <c r="K5" s="196">
        <v>165852.57999999999</v>
      </c>
      <c r="L5" s="196">
        <v>0</v>
      </c>
    </row>
    <row r="6" spans="1:12">
      <c r="A6" s="194" t="s">
        <v>545</v>
      </c>
      <c r="B6" s="195" t="s">
        <v>546</v>
      </c>
      <c r="C6" s="196">
        <v>173</v>
      </c>
      <c r="D6" s="196">
        <v>0</v>
      </c>
      <c r="E6" s="196">
        <v>173</v>
      </c>
      <c r="F6" s="196">
        <v>0</v>
      </c>
      <c r="G6" s="196">
        <v>0</v>
      </c>
      <c r="H6" s="196">
        <v>0</v>
      </c>
      <c r="I6" s="196">
        <v>0</v>
      </c>
      <c r="J6" s="196">
        <v>0</v>
      </c>
      <c r="K6" s="196">
        <v>173</v>
      </c>
      <c r="L6" s="196">
        <v>0</v>
      </c>
    </row>
    <row r="7" spans="1:12">
      <c r="A7" s="194" t="s">
        <v>547</v>
      </c>
      <c r="B7" s="195" t="s">
        <v>548</v>
      </c>
      <c r="C7" s="196">
        <v>0</v>
      </c>
      <c r="D7" s="196">
        <v>0</v>
      </c>
      <c r="E7" s="196">
        <v>927.52</v>
      </c>
      <c r="F7" s="196">
        <v>0</v>
      </c>
      <c r="G7" s="196">
        <v>0</v>
      </c>
      <c r="H7" s="196">
        <v>927.52</v>
      </c>
      <c r="I7" s="196">
        <v>1982.36</v>
      </c>
      <c r="J7" s="196">
        <v>1982.36</v>
      </c>
      <c r="K7" s="196">
        <v>0</v>
      </c>
      <c r="L7" s="196">
        <v>0</v>
      </c>
    </row>
    <row r="8" spans="1:12">
      <c r="A8" s="194" t="s">
        <v>549</v>
      </c>
      <c r="B8" s="195" t="s">
        <v>550</v>
      </c>
      <c r="C8" s="196">
        <v>0</v>
      </c>
      <c r="D8" s="196">
        <v>0</v>
      </c>
      <c r="E8" s="196">
        <v>792.01</v>
      </c>
      <c r="F8" s="196">
        <v>0</v>
      </c>
      <c r="G8" s="196">
        <v>86042.14</v>
      </c>
      <c r="H8" s="196">
        <v>86834.15</v>
      </c>
      <c r="I8" s="196">
        <v>205491.84</v>
      </c>
      <c r="J8" s="196">
        <v>205491.84</v>
      </c>
      <c r="K8" s="196">
        <v>0</v>
      </c>
      <c r="L8" s="196">
        <v>0</v>
      </c>
    </row>
    <row r="9" spans="1:12">
      <c r="A9" s="194" t="s">
        <v>551</v>
      </c>
      <c r="B9" s="195" t="s">
        <v>552</v>
      </c>
      <c r="C9" s="196">
        <v>-127</v>
      </c>
      <c r="D9" s="196">
        <v>0</v>
      </c>
      <c r="E9" s="196">
        <v>-1650</v>
      </c>
      <c r="F9" s="196">
        <v>0</v>
      </c>
      <c r="G9" s="196">
        <v>0</v>
      </c>
      <c r="H9" s="196">
        <v>149</v>
      </c>
      <c r="I9" s="196">
        <v>0</v>
      </c>
      <c r="J9" s="196">
        <v>1672</v>
      </c>
      <c r="K9" s="196">
        <v>-1799</v>
      </c>
      <c r="L9" s="196">
        <v>0</v>
      </c>
    </row>
    <row r="10" spans="1:12">
      <c r="A10" s="194" t="s">
        <v>553</v>
      </c>
      <c r="B10" s="195" t="s">
        <v>554</v>
      </c>
      <c r="C10" s="196">
        <v>-37112.35</v>
      </c>
      <c r="D10" s="196">
        <v>0</v>
      </c>
      <c r="E10" s="196">
        <v>-71131.61</v>
      </c>
      <c r="F10" s="196">
        <v>0</v>
      </c>
      <c r="G10" s="196">
        <v>0</v>
      </c>
      <c r="H10" s="196">
        <v>3092.66</v>
      </c>
      <c r="I10" s="196">
        <v>0</v>
      </c>
      <c r="J10" s="196">
        <v>37111.919999999998</v>
      </c>
      <c r="K10" s="196">
        <v>-74224.27</v>
      </c>
      <c r="L10" s="196">
        <v>0</v>
      </c>
    </row>
    <row r="11" spans="1:12">
      <c r="A11" s="194" t="s">
        <v>555</v>
      </c>
      <c r="B11" s="195" t="s">
        <v>556</v>
      </c>
      <c r="C11" s="196">
        <v>-2231</v>
      </c>
      <c r="D11" s="196">
        <v>0</v>
      </c>
      <c r="E11" s="196">
        <v>-35006</v>
      </c>
      <c r="F11" s="196">
        <v>0</v>
      </c>
      <c r="G11" s="196">
        <v>22233.06</v>
      </c>
      <c r="H11" s="196">
        <v>20115.060000000001</v>
      </c>
      <c r="I11" s="196">
        <v>23280.07</v>
      </c>
      <c r="J11" s="196">
        <v>53937.07</v>
      </c>
      <c r="K11" s="196">
        <v>-32888</v>
      </c>
      <c r="L11" s="196">
        <v>0</v>
      </c>
    </row>
    <row r="12" spans="1:12">
      <c r="A12" s="194" t="s">
        <v>557</v>
      </c>
      <c r="B12" s="195" t="s">
        <v>558</v>
      </c>
      <c r="C12" s="196">
        <v>-173</v>
      </c>
      <c r="D12" s="196">
        <v>0</v>
      </c>
      <c r="E12" s="196">
        <v>-173</v>
      </c>
      <c r="F12" s="196">
        <v>0</v>
      </c>
      <c r="G12" s="196">
        <v>0</v>
      </c>
      <c r="H12" s="196">
        <v>0</v>
      </c>
      <c r="I12" s="196">
        <v>0</v>
      </c>
      <c r="J12" s="196">
        <v>0</v>
      </c>
      <c r="K12" s="196">
        <v>-173</v>
      </c>
      <c r="L12" s="196">
        <v>0</v>
      </c>
    </row>
    <row r="13" spans="1:12">
      <c r="A13" s="194" t="s">
        <v>559</v>
      </c>
      <c r="B13" s="195" t="s">
        <v>560</v>
      </c>
      <c r="C13" s="196">
        <v>51.57</v>
      </c>
      <c r="D13" s="196">
        <v>0</v>
      </c>
      <c r="E13" s="196">
        <v>0</v>
      </c>
      <c r="F13" s="196">
        <v>0</v>
      </c>
      <c r="G13" s="196">
        <v>0</v>
      </c>
      <c r="H13" s="196">
        <v>0</v>
      </c>
      <c r="I13" s="196">
        <v>0</v>
      </c>
      <c r="J13" s="196">
        <v>51.57</v>
      </c>
      <c r="K13" s="196">
        <v>0</v>
      </c>
      <c r="L13" s="196">
        <v>0</v>
      </c>
    </row>
    <row r="14" spans="1:12">
      <c r="A14" s="194" t="s">
        <v>561</v>
      </c>
      <c r="B14" s="195" t="s">
        <v>562</v>
      </c>
      <c r="C14" s="196">
        <v>46</v>
      </c>
      <c r="D14" s="196">
        <v>0</v>
      </c>
      <c r="E14" s="196">
        <v>0</v>
      </c>
      <c r="F14" s="196">
        <v>0</v>
      </c>
      <c r="G14" s="196">
        <v>0</v>
      </c>
      <c r="H14" s="196">
        <v>0</v>
      </c>
      <c r="I14" s="196">
        <v>0</v>
      </c>
      <c r="J14" s="196">
        <v>46</v>
      </c>
      <c r="K14" s="196">
        <v>0</v>
      </c>
      <c r="L14" s="196">
        <v>0</v>
      </c>
    </row>
    <row r="15" spans="1:12">
      <c r="A15" s="194" t="s">
        <v>563</v>
      </c>
      <c r="B15" s="195" t="s">
        <v>564</v>
      </c>
      <c r="C15" s="196">
        <v>60.29</v>
      </c>
      <c r="D15" s="196">
        <v>0</v>
      </c>
      <c r="E15" s="196">
        <v>0</v>
      </c>
      <c r="F15" s="196">
        <v>0</v>
      </c>
      <c r="G15" s="196">
        <v>0</v>
      </c>
      <c r="H15" s="196">
        <v>0</v>
      </c>
      <c r="I15" s="196">
        <v>0</v>
      </c>
      <c r="J15" s="196">
        <v>60.29</v>
      </c>
      <c r="K15" s="196">
        <v>0</v>
      </c>
      <c r="L15" s="196">
        <v>0</v>
      </c>
    </row>
    <row r="16" spans="1:12">
      <c r="A16" s="194" t="s">
        <v>565</v>
      </c>
      <c r="B16" s="195" t="s">
        <v>566</v>
      </c>
      <c r="C16" s="196">
        <v>55.2</v>
      </c>
      <c r="D16" s="196">
        <v>0</v>
      </c>
      <c r="E16" s="196">
        <v>0</v>
      </c>
      <c r="F16" s="196">
        <v>0</v>
      </c>
      <c r="G16" s="196">
        <v>0</v>
      </c>
      <c r="H16" s="196">
        <v>0</v>
      </c>
      <c r="I16" s="196">
        <v>0</v>
      </c>
      <c r="J16" s="196">
        <v>55.2</v>
      </c>
      <c r="K16" s="196">
        <v>0</v>
      </c>
      <c r="L16" s="196">
        <v>0</v>
      </c>
    </row>
    <row r="17" spans="1:12">
      <c r="A17" s="194" t="s">
        <v>567</v>
      </c>
      <c r="B17" s="195" t="s">
        <v>568</v>
      </c>
      <c r="C17" s="196">
        <v>63.39</v>
      </c>
      <c r="D17" s="196">
        <v>0</v>
      </c>
      <c r="E17" s="196">
        <v>0</v>
      </c>
      <c r="F17" s="196">
        <v>0</v>
      </c>
      <c r="G17" s="196">
        <v>0</v>
      </c>
      <c r="H17" s="196">
        <v>0</v>
      </c>
      <c r="I17" s="196">
        <v>0</v>
      </c>
      <c r="J17" s="196">
        <v>63.39</v>
      </c>
      <c r="K17" s="196">
        <v>0</v>
      </c>
      <c r="L17" s="196">
        <v>0</v>
      </c>
    </row>
    <row r="18" spans="1:12">
      <c r="A18" s="194" t="s">
        <v>569</v>
      </c>
      <c r="B18" s="195" t="s">
        <v>570</v>
      </c>
      <c r="C18" s="196">
        <v>51.75</v>
      </c>
      <c r="D18" s="196">
        <v>0</v>
      </c>
      <c r="E18" s="196">
        <v>0</v>
      </c>
      <c r="F18" s="196">
        <v>0</v>
      </c>
      <c r="G18" s="196">
        <v>0</v>
      </c>
      <c r="H18" s="196">
        <v>0</v>
      </c>
      <c r="I18" s="196">
        <v>0</v>
      </c>
      <c r="J18" s="196">
        <v>51.75</v>
      </c>
      <c r="K18" s="196">
        <v>0</v>
      </c>
      <c r="L18" s="196">
        <v>0</v>
      </c>
    </row>
    <row r="19" spans="1:12">
      <c r="A19" s="194" t="s">
        <v>571</v>
      </c>
      <c r="B19" s="195" t="s">
        <v>572</v>
      </c>
      <c r="C19" s="196">
        <v>43.7</v>
      </c>
      <c r="D19" s="196">
        <v>0</v>
      </c>
      <c r="E19" s="196">
        <v>0</v>
      </c>
      <c r="F19" s="196">
        <v>0</v>
      </c>
      <c r="G19" s="196">
        <v>0</v>
      </c>
      <c r="H19" s="196">
        <v>0</v>
      </c>
      <c r="I19" s="196">
        <v>0</v>
      </c>
      <c r="J19" s="196">
        <v>43.7</v>
      </c>
      <c r="K19" s="196">
        <v>0</v>
      </c>
      <c r="L19" s="196">
        <v>0</v>
      </c>
    </row>
    <row r="20" spans="1:12">
      <c r="A20" s="197" t="s">
        <v>573</v>
      </c>
      <c r="B20" s="198" t="s">
        <v>574</v>
      </c>
      <c r="C20" s="199">
        <v>71.58</v>
      </c>
      <c r="D20" s="199">
        <v>0</v>
      </c>
      <c r="E20" s="199">
        <v>0</v>
      </c>
      <c r="F20" s="199">
        <v>0</v>
      </c>
      <c r="G20" s="199">
        <v>0</v>
      </c>
      <c r="H20" s="199">
        <v>0</v>
      </c>
      <c r="I20" s="199">
        <v>0</v>
      </c>
      <c r="J20" s="199">
        <v>71.58</v>
      </c>
      <c r="K20" s="199">
        <v>0</v>
      </c>
      <c r="L20" s="199">
        <v>0</v>
      </c>
    </row>
    <row r="21" spans="1:12">
      <c r="A21" s="197" t="s">
        <v>575</v>
      </c>
      <c r="B21" s="198" t="s">
        <v>576</v>
      </c>
      <c r="C21" s="199">
        <v>0</v>
      </c>
      <c r="D21" s="199">
        <v>0</v>
      </c>
      <c r="E21" s="199">
        <v>3775.83</v>
      </c>
      <c r="F21" s="199">
        <v>0</v>
      </c>
      <c r="G21" s="199">
        <v>140272.47</v>
      </c>
      <c r="H21" s="199">
        <v>144048.29999999999</v>
      </c>
      <c r="I21" s="199">
        <v>932885.91</v>
      </c>
      <c r="J21" s="199">
        <v>932885.91</v>
      </c>
      <c r="K21" s="199">
        <v>0</v>
      </c>
      <c r="L21" s="199">
        <v>0</v>
      </c>
    </row>
    <row r="22" spans="1:12">
      <c r="A22" s="197" t="s">
        <v>577</v>
      </c>
      <c r="B22" s="198" t="s">
        <v>578</v>
      </c>
      <c r="C22" s="199">
        <v>1120195.19</v>
      </c>
      <c r="D22" s="199">
        <v>0</v>
      </c>
      <c r="E22" s="199">
        <v>1173001.96</v>
      </c>
      <c r="F22" s="199">
        <v>0</v>
      </c>
      <c r="G22" s="199">
        <v>285356.76</v>
      </c>
      <c r="H22" s="199">
        <v>363278.32</v>
      </c>
      <c r="I22" s="199">
        <v>1591319.55</v>
      </c>
      <c r="J22" s="199">
        <v>1616434.34</v>
      </c>
      <c r="K22" s="199">
        <v>1095080.3999999999</v>
      </c>
      <c r="L22" s="199">
        <v>0</v>
      </c>
    </row>
    <row r="23" spans="1:12">
      <c r="A23" s="197" t="s">
        <v>579</v>
      </c>
      <c r="B23" s="198" t="s">
        <v>580</v>
      </c>
      <c r="C23" s="199">
        <v>0</v>
      </c>
      <c r="D23" s="199">
        <v>0</v>
      </c>
      <c r="E23" s="199">
        <v>0</v>
      </c>
      <c r="F23" s="199">
        <v>0</v>
      </c>
      <c r="G23" s="199">
        <v>35.6</v>
      </c>
      <c r="H23" s="199">
        <v>0</v>
      </c>
      <c r="I23" s="199">
        <v>35.6</v>
      </c>
      <c r="J23" s="199">
        <v>0</v>
      </c>
      <c r="K23" s="199">
        <v>35.6</v>
      </c>
      <c r="L23" s="199">
        <v>0</v>
      </c>
    </row>
    <row r="24" spans="1:12">
      <c r="A24" s="197" t="s">
        <v>581</v>
      </c>
      <c r="B24" s="198" t="s">
        <v>582</v>
      </c>
      <c r="C24" s="199">
        <v>0</v>
      </c>
      <c r="D24" s="199">
        <v>0</v>
      </c>
      <c r="E24" s="199">
        <v>0</v>
      </c>
      <c r="F24" s="199">
        <v>0</v>
      </c>
      <c r="G24" s="199">
        <v>0</v>
      </c>
      <c r="H24" s="199">
        <v>10199</v>
      </c>
      <c r="I24" s="199">
        <v>0</v>
      </c>
      <c r="J24" s="199">
        <v>10199</v>
      </c>
      <c r="K24" s="199">
        <v>-10199</v>
      </c>
      <c r="L24" s="199">
        <v>0</v>
      </c>
    </row>
    <row r="25" spans="1:12">
      <c r="A25" s="197" t="s">
        <v>583</v>
      </c>
      <c r="B25" s="198" t="s">
        <v>584</v>
      </c>
      <c r="C25" s="199">
        <v>1562.03</v>
      </c>
      <c r="D25" s="199">
        <v>0</v>
      </c>
      <c r="E25" s="199">
        <v>3209.49</v>
      </c>
      <c r="F25" s="199">
        <v>0</v>
      </c>
      <c r="G25" s="199">
        <v>3500</v>
      </c>
      <c r="H25" s="199">
        <v>2816.11</v>
      </c>
      <c r="I25" s="199">
        <v>43529.07</v>
      </c>
      <c r="J25" s="199">
        <v>41197.72</v>
      </c>
      <c r="K25" s="199">
        <v>3893.38</v>
      </c>
      <c r="L25" s="199">
        <v>0</v>
      </c>
    </row>
    <row r="26" spans="1:12">
      <c r="A26" s="197" t="s">
        <v>585</v>
      </c>
      <c r="B26" s="198" t="s">
        <v>586</v>
      </c>
      <c r="C26" s="199">
        <v>0</v>
      </c>
      <c r="D26" s="199">
        <v>0</v>
      </c>
      <c r="E26" s="199">
        <v>15.79</v>
      </c>
      <c r="F26" s="199">
        <v>0</v>
      </c>
      <c r="G26" s="199">
        <v>0</v>
      </c>
      <c r="H26" s="199">
        <v>0</v>
      </c>
      <c r="I26" s="199">
        <v>449.95</v>
      </c>
      <c r="J26" s="199">
        <v>434.16</v>
      </c>
      <c r="K26" s="199">
        <v>15.79</v>
      </c>
      <c r="L26" s="199">
        <v>0</v>
      </c>
    </row>
    <row r="27" spans="1:12">
      <c r="A27" s="197" t="s">
        <v>587</v>
      </c>
      <c r="B27" s="198" t="s">
        <v>588</v>
      </c>
      <c r="C27" s="199">
        <v>0</v>
      </c>
      <c r="D27" s="199">
        <v>0</v>
      </c>
      <c r="E27" s="199">
        <v>0</v>
      </c>
      <c r="F27" s="199">
        <v>0</v>
      </c>
      <c r="G27" s="199">
        <v>0</v>
      </c>
      <c r="H27" s="199">
        <v>0</v>
      </c>
      <c r="I27" s="199">
        <v>2007.01</v>
      </c>
      <c r="J27" s="199">
        <v>2007.01</v>
      </c>
      <c r="K27" s="199">
        <v>0</v>
      </c>
      <c r="L27" s="199">
        <v>0</v>
      </c>
    </row>
    <row r="28" spans="1:12">
      <c r="A28" s="197" t="s">
        <v>589</v>
      </c>
      <c r="B28" s="198" t="s">
        <v>590</v>
      </c>
      <c r="C28" s="199">
        <v>0</v>
      </c>
      <c r="D28" s="199">
        <v>0</v>
      </c>
      <c r="E28" s="199">
        <v>0</v>
      </c>
      <c r="F28" s="199">
        <v>0</v>
      </c>
      <c r="G28" s="199">
        <v>84.85</v>
      </c>
      <c r="H28" s="199">
        <v>0</v>
      </c>
      <c r="I28" s="199">
        <v>84.85</v>
      </c>
      <c r="J28" s="199">
        <v>0</v>
      </c>
      <c r="K28" s="199">
        <v>84.85</v>
      </c>
      <c r="L28" s="199">
        <v>0</v>
      </c>
    </row>
    <row r="29" spans="1:12">
      <c r="A29" s="197" t="s">
        <v>591</v>
      </c>
      <c r="B29" s="198" t="s">
        <v>592</v>
      </c>
      <c r="C29" s="199">
        <v>1750</v>
      </c>
      <c r="D29" s="199">
        <v>0</v>
      </c>
      <c r="E29" s="199">
        <v>1708</v>
      </c>
      <c r="F29" s="199">
        <v>0</v>
      </c>
      <c r="G29" s="199">
        <v>0</v>
      </c>
      <c r="H29" s="199">
        <v>497</v>
      </c>
      <c r="I29" s="199">
        <v>7000</v>
      </c>
      <c r="J29" s="199">
        <v>7539</v>
      </c>
      <c r="K29" s="199">
        <v>1211</v>
      </c>
      <c r="L29" s="199">
        <v>0</v>
      </c>
    </row>
    <row r="30" spans="1:12">
      <c r="A30" s="197" t="s">
        <v>593</v>
      </c>
      <c r="B30" s="198" t="s">
        <v>594</v>
      </c>
      <c r="C30" s="199">
        <v>38080.99</v>
      </c>
      <c r="D30" s="199">
        <v>0</v>
      </c>
      <c r="E30" s="199">
        <v>15938.66</v>
      </c>
      <c r="F30" s="199">
        <v>0</v>
      </c>
      <c r="G30" s="199">
        <v>204702.7</v>
      </c>
      <c r="H30" s="199">
        <v>122420.69</v>
      </c>
      <c r="I30" s="199">
        <v>1588313.21</v>
      </c>
      <c r="J30" s="199">
        <v>1528173.53</v>
      </c>
      <c r="K30" s="199">
        <v>98220.67</v>
      </c>
      <c r="L30" s="199">
        <v>0</v>
      </c>
    </row>
    <row r="31" spans="1:12">
      <c r="A31" s="197" t="s">
        <v>595</v>
      </c>
      <c r="B31" s="198" t="s">
        <v>596</v>
      </c>
      <c r="C31" s="199">
        <v>0</v>
      </c>
      <c r="D31" s="199">
        <v>0</v>
      </c>
      <c r="E31" s="199">
        <v>0</v>
      </c>
      <c r="F31" s="199">
        <v>0</v>
      </c>
      <c r="G31" s="199">
        <v>272.83</v>
      </c>
      <c r="H31" s="199">
        <v>0</v>
      </c>
      <c r="I31" s="199">
        <v>272.83</v>
      </c>
      <c r="J31" s="199">
        <v>0</v>
      </c>
      <c r="K31" s="199">
        <v>272.83</v>
      </c>
      <c r="L31" s="199">
        <v>0</v>
      </c>
    </row>
    <row r="32" spans="1:12">
      <c r="A32" s="197" t="s">
        <v>597</v>
      </c>
      <c r="B32" s="198" t="s">
        <v>598</v>
      </c>
      <c r="C32" s="199">
        <v>0</v>
      </c>
      <c r="D32" s="199">
        <v>0</v>
      </c>
      <c r="E32" s="199">
        <v>0</v>
      </c>
      <c r="F32" s="199">
        <v>0</v>
      </c>
      <c r="G32" s="199">
        <v>2023.16</v>
      </c>
      <c r="H32" s="199">
        <v>0</v>
      </c>
      <c r="I32" s="199">
        <v>2023.16</v>
      </c>
      <c r="J32" s="199">
        <v>0</v>
      </c>
      <c r="K32" s="199">
        <v>2023.16</v>
      </c>
      <c r="L32" s="199">
        <v>0</v>
      </c>
    </row>
    <row r="33" spans="1:12">
      <c r="A33" s="197" t="s">
        <v>599</v>
      </c>
      <c r="B33" s="198" t="s">
        <v>600</v>
      </c>
      <c r="C33" s="199">
        <v>0</v>
      </c>
      <c r="D33" s="199">
        <v>50000</v>
      </c>
      <c r="E33" s="199">
        <v>0</v>
      </c>
      <c r="F33" s="199">
        <v>0</v>
      </c>
      <c r="G33" s="199">
        <v>0</v>
      </c>
      <c r="H33" s="199">
        <v>0</v>
      </c>
      <c r="I33" s="199">
        <v>50000</v>
      </c>
      <c r="J33" s="199">
        <v>0</v>
      </c>
      <c r="K33" s="199">
        <v>0</v>
      </c>
      <c r="L33" s="199">
        <v>0</v>
      </c>
    </row>
    <row r="34" spans="1:12">
      <c r="A34" s="197" t="s">
        <v>601</v>
      </c>
      <c r="B34" s="198" t="s">
        <v>602</v>
      </c>
      <c r="C34" s="199">
        <v>0</v>
      </c>
      <c r="D34" s="199">
        <v>257.02999999999997</v>
      </c>
      <c r="E34" s="199">
        <v>0</v>
      </c>
      <c r="F34" s="199">
        <v>0</v>
      </c>
      <c r="G34" s="199">
        <v>0</v>
      </c>
      <c r="H34" s="199">
        <v>0</v>
      </c>
      <c r="I34" s="199">
        <v>257.02999999999997</v>
      </c>
      <c r="J34" s="199">
        <v>0</v>
      </c>
      <c r="K34" s="199">
        <v>0</v>
      </c>
      <c r="L34" s="199">
        <v>0</v>
      </c>
    </row>
    <row r="35" spans="1:12">
      <c r="A35" s="197" t="s">
        <v>603</v>
      </c>
      <c r="B35" s="198" t="s">
        <v>604</v>
      </c>
      <c r="C35" s="199">
        <v>0</v>
      </c>
      <c r="D35" s="199">
        <v>0</v>
      </c>
      <c r="E35" s="199">
        <v>2000</v>
      </c>
      <c r="F35" s="199">
        <v>0</v>
      </c>
      <c r="G35" s="199">
        <v>500</v>
      </c>
      <c r="H35" s="199">
        <v>2500</v>
      </c>
      <c r="I35" s="199">
        <v>41289.480000000003</v>
      </c>
      <c r="J35" s="199">
        <v>41289.480000000003</v>
      </c>
      <c r="K35" s="199">
        <v>0</v>
      </c>
      <c r="L35" s="199">
        <v>0</v>
      </c>
    </row>
    <row r="36" spans="1:12">
      <c r="A36" s="197" t="s">
        <v>605</v>
      </c>
      <c r="B36" s="198" t="s">
        <v>606</v>
      </c>
      <c r="C36" s="199">
        <v>831</v>
      </c>
      <c r="D36" s="199">
        <v>0</v>
      </c>
      <c r="E36" s="199">
        <v>630473.25</v>
      </c>
      <c r="F36" s="199">
        <v>0</v>
      </c>
      <c r="G36" s="199">
        <v>274749.83</v>
      </c>
      <c r="H36" s="199">
        <v>192831.95</v>
      </c>
      <c r="I36" s="199">
        <v>1616010.96</v>
      </c>
      <c r="J36" s="199">
        <v>904450.83</v>
      </c>
      <c r="K36" s="199">
        <v>712391.13</v>
      </c>
      <c r="L36" s="199">
        <v>0</v>
      </c>
    </row>
    <row r="37" spans="1:12">
      <c r="A37" s="197" t="s">
        <v>607</v>
      </c>
      <c r="B37" s="198" t="s">
        <v>608</v>
      </c>
      <c r="C37" s="199">
        <v>0</v>
      </c>
      <c r="D37" s="199">
        <v>0</v>
      </c>
      <c r="E37" s="199">
        <v>15709.23</v>
      </c>
      <c r="F37" s="199">
        <v>0</v>
      </c>
      <c r="G37" s="199">
        <v>16483.509999999998</v>
      </c>
      <c r="H37" s="199">
        <v>10598.12</v>
      </c>
      <c r="I37" s="199">
        <v>200676.27</v>
      </c>
      <c r="J37" s="199">
        <v>179081.65</v>
      </c>
      <c r="K37" s="199">
        <v>21594.62</v>
      </c>
      <c r="L37" s="199">
        <v>0</v>
      </c>
    </row>
    <row r="38" spans="1:12">
      <c r="A38" s="197" t="s">
        <v>609</v>
      </c>
      <c r="B38" s="198" t="s">
        <v>610</v>
      </c>
      <c r="C38" s="199">
        <v>445674.82</v>
      </c>
      <c r="D38" s="199">
        <v>0</v>
      </c>
      <c r="E38" s="199">
        <v>67241.960000000006</v>
      </c>
      <c r="F38" s="199">
        <v>0</v>
      </c>
      <c r="G38" s="199">
        <v>0</v>
      </c>
      <c r="H38" s="199">
        <v>16685.12</v>
      </c>
      <c r="I38" s="199">
        <v>-347.67</v>
      </c>
      <c r="J38" s="199">
        <v>394770.31</v>
      </c>
      <c r="K38" s="199">
        <v>50556.84</v>
      </c>
      <c r="L38" s="199">
        <v>0</v>
      </c>
    </row>
    <row r="39" spans="1:12">
      <c r="A39" s="197" t="s">
        <v>611</v>
      </c>
      <c r="B39" s="198" t="s">
        <v>612</v>
      </c>
      <c r="C39" s="199">
        <v>0</v>
      </c>
      <c r="D39" s="199">
        <v>0</v>
      </c>
      <c r="E39" s="199">
        <v>4022.8</v>
      </c>
      <c r="F39" s="199">
        <v>0</v>
      </c>
      <c r="G39" s="199">
        <v>2100.36</v>
      </c>
      <c r="H39" s="199">
        <v>2048</v>
      </c>
      <c r="I39" s="199">
        <v>54684.91</v>
      </c>
      <c r="J39" s="199">
        <v>50609.75</v>
      </c>
      <c r="K39" s="199">
        <v>4075.16</v>
      </c>
      <c r="L39" s="199">
        <v>0</v>
      </c>
    </row>
    <row r="40" spans="1:12">
      <c r="A40" s="197" t="s">
        <v>613</v>
      </c>
      <c r="B40" s="198" t="s">
        <v>614</v>
      </c>
      <c r="C40" s="199">
        <v>0</v>
      </c>
      <c r="D40" s="199">
        <v>0</v>
      </c>
      <c r="E40" s="199">
        <v>0</v>
      </c>
      <c r="F40" s="199">
        <v>0</v>
      </c>
      <c r="G40" s="199">
        <v>37.15</v>
      </c>
      <c r="H40" s="199">
        <v>0</v>
      </c>
      <c r="I40" s="199">
        <v>37.15</v>
      </c>
      <c r="J40" s="199">
        <v>0</v>
      </c>
      <c r="K40" s="199">
        <v>37.15</v>
      </c>
      <c r="L40" s="199">
        <v>0</v>
      </c>
    </row>
    <row r="41" spans="1:12">
      <c r="A41" s="197" t="s">
        <v>615</v>
      </c>
      <c r="B41" s="198" t="s">
        <v>616</v>
      </c>
      <c r="C41" s="199">
        <v>0</v>
      </c>
      <c r="D41" s="199">
        <v>15477.47</v>
      </c>
      <c r="E41" s="199">
        <v>0</v>
      </c>
      <c r="F41" s="199">
        <v>12116.18</v>
      </c>
      <c r="G41" s="199">
        <v>40602.1</v>
      </c>
      <c r="H41" s="199">
        <v>54739.95</v>
      </c>
      <c r="I41" s="199">
        <v>371960.9</v>
      </c>
      <c r="J41" s="199">
        <v>382737.46</v>
      </c>
      <c r="K41" s="199">
        <v>0</v>
      </c>
      <c r="L41" s="199">
        <v>26254.03</v>
      </c>
    </row>
    <row r="42" spans="1:12">
      <c r="A42" s="197" t="s">
        <v>617</v>
      </c>
      <c r="B42" s="198" t="s">
        <v>618</v>
      </c>
      <c r="C42" s="199">
        <v>0</v>
      </c>
      <c r="D42" s="199">
        <v>0</v>
      </c>
      <c r="E42" s="199">
        <v>0</v>
      </c>
      <c r="F42" s="199">
        <v>0</v>
      </c>
      <c r="G42" s="199">
        <v>15128.05</v>
      </c>
      <c r="H42" s="199">
        <v>15128.05</v>
      </c>
      <c r="I42" s="199">
        <v>72805.09</v>
      </c>
      <c r="J42" s="199">
        <v>72805.09</v>
      </c>
      <c r="K42" s="199">
        <v>0</v>
      </c>
      <c r="L42" s="199">
        <v>0</v>
      </c>
    </row>
    <row r="43" spans="1:12">
      <c r="A43" s="197" t="s">
        <v>619</v>
      </c>
      <c r="B43" s="198" t="s">
        <v>620</v>
      </c>
      <c r="C43" s="199">
        <v>0</v>
      </c>
      <c r="D43" s="199">
        <v>0</v>
      </c>
      <c r="E43" s="199">
        <v>0</v>
      </c>
      <c r="F43" s="199">
        <v>93096.33</v>
      </c>
      <c r="G43" s="199">
        <v>26472.26</v>
      </c>
      <c r="H43" s="199">
        <v>22777.759999999998</v>
      </c>
      <c r="I43" s="199">
        <v>138475.81</v>
      </c>
      <c r="J43" s="199">
        <v>227877.64</v>
      </c>
      <c r="K43" s="199">
        <v>0</v>
      </c>
      <c r="L43" s="199">
        <v>89401.83</v>
      </c>
    </row>
    <row r="44" spans="1:12">
      <c r="A44" s="197" t="s">
        <v>621</v>
      </c>
      <c r="B44" s="198" t="s">
        <v>622</v>
      </c>
      <c r="C44" s="199">
        <v>0</v>
      </c>
      <c r="D44" s="199">
        <v>0</v>
      </c>
      <c r="E44" s="199">
        <v>0</v>
      </c>
      <c r="F44" s="199">
        <v>28865.77</v>
      </c>
      <c r="G44" s="199">
        <v>11102.14</v>
      </c>
      <c r="H44" s="199">
        <v>28508.35</v>
      </c>
      <c r="I44" s="199">
        <v>81245</v>
      </c>
      <c r="J44" s="199">
        <v>127516.98</v>
      </c>
      <c r="K44" s="199">
        <v>0</v>
      </c>
      <c r="L44" s="199">
        <v>46271.98</v>
      </c>
    </row>
    <row r="45" spans="1:12">
      <c r="A45" s="197" t="s">
        <v>623</v>
      </c>
      <c r="B45" s="198" t="s">
        <v>624</v>
      </c>
      <c r="C45" s="199">
        <v>0</v>
      </c>
      <c r="D45" s="199">
        <v>0</v>
      </c>
      <c r="E45" s="199">
        <v>0</v>
      </c>
      <c r="F45" s="199">
        <v>28505.87</v>
      </c>
      <c r="G45" s="199">
        <v>2379.2199999999998</v>
      </c>
      <c r="H45" s="199">
        <v>70235.13</v>
      </c>
      <c r="I45" s="199">
        <v>124813.72</v>
      </c>
      <c r="J45" s="199">
        <v>221175.5</v>
      </c>
      <c r="K45" s="199">
        <v>0</v>
      </c>
      <c r="L45" s="199">
        <v>96361.78</v>
      </c>
    </row>
    <row r="46" spans="1:12">
      <c r="A46" s="197" t="s">
        <v>625</v>
      </c>
      <c r="B46" s="198" t="s">
        <v>626</v>
      </c>
      <c r="C46" s="199">
        <v>0</v>
      </c>
      <c r="D46" s="199">
        <v>0</v>
      </c>
      <c r="E46" s="199">
        <v>0</v>
      </c>
      <c r="F46" s="199">
        <v>102.72</v>
      </c>
      <c r="G46" s="199">
        <v>102.72</v>
      </c>
      <c r="H46" s="199">
        <v>0</v>
      </c>
      <c r="I46" s="199">
        <v>12336.08</v>
      </c>
      <c r="J46" s="199">
        <v>12336.08</v>
      </c>
      <c r="K46" s="199">
        <v>0</v>
      </c>
      <c r="L46" s="199">
        <v>0</v>
      </c>
    </row>
    <row r="47" spans="1:12">
      <c r="A47" s="197" t="s">
        <v>627</v>
      </c>
      <c r="B47" s="198" t="s">
        <v>628</v>
      </c>
      <c r="C47" s="199">
        <v>0</v>
      </c>
      <c r="D47" s="199">
        <v>0</v>
      </c>
      <c r="E47" s="199">
        <v>0</v>
      </c>
      <c r="F47" s="199">
        <v>0</v>
      </c>
      <c r="G47" s="199">
        <v>6940</v>
      </c>
      <c r="H47" s="199">
        <v>25301.7</v>
      </c>
      <c r="I47" s="199">
        <v>69478.81</v>
      </c>
      <c r="J47" s="199">
        <v>87840.51</v>
      </c>
      <c r="K47" s="199">
        <v>0</v>
      </c>
      <c r="L47" s="199">
        <v>18361.7</v>
      </c>
    </row>
    <row r="48" spans="1:12">
      <c r="A48" s="197" t="s">
        <v>629</v>
      </c>
      <c r="B48" s="198" t="s">
        <v>630</v>
      </c>
      <c r="C48" s="199">
        <v>0</v>
      </c>
      <c r="D48" s="199">
        <v>2192</v>
      </c>
      <c r="E48" s="199">
        <v>0</v>
      </c>
      <c r="F48" s="199">
        <v>1156.3800000000001</v>
      </c>
      <c r="G48" s="199">
        <v>3351.03</v>
      </c>
      <c r="H48" s="199">
        <v>4824.95</v>
      </c>
      <c r="I48" s="199">
        <v>87910.63</v>
      </c>
      <c r="J48" s="199">
        <v>88348.93</v>
      </c>
      <c r="K48" s="199">
        <v>0</v>
      </c>
      <c r="L48" s="199">
        <v>2630.3</v>
      </c>
    </row>
    <row r="49" spans="1:12">
      <c r="A49" s="197" t="s">
        <v>631</v>
      </c>
      <c r="B49" s="198" t="s">
        <v>632</v>
      </c>
      <c r="C49" s="199">
        <v>0</v>
      </c>
      <c r="D49" s="199">
        <v>0</v>
      </c>
      <c r="E49" s="199">
        <v>0</v>
      </c>
      <c r="F49" s="199">
        <v>0</v>
      </c>
      <c r="G49" s="199">
        <v>0</v>
      </c>
      <c r="H49" s="199">
        <v>10000</v>
      </c>
      <c r="I49" s="199">
        <v>0</v>
      </c>
      <c r="J49" s="199">
        <v>10000</v>
      </c>
      <c r="K49" s="199">
        <v>0</v>
      </c>
      <c r="L49" s="199">
        <v>10000</v>
      </c>
    </row>
    <row r="50" spans="1:12">
      <c r="A50" s="197" t="s">
        <v>633</v>
      </c>
      <c r="B50" s="198" t="s">
        <v>634</v>
      </c>
      <c r="C50" s="199">
        <v>0</v>
      </c>
      <c r="D50" s="199">
        <v>0</v>
      </c>
      <c r="E50" s="199">
        <v>0</v>
      </c>
      <c r="F50" s="199">
        <v>0</v>
      </c>
      <c r="G50" s="199">
        <v>0</v>
      </c>
      <c r="H50" s="199">
        <v>2222.8200000000002</v>
      </c>
      <c r="I50" s="199">
        <v>0</v>
      </c>
      <c r="J50" s="199">
        <v>2222.8200000000002</v>
      </c>
      <c r="K50" s="199">
        <v>0</v>
      </c>
      <c r="L50" s="199">
        <v>2222.8200000000002</v>
      </c>
    </row>
    <row r="51" spans="1:12">
      <c r="A51" s="197" t="s">
        <v>635</v>
      </c>
      <c r="B51" s="198" t="s">
        <v>636</v>
      </c>
      <c r="C51" s="199">
        <v>0</v>
      </c>
      <c r="D51" s="199">
        <v>0</v>
      </c>
      <c r="E51" s="199">
        <v>0</v>
      </c>
      <c r="F51" s="199">
        <v>0</v>
      </c>
      <c r="G51" s="199">
        <v>0</v>
      </c>
      <c r="H51" s="199">
        <v>14000</v>
      </c>
      <c r="I51" s="199">
        <v>0</v>
      </c>
      <c r="J51" s="199">
        <v>14000</v>
      </c>
      <c r="K51" s="199">
        <v>0</v>
      </c>
      <c r="L51" s="199">
        <v>14000</v>
      </c>
    </row>
    <row r="52" spans="1:12">
      <c r="A52" s="197" t="s">
        <v>637</v>
      </c>
      <c r="B52" s="198" t="s">
        <v>638</v>
      </c>
      <c r="C52" s="199">
        <v>0</v>
      </c>
      <c r="D52" s="199">
        <v>0</v>
      </c>
      <c r="E52" s="199">
        <v>0</v>
      </c>
      <c r="F52" s="199">
        <v>0</v>
      </c>
      <c r="G52" s="199">
        <v>0</v>
      </c>
      <c r="H52" s="199">
        <v>236.67</v>
      </c>
      <c r="I52" s="199">
        <v>0</v>
      </c>
      <c r="J52" s="199">
        <v>236.67</v>
      </c>
      <c r="K52" s="199">
        <v>0</v>
      </c>
      <c r="L52" s="199">
        <v>236.67</v>
      </c>
    </row>
    <row r="53" spans="1:12">
      <c r="A53" s="197" t="s">
        <v>639</v>
      </c>
      <c r="B53" s="198" t="s">
        <v>640</v>
      </c>
      <c r="C53" s="199">
        <v>0</v>
      </c>
      <c r="D53" s="199">
        <v>0</v>
      </c>
      <c r="E53" s="199">
        <v>0</v>
      </c>
      <c r="F53" s="199">
        <v>0</v>
      </c>
      <c r="G53" s="199">
        <v>0</v>
      </c>
      <c r="H53" s="199">
        <v>4832</v>
      </c>
      <c r="I53" s="199">
        <v>0</v>
      </c>
      <c r="J53" s="199">
        <v>4832</v>
      </c>
      <c r="K53" s="199">
        <v>0</v>
      </c>
      <c r="L53" s="199">
        <v>4832</v>
      </c>
    </row>
    <row r="54" spans="1:12">
      <c r="A54" s="197" t="s">
        <v>641</v>
      </c>
      <c r="B54" s="198" t="s">
        <v>642</v>
      </c>
      <c r="C54" s="199">
        <v>0</v>
      </c>
      <c r="D54" s="199">
        <v>0</v>
      </c>
      <c r="E54" s="199">
        <v>0</v>
      </c>
      <c r="F54" s="199">
        <v>0</v>
      </c>
      <c r="G54" s="199">
        <v>0</v>
      </c>
      <c r="H54" s="199">
        <v>2793</v>
      </c>
      <c r="I54" s="199">
        <v>0</v>
      </c>
      <c r="J54" s="199">
        <v>2793</v>
      </c>
      <c r="K54" s="199">
        <v>0</v>
      </c>
      <c r="L54" s="199">
        <v>2793</v>
      </c>
    </row>
    <row r="55" spans="1:12">
      <c r="A55" s="197" t="s">
        <v>643</v>
      </c>
      <c r="B55" s="198" t="s">
        <v>644</v>
      </c>
      <c r="C55" s="199">
        <v>0</v>
      </c>
      <c r="D55" s="199">
        <v>0</v>
      </c>
      <c r="E55" s="199">
        <v>0</v>
      </c>
      <c r="F55" s="199">
        <v>7.49</v>
      </c>
      <c r="G55" s="199">
        <v>7.49</v>
      </c>
      <c r="H55" s="199">
        <v>6.94</v>
      </c>
      <c r="I55" s="199">
        <v>89.21</v>
      </c>
      <c r="J55" s="199">
        <v>96.15</v>
      </c>
      <c r="K55" s="199">
        <v>0</v>
      </c>
      <c r="L55" s="199">
        <v>6.94</v>
      </c>
    </row>
    <row r="56" spans="1:12">
      <c r="A56" s="197" t="s">
        <v>645</v>
      </c>
      <c r="B56" s="198" t="s">
        <v>646</v>
      </c>
      <c r="C56" s="199">
        <v>0</v>
      </c>
      <c r="D56" s="199">
        <v>0</v>
      </c>
      <c r="E56" s="199">
        <v>0</v>
      </c>
      <c r="F56" s="199">
        <v>10911.18</v>
      </c>
      <c r="G56" s="199">
        <v>18202.38</v>
      </c>
      <c r="H56" s="199">
        <v>18075.23</v>
      </c>
      <c r="I56" s="199">
        <v>239810.67</v>
      </c>
      <c r="J56" s="199">
        <v>250594.7</v>
      </c>
      <c r="K56" s="199">
        <v>0</v>
      </c>
      <c r="L56" s="199">
        <v>10784.03</v>
      </c>
    </row>
    <row r="57" spans="1:12">
      <c r="A57" s="197" t="s">
        <v>647</v>
      </c>
      <c r="B57" s="198" t="s">
        <v>648</v>
      </c>
      <c r="C57" s="199">
        <v>0</v>
      </c>
      <c r="D57" s="199">
        <v>0</v>
      </c>
      <c r="E57" s="199">
        <v>0</v>
      </c>
      <c r="F57" s="199">
        <v>0</v>
      </c>
      <c r="G57" s="199">
        <v>0</v>
      </c>
      <c r="H57" s="199">
        <v>437.95</v>
      </c>
      <c r="I57" s="199">
        <v>0</v>
      </c>
      <c r="J57" s="199">
        <v>437.95</v>
      </c>
      <c r="K57" s="199">
        <v>0</v>
      </c>
      <c r="L57" s="199">
        <v>437.95</v>
      </c>
    </row>
    <row r="58" spans="1:12">
      <c r="A58" s="197" t="s">
        <v>649</v>
      </c>
      <c r="B58" s="198" t="s">
        <v>650</v>
      </c>
      <c r="C58" s="199">
        <v>0</v>
      </c>
      <c r="D58" s="199">
        <v>0</v>
      </c>
      <c r="E58" s="199">
        <v>0</v>
      </c>
      <c r="F58" s="199">
        <v>0</v>
      </c>
      <c r="G58" s="199">
        <v>0</v>
      </c>
      <c r="H58" s="199">
        <v>0</v>
      </c>
      <c r="I58" s="199">
        <v>259.16000000000003</v>
      </c>
      <c r="J58" s="199">
        <v>259.16000000000003</v>
      </c>
      <c r="K58" s="199">
        <v>0</v>
      </c>
      <c r="L58" s="199">
        <v>0</v>
      </c>
    </row>
    <row r="59" spans="1:12">
      <c r="A59" s="197" t="s">
        <v>651</v>
      </c>
      <c r="B59" s="198" t="s">
        <v>652</v>
      </c>
      <c r="C59" s="199">
        <v>0</v>
      </c>
      <c r="D59" s="199">
        <v>0</v>
      </c>
      <c r="E59" s="199">
        <v>7010.55</v>
      </c>
      <c r="F59" s="199">
        <v>0</v>
      </c>
      <c r="G59" s="199">
        <v>0</v>
      </c>
      <c r="H59" s="199">
        <v>1000</v>
      </c>
      <c r="I59" s="199">
        <v>10266.92</v>
      </c>
      <c r="J59" s="199">
        <v>4256.37</v>
      </c>
      <c r="K59" s="199">
        <v>6010.55</v>
      </c>
      <c r="L59" s="199">
        <v>0</v>
      </c>
    </row>
    <row r="60" spans="1:12">
      <c r="A60" s="197" t="s">
        <v>653</v>
      </c>
      <c r="B60" s="198" t="s">
        <v>654</v>
      </c>
      <c r="C60" s="199">
        <v>0</v>
      </c>
      <c r="D60" s="199">
        <v>0</v>
      </c>
      <c r="E60" s="199">
        <v>19.21</v>
      </c>
      <c r="F60" s="199">
        <v>0</v>
      </c>
      <c r="G60" s="199">
        <v>107.92</v>
      </c>
      <c r="H60" s="199">
        <v>167.2</v>
      </c>
      <c r="I60" s="199">
        <v>1590.73</v>
      </c>
      <c r="J60" s="199">
        <v>1630.8</v>
      </c>
      <c r="K60" s="199">
        <v>-40.07</v>
      </c>
      <c r="L60" s="199">
        <v>0</v>
      </c>
    </row>
    <row r="61" spans="1:12">
      <c r="A61" s="197" t="s">
        <v>655</v>
      </c>
      <c r="B61" s="198" t="s">
        <v>656</v>
      </c>
      <c r="C61" s="199">
        <v>0</v>
      </c>
      <c r="D61" s="199">
        <v>0</v>
      </c>
      <c r="E61" s="199">
        <v>0</v>
      </c>
      <c r="F61" s="199">
        <v>2021.19</v>
      </c>
      <c r="G61" s="199">
        <v>2021.19</v>
      </c>
      <c r="H61" s="199">
        <v>1976.88</v>
      </c>
      <c r="I61" s="199">
        <v>22750.15</v>
      </c>
      <c r="J61" s="199">
        <v>24727.03</v>
      </c>
      <c r="K61" s="199">
        <v>0</v>
      </c>
      <c r="L61" s="199">
        <v>1976.88</v>
      </c>
    </row>
    <row r="62" spans="1:12">
      <c r="A62" s="197" t="s">
        <v>657</v>
      </c>
      <c r="B62" s="198" t="s">
        <v>658</v>
      </c>
      <c r="C62" s="199">
        <v>0</v>
      </c>
      <c r="D62" s="199">
        <v>0</v>
      </c>
      <c r="E62" s="199">
        <v>0</v>
      </c>
      <c r="F62" s="199">
        <v>306.67</v>
      </c>
      <c r="G62" s="199">
        <v>306.67</v>
      </c>
      <c r="H62" s="199">
        <v>308.73</v>
      </c>
      <c r="I62" s="199">
        <v>2566.16</v>
      </c>
      <c r="J62" s="199">
        <v>2874.89</v>
      </c>
      <c r="K62" s="199">
        <v>0</v>
      </c>
      <c r="L62" s="199">
        <v>308.73</v>
      </c>
    </row>
    <row r="63" spans="1:12">
      <c r="A63" s="197" t="s">
        <v>659</v>
      </c>
      <c r="B63" s="198" t="s">
        <v>660</v>
      </c>
      <c r="C63" s="199">
        <v>0</v>
      </c>
      <c r="D63" s="199">
        <v>0</v>
      </c>
      <c r="E63" s="199">
        <v>0</v>
      </c>
      <c r="F63" s="199">
        <v>237.63</v>
      </c>
      <c r="G63" s="199">
        <v>237.63</v>
      </c>
      <c r="H63" s="199">
        <v>247.31</v>
      </c>
      <c r="I63" s="199">
        <v>4777.3900000000003</v>
      </c>
      <c r="J63" s="199">
        <v>5024.7</v>
      </c>
      <c r="K63" s="199">
        <v>0</v>
      </c>
      <c r="L63" s="199">
        <v>247.31</v>
      </c>
    </row>
    <row r="64" spans="1:12">
      <c r="A64" s="197" t="s">
        <v>661</v>
      </c>
      <c r="B64" s="198" t="s">
        <v>662</v>
      </c>
      <c r="C64" s="199">
        <v>0</v>
      </c>
      <c r="D64" s="199">
        <v>0</v>
      </c>
      <c r="E64" s="199">
        <v>0</v>
      </c>
      <c r="F64" s="199">
        <v>6364.38</v>
      </c>
      <c r="G64" s="199">
        <v>6364.38</v>
      </c>
      <c r="H64" s="199">
        <v>6352.06</v>
      </c>
      <c r="I64" s="199">
        <v>76288.240000000005</v>
      </c>
      <c r="J64" s="199">
        <v>82640.3</v>
      </c>
      <c r="K64" s="199">
        <v>0</v>
      </c>
      <c r="L64" s="199">
        <v>6352.06</v>
      </c>
    </row>
    <row r="65" spans="1:12">
      <c r="A65" s="197" t="s">
        <v>663</v>
      </c>
      <c r="B65" s="198" t="s">
        <v>664</v>
      </c>
      <c r="C65" s="199">
        <v>0</v>
      </c>
      <c r="D65" s="199">
        <v>0</v>
      </c>
      <c r="E65" s="199">
        <v>0</v>
      </c>
      <c r="F65" s="199">
        <v>205.82</v>
      </c>
      <c r="G65" s="199">
        <v>205.82</v>
      </c>
      <c r="H65" s="199">
        <v>205.82</v>
      </c>
      <c r="I65" s="199">
        <v>2264.02</v>
      </c>
      <c r="J65" s="199">
        <v>2469.84</v>
      </c>
      <c r="K65" s="199">
        <v>0</v>
      </c>
      <c r="L65" s="199">
        <v>205.82</v>
      </c>
    </row>
    <row r="66" spans="1:12">
      <c r="A66" s="197" t="s">
        <v>665</v>
      </c>
      <c r="B66" s="198" t="s">
        <v>666</v>
      </c>
      <c r="C66" s="199">
        <v>0</v>
      </c>
      <c r="D66" s="199">
        <v>0</v>
      </c>
      <c r="E66" s="199">
        <v>0</v>
      </c>
      <c r="F66" s="199">
        <v>54.12</v>
      </c>
      <c r="G66" s="199">
        <v>27.06</v>
      </c>
      <c r="H66" s="199">
        <v>52.6</v>
      </c>
      <c r="I66" s="199">
        <v>622.41999999999996</v>
      </c>
      <c r="J66" s="199">
        <v>702.08</v>
      </c>
      <c r="K66" s="199">
        <v>0</v>
      </c>
      <c r="L66" s="199">
        <v>79.66</v>
      </c>
    </row>
    <row r="67" spans="1:12">
      <c r="A67" s="197" t="s">
        <v>667</v>
      </c>
      <c r="B67" s="198" t="s">
        <v>668</v>
      </c>
      <c r="C67" s="199">
        <v>0</v>
      </c>
      <c r="D67" s="199">
        <v>0</v>
      </c>
      <c r="E67" s="199">
        <v>0</v>
      </c>
      <c r="F67" s="199">
        <v>486.24</v>
      </c>
      <c r="G67" s="199">
        <v>486.24</v>
      </c>
      <c r="H67" s="199">
        <v>441.34</v>
      </c>
      <c r="I67" s="199">
        <v>4164.46</v>
      </c>
      <c r="J67" s="199">
        <v>4605.8</v>
      </c>
      <c r="K67" s="199">
        <v>0</v>
      </c>
      <c r="L67" s="199">
        <v>441.34</v>
      </c>
    </row>
    <row r="68" spans="1:12">
      <c r="A68" s="197" t="s">
        <v>669</v>
      </c>
      <c r="B68" s="198" t="s">
        <v>670</v>
      </c>
      <c r="C68" s="199">
        <v>0</v>
      </c>
      <c r="D68" s="199">
        <v>0</v>
      </c>
      <c r="E68" s="199">
        <v>0</v>
      </c>
      <c r="F68" s="199">
        <v>0</v>
      </c>
      <c r="G68" s="199">
        <v>0</v>
      </c>
      <c r="H68" s="199">
        <v>232.6</v>
      </c>
      <c r="I68" s="199">
        <v>0</v>
      </c>
      <c r="J68" s="199">
        <v>232.6</v>
      </c>
      <c r="K68" s="199">
        <v>0</v>
      </c>
      <c r="L68" s="199">
        <v>232.6</v>
      </c>
    </row>
    <row r="69" spans="1:12">
      <c r="A69" s="197" t="s">
        <v>671</v>
      </c>
      <c r="B69" s="198" t="s">
        <v>672</v>
      </c>
      <c r="C69" s="199">
        <v>0</v>
      </c>
      <c r="D69" s="199">
        <v>0</v>
      </c>
      <c r="E69" s="199">
        <v>0</v>
      </c>
      <c r="F69" s="199">
        <v>2357.7600000000002</v>
      </c>
      <c r="G69" s="199">
        <v>2357.7600000000002</v>
      </c>
      <c r="H69" s="199">
        <v>2336.64</v>
      </c>
      <c r="I69" s="199">
        <v>32621.38</v>
      </c>
      <c r="J69" s="199">
        <v>34958.019999999997</v>
      </c>
      <c r="K69" s="199">
        <v>0</v>
      </c>
      <c r="L69" s="199">
        <v>2336.64</v>
      </c>
    </row>
    <row r="70" spans="1:12">
      <c r="A70" s="197" t="s">
        <v>673</v>
      </c>
      <c r="B70" s="198" t="s">
        <v>674</v>
      </c>
      <c r="C70" s="199">
        <v>0</v>
      </c>
      <c r="D70" s="199">
        <v>0</v>
      </c>
      <c r="E70" s="199">
        <v>0</v>
      </c>
      <c r="F70" s="199">
        <v>0</v>
      </c>
      <c r="G70" s="199">
        <v>0</v>
      </c>
      <c r="H70" s="199">
        <v>22.07</v>
      </c>
      <c r="I70" s="199">
        <v>0</v>
      </c>
      <c r="J70" s="199">
        <v>22.07</v>
      </c>
      <c r="K70" s="199">
        <v>0</v>
      </c>
      <c r="L70" s="199">
        <v>22.07</v>
      </c>
    </row>
    <row r="71" spans="1:12">
      <c r="A71" s="197" t="s">
        <v>675</v>
      </c>
      <c r="B71" s="198" t="s">
        <v>676</v>
      </c>
      <c r="C71" s="199">
        <v>0</v>
      </c>
      <c r="D71" s="199">
        <v>0</v>
      </c>
      <c r="E71" s="199">
        <v>0</v>
      </c>
      <c r="F71" s="199">
        <v>117315.01</v>
      </c>
      <c r="G71" s="199">
        <v>0</v>
      </c>
      <c r="H71" s="199">
        <v>45822.5</v>
      </c>
      <c r="I71" s="199">
        <v>89576.46</v>
      </c>
      <c r="J71" s="199">
        <v>252713.97</v>
      </c>
      <c r="K71" s="199">
        <v>0</v>
      </c>
      <c r="L71" s="199">
        <v>163137.51</v>
      </c>
    </row>
    <row r="72" spans="1:12">
      <c r="A72" s="197" t="s">
        <v>677</v>
      </c>
      <c r="B72" s="198" t="s">
        <v>678</v>
      </c>
      <c r="C72" s="199">
        <v>0</v>
      </c>
      <c r="D72" s="199">
        <v>0</v>
      </c>
      <c r="E72" s="199">
        <v>0</v>
      </c>
      <c r="F72" s="199">
        <v>0</v>
      </c>
      <c r="G72" s="199">
        <v>0</v>
      </c>
      <c r="H72" s="199">
        <v>0</v>
      </c>
      <c r="I72" s="199">
        <v>0.18</v>
      </c>
      <c r="J72" s="199">
        <v>0.18</v>
      </c>
      <c r="K72" s="199">
        <v>0</v>
      </c>
      <c r="L72" s="199">
        <v>0</v>
      </c>
    </row>
    <row r="73" spans="1:12">
      <c r="A73" s="197" t="s">
        <v>679</v>
      </c>
      <c r="B73" s="198" t="s">
        <v>680</v>
      </c>
      <c r="C73" s="199">
        <v>0</v>
      </c>
      <c r="D73" s="199">
        <v>0</v>
      </c>
      <c r="E73" s="199">
        <v>0</v>
      </c>
      <c r="F73" s="199">
        <v>-23369.75</v>
      </c>
      <c r="G73" s="199">
        <v>8229.19</v>
      </c>
      <c r="H73" s="199">
        <v>0</v>
      </c>
      <c r="I73" s="199">
        <v>54969.02</v>
      </c>
      <c r="J73" s="199">
        <v>23370.080000000002</v>
      </c>
      <c r="K73" s="199">
        <v>0</v>
      </c>
      <c r="L73" s="199">
        <v>-31598.94</v>
      </c>
    </row>
    <row r="74" spans="1:12">
      <c r="A74" s="197" t="s">
        <v>681</v>
      </c>
      <c r="B74" s="198" t="s">
        <v>682</v>
      </c>
      <c r="C74" s="199">
        <v>0</v>
      </c>
      <c r="D74" s="199">
        <v>0</v>
      </c>
      <c r="E74" s="199">
        <v>0</v>
      </c>
      <c r="F74" s="199">
        <v>-48251.91</v>
      </c>
      <c r="G74" s="199">
        <v>16267.25</v>
      </c>
      <c r="H74" s="199">
        <v>0</v>
      </c>
      <c r="I74" s="199">
        <v>104342.39</v>
      </c>
      <c r="J74" s="199">
        <v>39823.230000000003</v>
      </c>
      <c r="K74" s="199">
        <v>0</v>
      </c>
      <c r="L74" s="199">
        <v>-64519.16</v>
      </c>
    </row>
    <row r="75" spans="1:12">
      <c r="A75" s="197" t="s">
        <v>683</v>
      </c>
      <c r="B75" s="198" t="s">
        <v>684</v>
      </c>
      <c r="C75" s="199">
        <v>0</v>
      </c>
      <c r="D75" s="199">
        <v>0</v>
      </c>
      <c r="E75" s="199">
        <v>0</v>
      </c>
      <c r="F75" s="199">
        <v>-4.12</v>
      </c>
      <c r="G75" s="199">
        <v>0</v>
      </c>
      <c r="H75" s="199">
        <v>0</v>
      </c>
      <c r="I75" s="199">
        <v>4.12</v>
      </c>
      <c r="J75" s="199">
        <v>0</v>
      </c>
      <c r="K75" s="199">
        <v>0</v>
      </c>
      <c r="L75" s="199">
        <v>-4.12</v>
      </c>
    </row>
    <row r="76" spans="1:12">
      <c r="A76" s="197" t="s">
        <v>685</v>
      </c>
      <c r="B76" s="198" t="s">
        <v>686</v>
      </c>
      <c r="C76" s="199">
        <v>0</v>
      </c>
      <c r="D76" s="199">
        <v>0</v>
      </c>
      <c r="E76" s="199">
        <v>0</v>
      </c>
      <c r="F76" s="199">
        <v>-6969.53</v>
      </c>
      <c r="G76" s="199">
        <v>0</v>
      </c>
      <c r="H76" s="199">
        <v>0</v>
      </c>
      <c r="I76" s="199">
        <v>43423.44</v>
      </c>
      <c r="J76" s="199">
        <v>36453.910000000003</v>
      </c>
      <c r="K76" s="199">
        <v>0</v>
      </c>
      <c r="L76" s="199">
        <v>-6969.53</v>
      </c>
    </row>
    <row r="77" spans="1:12">
      <c r="A77" s="197" t="s">
        <v>687</v>
      </c>
      <c r="B77" s="198" t="s">
        <v>688</v>
      </c>
      <c r="C77" s="199">
        <v>0</v>
      </c>
      <c r="D77" s="199">
        <v>0</v>
      </c>
      <c r="E77" s="199">
        <v>0</v>
      </c>
      <c r="F77" s="199">
        <v>-12032.23</v>
      </c>
      <c r="G77" s="199">
        <v>14819.62</v>
      </c>
      <c r="H77" s="199">
        <v>0</v>
      </c>
      <c r="I77" s="199">
        <v>70275.289999999994</v>
      </c>
      <c r="J77" s="199">
        <v>43423.44</v>
      </c>
      <c r="K77" s="199">
        <v>0</v>
      </c>
      <c r="L77" s="199">
        <v>-26851.85</v>
      </c>
    </row>
    <row r="78" spans="1:12">
      <c r="A78" s="197" t="s">
        <v>689</v>
      </c>
      <c r="B78" s="198" t="s">
        <v>690</v>
      </c>
      <c r="C78" s="199">
        <v>0</v>
      </c>
      <c r="D78" s="199">
        <v>0</v>
      </c>
      <c r="E78" s="199">
        <v>0</v>
      </c>
      <c r="F78" s="199">
        <v>48174.2</v>
      </c>
      <c r="G78" s="199">
        <v>0</v>
      </c>
      <c r="H78" s="199">
        <v>16267.25</v>
      </c>
      <c r="I78" s="199">
        <v>40551.96</v>
      </c>
      <c r="J78" s="199">
        <v>104993.41</v>
      </c>
      <c r="K78" s="199">
        <v>0</v>
      </c>
      <c r="L78" s="199">
        <v>64441.45</v>
      </c>
    </row>
    <row r="79" spans="1:12">
      <c r="A79" s="197" t="s">
        <v>691</v>
      </c>
      <c r="B79" s="198" t="s">
        <v>692</v>
      </c>
      <c r="C79" s="199">
        <v>0</v>
      </c>
      <c r="D79" s="199">
        <v>0</v>
      </c>
      <c r="E79" s="199">
        <v>0</v>
      </c>
      <c r="F79" s="199">
        <v>0</v>
      </c>
      <c r="G79" s="199">
        <v>0</v>
      </c>
      <c r="H79" s="199">
        <v>211.27</v>
      </c>
      <c r="I79" s="199">
        <v>0</v>
      </c>
      <c r="J79" s="199">
        <v>211.27</v>
      </c>
      <c r="K79" s="199">
        <v>0</v>
      </c>
      <c r="L79" s="199">
        <v>211.27</v>
      </c>
    </row>
    <row r="80" spans="1:12">
      <c r="A80" s="197" t="s">
        <v>693</v>
      </c>
      <c r="B80" s="198" t="s">
        <v>694</v>
      </c>
      <c r="C80" s="199">
        <v>0</v>
      </c>
      <c r="D80" s="199">
        <v>-2571.7800000000002</v>
      </c>
      <c r="E80" s="199">
        <v>0</v>
      </c>
      <c r="F80" s="199">
        <v>-41497.9</v>
      </c>
      <c r="G80" s="199">
        <v>0</v>
      </c>
      <c r="H80" s="199">
        <v>0</v>
      </c>
      <c r="I80" s="199">
        <v>69899.69</v>
      </c>
      <c r="J80" s="199">
        <v>30973.57</v>
      </c>
      <c r="K80" s="199">
        <v>0</v>
      </c>
      <c r="L80" s="199">
        <v>-41497.9</v>
      </c>
    </row>
    <row r="81" spans="1:12">
      <c r="A81" s="197" t="s">
        <v>695</v>
      </c>
      <c r="B81" s="198" t="s">
        <v>696</v>
      </c>
      <c r="C81" s="199">
        <v>0</v>
      </c>
      <c r="D81" s="199">
        <v>0</v>
      </c>
      <c r="E81" s="199">
        <v>0</v>
      </c>
      <c r="F81" s="199">
        <v>0</v>
      </c>
      <c r="G81" s="199">
        <v>0</v>
      </c>
      <c r="H81" s="199">
        <v>234</v>
      </c>
      <c r="I81" s="199">
        <v>0</v>
      </c>
      <c r="J81" s="199">
        <v>234</v>
      </c>
      <c r="K81" s="199">
        <v>0</v>
      </c>
      <c r="L81" s="199">
        <v>234</v>
      </c>
    </row>
    <row r="82" spans="1:12">
      <c r="A82" s="197" t="s">
        <v>697</v>
      </c>
      <c r="B82" s="198" t="s">
        <v>698</v>
      </c>
      <c r="C82" s="199">
        <v>0</v>
      </c>
      <c r="D82" s="199">
        <v>0</v>
      </c>
      <c r="E82" s="199">
        <v>0</v>
      </c>
      <c r="F82" s="199">
        <v>0</v>
      </c>
      <c r="G82" s="199">
        <v>0</v>
      </c>
      <c r="H82" s="199">
        <v>0</v>
      </c>
      <c r="I82" s="199">
        <v>1335.32</v>
      </c>
      <c r="J82" s="199">
        <v>1335.32</v>
      </c>
      <c r="K82" s="199">
        <v>0</v>
      </c>
      <c r="L82" s="199">
        <v>0</v>
      </c>
    </row>
    <row r="83" spans="1:12">
      <c r="A83" s="197" t="s">
        <v>699</v>
      </c>
      <c r="B83" s="198" t="s">
        <v>700</v>
      </c>
      <c r="C83" s="199">
        <v>0</v>
      </c>
      <c r="D83" s="199">
        <v>0</v>
      </c>
      <c r="E83" s="199">
        <v>0</v>
      </c>
      <c r="F83" s="199">
        <v>0</v>
      </c>
      <c r="G83" s="199">
        <v>0</v>
      </c>
      <c r="H83" s="199">
        <v>0</v>
      </c>
      <c r="I83" s="199">
        <v>55.74</v>
      </c>
      <c r="J83" s="199">
        <v>55.74</v>
      </c>
      <c r="K83" s="199">
        <v>0</v>
      </c>
      <c r="L83" s="199">
        <v>0</v>
      </c>
    </row>
    <row r="84" spans="1:12">
      <c r="A84" s="197" t="s">
        <v>701</v>
      </c>
      <c r="B84" s="198" t="s">
        <v>702</v>
      </c>
      <c r="C84" s="199">
        <v>0</v>
      </c>
      <c r="D84" s="199">
        <v>1900751.77</v>
      </c>
      <c r="E84" s="199">
        <v>0</v>
      </c>
      <c r="F84" s="199">
        <v>334727.59999999998</v>
      </c>
      <c r="G84" s="199">
        <v>0</v>
      </c>
      <c r="H84" s="199">
        <v>7.55</v>
      </c>
      <c r="I84" s="199">
        <v>1565472.89</v>
      </c>
      <c r="J84" s="199">
        <v>-543.73</v>
      </c>
      <c r="K84" s="199">
        <v>0</v>
      </c>
      <c r="L84" s="199">
        <v>334735.15000000002</v>
      </c>
    </row>
    <row r="85" spans="1:12">
      <c r="A85" s="197" t="s">
        <v>703</v>
      </c>
      <c r="B85" s="198" t="s">
        <v>704</v>
      </c>
      <c r="C85" s="199">
        <v>0</v>
      </c>
      <c r="D85" s="199">
        <v>0</v>
      </c>
      <c r="E85" s="199">
        <v>2548.6</v>
      </c>
      <c r="F85" s="199">
        <v>0</v>
      </c>
      <c r="G85" s="199">
        <v>800</v>
      </c>
      <c r="H85" s="199">
        <v>82.9</v>
      </c>
      <c r="I85" s="199">
        <v>3348.6</v>
      </c>
      <c r="J85" s="199">
        <v>82.9</v>
      </c>
      <c r="K85" s="199">
        <v>3265.7</v>
      </c>
      <c r="L85" s="199">
        <v>0</v>
      </c>
    </row>
    <row r="86" spans="1:12">
      <c r="A86" s="197" t="s">
        <v>705</v>
      </c>
      <c r="B86" s="198" t="s">
        <v>706</v>
      </c>
      <c r="C86" s="199">
        <v>0</v>
      </c>
      <c r="D86" s="199">
        <v>0</v>
      </c>
      <c r="E86" s="199">
        <v>0</v>
      </c>
      <c r="F86" s="199">
        <v>0</v>
      </c>
      <c r="G86" s="199">
        <v>0</v>
      </c>
      <c r="H86" s="199">
        <v>3265.7</v>
      </c>
      <c r="I86" s="199">
        <v>0</v>
      </c>
      <c r="J86" s="199">
        <v>3265.7</v>
      </c>
      <c r="K86" s="199">
        <v>0</v>
      </c>
      <c r="L86" s="199">
        <v>3265.7</v>
      </c>
    </row>
    <row r="87" spans="1:12">
      <c r="A87" s="197" t="s">
        <v>707</v>
      </c>
      <c r="B87" s="198" t="s">
        <v>708</v>
      </c>
      <c r="C87" s="199">
        <v>0</v>
      </c>
      <c r="D87" s="199">
        <v>0</v>
      </c>
      <c r="E87" s="199">
        <v>16200</v>
      </c>
      <c r="F87" s="199">
        <v>0</v>
      </c>
      <c r="G87" s="199">
        <v>0</v>
      </c>
      <c r="H87" s="199">
        <v>0</v>
      </c>
      <c r="I87" s="199">
        <v>16200</v>
      </c>
      <c r="J87" s="199">
        <v>0</v>
      </c>
      <c r="K87" s="199">
        <v>16200</v>
      </c>
      <c r="L87" s="199">
        <v>0</v>
      </c>
    </row>
    <row r="88" spans="1:12">
      <c r="A88" s="197" t="s">
        <v>709</v>
      </c>
      <c r="B88" s="198" t="s">
        <v>710</v>
      </c>
      <c r="C88" s="199">
        <v>0</v>
      </c>
      <c r="D88" s="199">
        <v>0</v>
      </c>
      <c r="E88" s="199">
        <v>0</v>
      </c>
      <c r="F88" s="199">
        <v>0</v>
      </c>
      <c r="G88" s="199">
        <v>0</v>
      </c>
      <c r="H88" s="199">
        <v>5414.04</v>
      </c>
      <c r="I88" s="199">
        <v>0</v>
      </c>
      <c r="J88" s="199">
        <v>5414.04</v>
      </c>
      <c r="K88" s="199">
        <v>-5414.04</v>
      </c>
      <c r="L88" s="199">
        <v>0</v>
      </c>
    </row>
    <row r="89" spans="1:12">
      <c r="A89" s="197" t="s">
        <v>711</v>
      </c>
      <c r="B89" s="198" t="s">
        <v>712</v>
      </c>
      <c r="C89" s="199">
        <v>0</v>
      </c>
      <c r="D89" s="199">
        <v>0</v>
      </c>
      <c r="E89" s="199">
        <v>18.440000000000001</v>
      </c>
      <c r="F89" s="199">
        <v>0</v>
      </c>
      <c r="G89" s="199">
        <v>118574.76</v>
      </c>
      <c r="H89" s="199">
        <v>118593.2</v>
      </c>
      <c r="I89" s="199">
        <v>728227.48</v>
      </c>
      <c r="J89" s="199">
        <v>728227.48</v>
      </c>
      <c r="K89" s="199">
        <v>0</v>
      </c>
      <c r="L89" s="199">
        <v>0</v>
      </c>
    </row>
    <row r="90" spans="1:12">
      <c r="A90" s="197" t="s">
        <v>713</v>
      </c>
      <c r="B90" s="198" t="s">
        <v>714</v>
      </c>
      <c r="C90" s="199">
        <v>0</v>
      </c>
      <c r="D90" s="199">
        <v>0</v>
      </c>
      <c r="E90" s="199">
        <v>0</v>
      </c>
      <c r="F90" s="199">
        <v>0</v>
      </c>
      <c r="G90" s="199">
        <v>9517.09</v>
      </c>
      <c r="H90" s="199">
        <v>9517.09</v>
      </c>
      <c r="I90" s="199">
        <v>9517.09</v>
      </c>
      <c r="J90" s="199">
        <v>9517.09</v>
      </c>
      <c r="K90" s="199">
        <v>0</v>
      </c>
      <c r="L90" s="199">
        <v>0</v>
      </c>
    </row>
    <row r="91" spans="1:12">
      <c r="A91" s="197" t="s">
        <v>715</v>
      </c>
      <c r="B91" s="198" t="s">
        <v>393</v>
      </c>
      <c r="C91" s="199">
        <v>0</v>
      </c>
      <c r="D91" s="199">
        <v>5000</v>
      </c>
      <c r="E91" s="199">
        <v>0</v>
      </c>
      <c r="F91" s="199">
        <v>5000</v>
      </c>
      <c r="G91" s="199">
        <v>0</v>
      </c>
      <c r="H91" s="199">
        <v>0</v>
      </c>
      <c r="I91" s="199">
        <v>0</v>
      </c>
      <c r="J91" s="199">
        <v>0</v>
      </c>
      <c r="K91" s="199">
        <v>0</v>
      </c>
      <c r="L91" s="199">
        <v>5000</v>
      </c>
    </row>
    <row r="92" spans="1:12">
      <c r="A92" s="197" t="s">
        <v>716</v>
      </c>
      <c r="B92" s="198" t="s">
        <v>717</v>
      </c>
      <c r="C92" s="199">
        <v>0</v>
      </c>
      <c r="D92" s="199">
        <v>0</v>
      </c>
      <c r="E92" s="199">
        <v>0</v>
      </c>
      <c r="F92" s="199">
        <v>0</v>
      </c>
      <c r="G92" s="199">
        <v>48973.82</v>
      </c>
      <c r="H92" s="199">
        <v>0</v>
      </c>
      <c r="I92" s="199">
        <v>48973.82</v>
      </c>
      <c r="J92" s="199">
        <v>0</v>
      </c>
      <c r="K92" s="199">
        <v>48973.82</v>
      </c>
      <c r="L92" s="199">
        <v>0</v>
      </c>
    </row>
    <row r="93" spans="1:12">
      <c r="A93" s="197" t="s">
        <v>718</v>
      </c>
      <c r="B93" s="198" t="s">
        <v>719</v>
      </c>
      <c r="C93" s="199">
        <v>0</v>
      </c>
      <c r="D93" s="199">
        <v>0</v>
      </c>
      <c r="E93" s="199">
        <v>0</v>
      </c>
      <c r="F93" s="199">
        <v>0</v>
      </c>
      <c r="G93" s="199">
        <v>0</v>
      </c>
      <c r="H93" s="199">
        <v>12726.14</v>
      </c>
      <c r="I93" s="199">
        <v>0</v>
      </c>
      <c r="J93" s="199">
        <v>12726.14</v>
      </c>
      <c r="K93" s="199">
        <v>-12726.14</v>
      </c>
      <c r="L93" s="199">
        <v>0</v>
      </c>
    </row>
    <row r="94" spans="1:12">
      <c r="A94" s="197" t="s">
        <v>720</v>
      </c>
      <c r="B94" s="198" t="s">
        <v>721</v>
      </c>
      <c r="C94" s="199">
        <v>48973.82</v>
      </c>
      <c r="D94" s="199">
        <v>0</v>
      </c>
      <c r="E94" s="199">
        <v>0</v>
      </c>
      <c r="F94" s="199">
        <v>-48973.82</v>
      </c>
      <c r="G94" s="199">
        <v>0</v>
      </c>
      <c r="H94" s="199">
        <v>48973.82</v>
      </c>
      <c r="I94" s="199">
        <v>0</v>
      </c>
      <c r="J94" s="199">
        <v>48973.82</v>
      </c>
      <c r="K94" s="199">
        <v>0</v>
      </c>
      <c r="L94" s="199">
        <v>0</v>
      </c>
    </row>
    <row r="95" spans="1:12">
      <c r="A95" s="197" t="s">
        <v>722</v>
      </c>
      <c r="B95" s="198" t="s">
        <v>723</v>
      </c>
      <c r="C95" s="199">
        <v>0</v>
      </c>
      <c r="D95" s="199">
        <v>0</v>
      </c>
      <c r="E95" s="199">
        <v>0</v>
      </c>
      <c r="F95" s="199">
        <v>-7.82</v>
      </c>
      <c r="G95" s="199">
        <v>76.680000000000007</v>
      </c>
      <c r="H95" s="199">
        <v>84.5</v>
      </c>
      <c r="I95" s="199">
        <v>1369.96</v>
      </c>
      <c r="J95" s="199">
        <v>1369.96</v>
      </c>
      <c r="K95" s="199">
        <v>0</v>
      </c>
      <c r="L95" s="199">
        <v>0</v>
      </c>
    </row>
    <row r="96" spans="1:12">
      <c r="A96" s="197" t="s">
        <v>724</v>
      </c>
      <c r="B96" s="198" t="s">
        <v>725</v>
      </c>
      <c r="C96" s="199">
        <v>0</v>
      </c>
      <c r="D96" s="199">
        <v>0</v>
      </c>
      <c r="E96" s="199">
        <v>0</v>
      </c>
      <c r="F96" s="199">
        <v>1960587.55</v>
      </c>
      <c r="G96" s="199">
        <v>0</v>
      </c>
      <c r="H96" s="199">
        <v>0</v>
      </c>
      <c r="I96" s="199">
        <v>2484.31</v>
      </c>
      <c r="J96" s="199">
        <v>1963071.86</v>
      </c>
      <c r="K96" s="199">
        <v>0</v>
      </c>
      <c r="L96" s="199">
        <v>1960587.55</v>
      </c>
    </row>
    <row r="97" spans="1:12">
      <c r="A97" s="197" t="s">
        <v>726</v>
      </c>
      <c r="B97" s="198" t="s">
        <v>727</v>
      </c>
      <c r="C97" s="199">
        <v>0</v>
      </c>
      <c r="D97" s="199">
        <v>0</v>
      </c>
      <c r="E97" s="199">
        <v>0</v>
      </c>
      <c r="F97" s="199">
        <v>39308.9</v>
      </c>
      <c r="G97" s="199">
        <v>0</v>
      </c>
      <c r="H97" s="199">
        <v>5166.3999999999996</v>
      </c>
      <c r="I97" s="199">
        <v>0</v>
      </c>
      <c r="J97" s="199">
        <v>44475.3</v>
      </c>
      <c r="K97" s="199">
        <v>0</v>
      </c>
      <c r="L97" s="199">
        <v>44475.3</v>
      </c>
    </row>
    <row r="98" spans="1:12">
      <c r="A98" s="197" t="s">
        <v>728</v>
      </c>
      <c r="B98" s="198" t="s">
        <v>729</v>
      </c>
      <c r="C98" s="199">
        <v>0</v>
      </c>
      <c r="D98" s="199">
        <v>4273.8599999999997</v>
      </c>
      <c r="E98" s="199">
        <v>0</v>
      </c>
      <c r="F98" s="199">
        <v>4273.8599999999997</v>
      </c>
      <c r="G98" s="199">
        <v>0</v>
      </c>
      <c r="H98" s="199">
        <v>0</v>
      </c>
      <c r="I98" s="199">
        <v>0</v>
      </c>
      <c r="J98" s="199">
        <v>0</v>
      </c>
      <c r="K98" s="199">
        <v>0</v>
      </c>
      <c r="L98" s="199">
        <v>4273.8599999999997</v>
      </c>
    </row>
    <row r="99" spans="1:12">
      <c r="A99" s="197" t="s">
        <v>730</v>
      </c>
      <c r="B99" s="198" t="s">
        <v>731</v>
      </c>
      <c r="C99" s="199">
        <v>0</v>
      </c>
      <c r="D99" s="199">
        <v>0</v>
      </c>
      <c r="E99" s="199">
        <v>0</v>
      </c>
      <c r="F99" s="199">
        <v>0</v>
      </c>
      <c r="G99" s="199">
        <v>53498.82</v>
      </c>
      <c r="H99" s="199">
        <v>0</v>
      </c>
      <c r="I99" s="199">
        <v>53498.82</v>
      </c>
      <c r="J99" s="199">
        <v>0</v>
      </c>
      <c r="K99" s="199">
        <v>0</v>
      </c>
      <c r="L99" s="199">
        <v>-53498.82</v>
      </c>
    </row>
    <row r="100" spans="1:12">
      <c r="A100" s="197" t="s">
        <v>732</v>
      </c>
      <c r="B100" s="198" t="s">
        <v>733</v>
      </c>
      <c r="C100" s="199">
        <v>0</v>
      </c>
      <c r="D100" s="199">
        <v>0</v>
      </c>
      <c r="E100" s="199">
        <v>0</v>
      </c>
      <c r="F100" s="199">
        <v>0</v>
      </c>
      <c r="G100" s="199">
        <v>12726.14</v>
      </c>
      <c r="H100" s="199">
        <v>0</v>
      </c>
      <c r="I100" s="199">
        <v>12726.14</v>
      </c>
      <c r="J100" s="199">
        <v>0</v>
      </c>
      <c r="K100" s="199">
        <v>0</v>
      </c>
      <c r="L100" s="199">
        <v>-12726.14</v>
      </c>
    </row>
    <row r="101" spans="1:12">
      <c r="A101" s="197" t="s">
        <v>734</v>
      </c>
      <c r="B101" s="198" t="s">
        <v>735</v>
      </c>
      <c r="C101" s="199">
        <v>0</v>
      </c>
      <c r="D101" s="199">
        <v>0</v>
      </c>
      <c r="E101" s="199">
        <v>279.70999999999998</v>
      </c>
      <c r="F101" s="199">
        <v>0</v>
      </c>
      <c r="G101" s="199">
        <v>7.73</v>
      </c>
      <c r="H101" s="199">
        <v>0</v>
      </c>
      <c r="I101" s="199">
        <v>287.44</v>
      </c>
      <c r="J101" s="199">
        <v>0</v>
      </c>
      <c r="K101" s="199">
        <v>287.44</v>
      </c>
      <c r="L101" s="199">
        <v>0</v>
      </c>
    </row>
    <row r="102" spans="1:12">
      <c r="A102" s="197" t="s">
        <v>736</v>
      </c>
      <c r="B102" s="198" t="s">
        <v>737</v>
      </c>
      <c r="C102" s="199">
        <v>0</v>
      </c>
      <c r="D102" s="199">
        <v>0</v>
      </c>
      <c r="E102" s="199">
        <v>16.12</v>
      </c>
      <c r="F102" s="199">
        <v>0</v>
      </c>
      <c r="G102" s="199">
        <v>0</v>
      </c>
      <c r="H102" s="199">
        <v>0</v>
      </c>
      <c r="I102" s="199">
        <v>16.12</v>
      </c>
      <c r="J102" s="199">
        <v>0</v>
      </c>
      <c r="K102" s="199">
        <v>16.12</v>
      </c>
      <c r="L102" s="199">
        <v>0</v>
      </c>
    </row>
    <row r="103" spans="1:12">
      <c r="A103" s="197" t="s">
        <v>738</v>
      </c>
      <c r="B103" s="198" t="s">
        <v>739</v>
      </c>
      <c r="C103" s="199">
        <v>0</v>
      </c>
      <c r="D103" s="199">
        <v>0</v>
      </c>
      <c r="E103" s="199">
        <v>2596.8000000000002</v>
      </c>
      <c r="F103" s="199">
        <v>0</v>
      </c>
      <c r="G103" s="199">
        <v>149.75</v>
      </c>
      <c r="H103" s="199">
        <v>0</v>
      </c>
      <c r="I103" s="199">
        <v>2746.55</v>
      </c>
      <c r="J103" s="199">
        <v>0</v>
      </c>
      <c r="K103" s="199">
        <v>2746.55</v>
      </c>
      <c r="L103" s="199">
        <v>0</v>
      </c>
    </row>
    <row r="104" spans="1:12">
      <c r="A104" s="197" t="s">
        <v>740</v>
      </c>
      <c r="B104" s="198" t="s">
        <v>741</v>
      </c>
      <c r="C104" s="199">
        <v>0</v>
      </c>
      <c r="D104" s="199">
        <v>0</v>
      </c>
      <c r="E104" s="199">
        <v>449.07</v>
      </c>
      <c r="F104" s="199">
        <v>0</v>
      </c>
      <c r="G104" s="199">
        <v>0</v>
      </c>
      <c r="H104" s="199">
        <v>0</v>
      </c>
      <c r="I104" s="199">
        <v>449.07</v>
      </c>
      <c r="J104" s="199">
        <v>0</v>
      </c>
      <c r="K104" s="199">
        <v>449.07</v>
      </c>
      <c r="L104" s="199">
        <v>0</v>
      </c>
    </row>
    <row r="105" spans="1:12">
      <c r="A105" s="197" t="s">
        <v>742</v>
      </c>
      <c r="B105" s="198" t="s">
        <v>743</v>
      </c>
      <c r="C105" s="199">
        <v>0</v>
      </c>
      <c r="D105" s="199">
        <v>0</v>
      </c>
      <c r="E105" s="199">
        <v>199.15</v>
      </c>
      <c r="F105" s="199">
        <v>0</v>
      </c>
      <c r="G105" s="199">
        <v>7.27</v>
      </c>
      <c r="H105" s="199">
        <v>0</v>
      </c>
      <c r="I105" s="199">
        <v>206.42</v>
      </c>
      <c r="J105" s="199">
        <v>0</v>
      </c>
      <c r="K105" s="199">
        <v>206.42</v>
      </c>
      <c r="L105" s="199">
        <v>0</v>
      </c>
    </row>
    <row r="106" spans="1:12">
      <c r="A106" s="197" t="s">
        <v>744</v>
      </c>
      <c r="B106" s="198" t="s">
        <v>745</v>
      </c>
      <c r="C106" s="199">
        <v>0</v>
      </c>
      <c r="D106" s="199">
        <v>0</v>
      </c>
      <c r="E106" s="199">
        <v>123.25</v>
      </c>
      <c r="F106" s="199">
        <v>0</v>
      </c>
      <c r="G106" s="199">
        <v>15.22</v>
      </c>
      <c r="H106" s="199">
        <v>0</v>
      </c>
      <c r="I106" s="199">
        <v>138.47</v>
      </c>
      <c r="J106" s="199">
        <v>0</v>
      </c>
      <c r="K106" s="199">
        <v>138.47</v>
      </c>
      <c r="L106" s="199">
        <v>0</v>
      </c>
    </row>
    <row r="107" spans="1:12">
      <c r="A107" s="197" t="s">
        <v>746</v>
      </c>
      <c r="B107" s="198" t="s">
        <v>747</v>
      </c>
      <c r="C107" s="199">
        <v>0</v>
      </c>
      <c r="D107" s="199">
        <v>0</v>
      </c>
      <c r="E107" s="199">
        <v>32377.57</v>
      </c>
      <c r="F107" s="199">
        <v>0</v>
      </c>
      <c r="G107" s="199">
        <v>3049.84</v>
      </c>
      <c r="H107" s="199">
        <v>0</v>
      </c>
      <c r="I107" s="199">
        <v>35427.410000000003</v>
      </c>
      <c r="J107" s="199">
        <v>0</v>
      </c>
      <c r="K107" s="199">
        <v>35427.410000000003</v>
      </c>
      <c r="L107" s="199">
        <v>0</v>
      </c>
    </row>
    <row r="108" spans="1:12">
      <c r="A108" s="197" t="s">
        <v>748</v>
      </c>
      <c r="B108" s="198" t="s">
        <v>749</v>
      </c>
      <c r="C108" s="199">
        <v>0</v>
      </c>
      <c r="D108" s="199">
        <v>0</v>
      </c>
      <c r="E108" s="199">
        <v>1325.48</v>
      </c>
      <c r="F108" s="199">
        <v>0</v>
      </c>
      <c r="G108" s="199">
        <v>249.42</v>
      </c>
      <c r="H108" s="199">
        <v>0</v>
      </c>
      <c r="I108" s="199">
        <v>1574.9</v>
      </c>
      <c r="J108" s="199">
        <v>0</v>
      </c>
      <c r="K108" s="199">
        <v>1574.9</v>
      </c>
      <c r="L108" s="199">
        <v>0</v>
      </c>
    </row>
    <row r="109" spans="1:12">
      <c r="A109" s="197" t="s">
        <v>750</v>
      </c>
      <c r="B109" s="198" t="s">
        <v>751</v>
      </c>
      <c r="C109" s="199">
        <v>0</v>
      </c>
      <c r="D109" s="199">
        <v>0</v>
      </c>
      <c r="E109" s="199">
        <v>474.65</v>
      </c>
      <c r="F109" s="199">
        <v>0</v>
      </c>
      <c r="G109" s="199">
        <v>51.75</v>
      </c>
      <c r="H109" s="199">
        <v>0</v>
      </c>
      <c r="I109" s="199">
        <v>526.4</v>
      </c>
      <c r="J109" s="199">
        <v>0</v>
      </c>
      <c r="K109" s="199">
        <v>526.4</v>
      </c>
      <c r="L109" s="199">
        <v>0</v>
      </c>
    </row>
    <row r="110" spans="1:12">
      <c r="A110" s="197" t="s">
        <v>752</v>
      </c>
      <c r="B110" s="198" t="s">
        <v>753</v>
      </c>
      <c r="C110" s="199">
        <v>0</v>
      </c>
      <c r="D110" s="199">
        <v>0</v>
      </c>
      <c r="E110" s="199">
        <v>393.11</v>
      </c>
      <c r="F110" s="199">
        <v>0</v>
      </c>
      <c r="G110" s="199">
        <v>60.35</v>
      </c>
      <c r="H110" s="199">
        <v>0</v>
      </c>
      <c r="I110" s="199">
        <v>453.46</v>
      </c>
      <c r="J110" s="199">
        <v>0</v>
      </c>
      <c r="K110" s="199">
        <v>453.46</v>
      </c>
      <c r="L110" s="199">
        <v>0</v>
      </c>
    </row>
    <row r="111" spans="1:12">
      <c r="A111" s="197" t="s">
        <v>754</v>
      </c>
      <c r="B111" s="198" t="s">
        <v>755</v>
      </c>
      <c r="C111" s="199">
        <v>0</v>
      </c>
      <c r="D111" s="199">
        <v>0</v>
      </c>
      <c r="E111" s="199">
        <v>4161.6400000000003</v>
      </c>
      <c r="F111" s="199">
        <v>0</v>
      </c>
      <c r="G111" s="199">
        <v>0</v>
      </c>
      <c r="H111" s="199">
        <v>0</v>
      </c>
      <c r="I111" s="199">
        <v>4161.6400000000003</v>
      </c>
      <c r="J111" s="199">
        <v>0</v>
      </c>
      <c r="K111" s="199">
        <v>4161.6400000000003</v>
      </c>
      <c r="L111" s="199">
        <v>0</v>
      </c>
    </row>
    <row r="112" spans="1:12">
      <c r="A112" s="197" t="s">
        <v>756</v>
      </c>
      <c r="B112" s="198" t="s">
        <v>757</v>
      </c>
      <c r="C112" s="199">
        <v>0</v>
      </c>
      <c r="D112" s="199">
        <v>0</v>
      </c>
      <c r="E112" s="199">
        <v>565.17999999999995</v>
      </c>
      <c r="F112" s="199">
        <v>0</v>
      </c>
      <c r="G112" s="199">
        <v>27.63</v>
      </c>
      <c r="H112" s="199">
        <v>0</v>
      </c>
      <c r="I112" s="199">
        <v>592.80999999999995</v>
      </c>
      <c r="J112" s="199">
        <v>0</v>
      </c>
      <c r="K112" s="199">
        <v>592.80999999999995</v>
      </c>
      <c r="L112" s="199">
        <v>0</v>
      </c>
    </row>
    <row r="113" spans="1:12">
      <c r="A113" s="197" t="s">
        <v>758</v>
      </c>
      <c r="B113" s="198" t="s">
        <v>759</v>
      </c>
      <c r="C113" s="199">
        <v>0</v>
      </c>
      <c r="D113" s="199">
        <v>0</v>
      </c>
      <c r="E113" s="199">
        <v>2913.5</v>
      </c>
      <c r="F113" s="199">
        <v>0</v>
      </c>
      <c r="G113" s="199">
        <v>30.66</v>
      </c>
      <c r="H113" s="199">
        <v>0</v>
      </c>
      <c r="I113" s="199">
        <v>2944.16</v>
      </c>
      <c r="J113" s="199">
        <v>0</v>
      </c>
      <c r="K113" s="199">
        <v>2944.16</v>
      </c>
      <c r="L113" s="199">
        <v>0</v>
      </c>
    </row>
    <row r="114" spans="1:12">
      <c r="A114" s="197" t="s">
        <v>760</v>
      </c>
      <c r="B114" s="198" t="s">
        <v>761</v>
      </c>
      <c r="C114" s="199">
        <v>0</v>
      </c>
      <c r="D114" s="199">
        <v>0</v>
      </c>
      <c r="E114" s="199">
        <v>0</v>
      </c>
      <c r="F114" s="199">
        <v>0</v>
      </c>
      <c r="G114" s="199">
        <v>589.82000000000005</v>
      </c>
      <c r="H114" s="199">
        <v>0</v>
      </c>
      <c r="I114" s="199">
        <v>589.82000000000005</v>
      </c>
      <c r="J114" s="199">
        <v>0</v>
      </c>
      <c r="K114" s="199">
        <v>589.82000000000005</v>
      </c>
      <c r="L114" s="199">
        <v>0</v>
      </c>
    </row>
    <row r="115" spans="1:12">
      <c r="A115" s="197" t="s">
        <v>762</v>
      </c>
      <c r="B115" s="198" t="s">
        <v>763</v>
      </c>
      <c r="C115" s="199">
        <v>0</v>
      </c>
      <c r="D115" s="199">
        <v>0</v>
      </c>
      <c r="E115" s="199">
        <v>0</v>
      </c>
      <c r="F115" s="199">
        <v>0</v>
      </c>
      <c r="G115" s="199">
        <v>825.02</v>
      </c>
      <c r="H115" s="199">
        <v>0</v>
      </c>
      <c r="I115" s="199">
        <v>825.02</v>
      </c>
      <c r="J115" s="199">
        <v>0</v>
      </c>
      <c r="K115" s="199">
        <v>825.02</v>
      </c>
      <c r="L115" s="199">
        <v>0</v>
      </c>
    </row>
    <row r="116" spans="1:12">
      <c r="A116" s="197" t="s">
        <v>764</v>
      </c>
      <c r="B116" s="198" t="s">
        <v>765</v>
      </c>
      <c r="C116" s="199">
        <v>0</v>
      </c>
      <c r="D116" s="199">
        <v>0</v>
      </c>
      <c r="E116" s="199">
        <v>13.49</v>
      </c>
      <c r="F116" s="199">
        <v>0</v>
      </c>
      <c r="G116" s="199">
        <v>0</v>
      </c>
      <c r="H116" s="199">
        <v>0</v>
      </c>
      <c r="I116" s="199">
        <v>13.49</v>
      </c>
      <c r="J116" s="199">
        <v>0</v>
      </c>
      <c r="K116" s="199">
        <v>13.49</v>
      </c>
      <c r="L116" s="199">
        <v>0</v>
      </c>
    </row>
    <row r="117" spans="1:12">
      <c r="A117" s="197" t="s">
        <v>766</v>
      </c>
      <c r="B117" s="198" t="s">
        <v>767</v>
      </c>
      <c r="C117" s="199">
        <v>0</v>
      </c>
      <c r="D117" s="199">
        <v>0</v>
      </c>
      <c r="E117" s="199">
        <v>216054.79</v>
      </c>
      <c r="F117" s="199">
        <v>0</v>
      </c>
      <c r="G117" s="199">
        <v>19800.439999999999</v>
      </c>
      <c r="H117" s="199">
        <v>0</v>
      </c>
      <c r="I117" s="199">
        <v>235855.45</v>
      </c>
      <c r="J117" s="199">
        <v>0.22</v>
      </c>
      <c r="K117" s="199">
        <v>235855.23</v>
      </c>
      <c r="L117" s="199">
        <v>0</v>
      </c>
    </row>
    <row r="118" spans="1:12">
      <c r="A118" s="197" t="s">
        <v>768</v>
      </c>
      <c r="B118" s="198" t="s">
        <v>769</v>
      </c>
      <c r="C118" s="199">
        <v>0</v>
      </c>
      <c r="D118" s="199">
        <v>0</v>
      </c>
      <c r="E118" s="199">
        <v>84044.67</v>
      </c>
      <c r="F118" s="199">
        <v>0</v>
      </c>
      <c r="G118" s="199">
        <v>1172.99</v>
      </c>
      <c r="H118" s="199">
        <v>0</v>
      </c>
      <c r="I118" s="199">
        <v>101417.66</v>
      </c>
      <c r="J118" s="199">
        <v>16200</v>
      </c>
      <c r="K118" s="199">
        <v>85217.66</v>
      </c>
      <c r="L118" s="199">
        <v>0</v>
      </c>
    </row>
    <row r="119" spans="1:12">
      <c r="A119" s="197" t="s">
        <v>770</v>
      </c>
      <c r="B119" s="198" t="s">
        <v>771</v>
      </c>
      <c r="C119" s="199">
        <v>0</v>
      </c>
      <c r="D119" s="199">
        <v>0</v>
      </c>
      <c r="E119" s="199">
        <v>63616.06</v>
      </c>
      <c r="F119" s="199">
        <v>0</v>
      </c>
      <c r="G119" s="199">
        <v>4268.7</v>
      </c>
      <c r="H119" s="199">
        <v>0</v>
      </c>
      <c r="I119" s="199">
        <v>67884.759999999995</v>
      </c>
      <c r="J119" s="199">
        <v>0</v>
      </c>
      <c r="K119" s="199">
        <v>67884.759999999995</v>
      </c>
      <c r="L119" s="199">
        <v>0</v>
      </c>
    </row>
    <row r="120" spans="1:12">
      <c r="A120" s="197" t="s">
        <v>772</v>
      </c>
      <c r="B120" s="198" t="s">
        <v>773</v>
      </c>
      <c r="C120" s="199">
        <v>0</v>
      </c>
      <c r="D120" s="199">
        <v>0</v>
      </c>
      <c r="E120" s="199">
        <v>28540.03</v>
      </c>
      <c r="F120" s="199">
        <v>0</v>
      </c>
      <c r="G120" s="199">
        <v>3211.81</v>
      </c>
      <c r="H120" s="199">
        <v>0</v>
      </c>
      <c r="I120" s="199">
        <v>31751.84</v>
      </c>
      <c r="J120" s="199">
        <v>0</v>
      </c>
      <c r="K120" s="199">
        <v>31751.84</v>
      </c>
      <c r="L120" s="199">
        <v>0</v>
      </c>
    </row>
    <row r="121" spans="1:12">
      <c r="A121" s="197" t="s">
        <v>774</v>
      </c>
      <c r="B121" s="198" t="s">
        <v>775</v>
      </c>
      <c r="C121" s="199">
        <v>0</v>
      </c>
      <c r="D121" s="199">
        <v>0</v>
      </c>
      <c r="E121" s="199">
        <v>1877.93</v>
      </c>
      <c r="F121" s="199">
        <v>0</v>
      </c>
      <c r="G121" s="199">
        <v>12420.52</v>
      </c>
      <c r="H121" s="199">
        <v>0</v>
      </c>
      <c r="I121" s="199">
        <v>14298.45</v>
      </c>
      <c r="J121" s="199">
        <v>0</v>
      </c>
      <c r="K121" s="199">
        <v>14298.45</v>
      </c>
      <c r="L121" s="199">
        <v>0</v>
      </c>
    </row>
    <row r="122" spans="1:12">
      <c r="A122" s="197" t="s">
        <v>776</v>
      </c>
      <c r="B122" s="198" t="s">
        <v>777</v>
      </c>
      <c r="C122" s="199">
        <v>0</v>
      </c>
      <c r="D122" s="199">
        <v>0</v>
      </c>
      <c r="E122" s="199">
        <v>95822.66</v>
      </c>
      <c r="F122" s="199">
        <v>0</v>
      </c>
      <c r="G122" s="199">
        <v>34441.550000000003</v>
      </c>
      <c r="H122" s="199">
        <v>0</v>
      </c>
      <c r="I122" s="199">
        <v>130264.21</v>
      </c>
      <c r="J122" s="199">
        <v>0</v>
      </c>
      <c r="K122" s="199">
        <v>130264.21</v>
      </c>
      <c r="L122" s="199">
        <v>0</v>
      </c>
    </row>
    <row r="123" spans="1:12">
      <c r="A123" s="197" t="s">
        <v>778</v>
      </c>
      <c r="B123" s="198" t="s">
        <v>779</v>
      </c>
      <c r="C123" s="199">
        <v>0</v>
      </c>
      <c r="D123" s="199">
        <v>0</v>
      </c>
      <c r="E123" s="199">
        <v>85828.57</v>
      </c>
      <c r="F123" s="199">
        <v>0</v>
      </c>
      <c r="G123" s="199">
        <v>61056.14</v>
      </c>
      <c r="H123" s="199">
        <v>0</v>
      </c>
      <c r="I123" s="199">
        <v>146884.71</v>
      </c>
      <c r="J123" s="199">
        <v>0</v>
      </c>
      <c r="K123" s="199">
        <v>146884.71</v>
      </c>
      <c r="L123" s="199">
        <v>0</v>
      </c>
    </row>
    <row r="124" spans="1:12">
      <c r="A124" s="197" t="s">
        <v>780</v>
      </c>
      <c r="B124" s="198" t="s">
        <v>781</v>
      </c>
      <c r="C124" s="199">
        <v>0</v>
      </c>
      <c r="D124" s="199">
        <v>0</v>
      </c>
      <c r="E124" s="199">
        <v>44136.14</v>
      </c>
      <c r="F124" s="199">
        <v>0</v>
      </c>
      <c r="G124" s="199">
        <v>0</v>
      </c>
      <c r="H124" s="199">
        <v>0</v>
      </c>
      <c r="I124" s="199">
        <v>44136.14</v>
      </c>
      <c r="J124" s="199">
        <v>0</v>
      </c>
      <c r="K124" s="199">
        <v>44136.14</v>
      </c>
      <c r="L124" s="199">
        <v>0</v>
      </c>
    </row>
    <row r="125" spans="1:12">
      <c r="A125" s="197" t="s">
        <v>782</v>
      </c>
      <c r="B125" s="198" t="s">
        <v>783</v>
      </c>
      <c r="C125" s="199">
        <v>0</v>
      </c>
      <c r="D125" s="199">
        <v>0</v>
      </c>
      <c r="E125" s="199">
        <v>22650.2</v>
      </c>
      <c r="F125" s="199">
        <v>0</v>
      </c>
      <c r="G125" s="199">
        <v>15122.56</v>
      </c>
      <c r="H125" s="199">
        <v>0</v>
      </c>
      <c r="I125" s="199">
        <v>37772.76</v>
      </c>
      <c r="J125" s="199">
        <v>0</v>
      </c>
      <c r="K125" s="199">
        <v>37772.76</v>
      </c>
      <c r="L125" s="199">
        <v>0</v>
      </c>
    </row>
    <row r="126" spans="1:12">
      <c r="A126" s="197" t="s">
        <v>784</v>
      </c>
      <c r="B126" s="198" t="s">
        <v>785</v>
      </c>
      <c r="C126" s="199">
        <v>0</v>
      </c>
      <c r="D126" s="199">
        <v>0</v>
      </c>
      <c r="E126" s="199">
        <v>0</v>
      </c>
      <c r="F126" s="199">
        <v>0</v>
      </c>
      <c r="G126" s="199">
        <v>22715.26</v>
      </c>
      <c r="H126" s="199">
        <v>22715.26</v>
      </c>
      <c r="I126" s="199">
        <v>24667.98</v>
      </c>
      <c r="J126" s="199">
        <v>24667.98</v>
      </c>
      <c r="K126" s="199">
        <v>0</v>
      </c>
      <c r="L126" s="199">
        <v>0</v>
      </c>
    </row>
    <row r="127" spans="1:12">
      <c r="A127" s="197" t="s">
        <v>786</v>
      </c>
      <c r="B127" s="198" t="s">
        <v>787</v>
      </c>
      <c r="C127" s="199">
        <v>0</v>
      </c>
      <c r="D127" s="199">
        <v>0</v>
      </c>
      <c r="E127" s="199">
        <v>0</v>
      </c>
      <c r="F127" s="199">
        <v>0</v>
      </c>
      <c r="G127" s="199">
        <v>2187.2199999999998</v>
      </c>
      <c r="H127" s="199">
        <v>0</v>
      </c>
      <c r="I127" s="199">
        <v>2187.2199999999998</v>
      </c>
      <c r="J127" s="199">
        <v>0</v>
      </c>
      <c r="K127" s="199">
        <v>2187.2199999999998</v>
      </c>
      <c r="L127" s="199">
        <v>0</v>
      </c>
    </row>
    <row r="128" spans="1:12">
      <c r="A128" s="197" t="s">
        <v>788</v>
      </c>
      <c r="B128" s="198" t="s">
        <v>789</v>
      </c>
      <c r="C128" s="199">
        <v>0</v>
      </c>
      <c r="D128" s="199">
        <v>0</v>
      </c>
      <c r="E128" s="199">
        <v>0</v>
      </c>
      <c r="F128" s="199">
        <v>0</v>
      </c>
      <c r="G128" s="199">
        <v>10199</v>
      </c>
      <c r="H128" s="199">
        <v>0</v>
      </c>
      <c r="I128" s="199">
        <v>10199</v>
      </c>
      <c r="J128" s="199">
        <v>0</v>
      </c>
      <c r="K128" s="199">
        <v>10199</v>
      </c>
      <c r="L128" s="199">
        <v>0</v>
      </c>
    </row>
    <row r="129" spans="1:12">
      <c r="A129" s="197" t="s">
        <v>790</v>
      </c>
      <c r="B129" s="198" t="s">
        <v>791</v>
      </c>
      <c r="C129" s="199">
        <v>0</v>
      </c>
      <c r="D129" s="199">
        <v>0</v>
      </c>
      <c r="E129" s="199">
        <v>5987.16</v>
      </c>
      <c r="F129" s="199">
        <v>0</v>
      </c>
      <c r="G129" s="199">
        <v>213.01</v>
      </c>
      <c r="H129" s="199">
        <v>0</v>
      </c>
      <c r="I129" s="199">
        <v>6200.17</v>
      </c>
      <c r="J129" s="199">
        <v>0</v>
      </c>
      <c r="K129" s="199">
        <v>6200.17</v>
      </c>
      <c r="L129" s="199">
        <v>0</v>
      </c>
    </row>
    <row r="130" spans="1:12">
      <c r="A130" s="197" t="s">
        <v>792</v>
      </c>
      <c r="B130" s="198" t="s">
        <v>793</v>
      </c>
      <c r="C130" s="199">
        <v>0</v>
      </c>
      <c r="D130" s="199">
        <v>0</v>
      </c>
      <c r="E130" s="199">
        <v>1599.79</v>
      </c>
      <c r="F130" s="199">
        <v>0</v>
      </c>
      <c r="G130" s="199">
        <v>0</v>
      </c>
      <c r="H130" s="199">
        <v>0</v>
      </c>
      <c r="I130" s="199">
        <v>1599.79</v>
      </c>
      <c r="J130" s="199">
        <v>0</v>
      </c>
      <c r="K130" s="199">
        <v>1599.79</v>
      </c>
      <c r="L130" s="199">
        <v>0</v>
      </c>
    </row>
    <row r="131" spans="1:12">
      <c r="A131" s="197" t="s">
        <v>794</v>
      </c>
      <c r="B131" s="198" t="s">
        <v>795</v>
      </c>
      <c r="C131" s="199">
        <v>0</v>
      </c>
      <c r="D131" s="199">
        <v>0</v>
      </c>
      <c r="E131" s="199">
        <v>8111.66</v>
      </c>
      <c r="F131" s="199">
        <v>0</v>
      </c>
      <c r="G131" s="199">
        <v>158.82</v>
      </c>
      <c r="H131" s="199">
        <v>0</v>
      </c>
      <c r="I131" s="199">
        <v>8270.48</v>
      </c>
      <c r="J131" s="199">
        <v>0</v>
      </c>
      <c r="K131" s="199">
        <v>8270.48</v>
      </c>
      <c r="L131" s="199">
        <v>0</v>
      </c>
    </row>
    <row r="132" spans="1:12">
      <c r="A132" s="197" t="s">
        <v>796</v>
      </c>
      <c r="B132" s="198" t="s">
        <v>797</v>
      </c>
      <c r="C132" s="199">
        <v>0</v>
      </c>
      <c r="D132" s="199">
        <v>0</v>
      </c>
      <c r="E132" s="199">
        <v>6466.5</v>
      </c>
      <c r="F132" s="199">
        <v>0</v>
      </c>
      <c r="G132" s="199">
        <v>335.42</v>
      </c>
      <c r="H132" s="199">
        <v>0</v>
      </c>
      <c r="I132" s="199">
        <v>6801.92</v>
      </c>
      <c r="J132" s="199">
        <v>0</v>
      </c>
      <c r="K132" s="199">
        <v>6801.92</v>
      </c>
      <c r="L132" s="199">
        <v>0</v>
      </c>
    </row>
    <row r="133" spans="1:12">
      <c r="A133" s="197" t="s">
        <v>798</v>
      </c>
      <c r="B133" s="198" t="s">
        <v>799</v>
      </c>
      <c r="C133" s="199">
        <v>0</v>
      </c>
      <c r="D133" s="199">
        <v>0</v>
      </c>
      <c r="E133" s="199">
        <v>836.54</v>
      </c>
      <c r="F133" s="199">
        <v>0</v>
      </c>
      <c r="G133" s="199">
        <v>89.64</v>
      </c>
      <c r="H133" s="199">
        <v>0</v>
      </c>
      <c r="I133" s="199">
        <v>926.18</v>
      </c>
      <c r="J133" s="199">
        <v>0</v>
      </c>
      <c r="K133" s="199">
        <v>926.18</v>
      </c>
      <c r="L133" s="199">
        <v>0</v>
      </c>
    </row>
    <row r="134" spans="1:12">
      <c r="A134" s="197" t="s">
        <v>800</v>
      </c>
      <c r="B134" s="198" t="s">
        <v>801</v>
      </c>
      <c r="C134" s="199">
        <v>0</v>
      </c>
      <c r="D134" s="199">
        <v>0</v>
      </c>
      <c r="E134" s="199">
        <v>598</v>
      </c>
      <c r="F134" s="199">
        <v>0</v>
      </c>
      <c r="G134" s="199">
        <v>0</v>
      </c>
      <c r="H134" s="199">
        <v>0</v>
      </c>
      <c r="I134" s="199">
        <v>598</v>
      </c>
      <c r="J134" s="199">
        <v>0</v>
      </c>
      <c r="K134" s="199">
        <v>598</v>
      </c>
      <c r="L134" s="199">
        <v>0</v>
      </c>
    </row>
    <row r="135" spans="1:12">
      <c r="A135" s="197" t="s">
        <v>802</v>
      </c>
      <c r="B135" s="198" t="s">
        <v>803</v>
      </c>
      <c r="C135" s="199">
        <v>0</v>
      </c>
      <c r="D135" s="199">
        <v>0</v>
      </c>
      <c r="E135" s="199">
        <v>0</v>
      </c>
      <c r="F135" s="199">
        <v>0</v>
      </c>
      <c r="G135" s="199">
        <v>192.24</v>
      </c>
      <c r="H135" s="199">
        <v>0</v>
      </c>
      <c r="I135" s="199">
        <v>192.24</v>
      </c>
      <c r="J135" s="199">
        <v>0</v>
      </c>
      <c r="K135" s="199">
        <v>192.24</v>
      </c>
      <c r="L135" s="199">
        <v>0</v>
      </c>
    </row>
    <row r="136" spans="1:12">
      <c r="A136" s="197" t="s">
        <v>804</v>
      </c>
      <c r="B136" s="198" t="s">
        <v>805</v>
      </c>
      <c r="C136" s="199">
        <v>0</v>
      </c>
      <c r="D136" s="199">
        <v>0</v>
      </c>
      <c r="E136" s="199">
        <v>298.89999999999998</v>
      </c>
      <c r="F136" s="199">
        <v>0</v>
      </c>
      <c r="G136" s="199">
        <v>0</v>
      </c>
      <c r="H136" s="199">
        <v>0</v>
      </c>
      <c r="I136" s="199">
        <v>298.89999999999998</v>
      </c>
      <c r="J136" s="199">
        <v>0</v>
      </c>
      <c r="K136" s="199">
        <v>298.89999999999998</v>
      </c>
      <c r="L136" s="199">
        <v>0</v>
      </c>
    </row>
    <row r="137" spans="1:12">
      <c r="A137" s="197" t="s">
        <v>806</v>
      </c>
      <c r="B137" s="198" t="s">
        <v>807</v>
      </c>
      <c r="C137" s="199">
        <v>0</v>
      </c>
      <c r="D137" s="199">
        <v>0</v>
      </c>
      <c r="E137" s="199">
        <v>2218.3200000000002</v>
      </c>
      <c r="F137" s="199">
        <v>0</v>
      </c>
      <c r="G137" s="199">
        <v>995.58</v>
      </c>
      <c r="H137" s="199">
        <v>0</v>
      </c>
      <c r="I137" s="199">
        <v>3213.9</v>
      </c>
      <c r="J137" s="199">
        <v>0</v>
      </c>
      <c r="K137" s="199">
        <v>3213.9</v>
      </c>
      <c r="L137" s="199">
        <v>0</v>
      </c>
    </row>
    <row r="138" spans="1:12">
      <c r="A138" s="197" t="s">
        <v>808</v>
      </c>
      <c r="B138" s="198" t="s">
        <v>809</v>
      </c>
      <c r="C138" s="199">
        <v>0</v>
      </c>
      <c r="D138" s="199">
        <v>0</v>
      </c>
      <c r="E138" s="199">
        <v>1036.8599999999999</v>
      </c>
      <c r="F138" s="199">
        <v>0</v>
      </c>
      <c r="G138" s="199">
        <v>371.43</v>
      </c>
      <c r="H138" s="199">
        <v>0</v>
      </c>
      <c r="I138" s="199">
        <v>1408.29</v>
      </c>
      <c r="J138" s="199">
        <v>0</v>
      </c>
      <c r="K138" s="199">
        <v>1408.29</v>
      </c>
      <c r="L138" s="199">
        <v>0</v>
      </c>
    </row>
    <row r="139" spans="1:12">
      <c r="A139" s="197" t="s">
        <v>810</v>
      </c>
      <c r="B139" s="198" t="s">
        <v>811</v>
      </c>
      <c r="C139" s="199">
        <v>0</v>
      </c>
      <c r="D139" s="199">
        <v>0</v>
      </c>
      <c r="E139" s="199">
        <v>1001.34</v>
      </c>
      <c r="F139" s="199">
        <v>0</v>
      </c>
      <c r="G139" s="199">
        <v>97.7</v>
      </c>
      <c r="H139" s="199">
        <v>0</v>
      </c>
      <c r="I139" s="199">
        <v>1099.04</v>
      </c>
      <c r="J139" s="199">
        <v>0</v>
      </c>
      <c r="K139" s="199">
        <v>1099.04</v>
      </c>
      <c r="L139" s="199">
        <v>0</v>
      </c>
    </row>
    <row r="140" spans="1:12">
      <c r="A140" s="197" t="s">
        <v>812</v>
      </c>
      <c r="B140" s="198" t="s">
        <v>813</v>
      </c>
      <c r="C140" s="199">
        <v>0</v>
      </c>
      <c r="D140" s="199">
        <v>0</v>
      </c>
      <c r="E140" s="199">
        <v>10114.77</v>
      </c>
      <c r="F140" s="199">
        <v>0</v>
      </c>
      <c r="G140" s="199">
        <v>1165.46</v>
      </c>
      <c r="H140" s="199">
        <v>0</v>
      </c>
      <c r="I140" s="199">
        <v>11280.23</v>
      </c>
      <c r="J140" s="199">
        <v>0</v>
      </c>
      <c r="K140" s="199">
        <v>11280.23</v>
      </c>
      <c r="L140" s="199">
        <v>0</v>
      </c>
    </row>
    <row r="141" spans="1:12">
      <c r="A141" s="197" t="s">
        <v>814</v>
      </c>
      <c r="B141" s="198" t="s">
        <v>815</v>
      </c>
      <c r="C141" s="199">
        <v>0</v>
      </c>
      <c r="D141" s="199">
        <v>0</v>
      </c>
      <c r="E141" s="199">
        <v>1262.4000000000001</v>
      </c>
      <c r="F141" s="199">
        <v>0</v>
      </c>
      <c r="G141" s="199">
        <v>50.2</v>
      </c>
      <c r="H141" s="199">
        <v>0</v>
      </c>
      <c r="I141" s="199">
        <v>1312.6</v>
      </c>
      <c r="J141" s="199">
        <v>0</v>
      </c>
      <c r="K141" s="199">
        <v>1312.6</v>
      </c>
      <c r="L141" s="199">
        <v>0</v>
      </c>
    </row>
    <row r="142" spans="1:12">
      <c r="A142" s="197" t="s">
        <v>816</v>
      </c>
      <c r="B142" s="198" t="s">
        <v>817</v>
      </c>
      <c r="C142" s="199">
        <v>0</v>
      </c>
      <c r="D142" s="199">
        <v>0</v>
      </c>
      <c r="E142" s="199">
        <v>9994.09</v>
      </c>
      <c r="F142" s="199">
        <v>0</v>
      </c>
      <c r="G142" s="199">
        <v>1066.2</v>
      </c>
      <c r="H142" s="199">
        <v>0</v>
      </c>
      <c r="I142" s="199">
        <v>11060.29</v>
      </c>
      <c r="J142" s="199">
        <v>0</v>
      </c>
      <c r="K142" s="199">
        <v>11060.29</v>
      </c>
      <c r="L142" s="199">
        <v>0</v>
      </c>
    </row>
    <row r="143" spans="1:12">
      <c r="A143" s="197" t="s">
        <v>818</v>
      </c>
      <c r="B143" s="198" t="s">
        <v>819</v>
      </c>
      <c r="C143" s="199">
        <v>0</v>
      </c>
      <c r="D143" s="199">
        <v>0</v>
      </c>
      <c r="E143" s="199">
        <v>6592.14</v>
      </c>
      <c r="F143" s="199">
        <v>0</v>
      </c>
      <c r="G143" s="199">
        <v>309.64999999999998</v>
      </c>
      <c r="H143" s="199">
        <v>0</v>
      </c>
      <c r="I143" s="199">
        <v>6901.79</v>
      </c>
      <c r="J143" s="199">
        <v>0</v>
      </c>
      <c r="K143" s="199">
        <v>6901.79</v>
      </c>
      <c r="L143" s="199">
        <v>0</v>
      </c>
    </row>
    <row r="144" spans="1:12">
      <c r="A144" s="197" t="s">
        <v>820</v>
      </c>
      <c r="B144" s="198" t="s">
        <v>821</v>
      </c>
      <c r="C144" s="199">
        <v>0</v>
      </c>
      <c r="D144" s="199">
        <v>0</v>
      </c>
      <c r="E144" s="199">
        <v>406.03</v>
      </c>
      <c r="F144" s="199">
        <v>0</v>
      </c>
      <c r="G144" s="199">
        <v>40.33</v>
      </c>
      <c r="H144" s="199">
        <v>0</v>
      </c>
      <c r="I144" s="199">
        <v>446.36</v>
      </c>
      <c r="J144" s="199">
        <v>0</v>
      </c>
      <c r="K144" s="199">
        <v>446.36</v>
      </c>
      <c r="L144" s="199">
        <v>0</v>
      </c>
    </row>
    <row r="145" spans="1:12">
      <c r="A145" s="197" t="s">
        <v>822</v>
      </c>
      <c r="B145" s="198" t="s">
        <v>823</v>
      </c>
      <c r="C145" s="199">
        <v>0</v>
      </c>
      <c r="D145" s="199">
        <v>0</v>
      </c>
      <c r="E145" s="199">
        <v>596.85</v>
      </c>
      <c r="F145" s="199">
        <v>0</v>
      </c>
      <c r="G145" s="199">
        <v>90.29</v>
      </c>
      <c r="H145" s="199">
        <v>0</v>
      </c>
      <c r="I145" s="199">
        <v>687.14</v>
      </c>
      <c r="J145" s="199">
        <v>0</v>
      </c>
      <c r="K145" s="199">
        <v>687.14</v>
      </c>
      <c r="L145" s="199">
        <v>0</v>
      </c>
    </row>
    <row r="146" spans="1:12">
      <c r="A146" s="197" t="s">
        <v>824</v>
      </c>
      <c r="B146" s="198" t="s">
        <v>825</v>
      </c>
      <c r="C146" s="199">
        <v>0</v>
      </c>
      <c r="D146" s="199">
        <v>0</v>
      </c>
      <c r="E146" s="199">
        <v>2294.8200000000002</v>
      </c>
      <c r="F146" s="199">
        <v>0</v>
      </c>
      <c r="G146" s="199">
        <v>0</v>
      </c>
      <c r="H146" s="199">
        <v>0</v>
      </c>
      <c r="I146" s="199">
        <v>2294.8200000000002</v>
      </c>
      <c r="J146" s="199">
        <v>0</v>
      </c>
      <c r="K146" s="199">
        <v>2294.8200000000002</v>
      </c>
      <c r="L146" s="199">
        <v>0</v>
      </c>
    </row>
    <row r="147" spans="1:12">
      <c r="A147" s="197" t="s">
        <v>826</v>
      </c>
      <c r="B147" s="198" t="s">
        <v>827</v>
      </c>
      <c r="C147" s="199">
        <v>0</v>
      </c>
      <c r="D147" s="199">
        <v>0</v>
      </c>
      <c r="E147" s="199">
        <v>3605</v>
      </c>
      <c r="F147" s="199">
        <v>0</v>
      </c>
      <c r="G147" s="199">
        <v>0</v>
      </c>
      <c r="H147" s="199">
        <v>0</v>
      </c>
      <c r="I147" s="199">
        <v>3605</v>
      </c>
      <c r="J147" s="199">
        <v>0</v>
      </c>
      <c r="K147" s="199">
        <v>3605</v>
      </c>
      <c r="L147" s="199">
        <v>0</v>
      </c>
    </row>
    <row r="148" spans="1:12">
      <c r="A148" s="197" t="s">
        <v>828</v>
      </c>
      <c r="B148" s="198" t="s">
        <v>829</v>
      </c>
      <c r="C148" s="199">
        <v>0</v>
      </c>
      <c r="D148" s="199">
        <v>0</v>
      </c>
      <c r="E148" s="199">
        <v>3300</v>
      </c>
      <c r="F148" s="199">
        <v>0</v>
      </c>
      <c r="G148" s="199">
        <v>0</v>
      </c>
      <c r="H148" s="199">
        <v>0</v>
      </c>
      <c r="I148" s="199">
        <v>3300</v>
      </c>
      <c r="J148" s="199">
        <v>0</v>
      </c>
      <c r="K148" s="199">
        <v>3300</v>
      </c>
      <c r="L148" s="199">
        <v>0</v>
      </c>
    </row>
    <row r="149" spans="1:12">
      <c r="A149" s="197" t="s">
        <v>830</v>
      </c>
      <c r="B149" s="198" t="s">
        <v>831</v>
      </c>
      <c r="C149" s="199">
        <v>0</v>
      </c>
      <c r="D149" s="199">
        <v>0</v>
      </c>
      <c r="E149" s="199">
        <v>665.83</v>
      </c>
      <c r="F149" s="199">
        <v>0</v>
      </c>
      <c r="G149" s="199">
        <v>60.53</v>
      </c>
      <c r="H149" s="199">
        <v>0</v>
      </c>
      <c r="I149" s="199">
        <v>726.36</v>
      </c>
      <c r="J149" s="199">
        <v>0</v>
      </c>
      <c r="K149" s="199">
        <v>726.36</v>
      </c>
      <c r="L149" s="199">
        <v>0</v>
      </c>
    </row>
    <row r="150" spans="1:12">
      <c r="A150" s="197" t="s">
        <v>832</v>
      </c>
      <c r="B150" s="198" t="s">
        <v>833</v>
      </c>
      <c r="C150" s="199">
        <v>0</v>
      </c>
      <c r="D150" s="199">
        <v>0</v>
      </c>
      <c r="E150" s="199">
        <v>207.55</v>
      </c>
      <c r="F150" s="199">
        <v>0</v>
      </c>
      <c r="G150" s="199">
        <v>0</v>
      </c>
      <c r="H150" s="199">
        <v>0</v>
      </c>
      <c r="I150" s="199">
        <v>207.55</v>
      </c>
      <c r="J150" s="199">
        <v>0</v>
      </c>
      <c r="K150" s="199">
        <v>207.55</v>
      </c>
      <c r="L150" s="199">
        <v>0</v>
      </c>
    </row>
    <row r="151" spans="1:12">
      <c r="A151" s="197" t="s">
        <v>834</v>
      </c>
      <c r="B151" s="198" t="s">
        <v>835</v>
      </c>
      <c r="C151" s="199">
        <v>0</v>
      </c>
      <c r="D151" s="199">
        <v>0</v>
      </c>
      <c r="E151" s="199">
        <v>6101.69</v>
      </c>
      <c r="F151" s="199">
        <v>0</v>
      </c>
      <c r="G151" s="199">
        <v>914.96</v>
      </c>
      <c r="H151" s="199">
        <v>0</v>
      </c>
      <c r="I151" s="199">
        <v>7016.65</v>
      </c>
      <c r="J151" s="199">
        <v>0</v>
      </c>
      <c r="K151" s="199">
        <v>7016.65</v>
      </c>
      <c r="L151" s="199">
        <v>0</v>
      </c>
    </row>
    <row r="152" spans="1:12">
      <c r="A152" s="197" t="s">
        <v>836</v>
      </c>
      <c r="B152" s="198" t="s">
        <v>837</v>
      </c>
      <c r="C152" s="199">
        <v>0</v>
      </c>
      <c r="D152" s="199">
        <v>0</v>
      </c>
      <c r="E152" s="199">
        <v>9476.34</v>
      </c>
      <c r="F152" s="199">
        <v>0</v>
      </c>
      <c r="G152" s="199">
        <v>12309.43</v>
      </c>
      <c r="H152" s="199">
        <v>0</v>
      </c>
      <c r="I152" s="199">
        <v>21785.77</v>
      </c>
      <c r="J152" s="199">
        <v>0</v>
      </c>
      <c r="K152" s="199">
        <v>21785.77</v>
      </c>
      <c r="L152" s="199">
        <v>0</v>
      </c>
    </row>
    <row r="153" spans="1:12">
      <c r="A153" s="197" t="s">
        <v>838</v>
      </c>
      <c r="B153" s="198" t="s">
        <v>839</v>
      </c>
      <c r="C153" s="199">
        <v>0</v>
      </c>
      <c r="D153" s="199">
        <v>0</v>
      </c>
      <c r="E153" s="199">
        <v>295.67</v>
      </c>
      <c r="F153" s="199">
        <v>0</v>
      </c>
      <c r="G153" s="199">
        <v>17.920000000000002</v>
      </c>
      <c r="H153" s="199">
        <v>0</v>
      </c>
      <c r="I153" s="199">
        <v>313.58999999999997</v>
      </c>
      <c r="J153" s="199">
        <v>0</v>
      </c>
      <c r="K153" s="199">
        <v>313.58999999999997</v>
      </c>
      <c r="L153" s="199">
        <v>0</v>
      </c>
    </row>
    <row r="154" spans="1:12">
      <c r="A154" s="197" t="s">
        <v>840</v>
      </c>
      <c r="B154" s="198" t="s">
        <v>841</v>
      </c>
      <c r="C154" s="199">
        <v>0</v>
      </c>
      <c r="D154" s="199">
        <v>0</v>
      </c>
      <c r="E154" s="199">
        <v>376.93</v>
      </c>
      <c r="F154" s="199">
        <v>0</v>
      </c>
      <c r="G154" s="199">
        <v>13.76</v>
      </c>
      <c r="H154" s="199">
        <v>0</v>
      </c>
      <c r="I154" s="199">
        <v>390.69</v>
      </c>
      <c r="J154" s="199">
        <v>0</v>
      </c>
      <c r="K154" s="199">
        <v>390.69</v>
      </c>
      <c r="L154" s="199">
        <v>0</v>
      </c>
    </row>
    <row r="155" spans="1:12">
      <c r="A155" s="197" t="s">
        <v>842</v>
      </c>
      <c r="B155" s="198" t="s">
        <v>843</v>
      </c>
      <c r="C155" s="199">
        <v>0</v>
      </c>
      <c r="D155" s="199">
        <v>0</v>
      </c>
      <c r="E155" s="199">
        <v>6527.65</v>
      </c>
      <c r="F155" s="199">
        <v>0</v>
      </c>
      <c r="G155" s="199">
        <v>0</v>
      </c>
      <c r="H155" s="199">
        <v>0</v>
      </c>
      <c r="I155" s="199">
        <v>6527.65</v>
      </c>
      <c r="J155" s="199">
        <v>0</v>
      </c>
      <c r="K155" s="199">
        <v>6527.65</v>
      </c>
      <c r="L155" s="199">
        <v>0</v>
      </c>
    </row>
    <row r="156" spans="1:12">
      <c r="A156" s="197" t="s">
        <v>844</v>
      </c>
      <c r="B156" s="198" t="s">
        <v>845</v>
      </c>
      <c r="C156" s="199">
        <v>0</v>
      </c>
      <c r="D156" s="199">
        <v>0</v>
      </c>
      <c r="E156" s="199">
        <v>158.6</v>
      </c>
      <c r="F156" s="199">
        <v>0</v>
      </c>
      <c r="G156" s="199">
        <v>0</v>
      </c>
      <c r="H156" s="199">
        <v>0</v>
      </c>
      <c r="I156" s="199">
        <v>158.6</v>
      </c>
      <c r="J156" s="199">
        <v>0</v>
      </c>
      <c r="K156" s="199">
        <v>158.6</v>
      </c>
      <c r="L156" s="199">
        <v>0</v>
      </c>
    </row>
    <row r="157" spans="1:12">
      <c r="A157" s="197" t="s">
        <v>846</v>
      </c>
      <c r="B157" s="198" t="s">
        <v>847</v>
      </c>
      <c r="C157" s="199">
        <v>0</v>
      </c>
      <c r="D157" s="199">
        <v>0</v>
      </c>
      <c r="E157" s="199">
        <v>242</v>
      </c>
      <c r="F157" s="199">
        <v>0</v>
      </c>
      <c r="G157" s="199">
        <v>0</v>
      </c>
      <c r="H157" s="199">
        <v>0</v>
      </c>
      <c r="I157" s="199">
        <v>242</v>
      </c>
      <c r="J157" s="199">
        <v>0</v>
      </c>
      <c r="K157" s="199">
        <v>242</v>
      </c>
      <c r="L157" s="199">
        <v>0</v>
      </c>
    </row>
    <row r="158" spans="1:12">
      <c r="A158" s="197" t="s">
        <v>848</v>
      </c>
      <c r="B158" s="198" t="s">
        <v>849</v>
      </c>
      <c r="C158" s="199">
        <v>0</v>
      </c>
      <c r="D158" s="199">
        <v>0</v>
      </c>
      <c r="E158" s="199">
        <v>219.6</v>
      </c>
      <c r="F158" s="199">
        <v>0</v>
      </c>
      <c r="G158" s="199">
        <v>13.92</v>
      </c>
      <c r="H158" s="199">
        <v>0</v>
      </c>
      <c r="I158" s="199">
        <v>233.52</v>
      </c>
      <c r="J158" s="199">
        <v>0</v>
      </c>
      <c r="K158" s="199">
        <v>233.52</v>
      </c>
      <c r="L158" s="199">
        <v>0</v>
      </c>
    </row>
    <row r="159" spans="1:12">
      <c r="A159" s="197" t="s">
        <v>850</v>
      </c>
      <c r="B159" s="198" t="s">
        <v>851</v>
      </c>
      <c r="C159" s="199">
        <v>0</v>
      </c>
      <c r="D159" s="199">
        <v>0</v>
      </c>
      <c r="E159" s="199">
        <v>1200</v>
      </c>
      <c r="F159" s="199">
        <v>0</v>
      </c>
      <c r="G159" s="199">
        <v>300</v>
      </c>
      <c r="H159" s="199">
        <v>0</v>
      </c>
      <c r="I159" s="199">
        <v>1500</v>
      </c>
      <c r="J159" s="199">
        <v>0</v>
      </c>
      <c r="K159" s="199">
        <v>1500</v>
      </c>
      <c r="L159" s="199">
        <v>0</v>
      </c>
    </row>
    <row r="160" spans="1:12">
      <c r="A160" s="197" t="s">
        <v>852</v>
      </c>
      <c r="B160" s="198" t="s">
        <v>853</v>
      </c>
      <c r="C160" s="199">
        <v>0</v>
      </c>
      <c r="D160" s="199">
        <v>0</v>
      </c>
      <c r="E160" s="199">
        <v>61644.83</v>
      </c>
      <c r="F160" s="199">
        <v>0</v>
      </c>
      <c r="G160" s="199">
        <v>8076.05</v>
      </c>
      <c r="H160" s="199">
        <v>0</v>
      </c>
      <c r="I160" s="199">
        <v>69720.88</v>
      </c>
      <c r="J160" s="199">
        <v>0</v>
      </c>
      <c r="K160" s="199">
        <v>69720.88</v>
      </c>
      <c r="L160" s="199">
        <v>0</v>
      </c>
    </row>
    <row r="161" spans="1:12">
      <c r="A161" s="197" t="s">
        <v>854</v>
      </c>
      <c r="B161" s="198" t="s">
        <v>855</v>
      </c>
      <c r="C161" s="199">
        <v>0</v>
      </c>
      <c r="D161" s="199">
        <v>0</v>
      </c>
      <c r="E161" s="199">
        <v>4040.39</v>
      </c>
      <c r="F161" s="199">
        <v>0</v>
      </c>
      <c r="G161" s="199">
        <v>219.2</v>
      </c>
      <c r="H161" s="199">
        <v>0</v>
      </c>
      <c r="I161" s="199">
        <v>4259.59</v>
      </c>
      <c r="J161" s="199">
        <v>0</v>
      </c>
      <c r="K161" s="199">
        <v>4259.59</v>
      </c>
      <c r="L161" s="199">
        <v>0</v>
      </c>
    </row>
    <row r="162" spans="1:12">
      <c r="A162" s="197" t="s">
        <v>856</v>
      </c>
      <c r="B162" s="198" t="s">
        <v>857</v>
      </c>
      <c r="C162" s="199">
        <v>0</v>
      </c>
      <c r="D162" s="199">
        <v>0</v>
      </c>
      <c r="E162" s="199">
        <v>4439.16</v>
      </c>
      <c r="F162" s="199">
        <v>0</v>
      </c>
      <c r="G162" s="199">
        <v>3484.85</v>
      </c>
      <c r="H162" s="199">
        <v>0</v>
      </c>
      <c r="I162" s="199">
        <v>7924.01</v>
      </c>
      <c r="J162" s="199">
        <v>0</v>
      </c>
      <c r="K162" s="199">
        <v>7924.01</v>
      </c>
      <c r="L162" s="199">
        <v>0</v>
      </c>
    </row>
    <row r="163" spans="1:12">
      <c r="A163" s="197" t="s">
        <v>858</v>
      </c>
      <c r="B163" s="198" t="s">
        <v>859</v>
      </c>
      <c r="C163" s="199">
        <v>0</v>
      </c>
      <c r="D163" s="199">
        <v>0</v>
      </c>
      <c r="E163" s="199">
        <v>192.28</v>
      </c>
      <c r="F163" s="199">
        <v>0</v>
      </c>
      <c r="G163" s="199">
        <v>0</v>
      </c>
      <c r="H163" s="199">
        <v>0</v>
      </c>
      <c r="I163" s="199">
        <v>192.28</v>
      </c>
      <c r="J163" s="199">
        <v>0</v>
      </c>
      <c r="K163" s="199">
        <v>192.28</v>
      </c>
      <c r="L163" s="199">
        <v>0</v>
      </c>
    </row>
    <row r="164" spans="1:12">
      <c r="A164" s="197" t="s">
        <v>860</v>
      </c>
      <c r="B164" s="198" t="s">
        <v>861</v>
      </c>
      <c r="C164" s="199">
        <v>0</v>
      </c>
      <c r="D164" s="199">
        <v>0</v>
      </c>
      <c r="E164" s="199">
        <v>858.82</v>
      </c>
      <c r="F164" s="199">
        <v>0</v>
      </c>
      <c r="G164" s="199">
        <v>0</v>
      </c>
      <c r="H164" s="199">
        <v>0</v>
      </c>
      <c r="I164" s="199">
        <v>858.82</v>
      </c>
      <c r="J164" s="199">
        <v>0</v>
      </c>
      <c r="K164" s="199">
        <v>858.82</v>
      </c>
      <c r="L164" s="199">
        <v>0</v>
      </c>
    </row>
    <row r="165" spans="1:12">
      <c r="A165" s="197" t="s">
        <v>862</v>
      </c>
      <c r="B165" s="198" t="s">
        <v>863</v>
      </c>
      <c r="C165" s="199">
        <v>0</v>
      </c>
      <c r="D165" s="199">
        <v>0</v>
      </c>
      <c r="E165" s="199">
        <v>2806</v>
      </c>
      <c r="F165" s="199">
        <v>0</v>
      </c>
      <c r="G165" s="199">
        <v>1215</v>
      </c>
      <c r="H165" s="199">
        <v>0</v>
      </c>
      <c r="I165" s="199">
        <v>4021</v>
      </c>
      <c r="J165" s="199">
        <v>0</v>
      </c>
      <c r="K165" s="199">
        <v>4021</v>
      </c>
      <c r="L165" s="199">
        <v>0</v>
      </c>
    </row>
    <row r="166" spans="1:12">
      <c r="A166" s="197" t="s">
        <v>864</v>
      </c>
      <c r="B166" s="198" t="s">
        <v>1536</v>
      </c>
      <c r="C166" s="199">
        <v>0</v>
      </c>
      <c r="D166" s="199">
        <v>0</v>
      </c>
      <c r="E166" s="199">
        <v>6000</v>
      </c>
      <c r="F166" s="199">
        <v>0</v>
      </c>
      <c r="G166" s="199">
        <v>0</v>
      </c>
      <c r="H166" s="199">
        <v>0</v>
      </c>
      <c r="I166" s="199">
        <v>6000</v>
      </c>
      <c r="J166" s="199">
        <v>0</v>
      </c>
      <c r="K166" s="199">
        <v>6000</v>
      </c>
      <c r="L166" s="199">
        <v>0</v>
      </c>
    </row>
    <row r="167" spans="1:12">
      <c r="A167" s="197" t="s">
        <v>865</v>
      </c>
      <c r="B167" s="198" t="s">
        <v>866</v>
      </c>
      <c r="C167" s="199">
        <v>0</v>
      </c>
      <c r="D167" s="199">
        <v>0</v>
      </c>
      <c r="E167" s="199">
        <v>110</v>
      </c>
      <c r="F167" s="199">
        <v>0</v>
      </c>
      <c r="G167" s="199">
        <v>110</v>
      </c>
      <c r="H167" s="199">
        <v>0</v>
      </c>
      <c r="I167" s="199">
        <v>220</v>
      </c>
      <c r="J167" s="199">
        <v>0</v>
      </c>
      <c r="K167" s="199">
        <v>220</v>
      </c>
      <c r="L167" s="199">
        <v>0</v>
      </c>
    </row>
    <row r="168" spans="1:12">
      <c r="A168" s="197" t="s">
        <v>867</v>
      </c>
      <c r="B168" s="198" t="s">
        <v>868</v>
      </c>
      <c r="C168" s="199">
        <v>0</v>
      </c>
      <c r="D168" s="199">
        <v>0</v>
      </c>
      <c r="E168" s="199">
        <v>1150</v>
      </c>
      <c r="F168" s="199">
        <v>0</v>
      </c>
      <c r="G168" s="199">
        <v>0</v>
      </c>
      <c r="H168" s="199">
        <v>0</v>
      </c>
      <c r="I168" s="199">
        <v>1150</v>
      </c>
      <c r="J168" s="199">
        <v>0</v>
      </c>
      <c r="K168" s="199">
        <v>1150</v>
      </c>
      <c r="L168" s="199">
        <v>0</v>
      </c>
    </row>
    <row r="169" spans="1:12">
      <c r="A169" s="197" t="s">
        <v>869</v>
      </c>
      <c r="B169" s="198" t="s">
        <v>870</v>
      </c>
      <c r="C169" s="199">
        <v>0</v>
      </c>
      <c r="D169" s="199">
        <v>0</v>
      </c>
      <c r="E169" s="199">
        <v>0</v>
      </c>
      <c r="F169" s="199">
        <v>0</v>
      </c>
      <c r="G169" s="199">
        <v>10000</v>
      </c>
      <c r="H169" s="199">
        <v>0</v>
      </c>
      <c r="I169" s="199">
        <v>10000</v>
      </c>
      <c r="J169" s="199">
        <v>0</v>
      </c>
      <c r="K169" s="199">
        <v>10000</v>
      </c>
      <c r="L169" s="199">
        <v>0</v>
      </c>
    </row>
    <row r="170" spans="1:12">
      <c r="A170" s="197" t="s">
        <v>871</v>
      </c>
      <c r="B170" s="198" t="s">
        <v>872</v>
      </c>
      <c r="C170" s="199">
        <v>0</v>
      </c>
      <c r="D170" s="199">
        <v>0</v>
      </c>
      <c r="E170" s="199">
        <v>0</v>
      </c>
      <c r="F170" s="199">
        <v>0</v>
      </c>
      <c r="G170" s="199">
        <v>51.29</v>
      </c>
      <c r="H170" s="199">
        <v>0</v>
      </c>
      <c r="I170" s="199">
        <v>51.29</v>
      </c>
      <c r="J170" s="199">
        <v>0</v>
      </c>
      <c r="K170" s="199">
        <v>51.29</v>
      </c>
      <c r="L170" s="199">
        <v>0</v>
      </c>
    </row>
    <row r="171" spans="1:12">
      <c r="A171" s="197" t="s">
        <v>873</v>
      </c>
      <c r="B171" s="198" t="s">
        <v>874</v>
      </c>
      <c r="C171" s="199">
        <v>0</v>
      </c>
      <c r="D171" s="199">
        <v>0</v>
      </c>
      <c r="E171" s="199">
        <v>0</v>
      </c>
      <c r="F171" s="199">
        <v>0</v>
      </c>
      <c r="G171" s="199">
        <v>73.08</v>
      </c>
      <c r="H171" s="199">
        <v>0</v>
      </c>
      <c r="I171" s="199">
        <v>73.08</v>
      </c>
      <c r="J171" s="199">
        <v>0</v>
      </c>
      <c r="K171" s="199">
        <v>73.08</v>
      </c>
      <c r="L171" s="199">
        <v>0</v>
      </c>
    </row>
    <row r="172" spans="1:12">
      <c r="A172" s="197" t="s">
        <v>875</v>
      </c>
      <c r="B172" s="198" t="s">
        <v>876</v>
      </c>
      <c r="C172" s="199">
        <v>0</v>
      </c>
      <c r="D172" s="199">
        <v>0</v>
      </c>
      <c r="E172" s="199">
        <v>0</v>
      </c>
      <c r="F172" s="199">
        <v>0</v>
      </c>
      <c r="G172" s="199">
        <v>134.30000000000001</v>
      </c>
      <c r="H172" s="199">
        <v>0</v>
      </c>
      <c r="I172" s="199">
        <v>134.30000000000001</v>
      </c>
      <c r="J172" s="199">
        <v>0</v>
      </c>
      <c r="K172" s="199">
        <v>134.30000000000001</v>
      </c>
      <c r="L172" s="199">
        <v>0</v>
      </c>
    </row>
    <row r="173" spans="1:12">
      <c r="A173" s="197" t="s">
        <v>877</v>
      </c>
      <c r="B173" s="198" t="s">
        <v>878</v>
      </c>
      <c r="C173" s="199">
        <v>0</v>
      </c>
      <c r="D173" s="199">
        <v>0</v>
      </c>
      <c r="E173" s="199">
        <v>0</v>
      </c>
      <c r="F173" s="199">
        <v>0</v>
      </c>
      <c r="G173" s="199">
        <v>74.09</v>
      </c>
      <c r="H173" s="199">
        <v>0</v>
      </c>
      <c r="I173" s="199">
        <v>74.09</v>
      </c>
      <c r="J173" s="199">
        <v>0</v>
      </c>
      <c r="K173" s="199">
        <v>74.09</v>
      </c>
      <c r="L173" s="199">
        <v>0</v>
      </c>
    </row>
    <row r="174" spans="1:12">
      <c r="A174" s="197" t="s">
        <v>879</v>
      </c>
      <c r="B174" s="198" t="s">
        <v>880</v>
      </c>
      <c r="C174" s="199">
        <v>0</v>
      </c>
      <c r="D174" s="199">
        <v>0</v>
      </c>
      <c r="E174" s="199">
        <v>430.16</v>
      </c>
      <c r="F174" s="199">
        <v>0</v>
      </c>
      <c r="G174" s="199">
        <v>0</v>
      </c>
      <c r="H174" s="199">
        <v>0</v>
      </c>
      <c r="I174" s="199">
        <v>430.16</v>
      </c>
      <c r="J174" s="199">
        <v>0</v>
      </c>
      <c r="K174" s="199">
        <v>430.16</v>
      </c>
      <c r="L174" s="199">
        <v>0</v>
      </c>
    </row>
    <row r="175" spans="1:12">
      <c r="A175" s="197" t="s">
        <v>881</v>
      </c>
      <c r="B175" s="198" t="s">
        <v>882</v>
      </c>
      <c r="C175" s="199">
        <v>0</v>
      </c>
      <c r="D175" s="199">
        <v>0</v>
      </c>
      <c r="E175" s="199">
        <v>226484.47</v>
      </c>
      <c r="F175" s="199">
        <v>0</v>
      </c>
      <c r="G175" s="199">
        <v>18075.23</v>
      </c>
      <c r="H175" s="199">
        <v>0</v>
      </c>
      <c r="I175" s="199">
        <v>244559.7</v>
      </c>
      <c r="J175" s="199">
        <v>0</v>
      </c>
      <c r="K175" s="199">
        <v>244559.7</v>
      </c>
      <c r="L175" s="199">
        <v>0</v>
      </c>
    </row>
    <row r="176" spans="1:12">
      <c r="A176" s="197" t="s">
        <v>883</v>
      </c>
      <c r="B176" s="198" t="s">
        <v>884</v>
      </c>
      <c r="C176" s="199">
        <v>0</v>
      </c>
      <c r="D176" s="199">
        <v>0</v>
      </c>
      <c r="E176" s="199">
        <v>0</v>
      </c>
      <c r="F176" s="199">
        <v>0</v>
      </c>
      <c r="G176" s="199">
        <v>14052</v>
      </c>
      <c r="H176" s="199">
        <v>0</v>
      </c>
      <c r="I176" s="199">
        <v>14052</v>
      </c>
      <c r="J176" s="199">
        <v>0</v>
      </c>
      <c r="K176" s="199">
        <v>14052</v>
      </c>
      <c r="L176" s="199">
        <v>0</v>
      </c>
    </row>
    <row r="177" spans="1:12">
      <c r="A177" s="197" t="s">
        <v>885</v>
      </c>
      <c r="B177" s="198" t="s">
        <v>886</v>
      </c>
      <c r="C177" s="199">
        <v>0</v>
      </c>
      <c r="D177" s="199">
        <v>0</v>
      </c>
      <c r="E177" s="199">
        <v>0</v>
      </c>
      <c r="F177" s="199">
        <v>0</v>
      </c>
      <c r="G177" s="199">
        <v>2067.5100000000002</v>
      </c>
      <c r="H177" s="199">
        <v>0</v>
      </c>
      <c r="I177" s="199">
        <v>2067.5100000000002</v>
      </c>
      <c r="J177" s="199">
        <v>0</v>
      </c>
      <c r="K177" s="199">
        <v>2067.5100000000002</v>
      </c>
      <c r="L177" s="199">
        <v>0</v>
      </c>
    </row>
    <row r="178" spans="1:12">
      <c r="A178" s="197" t="s">
        <v>887</v>
      </c>
      <c r="B178" s="198" t="s">
        <v>888</v>
      </c>
      <c r="C178" s="199">
        <v>0</v>
      </c>
      <c r="D178" s="199">
        <v>0</v>
      </c>
      <c r="E178" s="199">
        <v>56076.03</v>
      </c>
      <c r="F178" s="199">
        <v>0</v>
      </c>
      <c r="G178" s="199">
        <v>4657.6099999999997</v>
      </c>
      <c r="H178" s="199">
        <v>0</v>
      </c>
      <c r="I178" s="199">
        <v>60733.64</v>
      </c>
      <c r="J178" s="199">
        <v>0</v>
      </c>
      <c r="K178" s="199">
        <v>60733.64</v>
      </c>
      <c r="L178" s="199">
        <v>0</v>
      </c>
    </row>
    <row r="179" spans="1:12">
      <c r="A179" s="197" t="s">
        <v>889</v>
      </c>
      <c r="B179" s="198" t="s">
        <v>890</v>
      </c>
      <c r="C179" s="199">
        <v>0</v>
      </c>
      <c r="D179" s="199">
        <v>0</v>
      </c>
      <c r="E179" s="199">
        <v>21495.69</v>
      </c>
      <c r="F179" s="199">
        <v>0</v>
      </c>
      <c r="G179" s="199">
        <v>1809.25</v>
      </c>
      <c r="H179" s="199">
        <v>0</v>
      </c>
      <c r="I179" s="199">
        <v>23304.94</v>
      </c>
      <c r="J179" s="199">
        <v>0</v>
      </c>
      <c r="K179" s="199">
        <v>23304.94</v>
      </c>
      <c r="L179" s="199">
        <v>0</v>
      </c>
    </row>
    <row r="180" spans="1:12">
      <c r="A180" s="197" t="s">
        <v>891</v>
      </c>
      <c r="B180" s="198" t="s">
        <v>892</v>
      </c>
      <c r="C180" s="199">
        <v>0</v>
      </c>
      <c r="D180" s="199">
        <v>0</v>
      </c>
      <c r="E180" s="199">
        <v>0</v>
      </c>
      <c r="F180" s="199">
        <v>0</v>
      </c>
      <c r="G180" s="199">
        <v>4780</v>
      </c>
      <c r="H180" s="199">
        <v>0</v>
      </c>
      <c r="I180" s="199">
        <v>4780</v>
      </c>
      <c r="J180" s="199">
        <v>0</v>
      </c>
      <c r="K180" s="199">
        <v>4780</v>
      </c>
      <c r="L180" s="199">
        <v>0</v>
      </c>
    </row>
    <row r="181" spans="1:12">
      <c r="A181" s="197" t="s">
        <v>893</v>
      </c>
      <c r="B181" s="198" t="s">
        <v>894</v>
      </c>
      <c r="C181" s="199">
        <v>0</v>
      </c>
      <c r="D181" s="199">
        <v>0</v>
      </c>
      <c r="E181" s="199">
        <v>0</v>
      </c>
      <c r="F181" s="199">
        <v>0</v>
      </c>
      <c r="G181" s="199">
        <v>702.95</v>
      </c>
      <c r="H181" s="199">
        <v>0</v>
      </c>
      <c r="I181" s="199">
        <v>702.95</v>
      </c>
      <c r="J181" s="199">
        <v>0</v>
      </c>
      <c r="K181" s="199">
        <v>702.95</v>
      </c>
      <c r="L181" s="199">
        <v>0</v>
      </c>
    </row>
    <row r="182" spans="1:12">
      <c r="A182" s="197" t="s">
        <v>895</v>
      </c>
      <c r="B182" s="198" t="s">
        <v>896</v>
      </c>
      <c r="C182" s="199">
        <v>0</v>
      </c>
      <c r="D182" s="199">
        <v>0</v>
      </c>
      <c r="E182" s="199">
        <v>3512.1</v>
      </c>
      <c r="F182" s="199">
        <v>0</v>
      </c>
      <c r="G182" s="199">
        <v>346.38</v>
      </c>
      <c r="H182" s="199">
        <v>0</v>
      </c>
      <c r="I182" s="199">
        <v>3858.48</v>
      </c>
      <c r="J182" s="199">
        <v>0</v>
      </c>
      <c r="K182" s="199">
        <v>3858.48</v>
      </c>
      <c r="L182" s="199">
        <v>0</v>
      </c>
    </row>
    <row r="183" spans="1:12">
      <c r="A183" s="197" t="s">
        <v>897</v>
      </c>
      <c r="B183" s="198" t="s">
        <v>898</v>
      </c>
      <c r="C183" s="199">
        <v>0</v>
      </c>
      <c r="D183" s="199">
        <v>0</v>
      </c>
      <c r="E183" s="199">
        <v>3300</v>
      </c>
      <c r="F183" s="199">
        <v>0</v>
      </c>
      <c r="G183" s="199">
        <v>0</v>
      </c>
      <c r="H183" s="199">
        <v>0</v>
      </c>
      <c r="I183" s="199">
        <v>3300</v>
      </c>
      <c r="J183" s="199">
        <v>0</v>
      </c>
      <c r="K183" s="199">
        <v>3300</v>
      </c>
      <c r="L183" s="199">
        <v>0</v>
      </c>
    </row>
    <row r="184" spans="1:12">
      <c r="A184" s="197" t="s">
        <v>899</v>
      </c>
      <c r="B184" s="198" t="s">
        <v>900</v>
      </c>
      <c r="C184" s="199">
        <v>0</v>
      </c>
      <c r="D184" s="199">
        <v>0</v>
      </c>
      <c r="E184" s="199">
        <v>1243.05</v>
      </c>
      <c r="F184" s="199">
        <v>0</v>
      </c>
      <c r="G184" s="199">
        <v>78.39</v>
      </c>
      <c r="H184" s="199">
        <v>0</v>
      </c>
      <c r="I184" s="199">
        <v>1321.44</v>
      </c>
      <c r="J184" s="199">
        <v>0</v>
      </c>
      <c r="K184" s="199">
        <v>1321.44</v>
      </c>
      <c r="L184" s="199">
        <v>0</v>
      </c>
    </row>
    <row r="185" spans="1:12">
      <c r="A185" s="197" t="s">
        <v>901</v>
      </c>
      <c r="B185" s="198" t="s">
        <v>902</v>
      </c>
      <c r="C185" s="199">
        <v>0</v>
      </c>
      <c r="D185" s="199">
        <v>0</v>
      </c>
      <c r="E185" s="199">
        <v>4265.91</v>
      </c>
      <c r="F185" s="199">
        <v>0</v>
      </c>
      <c r="G185" s="199">
        <v>312.39999999999998</v>
      </c>
      <c r="H185" s="199">
        <v>0</v>
      </c>
      <c r="I185" s="199">
        <v>4578.3100000000004</v>
      </c>
      <c r="J185" s="199">
        <v>0</v>
      </c>
      <c r="K185" s="199">
        <v>4578.3100000000004</v>
      </c>
      <c r="L185" s="199">
        <v>0</v>
      </c>
    </row>
    <row r="186" spans="1:12">
      <c r="A186" s="197" t="s">
        <v>903</v>
      </c>
      <c r="B186" s="198" t="s">
        <v>904</v>
      </c>
      <c r="C186" s="199">
        <v>0</v>
      </c>
      <c r="D186" s="199">
        <v>0</v>
      </c>
      <c r="E186" s="199">
        <v>541.48</v>
      </c>
      <c r="F186" s="199">
        <v>0</v>
      </c>
      <c r="G186" s="199">
        <v>0</v>
      </c>
      <c r="H186" s="199">
        <v>0</v>
      </c>
      <c r="I186" s="199">
        <v>541.48</v>
      </c>
      <c r="J186" s="199">
        <v>0</v>
      </c>
      <c r="K186" s="199">
        <v>541.48</v>
      </c>
      <c r="L186" s="199">
        <v>0</v>
      </c>
    </row>
    <row r="187" spans="1:12">
      <c r="A187" s="197" t="s">
        <v>905</v>
      </c>
      <c r="B187" s="198" t="s">
        <v>906</v>
      </c>
      <c r="C187" s="199">
        <v>0</v>
      </c>
      <c r="D187" s="199">
        <v>0</v>
      </c>
      <c r="E187" s="199">
        <v>0</v>
      </c>
      <c r="F187" s="199">
        <v>0</v>
      </c>
      <c r="G187" s="199">
        <v>127.99</v>
      </c>
      <c r="H187" s="199">
        <v>0</v>
      </c>
      <c r="I187" s="199">
        <v>127.99</v>
      </c>
      <c r="J187" s="199">
        <v>0</v>
      </c>
      <c r="K187" s="199">
        <v>127.99</v>
      </c>
      <c r="L187" s="199">
        <v>0</v>
      </c>
    </row>
    <row r="188" spans="1:12">
      <c r="A188" s="197" t="s">
        <v>907</v>
      </c>
      <c r="B188" s="198" t="s">
        <v>1537</v>
      </c>
      <c r="C188" s="199">
        <v>0</v>
      </c>
      <c r="D188" s="199">
        <v>0</v>
      </c>
      <c r="E188" s="199">
        <v>42.41</v>
      </c>
      <c r="F188" s="199">
        <v>0</v>
      </c>
      <c r="G188" s="199">
        <v>6.11</v>
      </c>
      <c r="H188" s="199">
        <v>0</v>
      </c>
      <c r="I188" s="199">
        <v>48.52</v>
      </c>
      <c r="J188" s="199">
        <v>0</v>
      </c>
      <c r="K188" s="199">
        <v>48.52</v>
      </c>
      <c r="L188" s="199">
        <v>0</v>
      </c>
    </row>
    <row r="189" spans="1:12">
      <c r="A189" s="197" t="s">
        <v>908</v>
      </c>
      <c r="B189" s="198" t="s">
        <v>909</v>
      </c>
      <c r="C189" s="199">
        <v>0</v>
      </c>
      <c r="D189" s="199">
        <v>0</v>
      </c>
      <c r="E189" s="199">
        <v>0</v>
      </c>
      <c r="F189" s="199">
        <v>0</v>
      </c>
      <c r="G189" s="199">
        <v>234</v>
      </c>
      <c r="H189" s="199">
        <v>0</v>
      </c>
      <c r="I189" s="199">
        <v>234</v>
      </c>
      <c r="J189" s="199">
        <v>0</v>
      </c>
      <c r="K189" s="199">
        <v>234</v>
      </c>
      <c r="L189" s="199">
        <v>0</v>
      </c>
    </row>
    <row r="190" spans="1:12">
      <c r="A190" s="197" t="s">
        <v>910</v>
      </c>
      <c r="B190" s="198" t="s">
        <v>698</v>
      </c>
      <c r="C190" s="199">
        <v>0</v>
      </c>
      <c r="D190" s="199">
        <v>0</v>
      </c>
      <c r="E190" s="199">
        <v>1615.95</v>
      </c>
      <c r="F190" s="199">
        <v>0</v>
      </c>
      <c r="G190" s="199">
        <v>2793</v>
      </c>
      <c r="H190" s="199">
        <v>0</v>
      </c>
      <c r="I190" s="199">
        <v>4408.95</v>
      </c>
      <c r="J190" s="199">
        <v>0</v>
      </c>
      <c r="K190" s="199">
        <v>4408.95</v>
      </c>
      <c r="L190" s="199">
        <v>0</v>
      </c>
    </row>
    <row r="191" spans="1:12">
      <c r="A191" s="197" t="s">
        <v>911</v>
      </c>
      <c r="B191" s="198" t="s">
        <v>912</v>
      </c>
      <c r="C191" s="199">
        <v>0</v>
      </c>
      <c r="D191" s="199">
        <v>0</v>
      </c>
      <c r="E191" s="199">
        <v>168.22</v>
      </c>
      <c r="F191" s="199">
        <v>0</v>
      </c>
      <c r="G191" s="199">
        <v>0</v>
      </c>
      <c r="H191" s="199">
        <v>0</v>
      </c>
      <c r="I191" s="199">
        <v>168.22</v>
      </c>
      <c r="J191" s="199">
        <v>0</v>
      </c>
      <c r="K191" s="199">
        <v>168.22</v>
      </c>
      <c r="L191" s="199">
        <v>0</v>
      </c>
    </row>
    <row r="192" spans="1:12">
      <c r="A192" s="197" t="s">
        <v>913</v>
      </c>
      <c r="B192" s="198" t="s">
        <v>914</v>
      </c>
      <c r="C192" s="199">
        <v>0</v>
      </c>
      <c r="D192" s="199">
        <v>0</v>
      </c>
      <c r="E192" s="199">
        <v>0</v>
      </c>
      <c r="F192" s="199">
        <v>0</v>
      </c>
      <c r="G192" s="199">
        <v>350</v>
      </c>
      <c r="H192" s="199">
        <v>0</v>
      </c>
      <c r="I192" s="199">
        <v>350</v>
      </c>
      <c r="J192" s="199">
        <v>0</v>
      </c>
      <c r="K192" s="199">
        <v>350</v>
      </c>
      <c r="L192" s="199">
        <v>0</v>
      </c>
    </row>
    <row r="193" spans="1:12">
      <c r="A193" s="197" t="s">
        <v>915</v>
      </c>
      <c r="B193" s="198" t="s">
        <v>916</v>
      </c>
      <c r="C193" s="199">
        <v>0</v>
      </c>
      <c r="D193" s="199">
        <v>0</v>
      </c>
      <c r="E193" s="199">
        <v>0</v>
      </c>
      <c r="F193" s="199">
        <v>0</v>
      </c>
      <c r="G193" s="199">
        <v>9.5399999999999991</v>
      </c>
      <c r="H193" s="199">
        <v>0</v>
      </c>
      <c r="I193" s="199">
        <v>9.5399999999999991</v>
      </c>
      <c r="J193" s="199">
        <v>0</v>
      </c>
      <c r="K193" s="199">
        <v>9.5399999999999991</v>
      </c>
      <c r="L193" s="199">
        <v>0</v>
      </c>
    </row>
    <row r="194" spans="1:12">
      <c r="A194" s="197" t="s">
        <v>917</v>
      </c>
      <c r="B194" s="198" t="s">
        <v>918</v>
      </c>
      <c r="C194" s="199">
        <v>0</v>
      </c>
      <c r="D194" s="199">
        <v>0</v>
      </c>
      <c r="E194" s="199">
        <v>898.01</v>
      </c>
      <c r="F194" s="199">
        <v>0</v>
      </c>
      <c r="G194" s="199">
        <v>20726.060000000001</v>
      </c>
      <c r="H194" s="199">
        <v>0</v>
      </c>
      <c r="I194" s="199">
        <v>21624.07</v>
      </c>
      <c r="J194" s="199">
        <v>0</v>
      </c>
      <c r="K194" s="199">
        <v>21624.07</v>
      </c>
      <c r="L194" s="199">
        <v>0</v>
      </c>
    </row>
    <row r="195" spans="1:12">
      <c r="A195" s="197" t="s">
        <v>919</v>
      </c>
      <c r="B195" s="198" t="s">
        <v>920</v>
      </c>
      <c r="C195" s="199">
        <v>0</v>
      </c>
      <c r="D195" s="199">
        <v>0</v>
      </c>
      <c r="E195" s="199">
        <v>0</v>
      </c>
      <c r="F195" s="199">
        <v>0</v>
      </c>
      <c r="G195" s="199">
        <v>5414.04</v>
      </c>
      <c r="H195" s="199">
        <v>0</v>
      </c>
      <c r="I195" s="199">
        <v>5414.04</v>
      </c>
      <c r="J195" s="199">
        <v>0</v>
      </c>
      <c r="K195" s="199">
        <v>5414.04</v>
      </c>
      <c r="L195" s="199">
        <v>0</v>
      </c>
    </row>
    <row r="196" spans="1:12">
      <c r="A196" s="197" t="s">
        <v>921</v>
      </c>
      <c r="B196" s="198" t="s">
        <v>922</v>
      </c>
      <c r="C196" s="199">
        <v>0</v>
      </c>
      <c r="D196" s="199">
        <v>0</v>
      </c>
      <c r="E196" s="199">
        <v>0.01</v>
      </c>
      <c r="F196" s="199">
        <v>0</v>
      </c>
      <c r="G196" s="199">
        <v>189.22</v>
      </c>
      <c r="H196" s="199">
        <v>0</v>
      </c>
      <c r="I196" s="199">
        <v>189.23</v>
      </c>
      <c r="J196" s="199">
        <v>0</v>
      </c>
      <c r="K196" s="199">
        <v>189.23</v>
      </c>
      <c r="L196" s="199">
        <v>0</v>
      </c>
    </row>
    <row r="197" spans="1:12">
      <c r="A197" s="197" t="s">
        <v>923</v>
      </c>
      <c r="B197" s="198" t="s">
        <v>924</v>
      </c>
      <c r="C197" s="199">
        <v>0</v>
      </c>
      <c r="D197" s="199">
        <v>0</v>
      </c>
      <c r="E197" s="199">
        <v>34019.26</v>
      </c>
      <c r="F197" s="199">
        <v>0</v>
      </c>
      <c r="G197" s="199">
        <v>3092.66</v>
      </c>
      <c r="H197" s="199">
        <v>0</v>
      </c>
      <c r="I197" s="199">
        <v>37111.919999999998</v>
      </c>
      <c r="J197" s="199">
        <v>0</v>
      </c>
      <c r="K197" s="199">
        <v>37111.919999999998</v>
      </c>
      <c r="L197" s="199">
        <v>0</v>
      </c>
    </row>
    <row r="198" spans="1:12">
      <c r="A198" s="197" t="s">
        <v>925</v>
      </c>
      <c r="B198" s="198" t="s">
        <v>926</v>
      </c>
      <c r="C198" s="199">
        <v>0</v>
      </c>
      <c r="D198" s="199">
        <v>0</v>
      </c>
      <c r="E198" s="199">
        <v>1523</v>
      </c>
      <c r="F198" s="199">
        <v>0</v>
      </c>
      <c r="G198" s="199">
        <v>149</v>
      </c>
      <c r="H198" s="199">
        <v>0</v>
      </c>
      <c r="I198" s="199">
        <v>1672</v>
      </c>
      <c r="J198" s="199">
        <v>0</v>
      </c>
      <c r="K198" s="199">
        <v>1672</v>
      </c>
      <c r="L198" s="199">
        <v>0</v>
      </c>
    </row>
    <row r="199" spans="1:12">
      <c r="A199" s="197" t="s">
        <v>927</v>
      </c>
      <c r="B199" s="198" t="s">
        <v>928</v>
      </c>
      <c r="C199" s="199">
        <v>0</v>
      </c>
      <c r="D199" s="199">
        <v>0</v>
      </c>
      <c r="E199" s="199">
        <v>21949</v>
      </c>
      <c r="F199" s="199">
        <v>0</v>
      </c>
      <c r="G199" s="199">
        <v>842</v>
      </c>
      <c r="H199" s="199">
        <v>0</v>
      </c>
      <c r="I199" s="199">
        <v>22791</v>
      </c>
      <c r="J199" s="199">
        <v>0</v>
      </c>
      <c r="K199" s="199">
        <v>22791</v>
      </c>
      <c r="L199" s="199">
        <v>0</v>
      </c>
    </row>
    <row r="200" spans="1:12">
      <c r="A200" s="197" t="s">
        <v>929</v>
      </c>
      <c r="B200" s="198" t="s">
        <v>930</v>
      </c>
      <c r="C200" s="199">
        <v>0</v>
      </c>
      <c r="D200" s="199">
        <v>0</v>
      </c>
      <c r="E200" s="199">
        <v>10975</v>
      </c>
      <c r="F200" s="199">
        <v>0</v>
      </c>
      <c r="G200" s="199">
        <v>-1453</v>
      </c>
      <c r="H200" s="199">
        <v>0</v>
      </c>
      <c r="I200" s="199">
        <v>9522</v>
      </c>
      <c r="J200" s="199">
        <v>0</v>
      </c>
      <c r="K200" s="199">
        <v>9522</v>
      </c>
      <c r="L200" s="199">
        <v>0</v>
      </c>
    </row>
    <row r="201" spans="1:12">
      <c r="A201" s="197" t="s">
        <v>931</v>
      </c>
      <c r="B201" s="198" t="s">
        <v>932</v>
      </c>
      <c r="C201" s="199">
        <v>0</v>
      </c>
      <c r="D201" s="199">
        <v>0</v>
      </c>
      <c r="E201" s="199">
        <v>547.87</v>
      </c>
      <c r="F201" s="199">
        <v>0</v>
      </c>
      <c r="G201" s="199">
        <v>0</v>
      </c>
      <c r="H201" s="199">
        <v>0</v>
      </c>
      <c r="I201" s="199">
        <v>547.87</v>
      </c>
      <c r="J201" s="199">
        <v>0</v>
      </c>
      <c r="K201" s="199">
        <v>547.87</v>
      </c>
      <c r="L201" s="199">
        <v>0</v>
      </c>
    </row>
    <row r="202" spans="1:12">
      <c r="A202" s="197" t="s">
        <v>933</v>
      </c>
      <c r="B202" s="198" t="s">
        <v>934</v>
      </c>
      <c r="C202" s="199">
        <v>0</v>
      </c>
      <c r="D202" s="199">
        <v>0</v>
      </c>
      <c r="E202" s="199">
        <v>39308.9</v>
      </c>
      <c r="F202" s="199">
        <v>0</v>
      </c>
      <c r="G202" s="199">
        <v>5166.3999999999996</v>
      </c>
      <c r="H202" s="199">
        <v>0</v>
      </c>
      <c r="I202" s="199">
        <v>44475.3</v>
      </c>
      <c r="J202" s="199">
        <v>0</v>
      </c>
      <c r="K202" s="199">
        <v>44475.3</v>
      </c>
      <c r="L202" s="199">
        <v>0</v>
      </c>
    </row>
    <row r="203" spans="1:12">
      <c r="A203" s="197" t="s">
        <v>935</v>
      </c>
      <c r="B203" s="198" t="s">
        <v>936</v>
      </c>
      <c r="C203" s="199">
        <v>0</v>
      </c>
      <c r="D203" s="199">
        <v>0</v>
      </c>
      <c r="E203" s="199">
        <v>319.14</v>
      </c>
      <c r="F203" s="199">
        <v>0</v>
      </c>
      <c r="G203" s="199">
        <v>82.91</v>
      </c>
      <c r="H203" s="199">
        <v>0</v>
      </c>
      <c r="I203" s="199">
        <v>402.05</v>
      </c>
      <c r="J203" s="199">
        <v>0</v>
      </c>
      <c r="K203" s="199">
        <v>402.05</v>
      </c>
      <c r="L203" s="199">
        <v>0</v>
      </c>
    </row>
    <row r="204" spans="1:12">
      <c r="A204" s="197" t="s">
        <v>937</v>
      </c>
      <c r="B204" s="198" t="s">
        <v>938</v>
      </c>
      <c r="C204" s="199">
        <v>0</v>
      </c>
      <c r="D204" s="199">
        <v>0</v>
      </c>
      <c r="E204" s="199">
        <v>0</v>
      </c>
      <c r="F204" s="199">
        <v>0</v>
      </c>
      <c r="G204" s="199">
        <v>14.53</v>
      </c>
      <c r="H204" s="199">
        <v>0</v>
      </c>
      <c r="I204" s="199">
        <v>14.53</v>
      </c>
      <c r="J204" s="199">
        <v>0</v>
      </c>
      <c r="K204" s="199">
        <v>14.53</v>
      </c>
      <c r="L204" s="199">
        <v>0</v>
      </c>
    </row>
    <row r="205" spans="1:12">
      <c r="A205" s="197" t="s">
        <v>939</v>
      </c>
      <c r="B205" s="198" t="s">
        <v>940</v>
      </c>
      <c r="C205" s="199">
        <v>0</v>
      </c>
      <c r="D205" s="199">
        <v>0</v>
      </c>
      <c r="E205" s="199">
        <v>1.02</v>
      </c>
      <c r="F205" s="199">
        <v>0</v>
      </c>
      <c r="G205" s="199">
        <v>0</v>
      </c>
      <c r="H205" s="199">
        <v>0</v>
      </c>
      <c r="I205" s="199">
        <v>1.02</v>
      </c>
      <c r="J205" s="199">
        <v>0</v>
      </c>
      <c r="K205" s="199">
        <v>1.02</v>
      </c>
      <c r="L205" s="199">
        <v>0</v>
      </c>
    </row>
    <row r="206" spans="1:12">
      <c r="A206" s="197" t="s">
        <v>941</v>
      </c>
      <c r="B206" s="198" t="s">
        <v>942</v>
      </c>
      <c r="C206" s="199">
        <v>0</v>
      </c>
      <c r="D206" s="199">
        <v>0</v>
      </c>
      <c r="E206" s="199">
        <v>69.22</v>
      </c>
      <c r="F206" s="199">
        <v>0</v>
      </c>
      <c r="G206" s="199">
        <v>7.58</v>
      </c>
      <c r="H206" s="199">
        <v>0</v>
      </c>
      <c r="I206" s="199">
        <v>76.8</v>
      </c>
      <c r="J206" s="199">
        <v>0</v>
      </c>
      <c r="K206" s="199">
        <v>76.8</v>
      </c>
      <c r="L206" s="199">
        <v>0</v>
      </c>
    </row>
    <row r="207" spans="1:12">
      <c r="A207" s="197" t="s">
        <v>943</v>
      </c>
      <c r="B207" s="198" t="s">
        <v>944</v>
      </c>
      <c r="C207" s="199">
        <v>0</v>
      </c>
      <c r="D207" s="199">
        <v>0</v>
      </c>
      <c r="E207" s="199">
        <v>1.72</v>
      </c>
      <c r="F207" s="199">
        <v>0</v>
      </c>
      <c r="G207" s="199">
        <v>0.09</v>
      </c>
      <c r="H207" s="199">
        <v>0</v>
      </c>
      <c r="I207" s="199">
        <v>1.81</v>
      </c>
      <c r="J207" s="199">
        <v>0</v>
      </c>
      <c r="K207" s="199">
        <v>1.81</v>
      </c>
      <c r="L207" s="199">
        <v>0</v>
      </c>
    </row>
    <row r="208" spans="1:12">
      <c r="A208" s="197" t="s">
        <v>945</v>
      </c>
      <c r="B208" s="198" t="s">
        <v>946</v>
      </c>
      <c r="C208" s="199">
        <v>0</v>
      </c>
      <c r="D208" s="199">
        <v>0</v>
      </c>
      <c r="E208" s="199">
        <v>0</v>
      </c>
      <c r="F208" s="199">
        <v>0</v>
      </c>
      <c r="G208" s="199">
        <v>0</v>
      </c>
      <c r="H208" s="199">
        <v>53498.82</v>
      </c>
      <c r="I208" s="199">
        <v>0</v>
      </c>
      <c r="J208" s="199">
        <v>53498.82</v>
      </c>
      <c r="K208" s="199">
        <v>-53498.82</v>
      </c>
      <c r="L208" s="199">
        <v>0</v>
      </c>
    </row>
    <row r="209" spans="1:12">
      <c r="A209" s="197" t="s">
        <v>947</v>
      </c>
      <c r="B209" s="198" t="s">
        <v>948</v>
      </c>
      <c r="C209" s="199">
        <v>0</v>
      </c>
      <c r="D209" s="199">
        <v>0</v>
      </c>
      <c r="E209" s="199">
        <v>0</v>
      </c>
      <c r="F209" s="199">
        <v>80450.880000000005</v>
      </c>
      <c r="G209" s="199">
        <v>0</v>
      </c>
      <c r="H209" s="199">
        <v>5383.9</v>
      </c>
      <c r="I209" s="199">
        <v>0</v>
      </c>
      <c r="J209" s="199">
        <v>85834.78</v>
      </c>
      <c r="K209" s="199">
        <v>0</v>
      </c>
      <c r="L209" s="199">
        <v>85834.78</v>
      </c>
    </row>
    <row r="210" spans="1:12">
      <c r="A210" s="197" t="s">
        <v>949</v>
      </c>
      <c r="B210" s="198" t="s">
        <v>950</v>
      </c>
      <c r="C210" s="199">
        <v>0</v>
      </c>
      <c r="D210" s="199">
        <v>0</v>
      </c>
      <c r="E210" s="199">
        <v>0</v>
      </c>
      <c r="F210" s="199">
        <v>135556.04</v>
      </c>
      <c r="G210" s="199">
        <v>0</v>
      </c>
      <c r="H210" s="199">
        <v>15595.23</v>
      </c>
      <c r="I210" s="199">
        <v>0</v>
      </c>
      <c r="J210" s="199">
        <v>151151.26999999999</v>
      </c>
      <c r="K210" s="199">
        <v>0</v>
      </c>
      <c r="L210" s="199">
        <v>151151.26999999999</v>
      </c>
    </row>
    <row r="211" spans="1:12">
      <c r="A211" s="197" t="s">
        <v>951</v>
      </c>
      <c r="B211" s="198" t="s">
        <v>952</v>
      </c>
      <c r="C211" s="199">
        <v>0</v>
      </c>
      <c r="D211" s="199">
        <v>0</v>
      </c>
      <c r="E211" s="199">
        <v>0</v>
      </c>
      <c r="F211" s="199">
        <v>15485.68</v>
      </c>
      <c r="G211" s="199">
        <v>0</v>
      </c>
      <c r="H211" s="199">
        <v>983.36</v>
      </c>
      <c r="I211" s="199">
        <v>0</v>
      </c>
      <c r="J211" s="199">
        <v>16469.04</v>
      </c>
      <c r="K211" s="199">
        <v>0</v>
      </c>
      <c r="L211" s="199">
        <v>16469.04</v>
      </c>
    </row>
    <row r="212" spans="1:12">
      <c r="A212" s="197" t="s">
        <v>953</v>
      </c>
      <c r="B212" s="198" t="s">
        <v>954</v>
      </c>
      <c r="C212" s="199">
        <v>0</v>
      </c>
      <c r="D212" s="199">
        <v>0</v>
      </c>
      <c r="E212" s="199">
        <v>0</v>
      </c>
      <c r="F212" s="199">
        <v>0</v>
      </c>
      <c r="G212" s="199">
        <v>0</v>
      </c>
      <c r="H212" s="199">
        <v>24.09</v>
      </c>
      <c r="I212" s="199">
        <v>0</v>
      </c>
      <c r="J212" s="199">
        <v>24.09</v>
      </c>
      <c r="K212" s="199">
        <v>0</v>
      </c>
      <c r="L212" s="199">
        <v>24.09</v>
      </c>
    </row>
    <row r="213" spans="1:12">
      <c r="A213" s="197" t="s">
        <v>955</v>
      </c>
      <c r="B213" s="198" t="s">
        <v>956</v>
      </c>
      <c r="C213" s="199">
        <v>0</v>
      </c>
      <c r="D213" s="199">
        <v>0</v>
      </c>
      <c r="E213" s="199">
        <v>0</v>
      </c>
      <c r="F213" s="199">
        <v>0</v>
      </c>
      <c r="G213" s="199">
        <v>0</v>
      </c>
      <c r="H213" s="199">
        <v>67.39</v>
      </c>
      <c r="I213" s="199">
        <v>0</v>
      </c>
      <c r="J213" s="199">
        <v>67.39</v>
      </c>
      <c r="K213" s="199">
        <v>0</v>
      </c>
      <c r="L213" s="199">
        <v>67.39</v>
      </c>
    </row>
    <row r="214" spans="1:12">
      <c r="A214" s="197" t="s">
        <v>957</v>
      </c>
      <c r="B214" s="198" t="s">
        <v>958</v>
      </c>
      <c r="C214" s="199">
        <v>0</v>
      </c>
      <c r="D214" s="199">
        <v>0</v>
      </c>
      <c r="E214" s="199">
        <v>0</v>
      </c>
      <c r="F214" s="199">
        <v>329447.87</v>
      </c>
      <c r="G214" s="199">
        <v>0</v>
      </c>
      <c r="H214" s="199">
        <v>29524.95</v>
      </c>
      <c r="I214" s="199">
        <v>0</v>
      </c>
      <c r="J214" s="199">
        <v>358972.82</v>
      </c>
      <c r="K214" s="199">
        <v>0</v>
      </c>
      <c r="L214" s="199">
        <v>358972.82</v>
      </c>
    </row>
    <row r="215" spans="1:12">
      <c r="A215" s="197" t="s">
        <v>959</v>
      </c>
      <c r="B215" s="198" t="s">
        <v>960</v>
      </c>
      <c r="C215" s="199">
        <v>0</v>
      </c>
      <c r="D215" s="199">
        <v>0</v>
      </c>
      <c r="E215" s="199">
        <v>0</v>
      </c>
      <c r="F215" s="199">
        <v>99279.91</v>
      </c>
      <c r="G215" s="199">
        <v>0</v>
      </c>
      <c r="H215" s="199">
        <v>1692</v>
      </c>
      <c r="I215" s="199">
        <v>0</v>
      </c>
      <c r="J215" s="199">
        <v>100971.91</v>
      </c>
      <c r="K215" s="199">
        <v>0</v>
      </c>
      <c r="L215" s="199">
        <v>100971.91</v>
      </c>
    </row>
    <row r="216" spans="1:12">
      <c r="A216" s="197" t="s">
        <v>961</v>
      </c>
      <c r="B216" s="198" t="s">
        <v>962</v>
      </c>
      <c r="C216" s="199">
        <v>0</v>
      </c>
      <c r="D216" s="199">
        <v>0</v>
      </c>
      <c r="E216" s="199">
        <v>0</v>
      </c>
      <c r="F216" s="199">
        <v>93406.19</v>
      </c>
      <c r="G216" s="199">
        <v>0</v>
      </c>
      <c r="H216" s="199">
        <v>11211.34</v>
      </c>
      <c r="I216" s="199">
        <v>0</v>
      </c>
      <c r="J216" s="199">
        <v>104617.53</v>
      </c>
      <c r="K216" s="199">
        <v>0</v>
      </c>
      <c r="L216" s="199">
        <v>104617.53</v>
      </c>
    </row>
    <row r="217" spans="1:12">
      <c r="A217" s="197" t="s">
        <v>963</v>
      </c>
      <c r="B217" s="198" t="s">
        <v>964</v>
      </c>
      <c r="C217" s="199">
        <v>0</v>
      </c>
      <c r="D217" s="199">
        <v>0</v>
      </c>
      <c r="E217" s="199">
        <v>0</v>
      </c>
      <c r="F217" s="199">
        <v>141</v>
      </c>
      <c r="G217" s="199">
        <v>0</v>
      </c>
      <c r="H217" s="199">
        <v>2250</v>
      </c>
      <c r="I217" s="199">
        <v>0</v>
      </c>
      <c r="J217" s="199">
        <v>2391</v>
      </c>
      <c r="K217" s="199">
        <v>0</v>
      </c>
      <c r="L217" s="199">
        <v>2391</v>
      </c>
    </row>
    <row r="218" spans="1:12">
      <c r="A218" s="197" t="s">
        <v>965</v>
      </c>
      <c r="B218" s="198" t="s">
        <v>966</v>
      </c>
      <c r="C218" s="199">
        <v>0</v>
      </c>
      <c r="D218" s="199">
        <v>0</v>
      </c>
      <c r="E218" s="199">
        <v>0</v>
      </c>
      <c r="F218" s="199">
        <v>37012.660000000003</v>
      </c>
      <c r="G218" s="199">
        <v>0</v>
      </c>
      <c r="H218" s="199">
        <v>3698.25</v>
      </c>
      <c r="I218" s="199">
        <v>0</v>
      </c>
      <c r="J218" s="199">
        <v>40710.910000000003</v>
      </c>
      <c r="K218" s="199">
        <v>0</v>
      </c>
      <c r="L218" s="199">
        <v>40710.910000000003</v>
      </c>
    </row>
    <row r="219" spans="1:12">
      <c r="A219" s="197" t="s">
        <v>967</v>
      </c>
      <c r="B219" s="198" t="s">
        <v>968</v>
      </c>
      <c r="C219" s="199">
        <v>0</v>
      </c>
      <c r="D219" s="199">
        <v>0</v>
      </c>
      <c r="E219" s="199">
        <v>0</v>
      </c>
      <c r="F219" s="199">
        <v>1927.8</v>
      </c>
      <c r="G219" s="199">
        <v>0</v>
      </c>
      <c r="H219" s="199">
        <v>13686.8</v>
      </c>
      <c r="I219" s="199">
        <v>0</v>
      </c>
      <c r="J219" s="199">
        <v>15614.6</v>
      </c>
      <c r="K219" s="199">
        <v>0</v>
      </c>
      <c r="L219" s="199">
        <v>15614.6</v>
      </c>
    </row>
    <row r="220" spans="1:12">
      <c r="A220" s="197" t="s">
        <v>969</v>
      </c>
      <c r="B220" s="198" t="s">
        <v>970</v>
      </c>
      <c r="C220" s="199">
        <v>0</v>
      </c>
      <c r="D220" s="199">
        <v>0</v>
      </c>
      <c r="E220" s="199">
        <v>0</v>
      </c>
      <c r="F220" s="199">
        <v>112201.54</v>
      </c>
      <c r="G220" s="199">
        <v>0</v>
      </c>
      <c r="H220" s="199">
        <v>37267.620000000003</v>
      </c>
      <c r="I220" s="199">
        <v>0</v>
      </c>
      <c r="J220" s="199">
        <v>149469.16</v>
      </c>
      <c r="K220" s="199">
        <v>0</v>
      </c>
      <c r="L220" s="199">
        <v>149469.16</v>
      </c>
    </row>
    <row r="221" spans="1:12">
      <c r="A221" s="197" t="s">
        <v>971</v>
      </c>
      <c r="B221" s="198" t="s">
        <v>972</v>
      </c>
      <c r="C221" s="199">
        <v>0</v>
      </c>
      <c r="D221" s="199">
        <v>0</v>
      </c>
      <c r="E221" s="199">
        <v>0</v>
      </c>
      <c r="F221" s="199">
        <v>95073.75</v>
      </c>
      <c r="G221" s="199">
        <v>0</v>
      </c>
      <c r="H221" s="199">
        <v>62464.7</v>
      </c>
      <c r="I221" s="199">
        <v>0</v>
      </c>
      <c r="J221" s="199">
        <v>157538.45000000001</v>
      </c>
      <c r="K221" s="199">
        <v>0</v>
      </c>
      <c r="L221" s="199">
        <v>157538.45000000001</v>
      </c>
    </row>
    <row r="222" spans="1:12">
      <c r="A222" s="197" t="s">
        <v>973</v>
      </c>
      <c r="B222" s="198" t="s">
        <v>974</v>
      </c>
      <c r="C222" s="199">
        <v>0</v>
      </c>
      <c r="D222" s="199">
        <v>0</v>
      </c>
      <c r="E222" s="199">
        <v>0</v>
      </c>
      <c r="F222" s="199">
        <v>56505.14</v>
      </c>
      <c r="G222" s="199">
        <v>0</v>
      </c>
      <c r="H222" s="199">
        <v>0</v>
      </c>
      <c r="I222" s="199">
        <v>0</v>
      </c>
      <c r="J222" s="199">
        <v>56505.14</v>
      </c>
      <c r="K222" s="199">
        <v>0</v>
      </c>
      <c r="L222" s="199">
        <v>56505.14</v>
      </c>
    </row>
    <row r="223" spans="1:12">
      <c r="A223" s="197" t="s">
        <v>975</v>
      </c>
      <c r="B223" s="198" t="s">
        <v>976</v>
      </c>
      <c r="C223" s="199">
        <v>0</v>
      </c>
      <c r="D223" s="199">
        <v>0</v>
      </c>
      <c r="E223" s="199">
        <v>0</v>
      </c>
      <c r="F223" s="199">
        <v>31524.6</v>
      </c>
      <c r="G223" s="199">
        <v>0</v>
      </c>
      <c r="H223" s="199">
        <v>18493.95</v>
      </c>
      <c r="I223" s="199">
        <v>0</v>
      </c>
      <c r="J223" s="199">
        <v>50018.55</v>
      </c>
      <c r="K223" s="199">
        <v>0</v>
      </c>
      <c r="L223" s="199">
        <v>50018.55</v>
      </c>
    </row>
    <row r="224" spans="1:12">
      <c r="A224" s="197" t="s">
        <v>977</v>
      </c>
      <c r="B224" s="198" t="s">
        <v>978</v>
      </c>
      <c r="C224" s="199">
        <v>0</v>
      </c>
      <c r="D224" s="199">
        <v>0</v>
      </c>
      <c r="E224" s="199">
        <v>0</v>
      </c>
      <c r="F224" s="199">
        <v>0</v>
      </c>
      <c r="G224" s="199">
        <v>0</v>
      </c>
      <c r="H224" s="199">
        <v>3018.09</v>
      </c>
      <c r="I224" s="199">
        <v>0</v>
      </c>
      <c r="J224" s="199">
        <v>3018.09</v>
      </c>
      <c r="K224" s="199">
        <v>0</v>
      </c>
      <c r="L224" s="199">
        <v>3018.09</v>
      </c>
    </row>
    <row r="225" spans="1:12">
      <c r="A225" s="197" t="s">
        <v>979</v>
      </c>
      <c r="B225" s="198" t="s">
        <v>980</v>
      </c>
      <c r="C225" s="199">
        <v>0</v>
      </c>
      <c r="D225" s="199">
        <v>0</v>
      </c>
      <c r="E225" s="199">
        <v>0</v>
      </c>
      <c r="F225" s="199">
        <v>0</v>
      </c>
      <c r="G225" s="199">
        <v>0</v>
      </c>
      <c r="H225" s="199">
        <v>27742.69</v>
      </c>
      <c r="I225" s="199">
        <v>0</v>
      </c>
      <c r="J225" s="199">
        <v>27742.69</v>
      </c>
      <c r="K225" s="199">
        <v>0</v>
      </c>
      <c r="L225" s="199">
        <v>27742.69</v>
      </c>
    </row>
    <row r="226" spans="1:12">
      <c r="A226" s="197" t="s">
        <v>981</v>
      </c>
      <c r="B226" s="198" t="s">
        <v>982</v>
      </c>
      <c r="C226" s="199">
        <v>0</v>
      </c>
      <c r="D226" s="199">
        <v>0</v>
      </c>
      <c r="E226" s="199">
        <v>0</v>
      </c>
      <c r="F226" s="199">
        <v>0.02</v>
      </c>
      <c r="G226" s="199">
        <v>0</v>
      </c>
      <c r="H226" s="199">
        <v>0</v>
      </c>
      <c r="I226" s="199">
        <v>0</v>
      </c>
      <c r="J226" s="199">
        <v>0.02</v>
      </c>
      <c r="K226" s="199">
        <v>0</v>
      </c>
      <c r="L226" s="199">
        <v>0.02</v>
      </c>
    </row>
    <row r="227" spans="1:12">
      <c r="A227" s="197" t="s">
        <v>983</v>
      </c>
      <c r="B227" s="198" t="s">
        <v>984</v>
      </c>
      <c r="C227" s="199">
        <v>0</v>
      </c>
      <c r="D227" s="199">
        <v>0</v>
      </c>
      <c r="E227" s="199">
        <v>0</v>
      </c>
      <c r="F227" s="199">
        <v>0</v>
      </c>
      <c r="G227" s="199">
        <v>0</v>
      </c>
      <c r="H227" s="199">
        <v>7.0000000000000007E-2</v>
      </c>
      <c r="I227" s="199">
        <v>0</v>
      </c>
      <c r="J227" s="199">
        <v>7.0000000000000007E-2</v>
      </c>
      <c r="K227" s="199">
        <v>0</v>
      </c>
      <c r="L227" s="199">
        <v>7.0000000000000007E-2</v>
      </c>
    </row>
    <row r="228" spans="1:12">
      <c r="A228" s="197" t="s">
        <v>985</v>
      </c>
      <c r="B228" s="198" t="s">
        <v>986</v>
      </c>
      <c r="C228" s="199">
        <v>0</v>
      </c>
      <c r="D228" s="199">
        <v>0</v>
      </c>
      <c r="E228" s="199">
        <v>0</v>
      </c>
      <c r="F228" s="199">
        <v>9.36</v>
      </c>
      <c r="G228" s="199">
        <v>0</v>
      </c>
      <c r="H228" s="199">
        <v>0.48</v>
      </c>
      <c r="I228" s="199">
        <v>0</v>
      </c>
      <c r="J228" s="199">
        <v>9.84</v>
      </c>
      <c r="K228" s="199">
        <v>0</v>
      </c>
      <c r="L228" s="199">
        <v>9.84</v>
      </c>
    </row>
    <row r="229" spans="1:12">
      <c r="A229" s="197" t="s">
        <v>987</v>
      </c>
      <c r="B229" s="198" t="s">
        <v>988</v>
      </c>
      <c r="C229" s="199">
        <v>0</v>
      </c>
      <c r="D229" s="199">
        <v>0</v>
      </c>
      <c r="E229" s="199">
        <v>0</v>
      </c>
      <c r="F229" s="199">
        <v>13.13</v>
      </c>
      <c r="G229" s="199">
        <v>0</v>
      </c>
      <c r="H229" s="199">
        <v>3.08</v>
      </c>
      <c r="I229" s="199">
        <v>0</v>
      </c>
      <c r="J229" s="199">
        <v>16.21</v>
      </c>
      <c r="K229" s="199">
        <v>0</v>
      </c>
      <c r="L229" s="199">
        <v>16.21</v>
      </c>
    </row>
    <row r="230" spans="1:12">
      <c r="A230" s="197" t="s">
        <v>989</v>
      </c>
      <c r="B230" s="198" t="s">
        <v>990</v>
      </c>
      <c r="C230" s="199">
        <v>0</v>
      </c>
      <c r="D230" s="199">
        <v>0</v>
      </c>
      <c r="E230" s="199">
        <v>0</v>
      </c>
      <c r="F230" s="199">
        <v>0</v>
      </c>
      <c r="G230" s="199">
        <v>0</v>
      </c>
      <c r="H230" s="199">
        <v>3.91</v>
      </c>
      <c r="I230" s="199">
        <v>0</v>
      </c>
      <c r="J230" s="199">
        <v>3.91</v>
      </c>
      <c r="K230" s="199">
        <v>0</v>
      </c>
      <c r="L230" s="199">
        <v>3.91</v>
      </c>
    </row>
    <row r="231" spans="1:12">
      <c r="A231" s="197" t="s">
        <v>991</v>
      </c>
      <c r="B231" s="198" t="s">
        <v>992</v>
      </c>
      <c r="C231" s="199">
        <v>0</v>
      </c>
      <c r="D231" s="199">
        <v>0</v>
      </c>
      <c r="E231" s="199">
        <v>0</v>
      </c>
      <c r="F231" s="199">
        <v>1.1399999999999999</v>
      </c>
      <c r="G231" s="199">
        <v>0</v>
      </c>
      <c r="H231" s="199">
        <v>139.09</v>
      </c>
      <c r="I231" s="199">
        <v>0</v>
      </c>
      <c r="J231" s="199">
        <v>140.22999999999999</v>
      </c>
      <c r="K231" s="199">
        <v>0</v>
      </c>
      <c r="L231" s="199">
        <v>140.22999999999999</v>
      </c>
    </row>
    <row r="232" spans="1:12">
      <c r="A232" s="197" t="s">
        <v>993</v>
      </c>
      <c r="B232" s="198" t="s">
        <v>994</v>
      </c>
      <c r="C232" s="199">
        <v>0</v>
      </c>
      <c r="D232" s="199">
        <v>0</v>
      </c>
      <c r="E232" s="199">
        <v>0</v>
      </c>
      <c r="F232" s="199">
        <v>0</v>
      </c>
      <c r="G232" s="199">
        <v>0</v>
      </c>
      <c r="H232" s="199">
        <v>11.13</v>
      </c>
      <c r="I232" s="199">
        <v>0</v>
      </c>
      <c r="J232" s="199">
        <v>11.13</v>
      </c>
      <c r="K232" s="199">
        <v>0</v>
      </c>
      <c r="L232" s="199">
        <v>11.13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workbookViewId="0">
      <selection activeCell="B2" sqref="B2"/>
    </sheetView>
  </sheetViews>
  <sheetFormatPr defaultRowHeight="15"/>
  <cols>
    <col min="1" max="1" width="16.140625" style="197" customWidth="1"/>
    <col min="2" max="2" width="46.7109375" style="198" customWidth="1"/>
    <col min="3" max="3" width="15.28515625" style="199" customWidth="1"/>
    <col min="4" max="4" width="15.28515625" style="199" bestFit="1" customWidth="1"/>
    <col min="5" max="5" width="15.140625" style="199" customWidth="1"/>
    <col min="6" max="7" width="15.28515625" style="199" bestFit="1" customWidth="1"/>
    <col min="8" max="8" width="15.28515625" style="199" customWidth="1"/>
    <col min="9" max="11" width="15.28515625" style="199" bestFit="1" customWidth="1"/>
    <col min="12" max="12" width="14.85546875" style="199" customWidth="1"/>
    <col min="13" max="16384" width="9.140625" style="193"/>
  </cols>
  <sheetData>
    <row r="1" spans="1:12" ht="22.5">
      <c r="A1" s="203" t="s">
        <v>536</v>
      </c>
      <c r="B1" s="204" t="s">
        <v>537</v>
      </c>
      <c r="C1" s="205" t="s">
        <v>516</v>
      </c>
      <c r="D1" s="205" t="s">
        <v>517</v>
      </c>
      <c r="E1" s="205" t="s">
        <v>518</v>
      </c>
      <c r="F1" s="205" t="s">
        <v>519</v>
      </c>
      <c r="G1" s="205" t="s">
        <v>520</v>
      </c>
      <c r="H1" s="205" t="s">
        <v>521</v>
      </c>
      <c r="I1" s="205" t="s">
        <v>522</v>
      </c>
      <c r="J1" s="205" t="s">
        <v>523</v>
      </c>
      <c r="K1" s="205" t="s">
        <v>524</v>
      </c>
      <c r="L1" s="205" t="s">
        <v>525</v>
      </c>
    </row>
    <row r="2" spans="1:12">
      <c r="A2" s="194" t="s">
        <v>996</v>
      </c>
      <c r="B2" s="195" t="s">
        <v>539</v>
      </c>
      <c r="C2" s="196">
        <v>7561.33</v>
      </c>
      <c r="D2" s="196">
        <v>0</v>
      </c>
      <c r="E2" s="196">
        <v>8616.17</v>
      </c>
      <c r="F2" s="196">
        <v>0</v>
      </c>
      <c r="G2" s="196">
        <v>927.52</v>
      </c>
      <c r="H2" s="196">
        <v>0</v>
      </c>
      <c r="I2" s="196">
        <v>1982.36</v>
      </c>
      <c r="J2" s="196">
        <v>0</v>
      </c>
      <c r="K2" s="196">
        <v>9543.69</v>
      </c>
      <c r="L2" s="196">
        <v>0</v>
      </c>
    </row>
    <row r="3" spans="1:12">
      <c r="A3" s="194" t="s">
        <v>997</v>
      </c>
      <c r="B3" s="195" t="s">
        <v>22</v>
      </c>
      <c r="C3" s="196">
        <v>247842.96</v>
      </c>
      <c r="D3" s="196">
        <v>0</v>
      </c>
      <c r="E3" s="196">
        <v>247842.96</v>
      </c>
      <c r="F3" s="196">
        <v>0</v>
      </c>
      <c r="G3" s="196">
        <v>0</v>
      </c>
      <c r="H3" s="196">
        <v>0</v>
      </c>
      <c r="I3" s="196">
        <v>0</v>
      </c>
      <c r="J3" s="196">
        <v>0</v>
      </c>
      <c r="K3" s="196">
        <v>247842.96</v>
      </c>
      <c r="L3" s="196">
        <v>0</v>
      </c>
    </row>
    <row r="4" spans="1:12">
      <c r="A4" s="194" t="s">
        <v>998</v>
      </c>
      <c r="B4" s="195" t="s">
        <v>999</v>
      </c>
      <c r="C4" s="196">
        <v>102108.08</v>
      </c>
      <c r="D4" s="196">
        <v>0</v>
      </c>
      <c r="E4" s="196">
        <v>219718.76</v>
      </c>
      <c r="F4" s="196">
        <v>0</v>
      </c>
      <c r="G4" s="196">
        <v>86834.15</v>
      </c>
      <c r="H4" s="196">
        <v>22233.06</v>
      </c>
      <c r="I4" s="196">
        <v>205491.84</v>
      </c>
      <c r="J4" s="196">
        <v>23280.07</v>
      </c>
      <c r="K4" s="196">
        <v>284319.84999999998</v>
      </c>
      <c r="L4" s="196">
        <v>0</v>
      </c>
    </row>
    <row r="5" spans="1:12">
      <c r="A5" s="194" t="s">
        <v>1000</v>
      </c>
      <c r="B5" s="195" t="s">
        <v>548</v>
      </c>
      <c r="C5" s="196">
        <v>0</v>
      </c>
      <c r="D5" s="196">
        <v>0</v>
      </c>
      <c r="E5" s="196">
        <v>927.52</v>
      </c>
      <c r="F5" s="196">
        <v>0</v>
      </c>
      <c r="G5" s="196">
        <v>0</v>
      </c>
      <c r="H5" s="196">
        <v>927.52</v>
      </c>
      <c r="I5" s="196">
        <v>1982.36</v>
      </c>
      <c r="J5" s="196">
        <v>1982.36</v>
      </c>
      <c r="K5" s="196">
        <v>0</v>
      </c>
      <c r="L5" s="196">
        <v>0</v>
      </c>
    </row>
    <row r="6" spans="1:12">
      <c r="A6" s="194" t="s">
        <v>1001</v>
      </c>
      <c r="B6" s="195" t="s">
        <v>550</v>
      </c>
      <c r="C6" s="196">
        <v>0</v>
      </c>
      <c r="D6" s="196">
        <v>0</v>
      </c>
      <c r="E6" s="196">
        <v>792.01</v>
      </c>
      <c r="F6" s="196">
        <v>0</v>
      </c>
      <c r="G6" s="196">
        <v>86042.14</v>
      </c>
      <c r="H6" s="196">
        <v>86834.15</v>
      </c>
      <c r="I6" s="196">
        <v>205491.84</v>
      </c>
      <c r="J6" s="196">
        <v>205491.84</v>
      </c>
      <c r="K6" s="196">
        <v>0</v>
      </c>
      <c r="L6" s="196">
        <v>0</v>
      </c>
    </row>
    <row r="7" spans="1:12">
      <c r="A7" s="194" t="s">
        <v>1002</v>
      </c>
      <c r="B7" s="195" t="s">
        <v>552</v>
      </c>
      <c r="C7" s="196">
        <v>-127</v>
      </c>
      <c r="D7" s="196">
        <v>0</v>
      </c>
      <c r="E7" s="196">
        <v>-1650</v>
      </c>
      <c r="F7" s="196">
        <v>0</v>
      </c>
      <c r="G7" s="196">
        <v>0</v>
      </c>
      <c r="H7" s="196">
        <v>149</v>
      </c>
      <c r="I7" s="196">
        <v>0</v>
      </c>
      <c r="J7" s="196">
        <v>1672</v>
      </c>
      <c r="K7" s="196">
        <v>-1799</v>
      </c>
      <c r="L7" s="196">
        <v>0</v>
      </c>
    </row>
    <row r="8" spans="1:12">
      <c r="A8" s="194" t="s">
        <v>1003</v>
      </c>
      <c r="B8" s="195" t="s">
        <v>554</v>
      </c>
      <c r="C8" s="196">
        <v>-37112.35</v>
      </c>
      <c r="D8" s="196">
        <v>0</v>
      </c>
      <c r="E8" s="196">
        <v>-71131.61</v>
      </c>
      <c r="F8" s="196">
        <v>0</v>
      </c>
      <c r="G8" s="196">
        <v>0</v>
      </c>
      <c r="H8" s="196">
        <v>3092.66</v>
      </c>
      <c r="I8" s="196">
        <v>0</v>
      </c>
      <c r="J8" s="196">
        <v>37111.919999999998</v>
      </c>
      <c r="K8" s="196">
        <v>-74224.27</v>
      </c>
      <c r="L8" s="196">
        <v>0</v>
      </c>
    </row>
    <row r="9" spans="1:12">
      <c r="A9" s="194" t="s">
        <v>1004</v>
      </c>
      <c r="B9" s="195" t="s">
        <v>556</v>
      </c>
      <c r="C9" s="196">
        <v>-2404</v>
      </c>
      <c r="D9" s="196">
        <v>0</v>
      </c>
      <c r="E9" s="196">
        <v>-35179</v>
      </c>
      <c r="F9" s="196">
        <v>0</v>
      </c>
      <c r="G9" s="196">
        <v>22233.06</v>
      </c>
      <c r="H9" s="196">
        <v>20115.060000000001</v>
      </c>
      <c r="I9" s="196">
        <v>23280.07</v>
      </c>
      <c r="J9" s="196">
        <v>53937.07</v>
      </c>
      <c r="K9" s="196">
        <v>-33061</v>
      </c>
      <c r="L9" s="196">
        <v>0</v>
      </c>
    </row>
    <row r="10" spans="1:12">
      <c r="A10" s="194" t="s">
        <v>1005</v>
      </c>
      <c r="B10" s="195" t="s">
        <v>1006</v>
      </c>
      <c r="C10" s="196">
        <v>443.48</v>
      </c>
      <c r="D10" s="196">
        <v>0</v>
      </c>
      <c r="E10" s="196">
        <v>0</v>
      </c>
      <c r="F10" s="196">
        <v>0</v>
      </c>
      <c r="G10" s="196">
        <v>0</v>
      </c>
      <c r="H10" s="196">
        <v>0</v>
      </c>
      <c r="I10" s="196">
        <v>0</v>
      </c>
      <c r="J10" s="196">
        <v>443.48</v>
      </c>
      <c r="K10" s="196">
        <v>0</v>
      </c>
      <c r="L10" s="196">
        <v>0</v>
      </c>
    </row>
    <row r="11" spans="1:12">
      <c r="A11" s="194" t="s">
        <v>1007</v>
      </c>
      <c r="B11" s="195" t="s">
        <v>576</v>
      </c>
      <c r="C11" s="196">
        <v>0</v>
      </c>
      <c r="D11" s="196">
        <v>0</v>
      </c>
      <c r="E11" s="196">
        <v>3775.83</v>
      </c>
      <c r="F11" s="196">
        <v>0</v>
      </c>
      <c r="G11" s="196">
        <v>140272.47</v>
      </c>
      <c r="H11" s="196">
        <v>144048.29999999999</v>
      </c>
      <c r="I11" s="196">
        <v>932885.91</v>
      </c>
      <c r="J11" s="196">
        <v>932885.91</v>
      </c>
      <c r="K11" s="196">
        <v>0</v>
      </c>
      <c r="L11" s="196">
        <v>0</v>
      </c>
    </row>
    <row r="12" spans="1:12">
      <c r="A12" s="194" t="s">
        <v>1008</v>
      </c>
      <c r="B12" s="195" t="s">
        <v>578</v>
      </c>
      <c r="C12" s="196">
        <v>1120195.19</v>
      </c>
      <c r="D12" s="196">
        <v>0</v>
      </c>
      <c r="E12" s="196">
        <v>1173001.96</v>
      </c>
      <c r="F12" s="196">
        <v>0</v>
      </c>
      <c r="G12" s="196">
        <v>285392.36</v>
      </c>
      <c r="H12" s="196">
        <v>363278.32</v>
      </c>
      <c r="I12" s="196">
        <v>1591355.15</v>
      </c>
      <c r="J12" s="196">
        <v>1616434.34</v>
      </c>
      <c r="K12" s="196">
        <v>1095116</v>
      </c>
      <c r="L12" s="196">
        <v>0</v>
      </c>
    </row>
    <row r="13" spans="1:12">
      <c r="A13" s="194" t="s">
        <v>1009</v>
      </c>
      <c r="B13" s="195" t="s">
        <v>582</v>
      </c>
      <c r="C13" s="196">
        <v>0</v>
      </c>
      <c r="D13" s="196">
        <v>0</v>
      </c>
      <c r="E13" s="196">
        <v>0</v>
      </c>
      <c r="F13" s="196">
        <v>0</v>
      </c>
      <c r="G13" s="196">
        <v>0</v>
      </c>
      <c r="H13" s="196">
        <v>10199</v>
      </c>
      <c r="I13" s="196">
        <v>0</v>
      </c>
      <c r="J13" s="196">
        <v>10199</v>
      </c>
      <c r="K13" s="196">
        <v>-10199</v>
      </c>
      <c r="L13" s="196">
        <v>0</v>
      </c>
    </row>
    <row r="14" spans="1:12">
      <c r="A14" s="194" t="s">
        <v>1010</v>
      </c>
      <c r="B14" s="195" t="s">
        <v>1011</v>
      </c>
      <c r="C14" s="196">
        <v>1562.03</v>
      </c>
      <c r="D14" s="196">
        <v>0</v>
      </c>
      <c r="E14" s="196">
        <v>3225.28</v>
      </c>
      <c r="F14" s="196">
        <v>0</v>
      </c>
      <c r="G14" s="196">
        <v>3584.85</v>
      </c>
      <c r="H14" s="196">
        <v>2816.11</v>
      </c>
      <c r="I14" s="196">
        <v>46070.879999999997</v>
      </c>
      <c r="J14" s="196">
        <v>43638.89</v>
      </c>
      <c r="K14" s="196">
        <v>3994.02</v>
      </c>
      <c r="L14" s="196">
        <v>0</v>
      </c>
    </row>
    <row r="15" spans="1:12">
      <c r="A15" s="194" t="s">
        <v>1012</v>
      </c>
      <c r="B15" s="195" t="s">
        <v>1013</v>
      </c>
      <c r="C15" s="196">
        <v>1750</v>
      </c>
      <c r="D15" s="196">
        <v>0</v>
      </c>
      <c r="E15" s="196">
        <v>1708</v>
      </c>
      <c r="F15" s="196">
        <v>0</v>
      </c>
      <c r="G15" s="196">
        <v>0</v>
      </c>
      <c r="H15" s="196">
        <v>497</v>
      </c>
      <c r="I15" s="196">
        <v>7000</v>
      </c>
      <c r="J15" s="196">
        <v>7539</v>
      </c>
      <c r="K15" s="196">
        <v>1211</v>
      </c>
      <c r="L15" s="196">
        <v>0</v>
      </c>
    </row>
    <row r="16" spans="1:12">
      <c r="A16" s="194" t="s">
        <v>1014</v>
      </c>
      <c r="B16" s="195" t="s">
        <v>594</v>
      </c>
      <c r="C16" s="196">
        <v>38080.99</v>
      </c>
      <c r="D16" s="196">
        <v>0</v>
      </c>
      <c r="E16" s="196">
        <v>15938.66</v>
      </c>
      <c r="F16" s="196">
        <v>0</v>
      </c>
      <c r="G16" s="196">
        <v>206998.69</v>
      </c>
      <c r="H16" s="196">
        <v>122420.69</v>
      </c>
      <c r="I16" s="196">
        <v>1590609.2</v>
      </c>
      <c r="J16" s="196">
        <v>1528173.53</v>
      </c>
      <c r="K16" s="196">
        <v>100516.66</v>
      </c>
      <c r="L16" s="196">
        <v>0</v>
      </c>
    </row>
    <row r="17" spans="1:12">
      <c r="A17" s="194" t="s">
        <v>1015</v>
      </c>
      <c r="B17" s="195" t="s">
        <v>600</v>
      </c>
      <c r="C17" s="196">
        <v>0</v>
      </c>
      <c r="D17" s="196">
        <v>50257.03</v>
      </c>
      <c r="E17" s="196">
        <v>0</v>
      </c>
      <c r="F17" s="196">
        <v>0</v>
      </c>
      <c r="G17" s="196">
        <v>0</v>
      </c>
      <c r="H17" s="196">
        <v>0</v>
      </c>
      <c r="I17" s="196">
        <v>50257.03</v>
      </c>
      <c r="J17" s="196">
        <v>0</v>
      </c>
      <c r="K17" s="196">
        <v>0</v>
      </c>
      <c r="L17" s="196">
        <v>0</v>
      </c>
    </row>
    <row r="18" spans="1:12">
      <c r="A18" s="194" t="s">
        <v>1016</v>
      </c>
      <c r="B18" s="195" t="s">
        <v>604</v>
      </c>
      <c r="C18" s="196">
        <v>0</v>
      </c>
      <c r="D18" s="196">
        <v>0</v>
      </c>
      <c r="E18" s="196">
        <v>2000</v>
      </c>
      <c r="F18" s="196">
        <v>0</v>
      </c>
      <c r="G18" s="196">
        <v>500</v>
      </c>
      <c r="H18" s="196">
        <v>2500</v>
      </c>
      <c r="I18" s="196">
        <v>41289.480000000003</v>
      </c>
      <c r="J18" s="196">
        <v>41289.480000000003</v>
      </c>
      <c r="K18" s="196">
        <v>0</v>
      </c>
      <c r="L18" s="196">
        <v>0</v>
      </c>
    </row>
    <row r="19" spans="1:12">
      <c r="A19" s="194" t="s">
        <v>1017</v>
      </c>
      <c r="B19" s="195" t="s">
        <v>1018</v>
      </c>
      <c r="C19" s="196">
        <v>446505.82</v>
      </c>
      <c r="D19" s="196">
        <v>0</v>
      </c>
      <c r="E19" s="196">
        <v>713424.44</v>
      </c>
      <c r="F19" s="196">
        <v>0</v>
      </c>
      <c r="G19" s="196">
        <v>291233.34000000003</v>
      </c>
      <c r="H19" s="196">
        <v>220115.19</v>
      </c>
      <c r="I19" s="196">
        <v>1816339.56</v>
      </c>
      <c r="J19" s="196">
        <v>1478302.79</v>
      </c>
      <c r="K19" s="196">
        <v>784542.59</v>
      </c>
      <c r="L19" s="196">
        <v>0</v>
      </c>
    </row>
    <row r="20" spans="1:12">
      <c r="A20" s="194" t="s">
        <v>1019</v>
      </c>
      <c r="B20" s="195" t="s">
        <v>612</v>
      </c>
      <c r="C20" s="196">
        <v>0</v>
      </c>
      <c r="D20" s="196">
        <v>0</v>
      </c>
      <c r="E20" s="196">
        <v>4022.8</v>
      </c>
      <c r="F20" s="196">
        <v>0</v>
      </c>
      <c r="G20" s="196">
        <v>2137.5100000000002</v>
      </c>
      <c r="H20" s="196">
        <v>2048</v>
      </c>
      <c r="I20" s="196">
        <v>54722.06</v>
      </c>
      <c r="J20" s="196">
        <v>50609.75</v>
      </c>
      <c r="K20" s="196">
        <v>4112.3100000000004</v>
      </c>
      <c r="L20" s="196">
        <v>0</v>
      </c>
    </row>
    <row r="21" spans="1:12">
      <c r="A21" s="194" t="s">
        <v>1020</v>
      </c>
      <c r="B21" s="195" t="s">
        <v>1021</v>
      </c>
      <c r="C21" s="196">
        <v>0</v>
      </c>
      <c r="D21" s="196">
        <v>17669.47</v>
      </c>
      <c r="E21" s="196">
        <v>0</v>
      </c>
      <c r="F21" s="196">
        <v>163843.25</v>
      </c>
      <c r="G21" s="196">
        <v>106077.52</v>
      </c>
      <c r="H21" s="196">
        <v>233738.71</v>
      </c>
      <c r="I21" s="196">
        <v>959026.04</v>
      </c>
      <c r="J21" s="196">
        <v>1232861.01</v>
      </c>
      <c r="K21" s="196">
        <v>0</v>
      </c>
      <c r="L21" s="196">
        <v>291504.44</v>
      </c>
    </row>
    <row r="22" spans="1:12">
      <c r="A22" s="194" t="s">
        <v>1022</v>
      </c>
      <c r="B22" s="195" t="s">
        <v>1023</v>
      </c>
      <c r="C22" s="196">
        <v>0</v>
      </c>
      <c r="D22" s="196">
        <v>0</v>
      </c>
      <c r="E22" s="196">
        <v>0</v>
      </c>
      <c r="F22" s="196">
        <v>0</v>
      </c>
      <c r="G22" s="196">
        <v>0</v>
      </c>
      <c r="H22" s="196">
        <v>21861.67</v>
      </c>
      <c r="I22" s="196">
        <v>0</v>
      </c>
      <c r="J22" s="196">
        <v>21861.67</v>
      </c>
      <c r="K22" s="196">
        <v>0</v>
      </c>
      <c r="L22" s="196">
        <v>21861.67</v>
      </c>
    </row>
    <row r="23" spans="1:12">
      <c r="A23" s="194" t="s">
        <v>1024</v>
      </c>
      <c r="B23" s="195" t="s">
        <v>1025</v>
      </c>
      <c r="C23" s="196">
        <v>0</v>
      </c>
      <c r="D23" s="196">
        <v>0</v>
      </c>
      <c r="E23" s="196">
        <v>0</v>
      </c>
      <c r="F23" s="196">
        <v>7.49</v>
      </c>
      <c r="G23" s="196">
        <v>7.49</v>
      </c>
      <c r="H23" s="196">
        <v>6.94</v>
      </c>
      <c r="I23" s="196">
        <v>89.21</v>
      </c>
      <c r="J23" s="196">
        <v>96.15</v>
      </c>
      <c r="K23" s="196">
        <v>0</v>
      </c>
      <c r="L23" s="196">
        <v>6.94</v>
      </c>
    </row>
    <row r="24" spans="1:12">
      <c r="A24" s="194" t="s">
        <v>1026</v>
      </c>
      <c r="B24" s="195" t="s">
        <v>646</v>
      </c>
      <c r="C24" s="196">
        <v>0</v>
      </c>
      <c r="D24" s="196">
        <v>0</v>
      </c>
      <c r="E24" s="196">
        <v>0</v>
      </c>
      <c r="F24" s="196">
        <v>10911.18</v>
      </c>
      <c r="G24" s="196">
        <v>18202.38</v>
      </c>
      <c r="H24" s="196">
        <v>18513.18</v>
      </c>
      <c r="I24" s="196">
        <v>239810.67</v>
      </c>
      <c r="J24" s="196">
        <v>251032.65</v>
      </c>
      <c r="K24" s="196">
        <v>0</v>
      </c>
      <c r="L24" s="196">
        <v>11221.98</v>
      </c>
    </row>
    <row r="25" spans="1:12">
      <c r="A25" s="194" t="s">
        <v>1027</v>
      </c>
      <c r="B25" s="195" t="s">
        <v>1028</v>
      </c>
      <c r="C25" s="196">
        <v>0</v>
      </c>
      <c r="D25" s="196">
        <v>0</v>
      </c>
      <c r="E25" s="196">
        <v>0</v>
      </c>
      <c r="F25" s="196">
        <v>0</v>
      </c>
      <c r="G25" s="196">
        <v>0</v>
      </c>
      <c r="H25" s="196">
        <v>0</v>
      </c>
      <c r="I25" s="196">
        <v>259.16000000000003</v>
      </c>
      <c r="J25" s="196">
        <v>259.16000000000003</v>
      </c>
      <c r="K25" s="196">
        <v>0</v>
      </c>
      <c r="L25" s="196">
        <v>0</v>
      </c>
    </row>
    <row r="26" spans="1:12">
      <c r="A26" s="194" t="s">
        <v>1029</v>
      </c>
      <c r="B26" s="195" t="s">
        <v>1030</v>
      </c>
      <c r="C26" s="196">
        <v>0</v>
      </c>
      <c r="D26" s="196">
        <v>0</v>
      </c>
      <c r="E26" s="196">
        <v>7029.76</v>
      </c>
      <c r="F26" s="196">
        <v>0</v>
      </c>
      <c r="G26" s="196">
        <v>107.92</v>
      </c>
      <c r="H26" s="196">
        <v>1167.2</v>
      </c>
      <c r="I26" s="196">
        <v>11857.65</v>
      </c>
      <c r="J26" s="196">
        <v>5887.17</v>
      </c>
      <c r="K26" s="196">
        <v>5970.48</v>
      </c>
      <c r="L26" s="196">
        <v>0</v>
      </c>
    </row>
    <row r="27" spans="1:12">
      <c r="A27" s="194" t="s">
        <v>1031</v>
      </c>
      <c r="B27" s="195" t="s">
        <v>1032</v>
      </c>
      <c r="C27" s="196">
        <v>0</v>
      </c>
      <c r="D27" s="196">
        <v>0</v>
      </c>
      <c r="E27" s="196">
        <v>0</v>
      </c>
      <c r="F27" s="196">
        <v>9676.0499999999993</v>
      </c>
      <c r="G27" s="196">
        <v>9648.99</v>
      </c>
      <c r="H27" s="196">
        <v>9817.34</v>
      </c>
      <c r="I27" s="196">
        <v>113432.84</v>
      </c>
      <c r="J27" s="196">
        <v>123277.24</v>
      </c>
      <c r="K27" s="196">
        <v>0</v>
      </c>
      <c r="L27" s="196">
        <v>9844.4</v>
      </c>
    </row>
    <row r="28" spans="1:12">
      <c r="A28" s="194" t="s">
        <v>1033</v>
      </c>
      <c r="B28" s="195" t="s">
        <v>672</v>
      </c>
      <c r="C28" s="196">
        <v>0</v>
      </c>
      <c r="D28" s="196">
        <v>0</v>
      </c>
      <c r="E28" s="196">
        <v>0</v>
      </c>
      <c r="F28" s="196">
        <v>2357.7600000000002</v>
      </c>
      <c r="G28" s="196">
        <v>2357.7600000000002</v>
      </c>
      <c r="H28" s="196">
        <v>2358.71</v>
      </c>
      <c r="I28" s="196">
        <v>32621.38</v>
      </c>
      <c r="J28" s="196">
        <v>34980.089999999997</v>
      </c>
      <c r="K28" s="196">
        <v>0</v>
      </c>
      <c r="L28" s="196">
        <v>2358.71</v>
      </c>
    </row>
    <row r="29" spans="1:12">
      <c r="A29" s="194" t="s">
        <v>1034</v>
      </c>
      <c r="B29" s="195" t="s">
        <v>1035</v>
      </c>
      <c r="C29" s="196">
        <v>0</v>
      </c>
      <c r="D29" s="196">
        <v>-2571.7800000000002</v>
      </c>
      <c r="E29" s="196">
        <v>0</v>
      </c>
      <c r="F29" s="196">
        <v>33363.769999999997</v>
      </c>
      <c r="G29" s="196">
        <v>39316.06</v>
      </c>
      <c r="H29" s="196">
        <v>62301.02</v>
      </c>
      <c r="I29" s="196">
        <v>473042.55</v>
      </c>
      <c r="J29" s="196">
        <v>531963.06000000006</v>
      </c>
      <c r="K29" s="196">
        <v>0</v>
      </c>
      <c r="L29" s="196">
        <v>56348.73</v>
      </c>
    </row>
    <row r="30" spans="1:12">
      <c r="A30" s="194" t="s">
        <v>1036</v>
      </c>
      <c r="B30" s="195" t="s">
        <v>696</v>
      </c>
      <c r="C30" s="196">
        <v>0</v>
      </c>
      <c r="D30" s="196">
        <v>0</v>
      </c>
      <c r="E30" s="196">
        <v>0</v>
      </c>
      <c r="F30" s="196">
        <v>0</v>
      </c>
      <c r="G30" s="196">
        <v>0</v>
      </c>
      <c r="H30" s="196">
        <v>234</v>
      </c>
      <c r="I30" s="196">
        <v>1391.06</v>
      </c>
      <c r="J30" s="196">
        <v>1625.06</v>
      </c>
      <c r="K30" s="196">
        <v>0</v>
      </c>
      <c r="L30" s="196">
        <v>234</v>
      </c>
    </row>
    <row r="31" spans="1:12">
      <c r="A31" s="194" t="s">
        <v>1037</v>
      </c>
      <c r="B31" s="195" t="s">
        <v>702</v>
      </c>
      <c r="C31" s="196">
        <v>0</v>
      </c>
      <c r="D31" s="196">
        <v>1900751.77</v>
      </c>
      <c r="E31" s="196">
        <v>0</v>
      </c>
      <c r="F31" s="196">
        <v>334727.59999999998</v>
      </c>
      <c r="G31" s="196">
        <v>0</v>
      </c>
      <c r="H31" s="196">
        <v>7.55</v>
      </c>
      <c r="I31" s="196">
        <v>1565472.89</v>
      </c>
      <c r="J31" s="196">
        <v>-543.73</v>
      </c>
      <c r="K31" s="196">
        <v>0</v>
      </c>
      <c r="L31" s="196">
        <v>334735.15000000002</v>
      </c>
    </row>
    <row r="32" spans="1:12">
      <c r="A32" s="194" t="s">
        <v>1038</v>
      </c>
      <c r="B32" s="195" t="s">
        <v>128</v>
      </c>
      <c r="C32" s="196">
        <v>0</v>
      </c>
      <c r="D32" s="196">
        <v>0</v>
      </c>
      <c r="E32" s="196">
        <v>2548.6</v>
      </c>
      <c r="F32" s="196">
        <v>0</v>
      </c>
      <c r="G32" s="196">
        <v>800</v>
      </c>
      <c r="H32" s="196">
        <v>82.9</v>
      </c>
      <c r="I32" s="196">
        <v>3348.6</v>
      </c>
      <c r="J32" s="196">
        <v>82.9</v>
      </c>
      <c r="K32" s="196">
        <v>3265.7</v>
      </c>
      <c r="L32" s="196">
        <v>0</v>
      </c>
    </row>
    <row r="33" spans="1:12">
      <c r="A33" s="194" t="s">
        <v>1039</v>
      </c>
      <c r="B33" s="195" t="s">
        <v>1040</v>
      </c>
      <c r="C33" s="196">
        <v>0</v>
      </c>
      <c r="D33" s="196">
        <v>0</v>
      </c>
      <c r="E33" s="196">
        <v>0</v>
      </c>
      <c r="F33" s="196">
        <v>0</v>
      </c>
      <c r="G33" s="196">
        <v>0</v>
      </c>
      <c r="H33" s="196">
        <v>3265.7</v>
      </c>
      <c r="I33" s="196">
        <v>0</v>
      </c>
      <c r="J33" s="196">
        <v>3265.7</v>
      </c>
      <c r="K33" s="196">
        <v>0</v>
      </c>
      <c r="L33" s="196">
        <v>3265.7</v>
      </c>
    </row>
    <row r="34" spans="1:12">
      <c r="A34" s="194" t="s">
        <v>1041</v>
      </c>
      <c r="B34" s="195" t="s">
        <v>1042</v>
      </c>
      <c r="C34" s="196">
        <v>0</v>
      </c>
      <c r="D34" s="196">
        <v>0</v>
      </c>
      <c r="E34" s="196">
        <v>16200</v>
      </c>
      <c r="F34" s="196">
        <v>0</v>
      </c>
      <c r="G34" s="196">
        <v>0</v>
      </c>
      <c r="H34" s="196">
        <v>0</v>
      </c>
      <c r="I34" s="196">
        <v>16200</v>
      </c>
      <c r="J34" s="196">
        <v>0</v>
      </c>
      <c r="K34" s="196">
        <v>16200</v>
      </c>
      <c r="L34" s="196">
        <v>0</v>
      </c>
    </row>
    <row r="35" spans="1:12">
      <c r="A35" s="194" t="s">
        <v>1043</v>
      </c>
      <c r="B35" s="195" t="s">
        <v>710</v>
      </c>
      <c r="C35" s="196">
        <v>0</v>
      </c>
      <c r="D35" s="196">
        <v>0</v>
      </c>
      <c r="E35" s="196">
        <v>0</v>
      </c>
      <c r="F35" s="196">
        <v>0</v>
      </c>
      <c r="G35" s="196">
        <v>0</v>
      </c>
      <c r="H35" s="196">
        <v>5414.04</v>
      </c>
      <c r="I35" s="196">
        <v>0</v>
      </c>
      <c r="J35" s="196">
        <v>5414.04</v>
      </c>
      <c r="K35" s="196">
        <v>-5414.04</v>
      </c>
      <c r="L35" s="196">
        <v>0</v>
      </c>
    </row>
    <row r="36" spans="1:12">
      <c r="A36" s="194" t="s">
        <v>1044</v>
      </c>
      <c r="B36" s="195" t="s">
        <v>712</v>
      </c>
      <c r="C36" s="196">
        <v>0</v>
      </c>
      <c r="D36" s="196">
        <v>0</v>
      </c>
      <c r="E36" s="196">
        <v>18.440000000000001</v>
      </c>
      <c r="F36" s="196">
        <v>0</v>
      </c>
      <c r="G36" s="196">
        <v>128091.85</v>
      </c>
      <c r="H36" s="196">
        <v>128110.29</v>
      </c>
      <c r="I36" s="196">
        <v>737744.57</v>
      </c>
      <c r="J36" s="196">
        <v>737744.57</v>
      </c>
      <c r="K36" s="196">
        <v>0</v>
      </c>
      <c r="L36" s="196">
        <v>0</v>
      </c>
    </row>
    <row r="37" spans="1:12">
      <c r="A37" s="194" t="s">
        <v>1045</v>
      </c>
      <c r="B37" s="195" t="s">
        <v>393</v>
      </c>
      <c r="C37" s="196">
        <v>0</v>
      </c>
      <c r="D37" s="196">
        <v>5000</v>
      </c>
      <c r="E37" s="196">
        <v>0</v>
      </c>
      <c r="F37" s="196">
        <v>5000</v>
      </c>
      <c r="G37" s="196">
        <v>0</v>
      </c>
      <c r="H37" s="196">
        <v>0</v>
      </c>
      <c r="I37" s="196">
        <v>0</v>
      </c>
      <c r="J37" s="196">
        <v>0</v>
      </c>
      <c r="K37" s="196">
        <v>0</v>
      </c>
      <c r="L37" s="196">
        <v>5000</v>
      </c>
    </row>
    <row r="38" spans="1:12">
      <c r="A38" s="194" t="s">
        <v>1046</v>
      </c>
      <c r="B38" s="195" t="s">
        <v>469</v>
      </c>
      <c r="C38" s="196">
        <v>0</v>
      </c>
      <c r="D38" s="196">
        <v>0</v>
      </c>
      <c r="E38" s="196">
        <v>0</v>
      </c>
      <c r="F38" s="196">
        <v>0</v>
      </c>
      <c r="G38" s="196">
        <v>48973.82</v>
      </c>
      <c r="H38" s="196">
        <v>12726.14</v>
      </c>
      <c r="I38" s="196">
        <v>48973.82</v>
      </c>
      <c r="J38" s="196">
        <v>12726.14</v>
      </c>
      <c r="K38" s="196">
        <v>36247.68</v>
      </c>
      <c r="L38" s="196">
        <v>0</v>
      </c>
    </row>
    <row r="39" spans="1:12">
      <c r="A39" s="194" t="s">
        <v>1047</v>
      </c>
      <c r="B39" s="195" t="s">
        <v>721</v>
      </c>
      <c r="C39" s="196">
        <v>48973.82</v>
      </c>
      <c r="D39" s="196">
        <v>0</v>
      </c>
      <c r="E39" s="196">
        <v>0</v>
      </c>
      <c r="F39" s="196">
        <v>-48973.82</v>
      </c>
      <c r="G39" s="196">
        <v>0</v>
      </c>
      <c r="H39" s="196">
        <v>48973.82</v>
      </c>
      <c r="I39" s="196">
        <v>0</v>
      </c>
      <c r="J39" s="196">
        <v>48973.82</v>
      </c>
      <c r="K39" s="196">
        <v>0</v>
      </c>
      <c r="L39" s="196">
        <v>0</v>
      </c>
    </row>
    <row r="40" spans="1:12">
      <c r="A40" s="194" t="s">
        <v>1048</v>
      </c>
      <c r="B40" s="195" t="s">
        <v>723</v>
      </c>
      <c r="C40" s="196">
        <v>0</v>
      </c>
      <c r="D40" s="196">
        <v>0</v>
      </c>
      <c r="E40" s="196">
        <v>0</v>
      </c>
      <c r="F40" s="196">
        <v>-7.82</v>
      </c>
      <c r="G40" s="196">
        <v>76.680000000000007</v>
      </c>
      <c r="H40" s="196">
        <v>84.5</v>
      </c>
      <c r="I40" s="196">
        <v>1369.96</v>
      </c>
      <c r="J40" s="196">
        <v>1369.96</v>
      </c>
      <c r="K40" s="196">
        <v>0</v>
      </c>
      <c r="L40" s="196">
        <v>0</v>
      </c>
    </row>
    <row r="41" spans="1:12">
      <c r="A41" s="194" t="s">
        <v>1049</v>
      </c>
      <c r="B41" s="195" t="s">
        <v>1050</v>
      </c>
      <c r="C41" s="196">
        <v>0</v>
      </c>
      <c r="D41" s="196">
        <v>0</v>
      </c>
      <c r="E41" s="196">
        <v>0</v>
      </c>
      <c r="F41" s="196">
        <v>1999896.45</v>
      </c>
      <c r="G41" s="196">
        <v>0</v>
      </c>
      <c r="H41" s="196">
        <v>5166.3999999999996</v>
      </c>
      <c r="I41" s="196">
        <v>2484.31</v>
      </c>
      <c r="J41" s="196">
        <v>2007547.16</v>
      </c>
      <c r="K41" s="196">
        <v>0</v>
      </c>
      <c r="L41" s="196">
        <v>2005062.85</v>
      </c>
    </row>
    <row r="42" spans="1:12">
      <c r="A42" s="194" t="s">
        <v>1051</v>
      </c>
      <c r="B42" s="195" t="s">
        <v>1052</v>
      </c>
      <c r="C42" s="196">
        <v>0</v>
      </c>
      <c r="D42" s="196">
        <v>4273.8599999999997</v>
      </c>
      <c r="E42" s="196">
        <v>0</v>
      </c>
      <c r="F42" s="196">
        <v>4273.8599999999997</v>
      </c>
      <c r="G42" s="196">
        <v>66224.960000000006</v>
      </c>
      <c r="H42" s="196">
        <v>0</v>
      </c>
      <c r="I42" s="196">
        <v>66224.960000000006</v>
      </c>
      <c r="J42" s="196">
        <v>0</v>
      </c>
      <c r="K42" s="196">
        <v>0</v>
      </c>
      <c r="L42" s="196">
        <v>-61951.1</v>
      </c>
    </row>
    <row r="43" spans="1:12">
      <c r="A43" s="194" t="s">
        <v>1053</v>
      </c>
      <c r="B43" s="195" t="s">
        <v>735</v>
      </c>
      <c r="C43" s="196">
        <v>0</v>
      </c>
      <c r="D43" s="196">
        <v>0</v>
      </c>
      <c r="E43" s="196">
        <v>45888.72</v>
      </c>
      <c r="F43" s="196">
        <v>0</v>
      </c>
      <c r="G43" s="196">
        <v>5064.46</v>
      </c>
      <c r="H43" s="196">
        <v>0</v>
      </c>
      <c r="I43" s="196">
        <v>50953.18</v>
      </c>
      <c r="J43" s="196">
        <v>0</v>
      </c>
      <c r="K43" s="196">
        <v>50953.18</v>
      </c>
      <c r="L43" s="196">
        <v>0</v>
      </c>
    </row>
    <row r="44" spans="1:12">
      <c r="A44" s="194" t="s">
        <v>1054</v>
      </c>
      <c r="B44" s="195" t="s">
        <v>1055</v>
      </c>
      <c r="C44" s="196">
        <v>0</v>
      </c>
      <c r="D44" s="196">
        <v>0</v>
      </c>
      <c r="E44" s="196">
        <v>642571.05000000005</v>
      </c>
      <c r="F44" s="196">
        <v>0</v>
      </c>
      <c r="G44" s="196">
        <v>176397.19</v>
      </c>
      <c r="H44" s="196">
        <v>22715.26</v>
      </c>
      <c r="I44" s="196">
        <v>837121.18</v>
      </c>
      <c r="J44" s="196">
        <v>40868.199999999997</v>
      </c>
      <c r="K44" s="196">
        <v>796252.98</v>
      </c>
      <c r="L44" s="196">
        <v>0</v>
      </c>
    </row>
    <row r="45" spans="1:12">
      <c r="A45" s="194" t="s">
        <v>1056</v>
      </c>
      <c r="B45" s="195" t="s">
        <v>789</v>
      </c>
      <c r="C45" s="196">
        <v>0</v>
      </c>
      <c r="D45" s="196">
        <v>0</v>
      </c>
      <c r="E45" s="196">
        <v>0</v>
      </c>
      <c r="F45" s="196">
        <v>0</v>
      </c>
      <c r="G45" s="196">
        <v>10199</v>
      </c>
      <c r="H45" s="196">
        <v>0</v>
      </c>
      <c r="I45" s="196">
        <v>10199</v>
      </c>
      <c r="J45" s="196">
        <v>0</v>
      </c>
      <c r="K45" s="196">
        <v>10199</v>
      </c>
      <c r="L45" s="196">
        <v>0</v>
      </c>
    </row>
    <row r="46" spans="1:12">
      <c r="A46" s="194" t="s">
        <v>1057</v>
      </c>
      <c r="B46" s="195" t="s">
        <v>791</v>
      </c>
      <c r="C46" s="196">
        <v>0</v>
      </c>
      <c r="D46" s="196">
        <v>0</v>
      </c>
      <c r="E46" s="196">
        <v>23898.55</v>
      </c>
      <c r="F46" s="196">
        <v>0</v>
      </c>
      <c r="G46" s="196">
        <v>989.13</v>
      </c>
      <c r="H46" s="196">
        <v>0</v>
      </c>
      <c r="I46" s="196">
        <v>24887.68</v>
      </c>
      <c r="J46" s="196">
        <v>0</v>
      </c>
      <c r="K46" s="196">
        <v>24887.68</v>
      </c>
      <c r="L46" s="196">
        <v>0</v>
      </c>
    </row>
    <row r="47" spans="1:12">
      <c r="A47" s="194" t="s">
        <v>1058</v>
      </c>
      <c r="B47" s="195" t="s">
        <v>807</v>
      </c>
      <c r="C47" s="196">
        <v>0</v>
      </c>
      <c r="D47" s="196">
        <v>0</v>
      </c>
      <c r="E47" s="196">
        <v>2218.3200000000002</v>
      </c>
      <c r="F47" s="196">
        <v>0</v>
      </c>
      <c r="G47" s="196">
        <v>995.58</v>
      </c>
      <c r="H47" s="196">
        <v>0</v>
      </c>
      <c r="I47" s="196">
        <v>3213.9</v>
      </c>
      <c r="J47" s="196">
        <v>0</v>
      </c>
      <c r="K47" s="196">
        <v>3213.9</v>
      </c>
      <c r="L47" s="196">
        <v>0</v>
      </c>
    </row>
    <row r="48" spans="1:12">
      <c r="A48" s="194" t="s">
        <v>1059</v>
      </c>
      <c r="B48" s="195" t="s">
        <v>809</v>
      </c>
      <c r="C48" s="196">
        <v>0</v>
      </c>
      <c r="D48" s="196">
        <v>0</v>
      </c>
      <c r="E48" s="196">
        <v>147347.79999999999</v>
      </c>
      <c r="F48" s="196">
        <v>0</v>
      </c>
      <c r="G48" s="196">
        <v>40259.64</v>
      </c>
      <c r="H48" s="196">
        <v>0</v>
      </c>
      <c r="I48" s="196">
        <v>187607.44</v>
      </c>
      <c r="J48" s="196">
        <v>0</v>
      </c>
      <c r="K48" s="196">
        <v>187607.44</v>
      </c>
      <c r="L48" s="196">
        <v>0</v>
      </c>
    </row>
    <row r="49" spans="1:12">
      <c r="A49" s="194" t="s">
        <v>1060</v>
      </c>
      <c r="B49" s="195" t="s">
        <v>882</v>
      </c>
      <c r="C49" s="196">
        <v>0</v>
      </c>
      <c r="D49" s="196">
        <v>0</v>
      </c>
      <c r="E49" s="196">
        <v>226484.47</v>
      </c>
      <c r="F49" s="196">
        <v>0</v>
      </c>
      <c r="G49" s="196">
        <v>34194.74</v>
      </c>
      <c r="H49" s="196">
        <v>0</v>
      </c>
      <c r="I49" s="196">
        <v>260679.21</v>
      </c>
      <c r="J49" s="196">
        <v>0</v>
      </c>
      <c r="K49" s="196">
        <v>260679.21</v>
      </c>
      <c r="L49" s="196">
        <v>0</v>
      </c>
    </row>
    <row r="50" spans="1:12">
      <c r="A50" s="194" t="s">
        <v>1061</v>
      </c>
      <c r="B50" s="195" t="s">
        <v>1062</v>
      </c>
      <c r="C50" s="196">
        <v>0</v>
      </c>
      <c r="D50" s="196">
        <v>0</v>
      </c>
      <c r="E50" s="196">
        <v>77571.72</v>
      </c>
      <c r="F50" s="196">
        <v>0</v>
      </c>
      <c r="G50" s="196">
        <v>11949.81</v>
      </c>
      <c r="H50" s="196">
        <v>0</v>
      </c>
      <c r="I50" s="196">
        <v>89521.53</v>
      </c>
      <c r="J50" s="196">
        <v>0</v>
      </c>
      <c r="K50" s="196">
        <v>89521.53</v>
      </c>
      <c r="L50" s="196">
        <v>0</v>
      </c>
    </row>
    <row r="51" spans="1:12">
      <c r="A51" s="194" t="s">
        <v>1063</v>
      </c>
      <c r="B51" s="195" t="s">
        <v>1064</v>
      </c>
      <c r="C51" s="196">
        <v>0</v>
      </c>
      <c r="D51" s="196">
        <v>0</v>
      </c>
      <c r="E51" s="196">
        <v>3512.1</v>
      </c>
      <c r="F51" s="196">
        <v>0</v>
      </c>
      <c r="G51" s="196">
        <v>346.38</v>
      </c>
      <c r="H51" s="196">
        <v>0</v>
      </c>
      <c r="I51" s="196">
        <v>3858.48</v>
      </c>
      <c r="J51" s="196">
        <v>0</v>
      </c>
      <c r="K51" s="196">
        <v>3858.48</v>
      </c>
      <c r="L51" s="196">
        <v>0</v>
      </c>
    </row>
    <row r="52" spans="1:12">
      <c r="A52" s="194" t="s">
        <v>1065</v>
      </c>
      <c r="B52" s="195" t="s">
        <v>898</v>
      </c>
      <c r="C52" s="196">
        <v>0</v>
      </c>
      <c r="D52" s="196">
        <v>0</v>
      </c>
      <c r="E52" s="196">
        <v>9350.44</v>
      </c>
      <c r="F52" s="196">
        <v>0</v>
      </c>
      <c r="G52" s="196">
        <v>518.78</v>
      </c>
      <c r="H52" s="196">
        <v>0</v>
      </c>
      <c r="I52" s="196">
        <v>9869.2199999999993</v>
      </c>
      <c r="J52" s="196">
        <v>0</v>
      </c>
      <c r="K52" s="196">
        <v>9869.2199999999993</v>
      </c>
      <c r="L52" s="196">
        <v>0</v>
      </c>
    </row>
    <row r="53" spans="1:12">
      <c r="A53" s="194" t="s">
        <v>1066</v>
      </c>
      <c r="B53" s="195" t="s">
        <v>1067</v>
      </c>
      <c r="C53" s="196">
        <v>0</v>
      </c>
      <c r="D53" s="196">
        <v>0</v>
      </c>
      <c r="E53" s="196">
        <v>42.41</v>
      </c>
      <c r="F53" s="196">
        <v>0</v>
      </c>
      <c r="G53" s="196">
        <v>6.11</v>
      </c>
      <c r="H53" s="196">
        <v>0</v>
      </c>
      <c r="I53" s="196">
        <v>48.52</v>
      </c>
      <c r="J53" s="196">
        <v>0</v>
      </c>
      <c r="K53" s="196">
        <v>48.52</v>
      </c>
      <c r="L53" s="196">
        <v>0</v>
      </c>
    </row>
    <row r="54" spans="1:12">
      <c r="A54" s="194" t="s">
        <v>1068</v>
      </c>
      <c r="B54" s="195" t="s">
        <v>909</v>
      </c>
      <c r="C54" s="196">
        <v>0</v>
      </c>
      <c r="D54" s="196">
        <v>0</v>
      </c>
      <c r="E54" s="196">
        <v>0</v>
      </c>
      <c r="F54" s="196">
        <v>0</v>
      </c>
      <c r="G54" s="196">
        <v>234</v>
      </c>
      <c r="H54" s="196">
        <v>0</v>
      </c>
      <c r="I54" s="196">
        <v>234</v>
      </c>
      <c r="J54" s="196">
        <v>0</v>
      </c>
      <c r="K54" s="196">
        <v>234</v>
      </c>
      <c r="L54" s="196">
        <v>0</v>
      </c>
    </row>
    <row r="55" spans="1:12">
      <c r="A55" s="194" t="s">
        <v>1069</v>
      </c>
      <c r="B55" s="195" t="s">
        <v>696</v>
      </c>
      <c r="C55" s="196">
        <v>0</v>
      </c>
      <c r="D55" s="196">
        <v>0</v>
      </c>
      <c r="E55" s="196">
        <v>1784.17</v>
      </c>
      <c r="F55" s="196">
        <v>0</v>
      </c>
      <c r="G55" s="196">
        <v>3152.54</v>
      </c>
      <c r="H55" s="196">
        <v>0</v>
      </c>
      <c r="I55" s="196">
        <v>4936.71</v>
      </c>
      <c r="J55" s="196">
        <v>0</v>
      </c>
      <c r="K55" s="196">
        <v>4936.71</v>
      </c>
      <c r="L55" s="196">
        <v>0</v>
      </c>
    </row>
    <row r="56" spans="1:12">
      <c r="A56" s="194" t="s">
        <v>1070</v>
      </c>
      <c r="B56" s="195" t="s">
        <v>918</v>
      </c>
      <c r="C56" s="196">
        <v>0</v>
      </c>
      <c r="D56" s="196">
        <v>0</v>
      </c>
      <c r="E56" s="196">
        <v>898.01</v>
      </c>
      <c r="F56" s="196">
        <v>0</v>
      </c>
      <c r="G56" s="196">
        <v>20726.060000000001</v>
      </c>
      <c r="H56" s="196">
        <v>0</v>
      </c>
      <c r="I56" s="196">
        <v>21624.07</v>
      </c>
      <c r="J56" s="196">
        <v>0</v>
      </c>
      <c r="K56" s="196">
        <v>21624.07</v>
      </c>
      <c r="L56" s="196">
        <v>0</v>
      </c>
    </row>
    <row r="57" spans="1:12">
      <c r="A57" s="194" t="s">
        <v>1071</v>
      </c>
      <c r="B57" s="195" t="s">
        <v>920</v>
      </c>
      <c r="C57" s="196">
        <v>0</v>
      </c>
      <c r="D57" s="196">
        <v>0</v>
      </c>
      <c r="E57" s="196">
        <v>0</v>
      </c>
      <c r="F57" s="196">
        <v>0</v>
      </c>
      <c r="G57" s="196">
        <v>5414.04</v>
      </c>
      <c r="H57" s="196">
        <v>0</v>
      </c>
      <c r="I57" s="196">
        <v>5414.04</v>
      </c>
      <c r="J57" s="196">
        <v>0</v>
      </c>
      <c r="K57" s="196">
        <v>5414.04</v>
      </c>
      <c r="L57" s="196">
        <v>0</v>
      </c>
    </row>
    <row r="58" spans="1:12">
      <c r="A58" s="194" t="s">
        <v>1072</v>
      </c>
      <c r="B58" s="195" t="s">
        <v>922</v>
      </c>
      <c r="C58" s="196">
        <v>0</v>
      </c>
      <c r="D58" s="196">
        <v>0</v>
      </c>
      <c r="E58" s="196">
        <v>0.01</v>
      </c>
      <c r="F58" s="196">
        <v>0</v>
      </c>
      <c r="G58" s="196">
        <v>189.22</v>
      </c>
      <c r="H58" s="196">
        <v>0</v>
      </c>
      <c r="I58" s="196">
        <v>189.23</v>
      </c>
      <c r="J58" s="196">
        <v>0</v>
      </c>
      <c r="K58" s="196">
        <v>189.23</v>
      </c>
      <c r="L58" s="196">
        <v>0</v>
      </c>
    </row>
    <row r="59" spans="1:12">
      <c r="A59" s="194" t="s">
        <v>1073</v>
      </c>
      <c r="B59" s="195" t="s">
        <v>995</v>
      </c>
      <c r="C59" s="196">
        <v>0</v>
      </c>
      <c r="D59" s="196">
        <v>0</v>
      </c>
      <c r="E59" s="196">
        <v>68466.259999999995</v>
      </c>
      <c r="F59" s="196">
        <v>0</v>
      </c>
      <c r="G59" s="196">
        <v>2630.66</v>
      </c>
      <c r="H59" s="196">
        <v>0</v>
      </c>
      <c r="I59" s="196">
        <v>71096.92</v>
      </c>
      <c r="J59" s="196">
        <v>0</v>
      </c>
      <c r="K59" s="196">
        <v>71096.92</v>
      </c>
      <c r="L59" s="196">
        <v>0</v>
      </c>
    </row>
    <row r="60" spans="1:12">
      <c r="A60" s="194" t="s">
        <v>1074</v>
      </c>
      <c r="B60" s="195" t="s">
        <v>986</v>
      </c>
      <c r="C60" s="196">
        <v>0</v>
      </c>
      <c r="D60" s="196">
        <v>0</v>
      </c>
      <c r="E60" s="196">
        <v>39856.769999999997</v>
      </c>
      <c r="F60" s="196">
        <v>0</v>
      </c>
      <c r="G60" s="196">
        <v>5166.3999999999996</v>
      </c>
      <c r="H60" s="196">
        <v>0</v>
      </c>
      <c r="I60" s="196">
        <v>45023.17</v>
      </c>
      <c r="J60" s="196">
        <v>0</v>
      </c>
      <c r="K60" s="196">
        <v>45023.17</v>
      </c>
      <c r="L60" s="196">
        <v>0</v>
      </c>
    </row>
    <row r="61" spans="1:12">
      <c r="A61" s="194" t="s">
        <v>1075</v>
      </c>
      <c r="B61" s="195" t="s">
        <v>936</v>
      </c>
      <c r="C61" s="196">
        <v>0</v>
      </c>
      <c r="D61" s="196">
        <v>0</v>
      </c>
      <c r="E61" s="196">
        <v>319.14</v>
      </c>
      <c r="F61" s="196">
        <v>0</v>
      </c>
      <c r="G61" s="196">
        <v>97.44</v>
      </c>
      <c r="H61" s="196">
        <v>0</v>
      </c>
      <c r="I61" s="196">
        <v>416.58</v>
      </c>
      <c r="J61" s="196">
        <v>0</v>
      </c>
      <c r="K61" s="196">
        <v>416.58</v>
      </c>
      <c r="L61" s="196">
        <v>0</v>
      </c>
    </row>
    <row r="62" spans="1:12">
      <c r="A62" s="194" t="s">
        <v>1076</v>
      </c>
      <c r="B62" s="195" t="s">
        <v>940</v>
      </c>
      <c r="C62" s="196">
        <v>0</v>
      </c>
      <c r="D62" s="196">
        <v>0</v>
      </c>
      <c r="E62" s="196">
        <v>70.239999999999995</v>
      </c>
      <c r="F62" s="196">
        <v>0</v>
      </c>
      <c r="G62" s="196">
        <v>7.58</v>
      </c>
      <c r="H62" s="196">
        <v>0</v>
      </c>
      <c r="I62" s="196">
        <v>77.819999999999993</v>
      </c>
      <c r="J62" s="196">
        <v>0</v>
      </c>
      <c r="K62" s="196">
        <v>77.819999999999993</v>
      </c>
      <c r="L62" s="196">
        <v>0</v>
      </c>
    </row>
    <row r="63" spans="1:12">
      <c r="A63" s="194" t="s">
        <v>1077</v>
      </c>
      <c r="B63" s="195" t="s">
        <v>1078</v>
      </c>
      <c r="C63" s="196">
        <v>0</v>
      </c>
      <c r="D63" s="196">
        <v>0</v>
      </c>
      <c r="E63" s="196">
        <v>1.72</v>
      </c>
      <c r="F63" s="196">
        <v>0</v>
      </c>
      <c r="G63" s="196">
        <v>0.09</v>
      </c>
      <c r="H63" s="196">
        <v>0</v>
      </c>
      <c r="I63" s="196">
        <v>1.81</v>
      </c>
      <c r="J63" s="196">
        <v>0</v>
      </c>
      <c r="K63" s="196">
        <v>1.81</v>
      </c>
      <c r="L63" s="196">
        <v>0</v>
      </c>
    </row>
    <row r="64" spans="1:12">
      <c r="A64" s="194" t="s">
        <v>1079</v>
      </c>
      <c r="B64" s="195" t="s">
        <v>946</v>
      </c>
      <c r="C64" s="196">
        <v>0</v>
      </c>
      <c r="D64" s="196">
        <v>0</v>
      </c>
      <c r="E64" s="196">
        <v>0</v>
      </c>
      <c r="F64" s="196">
        <v>0</v>
      </c>
      <c r="G64" s="196">
        <v>0</v>
      </c>
      <c r="H64" s="196">
        <v>53498.82</v>
      </c>
      <c r="I64" s="196">
        <v>0</v>
      </c>
      <c r="J64" s="196">
        <v>53498.82</v>
      </c>
      <c r="K64" s="196">
        <v>-53498.82</v>
      </c>
      <c r="L64" s="196">
        <v>0</v>
      </c>
    </row>
    <row r="65" spans="1:12">
      <c r="A65" s="194" t="s">
        <v>1080</v>
      </c>
      <c r="B65" s="195" t="s">
        <v>1081</v>
      </c>
      <c r="C65" s="196">
        <v>0</v>
      </c>
      <c r="D65" s="196">
        <v>0</v>
      </c>
      <c r="E65" s="196">
        <v>0</v>
      </c>
      <c r="F65" s="196">
        <v>231492.6</v>
      </c>
      <c r="G65" s="196">
        <v>0</v>
      </c>
      <c r="H65" s="196">
        <v>22053.97</v>
      </c>
      <c r="I65" s="196">
        <v>0</v>
      </c>
      <c r="J65" s="196">
        <v>253546.57</v>
      </c>
      <c r="K65" s="196">
        <v>0</v>
      </c>
      <c r="L65" s="196">
        <v>253546.57</v>
      </c>
    </row>
    <row r="66" spans="1:12">
      <c r="A66" s="194" t="s">
        <v>1082</v>
      </c>
      <c r="B66" s="195" t="s">
        <v>1083</v>
      </c>
      <c r="C66" s="196">
        <v>0</v>
      </c>
      <c r="D66" s="196">
        <v>0</v>
      </c>
      <c r="E66" s="196">
        <v>0</v>
      </c>
      <c r="F66" s="196">
        <v>856520.46</v>
      </c>
      <c r="G66" s="196">
        <v>0</v>
      </c>
      <c r="H66" s="196">
        <v>183307.7</v>
      </c>
      <c r="I66" s="196">
        <v>0</v>
      </c>
      <c r="J66" s="196">
        <v>1039828.16</v>
      </c>
      <c r="K66" s="196">
        <v>0</v>
      </c>
      <c r="L66" s="196">
        <v>1039828.16</v>
      </c>
    </row>
    <row r="67" spans="1:12">
      <c r="A67" s="194" t="s">
        <v>1084</v>
      </c>
      <c r="B67" s="195" t="s">
        <v>980</v>
      </c>
      <c r="C67" s="196">
        <v>0</v>
      </c>
      <c r="D67" s="196">
        <v>0</v>
      </c>
      <c r="E67" s="196">
        <v>0</v>
      </c>
      <c r="F67" s="196">
        <v>0</v>
      </c>
      <c r="G67" s="196">
        <v>0</v>
      </c>
      <c r="H67" s="196">
        <v>27742.69</v>
      </c>
      <c r="I67" s="196">
        <v>0</v>
      </c>
      <c r="J67" s="196">
        <v>27742.69</v>
      </c>
      <c r="K67" s="196">
        <v>0</v>
      </c>
      <c r="L67" s="196">
        <v>27742.69</v>
      </c>
    </row>
    <row r="68" spans="1:12">
      <c r="A68" s="194" t="s">
        <v>1085</v>
      </c>
      <c r="B68" s="195" t="s">
        <v>982</v>
      </c>
      <c r="C68" s="196">
        <v>0</v>
      </c>
      <c r="D68" s="196">
        <v>0</v>
      </c>
      <c r="E68" s="196">
        <v>0</v>
      </c>
      <c r="F68" s="196">
        <v>0.02</v>
      </c>
      <c r="G68" s="196">
        <v>0</v>
      </c>
      <c r="H68" s="196">
        <v>7.0000000000000007E-2</v>
      </c>
      <c r="I68" s="196">
        <v>0</v>
      </c>
      <c r="J68" s="196">
        <v>0.09</v>
      </c>
      <c r="K68" s="196">
        <v>0</v>
      </c>
      <c r="L68" s="196">
        <v>0.09</v>
      </c>
    </row>
    <row r="69" spans="1:12">
      <c r="A69" s="194" t="s">
        <v>1086</v>
      </c>
      <c r="B69" s="195" t="s">
        <v>986</v>
      </c>
      <c r="C69" s="196">
        <v>0</v>
      </c>
      <c r="D69" s="196">
        <v>0</v>
      </c>
      <c r="E69" s="196">
        <v>0</v>
      </c>
      <c r="F69" s="196">
        <v>9.36</v>
      </c>
      <c r="G69" s="196">
        <v>0</v>
      </c>
      <c r="H69" s="196">
        <v>0.48</v>
      </c>
      <c r="I69" s="196">
        <v>0</v>
      </c>
      <c r="J69" s="196">
        <v>9.84</v>
      </c>
      <c r="K69" s="196">
        <v>0</v>
      </c>
      <c r="L69" s="196">
        <v>9.84</v>
      </c>
    </row>
    <row r="70" spans="1:12">
      <c r="A70" s="194" t="s">
        <v>1087</v>
      </c>
      <c r="B70" s="195" t="s">
        <v>988</v>
      </c>
      <c r="C70" s="196">
        <v>0</v>
      </c>
      <c r="D70" s="196">
        <v>0</v>
      </c>
      <c r="E70" s="196">
        <v>0</v>
      </c>
      <c r="F70" s="196">
        <v>13.13</v>
      </c>
      <c r="G70" s="196">
        <v>0</v>
      </c>
      <c r="H70" s="196">
        <v>6.99</v>
      </c>
      <c r="I70" s="196">
        <v>0</v>
      </c>
      <c r="J70" s="196">
        <v>20.12</v>
      </c>
      <c r="K70" s="196">
        <v>0</v>
      </c>
      <c r="L70" s="196">
        <v>20.12</v>
      </c>
    </row>
    <row r="71" spans="1:12">
      <c r="A71" s="194" t="s">
        <v>1088</v>
      </c>
      <c r="B71" s="195" t="s">
        <v>992</v>
      </c>
      <c r="C71" s="196">
        <v>0</v>
      </c>
      <c r="D71" s="196">
        <v>0</v>
      </c>
      <c r="E71" s="196">
        <v>0</v>
      </c>
      <c r="F71" s="196">
        <v>1.1399999999999999</v>
      </c>
      <c r="G71" s="196">
        <v>0</v>
      </c>
      <c r="H71" s="196">
        <v>150.22</v>
      </c>
      <c r="I71" s="196">
        <v>0</v>
      </c>
      <c r="J71" s="196">
        <v>151.36000000000001</v>
      </c>
      <c r="K71" s="196">
        <v>0</v>
      </c>
      <c r="L71" s="196">
        <v>151.36000000000001</v>
      </c>
    </row>
    <row r="72" spans="1:12">
      <c r="A72" s="194"/>
      <c r="B72" s="195"/>
      <c r="C72" s="196"/>
      <c r="D72" s="196"/>
      <c r="E72" s="196"/>
      <c r="F72" s="196"/>
      <c r="G72" s="196"/>
      <c r="H72" s="196"/>
      <c r="I72" s="196"/>
      <c r="J72" s="196"/>
      <c r="K72" s="196"/>
      <c r="L72" s="196"/>
    </row>
    <row r="73" spans="1:12">
      <c r="A73" s="194"/>
      <c r="B73" s="195"/>
      <c r="C73" s="196"/>
      <c r="D73" s="196"/>
      <c r="E73" s="196"/>
      <c r="F73" s="196"/>
      <c r="G73" s="196"/>
      <c r="H73" s="196"/>
      <c r="I73" s="196"/>
      <c r="J73" s="196"/>
      <c r="K73" s="196"/>
      <c r="L73" s="196"/>
    </row>
    <row r="74" spans="1:12">
      <c r="A74" s="194"/>
      <c r="B74" s="195"/>
      <c r="C74" s="196"/>
      <c r="D74" s="196"/>
      <c r="E74" s="196"/>
      <c r="F74" s="196"/>
      <c r="G74" s="196"/>
      <c r="H74" s="196"/>
      <c r="I74" s="196"/>
      <c r="J74" s="196"/>
      <c r="K74" s="196"/>
      <c r="L74" s="196"/>
    </row>
    <row r="75" spans="1:12">
      <c r="A75" s="194"/>
      <c r="B75" s="195"/>
      <c r="C75" s="196"/>
      <c r="D75" s="196"/>
      <c r="E75" s="196"/>
      <c r="F75" s="196"/>
      <c r="G75" s="196"/>
      <c r="H75" s="196"/>
      <c r="I75" s="196"/>
      <c r="J75" s="196"/>
      <c r="K75" s="196"/>
      <c r="L75" s="196"/>
    </row>
    <row r="76" spans="1:12">
      <c r="A76" s="194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</row>
    <row r="77" spans="1:12">
      <c r="A77" s="194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</row>
    <row r="78" spans="1:12">
      <c r="A78" s="194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</row>
    <row r="79" spans="1:12">
      <c r="A79" s="194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</row>
    <row r="80" spans="1:12">
      <c r="A80" s="194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</row>
    <row r="81" spans="1:12">
      <c r="A81" s="194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</row>
    <row r="82" spans="1:12">
      <c r="A82" s="194"/>
      <c r="B82" s="195"/>
      <c r="C82" s="196"/>
      <c r="D82" s="196"/>
      <c r="E82" s="196"/>
      <c r="F82" s="196"/>
      <c r="G82" s="196"/>
      <c r="H82" s="196"/>
      <c r="I82" s="196"/>
      <c r="J82" s="196"/>
      <c r="K82" s="196"/>
      <c r="L82" s="196"/>
    </row>
    <row r="83" spans="1:12">
      <c r="A83" s="194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</row>
    <row r="84" spans="1:12">
      <c r="A84" s="194"/>
      <c r="B84" s="195"/>
      <c r="C84" s="196"/>
      <c r="D84" s="196"/>
      <c r="E84" s="196"/>
      <c r="F84" s="196"/>
      <c r="G84" s="196"/>
      <c r="H84" s="196"/>
      <c r="I84" s="196"/>
      <c r="J84" s="196"/>
      <c r="K84" s="196"/>
      <c r="L84" s="196"/>
    </row>
    <row r="85" spans="1:12">
      <c r="A85" s="194"/>
      <c r="B85" s="195"/>
      <c r="C85" s="196"/>
      <c r="D85" s="196"/>
      <c r="E85" s="196"/>
      <c r="F85" s="196"/>
      <c r="G85" s="196"/>
      <c r="H85" s="196"/>
      <c r="I85" s="196"/>
      <c r="J85" s="196"/>
      <c r="K85" s="196"/>
      <c r="L85" s="196"/>
    </row>
    <row r="86" spans="1:12">
      <c r="A86" s="194"/>
      <c r="B86" s="195"/>
      <c r="C86" s="196"/>
      <c r="D86" s="196"/>
      <c r="E86" s="196"/>
      <c r="F86" s="196"/>
      <c r="G86" s="196"/>
      <c r="H86" s="196"/>
      <c r="I86" s="196"/>
      <c r="J86" s="196"/>
      <c r="K86" s="196"/>
      <c r="L86" s="196"/>
    </row>
    <row r="87" spans="1:12">
      <c r="A87" s="194"/>
      <c r="B87" s="195"/>
      <c r="C87" s="196"/>
      <c r="D87" s="196"/>
      <c r="E87" s="196"/>
      <c r="F87" s="196"/>
      <c r="G87" s="196"/>
      <c r="H87" s="196"/>
      <c r="I87" s="196"/>
      <c r="J87" s="196"/>
      <c r="K87" s="196"/>
      <c r="L87" s="196"/>
    </row>
    <row r="88" spans="1:12">
      <c r="A88" s="194"/>
      <c r="B88" s="195"/>
      <c r="C88" s="196"/>
      <c r="D88" s="196"/>
      <c r="E88" s="196"/>
      <c r="F88" s="196"/>
      <c r="G88" s="196"/>
      <c r="H88" s="196"/>
      <c r="I88" s="196"/>
      <c r="J88" s="196"/>
      <c r="K88" s="196"/>
      <c r="L88" s="196"/>
    </row>
    <row r="89" spans="1:12">
      <c r="A89" s="194"/>
      <c r="B89" s="195"/>
      <c r="C89" s="196"/>
      <c r="D89" s="196"/>
      <c r="E89" s="196"/>
      <c r="F89" s="196"/>
      <c r="G89" s="196"/>
      <c r="H89" s="196"/>
      <c r="I89" s="196"/>
      <c r="J89" s="196"/>
      <c r="K89" s="196"/>
      <c r="L89" s="196"/>
    </row>
    <row r="90" spans="1:12">
      <c r="A90" s="194"/>
      <c r="B90" s="195"/>
      <c r="C90" s="196"/>
      <c r="D90" s="196"/>
      <c r="E90" s="196"/>
      <c r="F90" s="196"/>
      <c r="G90" s="196"/>
      <c r="H90" s="196"/>
      <c r="I90" s="196"/>
      <c r="J90" s="196"/>
      <c r="K90" s="196"/>
      <c r="L90" s="196"/>
    </row>
    <row r="91" spans="1:12">
      <c r="A91" s="194"/>
      <c r="B91" s="195"/>
      <c r="C91" s="196"/>
      <c r="D91" s="196"/>
      <c r="E91" s="196"/>
      <c r="F91" s="196"/>
      <c r="G91" s="196"/>
      <c r="H91" s="196"/>
      <c r="I91" s="196"/>
      <c r="J91" s="196"/>
      <c r="K91" s="196"/>
      <c r="L91" s="196"/>
    </row>
    <row r="92" spans="1:12">
      <c r="A92" s="194"/>
      <c r="B92" s="195"/>
      <c r="C92" s="196"/>
      <c r="D92" s="196"/>
      <c r="E92" s="196"/>
      <c r="F92" s="196"/>
      <c r="G92" s="196"/>
      <c r="H92" s="196"/>
      <c r="I92" s="196"/>
      <c r="J92" s="196"/>
      <c r="K92" s="196"/>
      <c r="L92" s="196"/>
    </row>
    <row r="93" spans="1:12">
      <c r="A93" s="194"/>
      <c r="B93" s="195"/>
      <c r="C93" s="196"/>
      <c r="D93" s="196"/>
      <c r="E93" s="196"/>
      <c r="F93" s="196"/>
      <c r="G93" s="196"/>
      <c r="H93" s="196"/>
      <c r="I93" s="196"/>
      <c r="J93" s="196"/>
      <c r="K93" s="196"/>
      <c r="L93" s="196"/>
    </row>
    <row r="94" spans="1:12">
      <c r="A94" s="194"/>
      <c r="B94" s="195"/>
      <c r="C94" s="196"/>
      <c r="D94" s="196"/>
      <c r="E94" s="196"/>
      <c r="F94" s="196"/>
      <c r="G94" s="196"/>
      <c r="H94" s="196"/>
      <c r="I94" s="196"/>
      <c r="J94" s="196"/>
      <c r="K94" s="196"/>
      <c r="L94" s="196"/>
    </row>
    <row r="95" spans="1:12">
      <c r="A95" s="194"/>
      <c r="B95" s="195"/>
      <c r="C95" s="196"/>
      <c r="D95" s="196"/>
      <c r="E95" s="196"/>
      <c r="F95" s="196"/>
      <c r="G95" s="196"/>
      <c r="H95" s="196"/>
      <c r="I95" s="196"/>
      <c r="J95" s="196"/>
      <c r="K95" s="196"/>
      <c r="L95" s="196"/>
    </row>
    <row r="96" spans="1:12">
      <c r="A96" s="194"/>
      <c r="B96" s="195"/>
      <c r="C96" s="196"/>
      <c r="D96" s="196"/>
      <c r="E96" s="196"/>
      <c r="F96" s="196"/>
      <c r="G96" s="196"/>
      <c r="H96" s="196"/>
      <c r="I96" s="196"/>
      <c r="J96" s="196"/>
      <c r="K96" s="196"/>
      <c r="L96" s="196"/>
    </row>
    <row r="97" spans="1:12">
      <c r="A97" s="194"/>
      <c r="B97" s="195"/>
      <c r="C97" s="196"/>
      <c r="D97" s="196"/>
      <c r="E97" s="196"/>
      <c r="F97" s="196"/>
      <c r="G97" s="196"/>
      <c r="H97" s="196"/>
      <c r="I97" s="196"/>
      <c r="J97" s="196"/>
      <c r="K97" s="196"/>
      <c r="L97" s="196"/>
    </row>
    <row r="98" spans="1:12">
      <c r="A98" s="194"/>
      <c r="B98" s="195"/>
      <c r="C98" s="196"/>
      <c r="D98" s="196"/>
      <c r="E98" s="196"/>
      <c r="F98" s="196"/>
      <c r="G98" s="196"/>
      <c r="H98" s="196"/>
      <c r="I98" s="196"/>
      <c r="J98" s="196"/>
      <c r="K98" s="196"/>
      <c r="L98" s="196"/>
    </row>
    <row r="99" spans="1:12">
      <c r="A99" s="194"/>
      <c r="B99" s="195"/>
      <c r="C99" s="196"/>
      <c r="D99" s="196"/>
      <c r="E99" s="196"/>
      <c r="F99" s="196"/>
      <c r="G99" s="196"/>
      <c r="H99" s="196"/>
      <c r="I99" s="196"/>
      <c r="J99" s="196"/>
      <c r="K99" s="196"/>
      <c r="L99" s="196"/>
    </row>
    <row r="100" spans="1:12">
      <c r="A100" s="194"/>
      <c r="B100" s="195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</row>
    <row r="101" spans="1:12">
      <c r="A101" s="194"/>
      <c r="B101" s="195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</row>
    <row r="102" spans="1:12">
      <c r="A102" s="194"/>
      <c r="B102" s="195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</row>
    <row r="103" spans="1:12">
      <c r="A103" s="194"/>
      <c r="B103" s="195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</row>
    <row r="104" spans="1:12">
      <c r="A104" s="194"/>
      <c r="B104" s="195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</row>
    <row r="105" spans="1:12">
      <c r="A105" s="194"/>
      <c r="B105" s="195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</row>
    <row r="106" spans="1:12">
      <c r="A106" s="194"/>
      <c r="B106" s="195"/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</row>
    <row r="107" spans="1:12">
      <c r="A107" s="194"/>
      <c r="B107" s="195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</row>
    <row r="108" spans="1:12">
      <c r="A108" s="194"/>
      <c r="B108" s="195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</row>
    <row r="109" spans="1:12">
      <c r="A109" s="194"/>
      <c r="B109" s="195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</row>
    <row r="110" spans="1:12">
      <c r="A110" s="194"/>
      <c r="B110" s="195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</row>
    <row r="111" spans="1:12">
      <c r="A111" s="194"/>
      <c r="B111" s="195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</row>
    <row r="112" spans="1:12">
      <c r="A112" s="194"/>
      <c r="B112" s="195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</row>
    <row r="113" spans="1:12">
      <c r="A113" s="194"/>
      <c r="B113" s="195"/>
      <c r="C113" s="196"/>
      <c r="D113" s="196"/>
      <c r="E113" s="196"/>
      <c r="F113" s="196"/>
      <c r="G113" s="196"/>
      <c r="H113" s="196"/>
      <c r="I113" s="196"/>
      <c r="J113" s="196"/>
      <c r="K113" s="196"/>
      <c r="L113" s="196"/>
    </row>
    <row r="114" spans="1:12">
      <c r="A114" s="194"/>
      <c r="B114" s="195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</row>
    <row r="115" spans="1:12">
      <c r="A115" s="194"/>
      <c r="B115" s="195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</row>
    <row r="116" spans="1:12">
      <c r="A116" s="194"/>
      <c r="B116" s="195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</row>
    <row r="117" spans="1:12">
      <c r="A117" s="194"/>
      <c r="B117" s="195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</row>
    <row r="118" spans="1:12">
      <c r="A118" s="194"/>
      <c r="B118" s="195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</row>
    <row r="119" spans="1:12">
      <c r="A119" s="194"/>
      <c r="B119" s="195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</row>
    <row r="120" spans="1:12">
      <c r="A120" s="194"/>
      <c r="B120" s="195"/>
      <c r="C120" s="196"/>
      <c r="D120" s="196"/>
      <c r="E120" s="196"/>
      <c r="F120" s="196"/>
      <c r="G120" s="196"/>
      <c r="H120" s="196"/>
      <c r="I120" s="196"/>
      <c r="J120" s="196"/>
      <c r="K120" s="196"/>
      <c r="L120" s="196"/>
    </row>
    <row r="121" spans="1:12">
      <c r="A121" s="194"/>
      <c r="B121" s="195"/>
      <c r="C121" s="196"/>
      <c r="D121" s="196"/>
      <c r="E121" s="196"/>
      <c r="F121" s="196"/>
      <c r="G121" s="196"/>
      <c r="H121" s="196"/>
      <c r="I121" s="196"/>
      <c r="J121" s="196"/>
      <c r="K121" s="196"/>
      <c r="L121" s="196"/>
    </row>
    <row r="122" spans="1:12">
      <c r="A122" s="194"/>
      <c r="B122" s="195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</row>
    <row r="123" spans="1:12">
      <c r="A123" s="194"/>
      <c r="B123" s="195"/>
      <c r="C123" s="196"/>
      <c r="D123" s="196"/>
      <c r="E123" s="196"/>
      <c r="F123" s="196"/>
      <c r="G123" s="196"/>
      <c r="H123" s="196"/>
      <c r="I123" s="196"/>
      <c r="J123" s="196"/>
      <c r="K123" s="196"/>
      <c r="L123" s="196"/>
    </row>
    <row r="124" spans="1:12">
      <c r="A124" s="194"/>
      <c r="B124" s="195"/>
      <c r="C124" s="196"/>
      <c r="D124" s="196"/>
      <c r="E124" s="196"/>
      <c r="F124" s="196"/>
      <c r="G124" s="196"/>
      <c r="H124" s="196"/>
      <c r="I124" s="196"/>
      <c r="J124" s="196"/>
      <c r="K124" s="196"/>
      <c r="L124" s="19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B5"/>
  <sheetViews>
    <sheetView showGridLines="0" zoomScaleNormal="100" workbookViewId="0">
      <selection activeCell="B14" sqref="B14"/>
    </sheetView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1" t="s">
        <v>35</v>
      </c>
    </row>
    <row r="2" spans="1:2" ht="21" customHeight="1" thickTop="1" thickBot="1">
      <c r="A2" s="10" t="s">
        <v>20</v>
      </c>
      <c r="B2" s="11" t="s">
        <v>36</v>
      </c>
    </row>
    <row r="3" spans="1:2" ht="23.25" customHeight="1" thickTop="1" thickBot="1">
      <c r="A3" s="12" t="s">
        <v>37</v>
      </c>
      <c r="B3" s="13"/>
    </row>
    <row r="4" spans="1:2" ht="23.25" customHeight="1" thickBot="1">
      <c r="A4" s="16" t="s">
        <v>38</v>
      </c>
      <c r="B4" s="17"/>
    </row>
    <row r="5" spans="1:2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>
  <sheetPr>
    <tabColor rgb="FF0070C0"/>
  </sheetPr>
  <dimension ref="A1:G62"/>
  <sheetViews>
    <sheetView workbookViewId="0">
      <selection activeCell="B23" sqref="B23"/>
    </sheetView>
  </sheetViews>
  <sheetFormatPr defaultRowHeight="15"/>
  <cols>
    <col min="1" max="1" width="8.28515625" style="200" bestFit="1" customWidth="1"/>
    <col min="2" max="2" width="86.140625" style="200" bestFit="1" customWidth="1"/>
    <col min="3" max="3" width="4.42578125" style="201" bestFit="1" customWidth="1"/>
    <col min="4" max="7" width="15.28515625" style="202" bestFit="1" customWidth="1"/>
    <col min="8" max="16384" width="9.140625" style="193"/>
  </cols>
  <sheetData>
    <row r="1" spans="1:7" ht="33.75">
      <c r="A1" s="204" t="s">
        <v>503</v>
      </c>
      <c r="B1" s="204" t="s">
        <v>511</v>
      </c>
      <c r="C1" s="203" t="s">
        <v>526</v>
      </c>
      <c r="D1" s="205" t="s">
        <v>527</v>
      </c>
      <c r="E1" s="205" t="s">
        <v>528</v>
      </c>
      <c r="F1" s="205" t="s">
        <v>510</v>
      </c>
      <c r="G1" s="205" t="s">
        <v>508</v>
      </c>
    </row>
    <row r="2" spans="1:7">
      <c r="A2" s="195" t="s">
        <v>1089</v>
      </c>
      <c r="B2" s="195" t="s">
        <v>1090</v>
      </c>
      <c r="C2" s="194" t="s">
        <v>1091</v>
      </c>
      <c r="D2" s="196">
        <v>1290921.6000000001</v>
      </c>
      <c r="E2" s="196">
        <v>0</v>
      </c>
      <c r="F2" s="196">
        <v>1290922</v>
      </c>
      <c r="G2" s="196">
        <v>0</v>
      </c>
    </row>
    <row r="3" spans="1:7">
      <c r="A3" s="195" t="s">
        <v>1092</v>
      </c>
      <c r="B3" s="195" t="s">
        <v>1093</v>
      </c>
      <c r="C3" s="194" t="s">
        <v>1094</v>
      </c>
      <c r="D3" s="196">
        <v>1054556.8400000001</v>
      </c>
      <c r="E3" s="196">
        <v>0</v>
      </c>
      <c r="F3" s="196">
        <v>1054557</v>
      </c>
      <c r="G3" s="196">
        <v>0</v>
      </c>
    </row>
    <row r="4" spans="1:7">
      <c r="A4" s="195" t="s">
        <v>1095</v>
      </c>
      <c r="B4" s="195" t="s">
        <v>1096</v>
      </c>
      <c r="C4" s="194" t="s">
        <v>1097</v>
      </c>
      <c r="D4" s="196">
        <v>236364.76</v>
      </c>
      <c r="E4" s="196">
        <v>0</v>
      </c>
      <c r="F4" s="196">
        <v>236365</v>
      </c>
      <c r="G4" s="196">
        <v>0</v>
      </c>
    </row>
    <row r="5" spans="1:7">
      <c r="A5" s="195" t="s">
        <v>1098</v>
      </c>
      <c r="B5" s="195" t="s">
        <v>1099</v>
      </c>
      <c r="C5" s="194" t="s">
        <v>1100</v>
      </c>
      <c r="D5" s="196">
        <v>331205.39</v>
      </c>
      <c r="E5" s="196">
        <v>0</v>
      </c>
      <c r="F5" s="196">
        <v>331205</v>
      </c>
      <c r="G5" s="196">
        <v>0</v>
      </c>
    </row>
    <row r="6" spans="1:7">
      <c r="A6" s="195" t="s">
        <v>1101</v>
      </c>
      <c r="B6" s="195" t="s">
        <v>1102</v>
      </c>
      <c r="C6" s="194" t="s">
        <v>1103</v>
      </c>
      <c r="D6" s="196">
        <v>331205.39</v>
      </c>
      <c r="E6" s="196">
        <v>0</v>
      </c>
      <c r="F6" s="196">
        <v>331205</v>
      </c>
      <c r="G6" s="196">
        <v>0</v>
      </c>
    </row>
    <row r="7" spans="1:7">
      <c r="A7" s="195">
        <v>2</v>
      </c>
      <c r="B7" s="195" t="s">
        <v>1104</v>
      </c>
      <c r="C7" s="194" t="s">
        <v>1105</v>
      </c>
      <c r="D7" s="196">
        <v>0</v>
      </c>
      <c r="E7" s="196">
        <v>0</v>
      </c>
      <c r="F7" s="196">
        <v>0</v>
      </c>
      <c r="G7" s="196">
        <v>0</v>
      </c>
    </row>
    <row r="8" spans="1:7">
      <c r="A8" s="195">
        <v>3</v>
      </c>
      <c r="B8" s="195" t="s">
        <v>1106</v>
      </c>
      <c r="C8" s="194" t="s">
        <v>1107</v>
      </c>
      <c r="D8" s="196">
        <v>0</v>
      </c>
      <c r="E8" s="196">
        <v>0</v>
      </c>
      <c r="F8" s="196">
        <v>0</v>
      </c>
      <c r="G8" s="196">
        <v>0</v>
      </c>
    </row>
    <row r="9" spans="1:7">
      <c r="A9" s="195" t="s">
        <v>1108</v>
      </c>
      <c r="B9" s="195" t="s">
        <v>1109</v>
      </c>
      <c r="C9" s="194" t="s">
        <v>1110</v>
      </c>
      <c r="D9" s="196">
        <v>313886.05</v>
      </c>
      <c r="E9" s="196">
        <v>0</v>
      </c>
      <c r="F9" s="196">
        <v>313885</v>
      </c>
      <c r="G9" s="196">
        <v>0</v>
      </c>
    </row>
    <row r="10" spans="1:7">
      <c r="A10" s="195" t="s">
        <v>1111</v>
      </c>
      <c r="B10" s="195" t="s">
        <v>1112</v>
      </c>
      <c r="C10" s="194" t="s">
        <v>1113</v>
      </c>
      <c r="D10" s="196">
        <v>54138.3</v>
      </c>
      <c r="E10" s="196">
        <v>0</v>
      </c>
      <c r="F10" s="196">
        <v>54138</v>
      </c>
      <c r="G10" s="196">
        <v>0</v>
      </c>
    </row>
    <row r="11" spans="1:7">
      <c r="A11" s="195">
        <v>2</v>
      </c>
      <c r="B11" s="195" t="s">
        <v>1114</v>
      </c>
      <c r="C11" s="194" t="s">
        <v>1115</v>
      </c>
      <c r="D11" s="196">
        <v>259747.75</v>
      </c>
      <c r="E11" s="196">
        <v>0</v>
      </c>
      <c r="F11" s="196">
        <v>259747</v>
      </c>
      <c r="G11" s="196">
        <v>0</v>
      </c>
    </row>
    <row r="12" spans="1:7">
      <c r="A12" s="195" t="s">
        <v>1095</v>
      </c>
      <c r="B12" s="195" t="s">
        <v>1116</v>
      </c>
      <c r="C12" s="194" t="s">
        <v>1117</v>
      </c>
      <c r="D12" s="196">
        <v>253684.1</v>
      </c>
      <c r="E12" s="196">
        <v>0</v>
      </c>
      <c r="F12" s="196">
        <v>253685</v>
      </c>
      <c r="G12" s="196">
        <v>0</v>
      </c>
    </row>
    <row r="13" spans="1:7">
      <c r="A13" s="195" t="s">
        <v>1118</v>
      </c>
      <c r="B13" s="195" t="s">
        <v>1119</v>
      </c>
      <c r="C13" s="194" t="s">
        <v>1120</v>
      </c>
      <c r="D13" s="196">
        <v>402942.88</v>
      </c>
      <c r="E13" s="196">
        <v>0</v>
      </c>
      <c r="F13" s="196">
        <v>402943</v>
      </c>
      <c r="G13" s="196">
        <v>0</v>
      </c>
    </row>
    <row r="14" spans="1:7">
      <c r="A14" s="195" t="s">
        <v>1121</v>
      </c>
      <c r="B14" s="195" t="s">
        <v>1122</v>
      </c>
      <c r="C14" s="194" t="s">
        <v>1123</v>
      </c>
      <c r="D14" s="196">
        <v>279431.71999999997</v>
      </c>
      <c r="E14" s="196">
        <v>0</v>
      </c>
      <c r="F14" s="196">
        <v>279432</v>
      </c>
      <c r="G14" s="196">
        <v>0</v>
      </c>
    </row>
    <row r="15" spans="1:7">
      <c r="A15" s="195">
        <v>2</v>
      </c>
      <c r="B15" s="195" t="s">
        <v>1124</v>
      </c>
      <c r="C15" s="194" t="s">
        <v>1125</v>
      </c>
      <c r="D15" s="196">
        <v>0</v>
      </c>
      <c r="E15" s="196">
        <v>0</v>
      </c>
      <c r="F15" s="196">
        <v>0</v>
      </c>
      <c r="G15" s="196">
        <v>0</v>
      </c>
    </row>
    <row r="16" spans="1:7">
      <c r="A16" s="195">
        <v>3</v>
      </c>
      <c r="B16" s="195" t="s">
        <v>1126</v>
      </c>
      <c r="C16" s="194" t="s">
        <v>1127</v>
      </c>
      <c r="D16" s="196">
        <v>105750.85</v>
      </c>
      <c r="E16" s="196">
        <v>0</v>
      </c>
      <c r="F16" s="196">
        <v>105751</v>
      </c>
      <c r="G16" s="196">
        <v>0</v>
      </c>
    </row>
    <row r="17" spans="1:7">
      <c r="A17" s="195">
        <v>4</v>
      </c>
      <c r="B17" s="195" t="s">
        <v>1128</v>
      </c>
      <c r="C17" s="194" t="s">
        <v>1129</v>
      </c>
      <c r="D17" s="196">
        <v>17760.310000000001</v>
      </c>
      <c r="E17" s="196">
        <v>0</v>
      </c>
      <c r="F17" s="196">
        <v>17760</v>
      </c>
      <c r="G17" s="196">
        <v>0</v>
      </c>
    </row>
    <row r="18" spans="1:7">
      <c r="A18" s="195" t="s">
        <v>1130</v>
      </c>
      <c r="B18" s="195" t="s">
        <v>1131</v>
      </c>
      <c r="C18" s="194" t="s">
        <v>1132</v>
      </c>
      <c r="D18" s="196">
        <v>9080.51</v>
      </c>
      <c r="E18" s="196">
        <v>0</v>
      </c>
      <c r="F18" s="196">
        <v>9081</v>
      </c>
      <c r="G18" s="196">
        <v>0</v>
      </c>
    </row>
    <row r="19" spans="1:7">
      <c r="A19" s="195" t="s">
        <v>1133</v>
      </c>
      <c r="B19" s="195" t="s">
        <v>1134</v>
      </c>
      <c r="C19" s="194" t="s">
        <v>1135</v>
      </c>
      <c r="D19" s="196">
        <v>113069.74</v>
      </c>
      <c r="E19" s="196">
        <v>0</v>
      </c>
      <c r="F19" s="196">
        <v>113070</v>
      </c>
      <c r="G19" s="196">
        <v>0</v>
      </c>
    </row>
    <row r="20" spans="1:7">
      <c r="A20" s="195" t="s">
        <v>1136</v>
      </c>
      <c r="B20" s="195" t="s">
        <v>1137</v>
      </c>
      <c r="C20" s="194" t="s">
        <v>1138</v>
      </c>
      <c r="D20" s="196">
        <v>7074.72</v>
      </c>
      <c r="E20" s="196">
        <v>0</v>
      </c>
      <c r="F20" s="196">
        <v>7075</v>
      </c>
      <c r="G20" s="196">
        <v>0</v>
      </c>
    </row>
    <row r="21" spans="1:7">
      <c r="A21" s="195" t="s">
        <v>1139</v>
      </c>
      <c r="B21" s="195" t="s">
        <v>1140</v>
      </c>
      <c r="C21" s="194" t="s">
        <v>1141</v>
      </c>
      <c r="D21" s="196">
        <v>3751.47</v>
      </c>
      <c r="E21" s="196">
        <v>0</v>
      </c>
      <c r="F21" s="196">
        <v>3751</v>
      </c>
      <c r="G21" s="196">
        <v>0</v>
      </c>
    </row>
    <row r="22" spans="1:7">
      <c r="A22" s="195" t="s">
        <v>1142</v>
      </c>
      <c r="B22" s="195" t="s">
        <v>1143</v>
      </c>
      <c r="C22" s="194" t="s">
        <v>1144</v>
      </c>
      <c r="D22" s="196">
        <v>72367.42</v>
      </c>
      <c r="E22" s="196">
        <v>0</v>
      </c>
      <c r="F22" s="196">
        <v>72367</v>
      </c>
      <c r="G22" s="196">
        <v>0</v>
      </c>
    </row>
    <row r="23" spans="1:7">
      <c r="A23" s="195" t="s">
        <v>1145</v>
      </c>
      <c r="B23" s="195" t="s">
        <v>1146</v>
      </c>
      <c r="C23" s="194" t="s">
        <v>1147</v>
      </c>
      <c r="D23" s="196">
        <v>62479.37</v>
      </c>
      <c r="E23" s="196">
        <v>0</v>
      </c>
      <c r="F23" s="196">
        <v>62479</v>
      </c>
      <c r="G23" s="196">
        <v>0</v>
      </c>
    </row>
    <row r="24" spans="1:7">
      <c r="A24" s="195" t="s">
        <v>1148</v>
      </c>
      <c r="B24" s="195" t="s">
        <v>1149</v>
      </c>
      <c r="C24" s="194" t="s">
        <v>1150</v>
      </c>
      <c r="D24" s="196">
        <v>0</v>
      </c>
      <c r="E24" s="196">
        <v>0</v>
      </c>
      <c r="F24" s="196">
        <v>0</v>
      </c>
      <c r="G24" s="196">
        <v>0</v>
      </c>
    </row>
    <row r="25" spans="1:7">
      <c r="A25" s="195" t="s">
        <v>1151</v>
      </c>
      <c r="B25" s="195" t="s">
        <v>1152</v>
      </c>
      <c r="C25" s="194" t="s">
        <v>1153</v>
      </c>
      <c r="D25" s="196">
        <v>0</v>
      </c>
      <c r="E25" s="196">
        <v>0</v>
      </c>
      <c r="F25" s="196">
        <v>0</v>
      </c>
      <c r="G25" s="196">
        <v>0</v>
      </c>
    </row>
    <row r="26" spans="1:7">
      <c r="A26" s="195" t="s">
        <v>1089</v>
      </c>
      <c r="B26" s="195" t="s">
        <v>1154</v>
      </c>
      <c r="C26" s="194" t="s">
        <v>1155</v>
      </c>
      <c r="D26" s="196">
        <v>0</v>
      </c>
      <c r="E26" s="196">
        <v>0</v>
      </c>
      <c r="F26" s="196">
        <v>0</v>
      </c>
      <c r="G26" s="196">
        <v>0</v>
      </c>
    </row>
    <row r="27" spans="1:7">
      <c r="A27" s="195" t="s">
        <v>1156</v>
      </c>
      <c r="B27" s="195" t="s">
        <v>1157</v>
      </c>
      <c r="C27" s="194" t="s">
        <v>1158</v>
      </c>
      <c r="D27" s="196">
        <v>-277973.83</v>
      </c>
      <c r="E27" s="196">
        <v>0</v>
      </c>
      <c r="F27" s="196">
        <v>-277973</v>
      </c>
      <c r="G27" s="196">
        <v>0</v>
      </c>
    </row>
    <row r="28" spans="1:7">
      <c r="A28" s="195" t="s">
        <v>1159</v>
      </c>
      <c r="B28" s="195" t="s">
        <v>1160</v>
      </c>
      <c r="C28" s="194" t="s">
        <v>1161</v>
      </c>
      <c r="D28" s="196">
        <v>0</v>
      </c>
      <c r="E28" s="196">
        <v>0</v>
      </c>
      <c r="F28" s="196">
        <v>0</v>
      </c>
      <c r="G28" s="196">
        <v>0</v>
      </c>
    </row>
    <row r="29" spans="1:7">
      <c r="A29" s="195" t="s">
        <v>1162</v>
      </c>
      <c r="B29" s="195" t="s">
        <v>1163</v>
      </c>
      <c r="C29" s="194" t="s">
        <v>1164</v>
      </c>
      <c r="D29" s="196">
        <v>0</v>
      </c>
      <c r="E29" s="196">
        <v>0</v>
      </c>
      <c r="F29" s="196">
        <v>0</v>
      </c>
      <c r="G29" s="196">
        <v>0</v>
      </c>
    </row>
    <row r="30" spans="1:7">
      <c r="A30" s="195" t="s">
        <v>1165</v>
      </c>
      <c r="B30" s="195" t="s">
        <v>1166</v>
      </c>
      <c r="C30" s="194" t="s">
        <v>1167</v>
      </c>
      <c r="D30" s="196">
        <v>0</v>
      </c>
      <c r="E30" s="196">
        <v>0</v>
      </c>
      <c r="F30" s="196">
        <v>0</v>
      </c>
      <c r="G30" s="196">
        <v>0</v>
      </c>
    </row>
    <row r="31" spans="1:7">
      <c r="A31" s="195" t="s">
        <v>1168</v>
      </c>
      <c r="B31" s="195" t="s">
        <v>1169</v>
      </c>
      <c r="C31" s="194" t="s">
        <v>1170</v>
      </c>
      <c r="D31" s="196">
        <v>0</v>
      </c>
      <c r="E31" s="196">
        <v>0</v>
      </c>
      <c r="F31" s="196">
        <v>0</v>
      </c>
      <c r="G31" s="196">
        <v>0</v>
      </c>
    </row>
    <row r="32" spans="1:7">
      <c r="A32" s="195">
        <v>2</v>
      </c>
      <c r="B32" s="195" t="s">
        <v>1171</v>
      </c>
      <c r="C32" s="194" t="s">
        <v>1172</v>
      </c>
      <c r="D32" s="196">
        <v>0</v>
      </c>
      <c r="E32" s="196">
        <v>0</v>
      </c>
      <c r="F32" s="196">
        <v>0</v>
      </c>
      <c r="G32" s="196">
        <v>0</v>
      </c>
    </row>
    <row r="33" spans="1:7">
      <c r="A33" s="195">
        <v>3</v>
      </c>
      <c r="B33" s="195" t="s">
        <v>1173</v>
      </c>
      <c r="C33" s="194" t="s">
        <v>1174</v>
      </c>
      <c r="D33" s="196">
        <v>0</v>
      </c>
      <c r="E33" s="196">
        <v>0</v>
      </c>
      <c r="F33" s="196">
        <v>0</v>
      </c>
      <c r="G33" s="196">
        <v>0</v>
      </c>
    </row>
    <row r="34" spans="1:7">
      <c r="A34" s="195" t="s">
        <v>1175</v>
      </c>
      <c r="B34" s="195" t="s">
        <v>1176</v>
      </c>
      <c r="C34" s="194" t="s">
        <v>1177</v>
      </c>
      <c r="D34" s="196">
        <v>0</v>
      </c>
      <c r="E34" s="196">
        <v>0</v>
      </c>
      <c r="F34" s="196">
        <v>0</v>
      </c>
      <c r="G34" s="196">
        <v>0</v>
      </c>
    </row>
    <row r="35" spans="1:7">
      <c r="A35" s="195" t="s">
        <v>1178</v>
      </c>
      <c r="B35" s="195" t="s">
        <v>1179</v>
      </c>
      <c r="C35" s="194" t="s">
        <v>1180</v>
      </c>
      <c r="D35" s="196">
        <v>0</v>
      </c>
      <c r="E35" s="196">
        <v>0</v>
      </c>
      <c r="F35" s="196">
        <v>0</v>
      </c>
      <c r="G35" s="196">
        <v>0</v>
      </c>
    </row>
    <row r="36" spans="1:7">
      <c r="A36" s="195" t="s">
        <v>1181</v>
      </c>
      <c r="B36" s="195" t="s">
        <v>1182</v>
      </c>
      <c r="C36" s="194" t="s">
        <v>1183</v>
      </c>
      <c r="D36" s="196">
        <v>0</v>
      </c>
      <c r="E36" s="196">
        <v>0</v>
      </c>
      <c r="F36" s="196">
        <v>0</v>
      </c>
      <c r="G36" s="196">
        <v>0</v>
      </c>
    </row>
    <row r="37" spans="1:7">
      <c r="A37" s="195" t="s">
        <v>1184</v>
      </c>
      <c r="B37" s="195" t="s">
        <v>1185</v>
      </c>
      <c r="C37" s="194" t="s">
        <v>1186</v>
      </c>
      <c r="D37" s="196">
        <v>0</v>
      </c>
      <c r="E37" s="196">
        <v>0</v>
      </c>
      <c r="F37" s="196">
        <v>0</v>
      </c>
      <c r="G37" s="196">
        <v>0</v>
      </c>
    </row>
    <row r="38" spans="1:7">
      <c r="A38" s="195" t="s">
        <v>1187</v>
      </c>
      <c r="B38" s="195" t="s">
        <v>1188</v>
      </c>
      <c r="C38" s="194" t="s">
        <v>1189</v>
      </c>
      <c r="D38" s="196">
        <v>0</v>
      </c>
      <c r="E38" s="196">
        <v>0</v>
      </c>
      <c r="F38" s="196">
        <v>0</v>
      </c>
      <c r="G38" s="196">
        <v>0</v>
      </c>
    </row>
    <row r="39" spans="1:7">
      <c r="A39" s="195" t="s">
        <v>1190</v>
      </c>
      <c r="B39" s="195" t="s">
        <v>1191</v>
      </c>
      <c r="C39" s="194" t="s">
        <v>1192</v>
      </c>
      <c r="D39" s="196">
        <v>4.72</v>
      </c>
      <c r="E39" s="196">
        <v>0</v>
      </c>
      <c r="F39" s="196">
        <v>5</v>
      </c>
      <c r="G39" s="196">
        <v>0</v>
      </c>
    </row>
    <row r="40" spans="1:7">
      <c r="A40" s="195" t="s">
        <v>1193</v>
      </c>
      <c r="B40" s="195" t="s">
        <v>1194</v>
      </c>
      <c r="C40" s="194" t="s">
        <v>1195</v>
      </c>
      <c r="D40" s="196">
        <v>66751.98</v>
      </c>
      <c r="E40" s="196">
        <v>0</v>
      </c>
      <c r="F40" s="196">
        <v>66752</v>
      </c>
      <c r="G40" s="196">
        <v>0</v>
      </c>
    </row>
    <row r="41" spans="1:7">
      <c r="A41" s="195" t="s">
        <v>1196</v>
      </c>
      <c r="B41" s="195" t="s">
        <v>1197</v>
      </c>
      <c r="C41" s="194" t="s">
        <v>1198</v>
      </c>
      <c r="D41" s="196">
        <v>65.319999999999993</v>
      </c>
      <c r="E41" s="196">
        <v>0</v>
      </c>
      <c r="F41" s="196">
        <v>65</v>
      </c>
      <c r="G41" s="196">
        <v>0</v>
      </c>
    </row>
    <row r="42" spans="1:7">
      <c r="A42" s="195" t="s">
        <v>1199</v>
      </c>
      <c r="B42" s="195" t="s">
        <v>1200</v>
      </c>
      <c r="C42" s="194" t="s">
        <v>1201</v>
      </c>
      <c r="D42" s="196">
        <v>2587.71</v>
      </c>
      <c r="E42" s="196">
        <v>0</v>
      </c>
      <c r="F42" s="196">
        <v>2588</v>
      </c>
      <c r="G42" s="196">
        <v>0</v>
      </c>
    </row>
    <row r="43" spans="1:7">
      <c r="A43" s="195" t="s">
        <v>1202</v>
      </c>
      <c r="B43" s="195" t="s">
        <v>1203</v>
      </c>
      <c r="C43" s="194" t="s">
        <v>1204</v>
      </c>
      <c r="D43" s="196">
        <v>490.1</v>
      </c>
      <c r="E43" s="196">
        <v>0</v>
      </c>
      <c r="F43" s="196">
        <v>490</v>
      </c>
      <c r="G43" s="196">
        <v>0</v>
      </c>
    </row>
    <row r="44" spans="1:7">
      <c r="A44" s="195" t="s">
        <v>1205</v>
      </c>
      <c r="B44" s="195" t="s">
        <v>1206</v>
      </c>
      <c r="C44" s="194" t="s">
        <v>1207</v>
      </c>
      <c r="D44" s="196">
        <v>6755.55</v>
      </c>
      <c r="E44" s="196">
        <v>0</v>
      </c>
      <c r="F44" s="196">
        <v>6756</v>
      </c>
      <c r="G44" s="196">
        <v>0</v>
      </c>
    </row>
    <row r="45" spans="1:7">
      <c r="A45" s="195" t="s">
        <v>1208</v>
      </c>
      <c r="B45" s="195" t="s">
        <v>1209</v>
      </c>
      <c r="C45" s="194" t="s">
        <v>1210</v>
      </c>
      <c r="D45" s="196">
        <v>0</v>
      </c>
      <c r="E45" s="196">
        <v>0</v>
      </c>
      <c r="F45" s="196">
        <v>0</v>
      </c>
      <c r="G45" s="196">
        <v>0</v>
      </c>
    </row>
    <row r="46" spans="1:7">
      <c r="A46" s="195" t="s">
        <v>1211</v>
      </c>
      <c r="B46" s="195" t="s">
        <v>1212</v>
      </c>
      <c r="C46" s="194" t="s">
        <v>1213</v>
      </c>
      <c r="D46" s="196">
        <v>0</v>
      </c>
      <c r="E46" s="196">
        <v>0</v>
      </c>
      <c r="F46" s="196">
        <v>0</v>
      </c>
      <c r="G46" s="196">
        <v>0</v>
      </c>
    </row>
    <row r="47" spans="1:7">
      <c r="A47" s="195" t="s">
        <v>1156</v>
      </c>
      <c r="B47" s="195" t="s">
        <v>1214</v>
      </c>
      <c r="C47" s="194" t="s">
        <v>1215</v>
      </c>
      <c r="D47" s="196">
        <v>-75535.100000000006</v>
      </c>
      <c r="E47" s="196">
        <v>0</v>
      </c>
      <c r="F47" s="196">
        <v>-75536</v>
      </c>
      <c r="G47" s="196">
        <v>0</v>
      </c>
    </row>
    <row r="48" spans="1:7">
      <c r="A48" s="195" t="s">
        <v>1216</v>
      </c>
      <c r="B48" s="195" t="s">
        <v>1217</v>
      </c>
      <c r="C48" s="194" t="s">
        <v>1218</v>
      </c>
      <c r="D48" s="196">
        <v>-353508.93</v>
      </c>
      <c r="E48" s="196">
        <v>0</v>
      </c>
      <c r="F48" s="196">
        <v>-353509</v>
      </c>
      <c r="G48" s="196">
        <v>0</v>
      </c>
    </row>
    <row r="49" spans="1:7">
      <c r="A49" s="195" t="s">
        <v>1219</v>
      </c>
      <c r="B49" s="195" t="s">
        <v>1220</v>
      </c>
      <c r="C49" s="194" t="s">
        <v>1221</v>
      </c>
      <c r="D49" s="196">
        <v>-78130.94</v>
      </c>
      <c r="E49" s="196">
        <v>0</v>
      </c>
      <c r="F49" s="196">
        <v>-78131</v>
      </c>
      <c r="G49" s="196">
        <v>0</v>
      </c>
    </row>
    <row r="50" spans="1:7">
      <c r="A50" s="195" t="s">
        <v>1222</v>
      </c>
      <c r="B50" s="195" t="s">
        <v>1223</v>
      </c>
      <c r="C50" s="194" t="s">
        <v>1224</v>
      </c>
      <c r="D50" s="196">
        <v>0</v>
      </c>
      <c r="E50" s="196">
        <v>0</v>
      </c>
      <c r="F50" s="196">
        <v>0</v>
      </c>
      <c r="G50" s="196">
        <v>0</v>
      </c>
    </row>
    <row r="51" spans="1:7">
      <c r="A51" s="195">
        <v>2</v>
      </c>
      <c r="B51" s="195" t="s">
        <v>1225</v>
      </c>
      <c r="C51" s="194" t="s">
        <v>1226</v>
      </c>
      <c r="D51" s="196">
        <v>-78130.94</v>
      </c>
      <c r="E51" s="196">
        <v>0</v>
      </c>
      <c r="F51" s="196">
        <v>-78131</v>
      </c>
      <c r="G51" s="196">
        <v>0</v>
      </c>
    </row>
    <row r="52" spans="1:7">
      <c r="A52" s="195" t="s">
        <v>1216</v>
      </c>
      <c r="B52" s="195" t="s">
        <v>1227</v>
      </c>
      <c r="C52" s="194" t="s">
        <v>1228</v>
      </c>
      <c r="D52" s="196">
        <v>-275377.99</v>
      </c>
      <c r="E52" s="196">
        <v>0</v>
      </c>
      <c r="F52" s="196">
        <v>-275378</v>
      </c>
      <c r="G52" s="196">
        <v>0</v>
      </c>
    </row>
    <row r="53" spans="1:7">
      <c r="A53" s="195" t="s">
        <v>1229</v>
      </c>
      <c r="B53" s="195" t="s">
        <v>1230</v>
      </c>
      <c r="C53" s="194" t="s">
        <v>1231</v>
      </c>
      <c r="D53" s="196">
        <v>0</v>
      </c>
      <c r="E53" s="196">
        <v>0</v>
      </c>
      <c r="F53" s="196">
        <v>0</v>
      </c>
      <c r="G53" s="196">
        <v>0</v>
      </c>
    </row>
    <row r="54" spans="1:7">
      <c r="A54" s="195" t="s">
        <v>1232</v>
      </c>
      <c r="B54" s="195" t="s">
        <v>1233</v>
      </c>
      <c r="C54" s="194" t="s">
        <v>1234</v>
      </c>
      <c r="D54" s="196">
        <v>0</v>
      </c>
      <c r="E54" s="196">
        <v>0</v>
      </c>
      <c r="F54" s="196">
        <v>0</v>
      </c>
      <c r="G54" s="196">
        <v>0</v>
      </c>
    </row>
    <row r="55" spans="1:7">
      <c r="A55" s="195" t="s">
        <v>1156</v>
      </c>
      <c r="B55" s="195" t="s">
        <v>1235</v>
      </c>
      <c r="C55" s="194" t="s">
        <v>1236</v>
      </c>
      <c r="D55" s="196">
        <v>0</v>
      </c>
      <c r="E55" s="196">
        <v>0</v>
      </c>
      <c r="F55" s="196">
        <v>0</v>
      </c>
      <c r="G55" s="196">
        <v>0</v>
      </c>
    </row>
    <row r="56" spans="1:7">
      <c r="A56" s="195" t="s">
        <v>1237</v>
      </c>
      <c r="B56" s="195" t="s">
        <v>1238</v>
      </c>
      <c r="C56" s="194" t="s">
        <v>1239</v>
      </c>
      <c r="D56" s="196">
        <v>0</v>
      </c>
      <c r="E56" s="196">
        <v>0</v>
      </c>
      <c r="F56" s="196">
        <v>0</v>
      </c>
      <c r="G56" s="196">
        <v>0</v>
      </c>
    </row>
    <row r="57" spans="1:7">
      <c r="A57" s="195" t="s">
        <v>1240</v>
      </c>
      <c r="B57" s="195" t="s">
        <v>1241</v>
      </c>
      <c r="C57" s="194" t="s">
        <v>1242</v>
      </c>
      <c r="D57" s="196">
        <v>0</v>
      </c>
      <c r="E57" s="196">
        <v>0</v>
      </c>
      <c r="F57" s="196">
        <v>0</v>
      </c>
      <c r="G57" s="196">
        <v>0</v>
      </c>
    </row>
    <row r="58" spans="1:7">
      <c r="A58" s="195">
        <v>2</v>
      </c>
      <c r="B58" s="195" t="s">
        <v>1243</v>
      </c>
      <c r="C58" s="194" t="s">
        <v>1244</v>
      </c>
      <c r="D58" s="196">
        <v>0</v>
      </c>
      <c r="E58" s="196">
        <v>0</v>
      </c>
      <c r="F58" s="196">
        <v>0</v>
      </c>
      <c r="G58" s="196">
        <v>0</v>
      </c>
    </row>
    <row r="59" spans="1:7">
      <c r="A59" s="195" t="s">
        <v>1156</v>
      </c>
      <c r="B59" s="195" t="s">
        <v>1245</v>
      </c>
      <c r="C59" s="194" t="s">
        <v>1246</v>
      </c>
      <c r="D59" s="196">
        <v>0</v>
      </c>
      <c r="E59" s="196">
        <v>0</v>
      </c>
      <c r="F59" s="196">
        <v>0</v>
      </c>
      <c r="G59" s="196">
        <v>0</v>
      </c>
    </row>
    <row r="60" spans="1:7">
      <c r="A60" s="195" t="s">
        <v>1247</v>
      </c>
      <c r="B60" s="195" t="s">
        <v>1248</v>
      </c>
      <c r="C60" s="194" t="s">
        <v>1249</v>
      </c>
      <c r="D60" s="196">
        <v>-353508.93</v>
      </c>
      <c r="E60" s="196">
        <v>0</v>
      </c>
      <c r="F60" s="196">
        <v>-353509</v>
      </c>
      <c r="G60" s="196">
        <v>0</v>
      </c>
    </row>
    <row r="61" spans="1:7">
      <c r="A61" s="195" t="s">
        <v>1151</v>
      </c>
      <c r="B61" s="195" t="s">
        <v>1250</v>
      </c>
      <c r="C61" s="194" t="s">
        <v>1251</v>
      </c>
      <c r="D61" s="196">
        <v>0</v>
      </c>
      <c r="E61" s="196">
        <v>0</v>
      </c>
      <c r="F61" s="196">
        <v>0</v>
      </c>
      <c r="G61" s="196">
        <v>0</v>
      </c>
    </row>
    <row r="62" spans="1:7">
      <c r="A62" s="195" t="s">
        <v>1247</v>
      </c>
      <c r="B62" s="195" t="s">
        <v>1252</v>
      </c>
      <c r="C62" s="194" t="s">
        <v>1253</v>
      </c>
      <c r="D62" s="196">
        <v>-275377.99</v>
      </c>
      <c r="E62" s="196">
        <v>0</v>
      </c>
      <c r="F62" s="196">
        <v>-275378</v>
      </c>
      <c r="G62" s="196">
        <v>0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sheetPr>
    <tabColor rgb="FF0070C0"/>
  </sheetPr>
  <dimension ref="A1:G62"/>
  <sheetViews>
    <sheetView topLeftCell="A45" workbookViewId="0">
      <selection activeCell="B70" sqref="B70"/>
    </sheetView>
  </sheetViews>
  <sheetFormatPr defaultRowHeight="15"/>
  <cols>
    <col min="1" max="1" width="8.28515625" style="198" bestFit="1" customWidth="1"/>
    <col min="2" max="2" width="86.140625" style="198" bestFit="1" customWidth="1"/>
    <col min="3" max="3" width="4.42578125" style="197" bestFit="1" customWidth="1"/>
    <col min="4" max="7" width="15.28515625" style="199" bestFit="1" customWidth="1"/>
    <col min="8" max="16384" width="9.140625" style="193"/>
  </cols>
  <sheetData>
    <row r="1" spans="1:7" ht="33.75">
      <c r="A1" s="204" t="s">
        <v>503</v>
      </c>
      <c r="B1" s="204" t="s">
        <v>511</v>
      </c>
      <c r="C1" s="203" t="s">
        <v>526</v>
      </c>
      <c r="D1" s="205" t="s">
        <v>527</v>
      </c>
      <c r="E1" s="205" t="s">
        <v>528</v>
      </c>
      <c r="F1" s="205" t="s">
        <v>510</v>
      </c>
      <c r="G1" s="205" t="s">
        <v>508</v>
      </c>
    </row>
    <row r="2" spans="1:7">
      <c r="A2" s="198" t="s">
        <v>1089</v>
      </c>
      <c r="B2" s="198" t="s">
        <v>1090</v>
      </c>
      <c r="C2" s="197" t="s">
        <v>1091</v>
      </c>
      <c r="D2" s="199">
        <v>1039828.16</v>
      </c>
      <c r="E2" s="199">
        <v>0</v>
      </c>
      <c r="F2" s="199">
        <v>1039828</v>
      </c>
      <c r="G2" s="199">
        <v>0</v>
      </c>
    </row>
    <row r="3" spans="1:7">
      <c r="A3" s="198" t="s">
        <v>1092</v>
      </c>
      <c r="B3" s="198" t="s">
        <v>1093</v>
      </c>
      <c r="C3" s="197" t="s">
        <v>1094</v>
      </c>
      <c r="D3" s="196">
        <v>806451.98</v>
      </c>
      <c r="E3" s="196">
        <v>0</v>
      </c>
      <c r="F3" s="196">
        <v>806452</v>
      </c>
      <c r="G3" s="196">
        <v>0</v>
      </c>
    </row>
    <row r="4" spans="1:7">
      <c r="A4" s="198" t="s">
        <v>1095</v>
      </c>
      <c r="B4" s="198" t="s">
        <v>1096</v>
      </c>
      <c r="C4" s="197" t="s">
        <v>1097</v>
      </c>
      <c r="D4" s="199">
        <v>233376.18</v>
      </c>
      <c r="E4" s="199">
        <v>0</v>
      </c>
      <c r="F4" s="199">
        <v>233376</v>
      </c>
      <c r="G4" s="199">
        <v>0</v>
      </c>
    </row>
    <row r="5" spans="1:7">
      <c r="A5" s="198" t="s">
        <v>1098</v>
      </c>
      <c r="B5" s="198" t="s">
        <v>1099</v>
      </c>
      <c r="C5" s="197" t="s">
        <v>1100</v>
      </c>
      <c r="D5" s="199">
        <v>253546.57</v>
      </c>
      <c r="E5" s="199">
        <v>0</v>
      </c>
      <c r="F5" s="199">
        <v>253547</v>
      </c>
      <c r="G5" s="199">
        <v>0</v>
      </c>
    </row>
    <row r="6" spans="1:7">
      <c r="A6" s="198" t="s">
        <v>1101</v>
      </c>
      <c r="B6" s="198" t="s">
        <v>1102</v>
      </c>
      <c r="C6" s="197" t="s">
        <v>1103</v>
      </c>
      <c r="D6" s="199">
        <v>253546.57</v>
      </c>
      <c r="E6" s="199">
        <v>0</v>
      </c>
      <c r="F6" s="199">
        <v>253547</v>
      </c>
      <c r="G6" s="199">
        <v>0</v>
      </c>
    </row>
    <row r="7" spans="1:7">
      <c r="A7" s="198">
        <v>2</v>
      </c>
      <c r="B7" s="198" t="s">
        <v>1104</v>
      </c>
      <c r="C7" s="197" t="s">
        <v>1105</v>
      </c>
      <c r="D7" s="199">
        <v>0</v>
      </c>
      <c r="E7" s="199">
        <v>0</v>
      </c>
      <c r="F7" s="199">
        <v>0</v>
      </c>
      <c r="G7" s="199">
        <v>0</v>
      </c>
    </row>
    <row r="8" spans="1:7">
      <c r="A8" s="198">
        <v>3</v>
      </c>
      <c r="B8" s="198" t="s">
        <v>1106</v>
      </c>
      <c r="C8" s="197" t="s">
        <v>1107</v>
      </c>
      <c r="D8" s="199">
        <v>0</v>
      </c>
      <c r="E8" s="199">
        <v>0</v>
      </c>
      <c r="F8" s="199">
        <v>0</v>
      </c>
      <c r="G8" s="199">
        <v>0</v>
      </c>
    </row>
    <row r="9" spans="1:7">
      <c r="A9" s="198" t="s">
        <v>1108</v>
      </c>
      <c r="B9" s="198" t="s">
        <v>1109</v>
      </c>
      <c r="C9" s="197" t="s">
        <v>1110</v>
      </c>
      <c r="D9" s="199">
        <v>266662.2</v>
      </c>
      <c r="E9" s="199">
        <v>0</v>
      </c>
      <c r="F9" s="199">
        <v>266662</v>
      </c>
      <c r="G9" s="199">
        <v>0</v>
      </c>
    </row>
    <row r="10" spans="1:7">
      <c r="A10" s="198" t="s">
        <v>1111</v>
      </c>
      <c r="B10" s="198" t="s">
        <v>1112</v>
      </c>
      <c r="C10" s="197" t="s">
        <v>1113</v>
      </c>
      <c r="D10" s="199">
        <v>50953.18</v>
      </c>
      <c r="E10" s="199">
        <v>0</v>
      </c>
      <c r="F10" s="199">
        <v>50953</v>
      </c>
      <c r="G10" s="199">
        <v>0</v>
      </c>
    </row>
    <row r="11" spans="1:7">
      <c r="A11" s="198">
        <v>2</v>
      </c>
      <c r="B11" s="198" t="s">
        <v>1114</v>
      </c>
      <c r="C11" s="197" t="s">
        <v>1115</v>
      </c>
      <c r="D11" s="199">
        <v>215709.02</v>
      </c>
      <c r="E11" s="199">
        <v>0</v>
      </c>
      <c r="F11" s="199">
        <v>215709</v>
      </c>
      <c r="G11" s="199">
        <v>0</v>
      </c>
    </row>
    <row r="12" spans="1:7">
      <c r="A12" s="198" t="s">
        <v>1095</v>
      </c>
      <c r="B12" s="198" t="s">
        <v>1116</v>
      </c>
      <c r="C12" s="197" t="s">
        <v>1117</v>
      </c>
      <c r="D12" s="199">
        <v>220260.55</v>
      </c>
      <c r="E12" s="199">
        <v>0</v>
      </c>
      <c r="F12" s="199">
        <v>220261</v>
      </c>
      <c r="G12" s="199">
        <v>0</v>
      </c>
    </row>
    <row r="13" spans="1:7">
      <c r="A13" s="198" t="s">
        <v>1118</v>
      </c>
      <c r="B13" s="198" t="s">
        <v>1119</v>
      </c>
      <c r="C13" s="197" t="s">
        <v>1120</v>
      </c>
      <c r="D13" s="199">
        <v>363976.96000000002</v>
      </c>
      <c r="E13" s="199">
        <v>0</v>
      </c>
      <c r="F13" s="199">
        <v>363977</v>
      </c>
      <c r="G13" s="199">
        <v>0</v>
      </c>
    </row>
    <row r="14" spans="1:7">
      <c r="A14" s="198" t="s">
        <v>1121</v>
      </c>
      <c r="B14" s="198" t="s">
        <v>1122</v>
      </c>
      <c r="C14" s="197" t="s">
        <v>1123</v>
      </c>
      <c r="D14" s="199">
        <v>260679.21</v>
      </c>
      <c r="E14" s="199">
        <v>0</v>
      </c>
      <c r="F14" s="199">
        <v>260679</v>
      </c>
      <c r="G14" s="199">
        <v>0</v>
      </c>
    </row>
    <row r="15" spans="1:7">
      <c r="A15" s="198">
        <v>2</v>
      </c>
      <c r="B15" s="198" t="s">
        <v>1124</v>
      </c>
      <c r="C15" s="197" t="s">
        <v>1125</v>
      </c>
      <c r="D15" s="199">
        <v>0</v>
      </c>
      <c r="E15" s="199">
        <v>0</v>
      </c>
      <c r="F15" s="199">
        <v>0</v>
      </c>
      <c r="G15" s="199">
        <v>0</v>
      </c>
    </row>
    <row r="16" spans="1:7">
      <c r="A16" s="198">
        <v>3</v>
      </c>
      <c r="B16" s="198" t="s">
        <v>1126</v>
      </c>
      <c r="C16" s="197" t="s">
        <v>1127</v>
      </c>
      <c r="D16" s="199">
        <v>93380.01</v>
      </c>
      <c r="E16" s="199">
        <v>0</v>
      </c>
      <c r="F16" s="199">
        <v>93380</v>
      </c>
      <c r="G16" s="199">
        <v>0</v>
      </c>
    </row>
    <row r="17" spans="1:7">
      <c r="A17" s="198">
        <v>4</v>
      </c>
      <c r="B17" s="198" t="s">
        <v>1128</v>
      </c>
      <c r="C17" s="197" t="s">
        <v>1129</v>
      </c>
      <c r="D17" s="199">
        <v>9917.74</v>
      </c>
      <c r="E17" s="199">
        <v>0</v>
      </c>
      <c r="F17" s="199">
        <v>9918</v>
      </c>
      <c r="G17" s="199">
        <v>0</v>
      </c>
    </row>
    <row r="18" spans="1:7">
      <c r="A18" s="198" t="s">
        <v>1130</v>
      </c>
      <c r="B18" s="198" t="s">
        <v>1131</v>
      </c>
      <c r="C18" s="197" t="s">
        <v>1132</v>
      </c>
      <c r="D18" s="199">
        <v>5170.71</v>
      </c>
      <c r="E18" s="199">
        <v>0</v>
      </c>
      <c r="F18" s="199">
        <v>5171</v>
      </c>
      <c r="G18" s="199">
        <v>0</v>
      </c>
    </row>
    <row r="19" spans="1:7">
      <c r="A19" s="198" t="s">
        <v>1133</v>
      </c>
      <c r="B19" s="198" t="s">
        <v>1134</v>
      </c>
      <c r="C19" s="197" t="s">
        <v>1135</v>
      </c>
      <c r="D19" s="199">
        <v>71096.92</v>
      </c>
      <c r="E19" s="199">
        <v>0</v>
      </c>
      <c r="F19" s="199">
        <v>71097</v>
      </c>
      <c r="G19" s="199">
        <v>0</v>
      </c>
    </row>
    <row r="20" spans="1:7">
      <c r="A20" s="198" t="s">
        <v>1136</v>
      </c>
      <c r="B20" s="198" t="s">
        <v>1137</v>
      </c>
      <c r="C20" s="197" t="s">
        <v>1138</v>
      </c>
      <c r="D20" s="199">
        <v>27742.69</v>
      </c>
      <c r="E20" s="199">
        <v>0</v>
      </c>
      <c r="F20" s="199">
        <v>27743</v>
      </c>
      <c r="G20" s="199">
        <v>0</v>
      </c>
    </row>
    <row r="21" spans="1:7">
      <c r="A21" s="198" t="s">
        <v>1139</v>
      </c>
      <c r="B21" s="198" t="s">
        <v>1140</v>
      </c>
      <c r="C21" s="197" t="s">
        <v>1141</v>
      </c>
      <c r="D21" s="199">
        <v>21624.07</v>
      </c>
      <c r="E21" s="199">
        <v>0</v>
      </c>
      <c r="F21" s="199">
        <v>21624</v>
      </c>
      <c r="G21" s="199">
        <v>0</v>
      </c>
    </row>
    <row r="22" spans="1:7">
      <c r="A22" s="198" t="s">
        <v>1142</v>
      </c>
      <c r="B22" s="198" t="s">
        <v>1143</v>
      </c>
      <c r="C22" s="197" t="s">
        <v>1144</v>
      </c>
      <c r="D22" s="199">
        <v>5414.04</v>
      </c>
      <c r="E22" s="199">
        <v>0</v>
      </c>
      <c r="F22" s="199">
        <v>5414</v>
      </c>
      <c r="G22" s="199">
        <v>0</v>
      </c>
    </row>
    <row r="23" spans="1:7">
      <c r="A23" s="198" t="s">
        <v>1145</v>
      </c>
      <c r="B23" s="198" t="s">
        <v>1146</v>
      </c>
      <c r="C23" s="197" t="s">
        <v>1147</v>
      </c>
      <c r="D23" s="199">
        <v>0.09</v>
      </c>
      <c r="E23" s="199">
        <v>0</v>
      </c>
      <c r="F23" s="199">
        <v>0</v>
      </c>
      <c r="G23" s="199">
        <v>0</v>
      </c>
    </row>
    <row r="24" spans="1:7">
      <c r="A24" s="198" t="s">
        <v>1148</v>
      </c>
      <c r="B24" s="198" t="s">
        <v>1149</v>
      </c>
      <c r="C24" s="197" t="s">
        <v>1150</v>
      </c>
      <c r="D24" s="199">
        <v>189.23</v>
      </c>
      <c r="E24" s="199">
        <v>0</v>
      </c>
      <c r="F24" s="199">
        <v>189</v>
      </c>
      <c r="G24" s="199">
        <v>0</v>
      </c>
    </row>
    <row r="25" spans="1:7">
      <c r="A25" s="198" t="s">
        <v>1151</v>
      </c>
      <c r="B25" s="198" t="s">
        <v>1152</v>
      </c>
      <c r="C25" s="197" t="s">
        <v>1153</v>
      </c>
      <c r="D25" s="199">
        <v>0</v>
      </c>
      <c r="E25" s="199">
        <v>0</v>
      </c>
      <c r="F25" s="199">
        <v>0</v>
      </c>
      <c r="G25" s="199">
        <v>0</v>
      </c>
    </row>
    <row r="26" spans="1:7">
      <c r="A26" s="198" t="s">
        <v>1089</v>
      </c>
      <c r="B26" s="198" t="s">
        <v>1154</v>
      </c>
      <c r="C26" s="197" t="s">
        <v>1155</v>
      </c>
      <c r="D26" s="199">
        <v>0</v>
      </c>
      <c r="E26" s="199">
        <v>0</v>
      </c>
      <c r="F26" s="199">
        <v>0</v>
      </c>
      <c r="G26" s="199">
        <v>0</v>
      </c>
    </row>
    <row r="27" spans="1:7">
      <c r="A27" s="198" t="s">
        <v>1156</v>
      </c>
      <c r="B27" s="198" t="s">
        <v>1157</v>
      </c>
      <c r="C27" s="197" t="s">
        <v>1158</v>
      </c>
      <c r="D27" s="199">
        <v>-219468.6</v>
      </c>
      <c r="E27" s="199">
        <v>0</v>
      </c>
      <c r="F27" s="199">
        <v>-219468</v>
      </c>
      <c r="G27" s="199">
        <v>0</v>
      </c>
    </row>
    <row r="28" spans="1:7">
      <c r="A28" s="198" t="s">
        <v>1159</v>
      </c>
      <c r="B28" s="198" t="s">
        <v>1160</v>
      </c>
      <c r="C28" s="197" t="s">
        <v>1161</v>
      </c>
      <c r="D28" s="199">
        <v>0</v>
      </c>
      <c r="E28" s="199">
        <v>0</v>
      </c>
      <c r="F28" s="199">
        <v>0</v>
      </c>
      <c r="G28" s="199">
        <v>0</v>
      </c>
    </row>
    <row r="29" spans="1:7">
      <c r="A29" s="198" t="s">
        <v>1162</v>
      </c>
      <c r="B29" s="198" t="s">
        <v>1163</v>
      </c>
      <c r="C29" s="197" t="s">
        <v>1164</v>
      </c>
      <c r="D29" s="199">
        <v>0</v>
      </c>
      <c r="E29" s="199">
        <v>0</v>
      </c>
      <c r="F29" s="199">
        <v>0</v>
      </c>
      <c r="G29" s="199">
        <v>0</v>
      </c>
    </row>
    <row r="30" spans="1:7">
      <c r="A30" s="198" t="s">
        <v>1165</v>
      </c>
      <c r="B30" s="198" t="s">
        <v>1166</v>
      </c>
      <c r="C30" s="197" t="s">
        <v>1167</v>
      </c>
      <c r="D30" s="199">
        <v>0</v>
      </c>
      <c r="E30" s="199">
        <v>0</v>
      </c>
      <c r="F30" s="199">
        <v>0</v>
      </c>
      <c r="G30" s="199">
        <v>0</v>
      </c>
    </row>
    <row r="31" spans="1:7">
      <c r="A31" s="198" t="s">
        <v>1168</v>
      </c>
      <c r="B31" s="198" t="s">
        <v>1169</v>
      </c>
      <c r="C31" s="197" t="s">
        <v>1170</v>
      </c>
      <c r="D31" s="199">
        <v>0</v>
      </c>
      <c r="E31" s="199">
        <v>0</v>
      </c>
      <c r="F31" s="199">
        <v>0</v>
      </c>
      <c r="G31" s="199">
        <v>0</v>
      </c>
    </row>
    <row r="32" spans="1:7">
      <c r="A32" s="198">
        <v>2</v>
      </c>
      <c r="B32" s="198" t="s">
        <v>1171</v>
      </c>
      <c r="C32" s="197" t="s">
        <v>1172</v>
      </c>
      <c r="D32" s="199">
        <v>0</v>
      </c>
      <c r="E32" s="199">
        <v>0</v>
      </c>
      <c r="F32" s="199">
        <v>0</v>
      </c>
      <c r="G32" s="199">
        <v>0</v>
      </c>
    </row>
    <row r="33" spans="1:7">
      <c r="A33" s="198">
        <v>3</v>
      </c>
      <c r="B33" s="198" t="s">
        <v>1173</v>
      </c>
      <c r="C33" s="197" t="s">
        <v>1174</v>
      </c>
      <c r="D33" s="199">
        <v>0</v>
      </c>
      <c r="E33" s="199">
        <v>0</v>
      </c>
      <c r="F33" s="199">
        <v>0</v>
      </c>
      <c r="G33" s="199">
        <v>0</v>
      </c>
    </row>
    <row r="34" spans="1:7">
      <c r="A34" s="198" t="s">
        <v>1175</v>
      </c>
      <c r="B34" s="198" t="s">
        <v>1176</v>
      </c>
      <c r="C34" s="197" t="s">
        <v>1177</v>
      </c>
      <c r="D34" s="199">
        <v>0</v>
      </c>
      <c r="E34" s="199">
        <v>0</v>
      </c>
      <c r="F34" s="199">
        <v>0</v>
      </c>
      <c r="G34" s="199">
        <v>0</v>
      </c>
    </row>
    <row r="35" spans="1:7">
      <c r="A35" s="198" t="s">
        <v>1178</v>
      </c>
      <c r="B35" s="198" t="s">
        <v>1179</v>
      </c>
      <c r="C35" s="197" t="s">
        <v>1180</v>
      </c>
      <c r="D35" s="199">
        <v>0</v>
      </c>
      <c r="E35" s="199">
        <v>0</v>
      </c>
      <c r="F35" s="199">
        <v>0</v>
      </c>
      <c r="G35" s="199">
        <v>0</v>
      </c>
    </row>
    <row r="36" spans="1:7">
      <c r="A36" s="198" t="s">
        <v>1181</v>
      </c>
      <c r="B36" s="198" t="s">
        <v>1182</v>
      </c>
      <c r="C36" s="197" t="s">
        <v>1183</v>
      </c>
      <c r="D36" s="199">
        <v>0</v>
      </c>
      <c r="E36" s="199">
        <v>0</v>
      </c>
      <c r="F36" s="199">
        <v>0</v>
      </c>
      <c r="G36" s="199">
        <v>0</v>
      </c>
    </row>
    <row r="37" spans="1:7">
      <c r="A37" s="198" t="s">
        <v>1184</v>
      </c>
      <c r="B37" s="198" t="s">
        <v>1185</v>
      </c>
      <c r="C37" s="197" t="s">
        <v>1186</v>
      </c>
      <c r="D37" s="199">
        <v>0</v>
      </c>
      <c r="E37" s="199">
        <v>0</v>
      </c>
      <c r="F37" s="199">
        <v>0</v>
      </c>
      <c r="G37" s="199">
        <v>0</v>
      </c>
    </row>
    <row r="38" spans="1:7">
      <c r="A38" s="198" t="s">
        <v>1187</v>
      </c>
      <c r="B38" s="198" t="s">
        <v>1188</v>
      </c>
      <c r="C38" s="197" t="s">
        <v>1189</v>
      </c>
      <c r="D38" s="199">
        <v>0</v>
      </c>
      <c r="E38" s="199">
        <v>0</v>
      </c>
      <c r="F38" s="199">
        <v>0</v>
      </c>
      <c r="G38" s="199">
        <v>0</v>
      </c>
    </row>
    <row r="39" spans="1:7">
      <c r="A39" s="198" t="s">
        <v>1190</v>
      </c>
      <c r="B39" s="198" t="s">
        <v>1191</v>
      </c>
      <c r="C39" s="197" t="s">
        <v>1192</v>
      </c>
      <c r="D39" s="199">
        <v>9.84</v>
      </c>
      <c r="E39" s="199">
        <v>0</v>
      </c>
      <c r="F39" s="199">
        <v>10</v>
      </c>
      <c r="G39" s="199">
        <v>0</v>
      </c>
    </row>
    <row r="40" spans="1:7">
      <c r="A40" s="198" t="s">
        <v>1193</v>
      </c>
      <c r="B40" s="198" t="s">
        <v>1194</v>
      </c>
      <c r="C40" s="197" t="s">
        <v>1195</v>
      </c>
      <c r="D40" s="199">
        <v>45023.17</v>
      </c>
      <c r="E40" s="199">
        <v>0</v>
      </c>
      <c r="F40" s="199">
        <v>45023</v>
      </c>
      <c r="G40" s="199">
        <v>0</v>
      </c>
    </row>
    <row r="41" spans="1:7">
      <c r="A41" s="198" t="s">
        <v>1196</v>
      </c>
      <c r="B41" s="198" t="s">
        <v>1197</v>
      </c>
      <c r="C41" s="197" t="s">
        <v>1198</v>
      </c>
      <c r="D41" s="199">
        <v>20.12</v>
      </c>
      <c r="E41" s="199">
        <v>0</v>
      </c>
      <c r="F41" s="199">
        <v>20</v>
      </c>
      <c r="G41" s="199">
        <v>0</v>
      </c>
    </row>
    <row r="42" spans="1:7">
      <c r="A42" s="198" t="s">
        <v>1199</v>
      </c>
      <c r="B42" s="198" t="s">
        <v>1200</v>
      </c>
      <c r="C42" s="197" t="s">
        <v>1201</v>
      </c>
      <c r="D42" s="199">
        <v>416.58</v>
      </c>
      <c r="E42" s="199">
        <v>0</v>
      </c>
      <c r="F42" s="199">
        <v>417</v>
      </c>
      <c r="G42" s="199">
        <v>0</v>
      </c>
    </row>
    <row r="43" spans="1:7">
      <c r="A43" s="198" t="s">
        <v>1202</v>
      </c>
      <c r="B43" s="198" t="s">
        <v>1203</v>
      </c>
      <c r="C43" s="197" t="s">
        <v>1204</v>
      </c>
      <c r="D43" s="199">
        <v>151.36000000000001</v>
      </c>
      <c r="E43" s="199">
        <v>0</v>
      </c>
      <c r="F43" s="199">
        <v>151</v>
      </c>
      <c r="G43" s="199">
        <v>0</v>
      </c>
    </row>
    <row r="44" spans="1:7">
      <c r="A44" s="198" t="s">
        <v>1205</v>
      </c>
      <c r="B44" s="198" t="s">
        <v>1206</v>
      </c>
      <c r="C44" s="197" t="s">
        <v>1207</v>
      </c>
      <c r="D44" s="199">
        <v>77.819999999999993</v>
      </c>
      <c r="E44" s="199">
        <v>0</v>
      </c>
      <c r="F44" s="199">
        <v>78</v>
      </c>
      <c r="G44" s="199">
        <v>0</v>
      </c>
    </row>
    <row r="45" spans="1:7">
      <c r="A45" s="198" t="s">
        <v>1208</v>
      </c>
      <c r="B45" s="198" t="s">
        <v>1209</v>
      </c>
      <c r="C45" s="197" t="s">
        <v>1210</v>
      </c>
      <c r="D45" s="199">
        <v>0</v>
      </c>
      <c r="E45" s="199">
        <v>0</v>
      </c>
      <c r="F45" s="199">
        <v>0</v>
      </c>
      <c r="G45" s="199">
        <v>0</v>
      </c>
    </row>
    <row r="46" spans="1:7">
      <c r="A46" s="198" t="s">
        <v>1211</v>
      </c>
      <c r="B46" s="198" t="s">
        <v>1212</v>
      </c>
      <c r="C46" s="197" t="s">
        <v>1213</v>
      </c>
      <c r="D46" s="199">
        <v>0</v>
      </c>
      <c r="E46" s="199">
        <v>0</v>
      </c>
      <c r="F46" s="199">
        <v>0</v>
      </c>
      <c r="G46" s="199">
        <v>0</v>
      </c>
    </row>
    <row r="47" spans="1:7">
      <c r="A47" s="198" t="s">
        <v>1156</v>
      </c>
      <c r="B47" s="198" t="s">
        <v>1214</v>
      </c>
      <c r="C47" s="197" t="s">
        <v>1215</v>
      </c>
      <c r="D47" s="199">
        <v>-45336.25</v>
      </c>
      <c r="E47" s="199">
        <v>0</v>
      </c>
      <c r="F47" s="199">
        <v>-45337</v>
      </c>
      <c r="G47" s="199">
        <v>0</v>
      </c>
    </row>
    <row r="48" spans="1:7">
      <c r="A48" s="198" t="s">
        <v>1216</v>
      </c>
      <c r="B48" s="198" t="s">
        <v>1217</v>
      </c>
      <c r="C48" s="197" t="s">
        <v>1218</v>
      </c>
      <c r="D48" s="199">
        <v>-264804.84999999998</v>
      </c>
      <c r="E48" s="199">
        <v>0</v>
      </c>
      <c r="F48" s="199">
        <v>-264805</v>
      </c>
      <c r="G48" s="199">
        <v>0</v>
      </c>
    </row>
    <row r="49" spans="1:7">
      <c r="A49" s="198" t="s">
        <v>1219</v>
      </c>
      <c r="B49" s="198" t="s">
        <v>1220</v>
      </c>
      <c r="C49" s="197" t="s">
        <v>1221</v>
      </c>
      <c r="D49" s="199">
        <v>-53497.01</v>
      </c>
      <c r="E49" s="199">
        <v>0</v>
      </c>
      <c r="F49" s="199">
        <v>-53497</v>
      </c>
      <c r="G49" s="199">
        <v>0</v>
      </c>
    </row>
    <row r="50" spans="1:7">
      <c r="A50" s="198" t="s">
        <v>1222</v>
      </c>
      <c r="B50" s="198" t="s">
        <v>1223</v>
      </c>
      <c r="C50" s="197" t="s">
        <v>1224</v>
      </c>
      <c r="D50" s="199">
        <v>1.81</v>
      </c>
      <c r="E50" s="199">
        <v>0</v>
      </c>
      <c r="F50" s="199">
        <v>2</v>
      </c>
      <c r="G50" s="199">
        <v>0</v>
      </c>
    </row>
    <row r="51" spans="1:7">
      <c r="A51" s="198">
        <v>2</v>
      </c>
      <c r="B51" s="198" t="s">
        <v>1225</v>
      </c>
      <c r="C51" s="197" t="s">
        <v>1226</v>
      </c>
      <c r="D51" s="199">
        <v>-53498.82</v>
      </c>
      <c r="E51" s="199">
        <v>0</v>
      </c>
      <c r="F51" s="199">
        <v>-53499</v>
      </c>
      <c r="G51" s="199">
        <v>0</v>
      </c>
    </row>
    <row r="52" spans="1:7">
      <c r="A52" s="198" t="s">
        <v>1216</v>
      </c>
      <c r="B52" s="198" t="s">
        <v>1227</v>
      </c>
      <c r="C52" s="197" t="s">
        <v>1228</v>
      </c>
      <c r="D52" s="199">
        <v>-211307.84</v>
      </c>
      <c r="E52" s="199">
        <v>0</v>
      </c>
      <c r="F52" s="199">
        <v>-211308</v>
      </c>
      <c r="G52" s="199">
        <v>0</v>
      </c>
    </row>
    <row r="53" spans="1:7">
      <c r="A53" s="198" t="s">
        <v>1229</v>
      </c>
      <c r="B53" s="198" t="s">
        <v>1230</v>
      </c>
      <c r="C53" s="197" t="s">
        <v>1231</v>
      </c>
      <c r="D53" s="199">
        <v>0</v>
      </c>
      <c r="E53" s="199">
        <v>0</v>
      </c>
      <c r="F53" s="199">
        <v>0</v>
      </c>
      <c r="G53" s="199">
        <v>0</v>
      </c>
    </row>
    <row r="54" spans="1:7">
      <c r="A54" s="198" t="s">
        <v>1232</v>
      </c>
      <c r="B54" s="198" t="s">
        <v>1233</v>
      </c>
      <c r="C54" s="197" t="s">
        <v>1234</v>
      </c>
      <c r="D54" s="199">
        <v>0</v>
      </c>
      <c r="E54" s="199">
        <v>0</v>
      </c>
      <c r="F54" s="199">
        <v>0</v>
      </c>
      <c r="G54" s="199">
        <v>0</v>
      </c>
    </row>
    <row r="55" spans="1:7">
      <c r="A55" s="198" t="s">
        <v>1156</v>
      </c>
      <c r="B55" s="198" t="s">
        <v>1235</v>
      </c>
      <c r="C55" s="197" t="s">
        <v>1236</v>
      </c>
      <c r="D55" s="199">
        <v>0</v>
      </c>
      <c r="E55" s="199">
        <v>0</v>
      </c>
      <c r="F55" s="199">
        <v>0</v>
      </c>
      <c r="G55" s="199">
        <v>0</v>
      </c>
    </row>
    <row r="56" spans="1:7">
      <c r="A56" s="198" t="s">
        <v>1237</v>
      </c>
      <c r="B56" s="198" t="s">
        <v>1238</v>
      </c>
      <c r="C56" s="197" t="s">
        <v>1239</v>
      </c>
      <c r="D56" s="199">
        <v>0</v>
      </c>
      <c r="E56" s="199">
        <v>0</v>
      </c>
      <c r="F56" s="199">
        <v>0</v>
      </c>
      <c r="G56" s="199">
        <v>0</v>
      </c>
    </row>
    <row r="57" spans="1:7">
      <c r="A57" s="198" t="s">
        <v>1240</v>
      </c>
      <c r="B57" s="198" t="s">
        <v>1241</v>
      </c>
      <c r="C57" s="197" t="s">
        <v>1242</v>
      </c>
      <c r="D57" s="199">
        <v>0</v>
      </c>
      <c r="E57" s="199">
        <v>0</v>
      </c>
      <c r="F57" s="199">
        <v>0</v>
      </c>
      <c r="G57" s="199">
        <v>0</v>
      </c>
    </row>
    <row r="58" spans="1:7">
      <c r="A58" s="198">
        <v>2</v>
      </c>
      <c r="B58" s="198" t="s">
        <v>1243</v>
      </c>
      <c r="C58" s="197" t="s">
        <v>1244</v>
      </c>
      <c r="D58" s="199">
        <v>0</v>
      </c>
      <c r="E58" s="199">
        <v>0</v>
      </c>
      <c r="F58" s="199">
        <v>0</v>
      </c>
      <c r="G58" s="199">
        <v>0</v>
      </c>
    </row>
    <row r="59" spans="1:7">
      <c r="A59" s="198" t="s">
        <v>1156</v>
      </c>
      <c r="B59" s="198" t="s">
        <v>1245</v>
      </c>
      <c r="C59" s="197" t="s">
        <v>1246</v>
      </c>
      <c r="D59" s="199">
        <v>0</v>
      </c>
      <c r="E59" s="199">
        <v>0</v>
      </c>
      <c r="F59" s="199">
        <v>0</v>
      </c>
      <c r="G59" s="199">
        <v>0</v>
      </c>
    </row>
    <row r="60" spans="1:7">
      <c r="A60" s="198" t="s">
        <v>1247</v>
      </c>
      <c r="B60" s="198" t="s">
        <v>1248</v>
      </c>
      <c r="C60" s="197" t="s">
        <v>1249</v>
      </c>
      <c r="D60" s="199">
        <v>-264804.84999999998</v>
      </c>
      <c r="E60" s="199">
        <v>0</v>
      </c>
      <c r="F60" s="199">
        <v>-264805</v>
      </c>
      <c r="G60" s="199">
        <v>0</v>
      </c>
    </row>
    <row r="61" spans="1:7">
      <c r="A61" s="198" t="s">
        <v>1151</v>
      </c>
      <c r="B61" s="198" t="s">
        <v>1250</v>
      </c>
      <c r="C61" s="197" t="s">
        <v>1251</v>
      </c>
      <c r="D61" s="199">
        <v>0</v>
      </c>
      <c r="E61" s="199">
        <v>0</v>
      </c>
      <c r="F61" s="199">
        <v>0</v>
      </c>
      <c r="G61" s="199">
        <v>0</v>
      </c>
    </row>
    <row r="62" spans="1:7">
      <c r="A62" s="198" t="s">
        <v>1247</v>
      </c>
      <c r="B62" s="198" t="s">
        <v>1252</v>
      </c>
      <c r="C62" s="197" t="s">
        <v>1253</v>
      </c>
      <c r="D62" s="199">
        <v>-211307.84</v>
      </c>
      <c r="E62" s="199">
        <v>0</v>
      </c>
      <c r="F62" s="199">
        <v>-211308</v>
      </c>
      <c r="G62" s="199">
        <v>0</v>
      </c>
    </row>
  </sheetData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>
  <sheetPr>
    <tabColor rgb="FF0070C0"/>
  </sheetPr>
  <dimension ref="A1:K68"/>
  <sheetViews>
    <sheetView workbookViewId="0">
      <selection activeCell="B2" sqref="B2"/>
    </sheetView>
  </sheetViews>
  <sheetFormatPr defaultRowHeight="15"/>
  <cols>
    <col min="1" max="1" width="8.28515625" style="200" bestFit="1" customWidth="1"/>
    <col min="2" max="2" width="63.5703125" style="200" bestFit="1" customWidth="1"/>
    <col min="3" max="3" width="4.42578125" style="201" bestFit="1" customWidth="1"/>
    <col min="4" max="11" width="15.28515625" style="202" bestFit="1" customWidth="1"/>
    <col min="12" max="16384" width="9.140625" style="193"/>
  </cols>
  <sheetData>
    <row r="1" spans="1:11" ht="22.5">
      <c r="A1" s="204" t="s">
        <v>503</v>
      </c>
      <c r="B1" s="204" t="s">
        <v>504</v>
      </c>
      <c r="C1" s="203" t="s">
        <v>526</v>
      </c>
      <c r="D1" s="205" t="s">
        <v>529</v>
      </c>
      <c r="E1" s="205" t="s">
        <v>530</v>
      </c>
      <c r="F1" s="205" t="s">
        <v>531</v>
      </c>
      <c r="G1" s="205" t="s">
        <v>532</v>
      </c>
      <c r="H1" s="205" t="s">
        <v>505</v>
      </c>
      <c r="I1" s="205" t="s">
        <v>506</v>
      </c>
      <c r="J1" s="205" t="s">
        <v>507</v>
      </c>
      <c r="K1" s="205" t="s">
        <v>508</v>
      </c>
    </row>
    <row r="2" spans="1:11">
      <c r="A2" s="195"/>
      <c r="B2" s="195" t="s">
        <v>1254</v>
      </c>
      <c r="C2" s="194" t="s">
        <v>1255</v>
      </c>
      <c r="D2" s="196">
        <v>2957930.06</v>
      </c>
      <c r="E2" s="196">
        <v>247290.09</v>
      </c>
      <c r="F2" s="196">
        <v>2710639.97</v>
      </c>
      <c r="G2" s="196">
        <v>0</v>
      </c>
      <c r="H2" s="196">
        <v>2957930</v>
      </c>
      <c r="I2" s="196">
        <v>247290</v>
      </c>
      <c r="J2" s="196">
        <v>2710640</v>
      </c>
      <c r="K2" s="196">
        <v>0</v>
      </c>
    </row>
    <row r="3" spans="1:11">
      <c r="A3" s="195" t="s">
        <v>1092</v>
      </c>
      <c r="B3" s="195" t="s">
        <v>1256</v>
      </c>
      <c r="C3" s="194" t="s">
        <v>1257</v>
      </c>
      <c r="D3" s="196">
        <v>626445.32999999996</v>
      </c>
      <c r="E3" s="196">
        <v>221534.01</v>
      </c>
      <c r="F3" s="196">
        <v>404911.32</v>
      </c>
      <c r="G3" s="196">
        <v>0</v>
      </c>
      <c r="H3" s="196">
        <v>626445</v>
      </c>
      <c r="I3" s="196">
        <v>221534</v>
      </c>
      <c r="J3" s="196">
        <v>404911</v>
      </c>
      <c r="K3" s="196">
        <v>0</v>
      </c>
    </row>
    <row r="4" spans="1:11">
      <c r="A4" s="195" t="s">
        <v>1258</v>
      </c>
      <c r="B4" s="195" t="s">
        <v>1259</v>
      </c>
      <c r="C4" s="194" t="s">
        <v>1260</v>
      </c>
      <c r="D4" s="196">
        <v>259035.4</v>
      </c>
      <c r="E4" s="196">
        <v>115454.19</v>
      </c>
      <c r="F4" s="196">
        <v>143581.21</v>
      </c>
      <c r="G4" s="196">
        <v>0</v>
      </c>
      <c r="H4" s="196">
        <v>259035</v>
      </c>
      <c r="I4" s="196">
        <v>115454</v>
      </c>
      <c r="J4" s="196">
        <v>143581</v>
      </c>
      <c r="K4" s="196">
        <v>0</v>
      </c>
    </row>
    <row r="5" spans="1:11">
      <c r="A5" s="195" t="s">
        <v>1261</v>
      </c>
      <c r="B5" s="195" t="s">
        <v>1262</v>
      </c>
      <c r="C5" s="194" t="s">
        <v>1263</v>
      </c>
      <c r="D5" s="196">
        <v>0</v>
      </c>
      <c r="E5" s="196">
        <v>0</v>
      </c>
      <c r="F5" s="196">
        <v>0</v>
      </c>
      <c r="G5" s="196">
        <v>0</v>
      </c>
      <c r="H5" s="196">
        <v>0</v>
      </c>
      <c r="I5" s="196">
        <v>0</v>
      </c>
      <c r="J5" s="196">
        <v>0</v>
      </c>
      <c r="K5" s="196">
        <v>0</v>
      </c>
    </row>
    <row r="6" spans="1:11">
      <c r="A6" s="195">
        <v>2</v>
      </c>
      <c r="B6" s="195" t="s">
        <v>1264</v>
      </c>
      <c r="C6" s="194" t="s">
        <v>1265</v>
      </c>
      <c r="D6" s="196">
        <v>11192.44</v>
      </c>
      <c r="E6" s="196">
        <v>4118</v>
      </c>
      <c r="F6" s="196">
        <v>7074.44</v>
      </c>
      <c r="G6" s="196">
        <v>0</v>
      </c>
      <c r="H6" s="196">
        <v>11192</v>
      </c>
      <c r="I6" s="196">
        <v>4118</v>
      </c>
      <c r="J6" s="196">
        <v>7074</v>
      </c>
      <c r="K6" s="196">
        <v>0</v>
      </c>
    </row>
    <row r="7" spans="1:11">
      <c r="A7" s="195">
        <v>3</v>
      </c>
      <c r="B7" s="195" t="s">
        <v>1266</v>
      </c>
      <c r="C7" s="194" t="s">
        <v>1267</v>
      </c>
      <c r="D7" s="196">
        <v>0</v>
      </c>
      <c r="E7" s="196">
        <v>0</v>
      </c>
      <c r="F7" s="196">
        <v>0</v>
      </c>
      <c r="G7" s="196">
        <v>0</v>
      </c>
      <c r="H7" s="196">
        <v>0</v>
      </c>
      <c r="I7" s="196">
        <v>0</v>
      </c>
      <c r="J7" s="196">
        <v>0</v>
      </c>
      <c r="K7" s="196">
        <v>0</v>
      </c>
    </row>
    <row r="8" spans="1:11">
      <c r="A8" s="195">
        <v>4</v>
      </c>
      <c r="B8" s="195" t="s">
        <v>1268</v>
      </c>
      <c r="C8" s="194" t="s">
        <v>1269</v>
      </c>
      <c r="D8" s="196">
        <v>247842.96</v>
      </c>
      <c r="E8" s="196">
        <v>111336.19</v>
      </c>
      <c r="F8" s="196">
        <v>136506.76999999999</v>
      </c>
      <c r="G8" s="196">
        <v>0</v>
      </c>
      <c r="H8" s="196">
        <v>247843</v>
      </c>
      <c r="I8" s="196">
        <v>111336</v>
      </c>
      <c r="J8" s="196">
        <v>136507</v>
      </c>
      <c r="K8" s="196">
        <v>0</v>
      </c>
    </row>
    <row r="9" spans="1:11">
      <c r="A9" s="195">
        <v>5</v>
      </c>
      <c r="B9" s="195" t="s">
        <v>1270</v>
      </c>
      <c r="C9" s="194" t="s">
        <v>1271</v>
      </c>
      <c r="D9" s="196">
        <v>0</v>
      </c>
      <c r="E9" s="196">
        <v>0</v>
      </c>
      <c r="F9" s="196">
        <v>0</v>
      </c>
      <c r="G9" s="196">
        <v>0</v>
      </c>
      <c r="H9" s="196">
        <v>0</v>
      </c>
      <c r="I9" s="196">
        <v>0</v>
      </c>
      <c r="J9" s="196">
        <v>0</v>
      </c>
      <c r="K9" s="196">
        <v>0</v>
      </c>
    </row>
    <row r="10" spans="1:11">
      <c r="A10" s="195">
        <v>6</v>
      </c>
      <c r="B10" s="195" t="s">
        <v>1272</v>
      </c>
      <c r="C10" s="194" t="s">
        <v>1273</v>
      </c>
      <c r="D10" s="196">
        <v>0</v>
      </c>
      <c r="E10" s="196">
        <v>0</v>
      </c>
      <c r="F10" s="196">
        <v>0</v>
      </c>
      <c r="G10" s="196">
        <v>0</v>
      </c>
      <c r="H10" s="196">
        <v>0</v>
      </c>
      <c r="I10" s="196">
        <v>0</v>
      </c>
      <c r="J10" s="196">
        <v>0</v>
      </c>
      <c r="K10" s="196">
        <v>0</v>
      </c>
    </row>
    <row r="11" spans="1:11">
      <c r="A11" s="195">
        <v>7</v>
      </c>
      <c r="B11" s="195" t="s">
        <v>1274</v>
      </c>
      <c r="C11" s="194" t="s">
        <v>1275</v>
      </c>
      <c r="D11" s="196">
        <v>0</v>
      </c>
      <c r="E11" s="196">
        <v>0</v>
      </c>
      <c r="F11" s="196">
        <v>0</v>
      </c>
      <c r="G11" s="196">
        <v>0</v>
      </c>
      <c r="H11" s="196">
        <v>0</v>
      </c>
      <c r="I11" s="196">
        <v>0</v>
      </c>
      <c r="J11" s="196">
        <v>0</v>
      </c>
      <c r="K11" s="196">
        <v>0</v>
      </c>
    </row>
    <row r="12" spans="1:11">
      <c r="A12" s="195" t="s">
        <v>1276</v>
      </c>
      <c r="B12" s="195" t="s">
        <v>1277</v>
      </c>
      <c r="C12" s="194" t="s">
        <v>1278</v>
      </c>
      <c r="D12" s="196">
        <v>367409.93</v>
      </c>
      <c r="E12" s="196">
        <v>106079.82</v>
      </c>
      <c r="F12" s="196">
        <v>261330.11</v>
      </c>
      <c r="G12" s="196">
        <v>0</v>
      </c>
      <c r="H12" s="196">
        <v>367410</v>
      </c>
      <c r="I12" s="196">
        <v>106080</v>
      </c>
      <c r="J12" s="196">
        <v>261330</v>
      </c>
      <c r="K12" s="196">
        <v>0</v>
      </c>
    </row>
    <row r="13" spans="1:11">
      <c r="A13" s="195" t="s">
        <v>1279</v>
      </c>
      <c r="B13" s="195" t="s">
        <v>1280</v>
      </c>
      <c r="C13" s="194" t="s">
        <v>1281</v>
      </c>
      <c r="D13" s="196">
        <v>0</v>
      </c>
      <c r="E13" s="196">
        <v>0</v>
      </c>
      <c r="F13" s="196">
        <v>0</v>
      </c>
      <c r="G13" s="196">
        <v>0</v>
      </c>
      <c r="H13" s="196">
        <v>0</v>
      </c>
      <c r="I13" s="196">
        <v>0</v>
      </c>
      <c r="J13" s="196">
        <v>0</v>
      </c>
      <c r="K13" s="196">
        <v>0</v>
      </c>
    </row>
    <row r="14" spans="1:11">
      <c r="A14" s="195">
        <v>2</v>
      </c>
      <c r="B14" s="195" t="s">
        <v>1282</v>
      </c>
      <c r="C14" s="194" t="s">
        <v>996</v>
      </c>
      <c r="D14" s="196">
        <v>0</v>
      </c>
      <c r="E14" s="196">
        <v>0</v>
      </c>
      <c r="F14" s="196">
        <v>0</v>
      </c>
      <c r="G14" s="196">
        <v>0</v>
      </c>
      <c r="H14" s="196">
        <v>0</v>
      </c>
      <c r="I14" s="196">
        <v>0</v>
      </c>
      <c r="J14" s="196">
        <v>0</v>
      </c>
      <c r="K14" s="196">
        <v>0</v>
      </c>
    </row>
    <row r="15" spans="1:11">
      <c r="A15" s="195">
        <v>3</v>
      </c>
      <c r="B15" s="195" t="s">
        <v>1283</v>
      </c>
      <c r="C15" s="194" t="s">
        <v>1284</v>
      </c>
      <c r="D15" s="196">
        <v>367409.93</v>
      </c>
      <c r="E15" s="196">
        <v>106079.82</v>
      </c>
      <c r="F15" s="196">
        <v>261330.11</v>
      </c>
      <c r="G15" s="196">
        <v>0</v>
      </c>
      <c r="H15" s="196">
        <v>367410</v>
      </c>
      <c r="I15" s="196">
        <v>106080</v>
      </c>
      <c r="J15" s="196">
        <v>261330</v>
      </c>
      <c r="K15" s="196">
        <v>0</v>
      </c>
    </row>
    <row r="16" spans="1:11">
      <c r="A16" s="195">
        <v>4</v>
      </c>
      <c r="B16" s="195" t="s">
        <v>1285</v>
      </c>
      <c r="C16" s="194" t="s">
        <v>997</v>
      </c>
      <c r="D16" s="196">
        <v>0</v>
      </c>
      <c r="E16" s="196">
        <v>0</v>
      </c>
      <c r="F16" s="196">
        <v>0</v>
      </c>
      <c r="G16" s="196">
        <v>0</v>
      </c>
      <c r="H16" s="196">
        <v>0</v>
      </c>
      <c r="I16" s="196">
        <v>0</v>
      </c>
      <c r="J16" s="196">
        <v>0</v>
      </c>
      <c r="K16" s="196">
        <v>0</v>
      </c>
    </row>
    <row r="17" spans="1:11">
      <c r="A17" s="195">
        <v>5</v>
      </c>
      <c r="B17" s="195" t="s">
        <v>1286</v>
      </c>
      <c r="C17" s="194" t="s">
        <v>1287</v>
      </c>
      <c r="D17" s="196">
        <v>0</v>
      </c>
      <c r="E17" s="196">
        <v>0</v>
      </c>
      <c r="F17" s="196">
        <v>0</v>
      </c>
      <c r="G17" s="196">
        <v>0</v>
      </c>
      <c r="H17" s="196">
        <v>0</v>
      </c>
      <c r="I17" s="196">
        <v>0</v>
      </c>
      <c r="J17" s="196">
        <v>0</v>
      </c>
      <c r="K17" s="196">
        <v>0</v>
      </c>
    </row>
    <row r="18" spans="1:11">
      <c r="A18" s="195">
        <v>6</v>
      </c>
      <c r="B18" s="195" t="s">
        <v>1288</v>
      </c>
      <c r="C18" s="194" t="s">
        <v>1289</v>
      </c>
      <c r="D18" s="196">
        <v>0</v>
      </c>
      <c r="E18" s="196">
        <v>0</v>
      </c>
      <c r="F18" s="196">
        <v>0</v>
      </c>
      <c r="G18" s="196">
        <v>0</v>
      </c>
      <c r="H18" s="196">
        <v>0</v>
      </c>
      <c r="I18" s="196">
        <v>0</v>
      </c>
      <c r="J18" s="196">
        <v>0</v>
      </c>
      <c r="K18" s="196">
        <v>0</v>
      </c>
    </row>
    <row r="19" spans="1:11">
      <c r="A19" s="195">
        <v>7</v>
      </c>
      <c r="B19" s="195" t="s">
        <v>1290</v>
      </c>
      <c r="C19" s="194" t="s">
        <v>1291</v>
      </c>
      <c r="D19" s="196">
        <v>0</v>
      </c>
      <c r="E19" s="196">
        <v>0</v>
      </c>
      <c r="F19" s="196">
        <v>0</v>
      </c>
      <c r="G19" s="196">
        <v>0</v>
      </c>
      <c r="H19" s="196">
        <v>0</v>
      </c>
      <c r="I19" s="196">
        <v>0</v>
      </c>
      <c r="J19" s="196">
        <v>0</v>
      </c>
      <c r="K19" s="196">
        <v>0</v>
      </c>
    </row>
    <row r="20" spans="1:11">
      <c r="A20" s="195">
        <v>8</v>
      </c>
      <c r="B20" s="195" t="s">
        <v>1292</v>
      </c>
      <c r="C20" s="194" t="s">
        <v>1293</v>
      </c>
      <c r="D20" s="196">
        <v>0</v>
      </c>
      <c r="E20" s="196">
        <v>0</v>
      </c>
      <c r="F20" s="196">
        <v>0</v>
      </c>
      <c r="G20" s="196">
        <v>0</v>
      </c>
      <c r="H20" s="196">
        <v>0</v>
      </c>
      <c r="I20" s="196">
        <v>0</v>
      </c>
      <c r="J20" s="196">
        <v>0</v>
      </c>
      <c r="K20" s="196">
        <v>0</v>
      </c>
    </row>
    <row r="21" spans="1:11">
      <c r="A21" s="195">
        <v>9</v>
      </c>
      <c r="B21" s="195" t="s">
        <v>1294</v>
      </c>
      <c r="C21" s="194" t="s">
        <v>1295</v>
      </c>
      <c r="D21" s="196">
        <v>0</v>
      </c>
      <c r="E21" s="196">
        <v>0</v>
      </c>
      <c r="F21" s="196">
        <v>0</v>
      </c>
      <c r="G21" s="196">
        <v>0</v>
      </c>
      <c r="H21" s="196">
        <v>0</v>
      </c>
      <c r="I21" s="196">
        <v>0</v>
      </c>
      <c r="J21" s="196">
        <v>0</v>
      </c>
      <c r="K21" s="196">
        <v>0</v>
      </c>
    </row>
    <row r="22" spans="1:11">
      <c r="A22" s="195" t="s">
        <v>1296</v>
      </c>
      <c r="B22" s="195" t="s">
        <v>1297</v>
      </c>
      <c r="C22" s="194" t="s">
        <v>1298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196">
        <v>0</v>
      </c>
      <c r="K22" s="196">
        <v>0</v>
      </c>
    </row>
    <row r="23" spans="1:11">
      <c r="A23" s="195" t="s">
        <v>1299</v>
      </c>
      <c r="B23" s="195" t="s">
        <v>1300</v>
      </c>
      <c r="C23" s="194" t="s">
        <v>998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6">
        <v>0</v>
      </c>
    </row>
    <row r="24" spans="1:11">
      <c r="A24" s="195">
        <v>2</v>
      </c>
      <c r="B24" s="195" t="s">
        <v>1301</v>
      </c>
      <c r="C24" s="194" t="s">
        <v>1302</v>
      </c>
      <c r="D24" s="196">
        <v>0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6">
        <v>0</v>
      </c>
    </row>
    <row r="25" spans="1:11">
      <c r="A25" s="195">
        <v>3</v>
      </c>
      <c r="B25" s="195" t="s">
        <v>1303</v>
      </c>
      <c r="C25" s="194" t="s">
        <v>1304</v>
      </c>
      <c r="D25" s="196">
        <v>0</v>
      </c>
      <c r="E25" s="196">
        <v>0</v>
      </c>
      <c r="F25" s="196">
        <v>0</v>
      </c>
      <c r="G25" s="196">
        <v>0</v>
      </c>
      <c r="H25" s="196">
        <v>0</v>
      </c>
      <c r="I25" s="196">
        <v>0</v>
      </c>
      <c r="J25" s="196">
        <v>0</v>
      </c>
      <c r="K25" s="196">
        <v>0</v>
      </c>
    </row>
    <row r="26" spans="1:11">
      <c r="A26" s="195">
        <v>4</v>
      </c>
      <c r="B26" s="195" t="s">
        <v>1305</v>
      </c>
      <c r="C26" s="194" t="s">
        <v>1306</v>
      </c>
      <c r="D26" s="196">
        <v>0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6">
        <v>0</v>
      </c>
    </row>
    <row r="27" spans="1:11">
      <c r="A27" s="195">
        <v>5</v>
      </c>
      <c r="B27" s="195" t="s">
        <v>1307</v>
      </c>
      <c r="C27" s="194" t="s">
        <v>1308</v>
      </c>
      <c r="D27" s="196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6">
        <v>0</v>
      </c>
    </row>
    <row r="28" spans="1:11">
      <c r="A28" s="195">
        <v>6</v>
      </c>
      <c r="B28" s="195" t="s">
        <v>1309</v>
      </c>
      <c r="C28" s="194" t="s">
        <v>1310</v>
      </c>
      <c r="D28" s="196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6">
        <v>0</v>
      </c>
    </row>
    <row r="29" spans="1:11">
      <c r="A29" s="195">
        <v>7</v>
      </c>
      <c r="B29" s="195" t="s">
        <v>1311</v>
      </c>
      <c r="C29" s="194" t="s">
        <v>1312</v>
      </c>
      <c r="D29" s="196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6">
        <v>0</v>
      </c>
    </row>
    <row r="30" spans="1:11">
      <c r="A30" s="195">
        <v>8</v>
      </c>
      <c r="B30" s="195" t="s">
        <v>1313</v>
      </c>
      <c r="C30" s="194" t="s">
        <v>1314</v>
      </c>
      <c r="D30" s="196">
        <v>0</v>
      </c>
      <c r="E30" s="196">
        <v>0</v>
      </c>
      <c r="F30" s="196">
        <v>0</v>
      </c>
      <c r="G30" s="196">
        <v>0</v>
      </c>
      <c r="H30" s="196">
        <v>0</v>
      </c>
      <c r="I30" s="196">
        <v>0</v>
      </c>
      <c r="J30" s="196">
        <v>0</v>
      </c>
      <c r="K30" s="196">
        <v>0</v>
      </c>
    </row>
    <row r="31" spans="1:11">
      <c r="A31" s="195" t="s">
        <v>1108</v>
      </c>
      <c r="B31" s="195" t="s">
        <v>1315</v>
      </c>
      <c r="C31" s="194" t="s">
        <v>1316</v>
      </c>
      <c r="D31" s="196">
        <v>2313959.91</v>
      </c>
      <c r="E31" s="196">
        <v>25756.080000000002</v>
      </c>
      <c r="F31" s="196">
        <v>2288203.83</v>
      </c>
      <c r="G31" s="196">
        <v>0</v>
      </c>
      <c r="H31" s="196">
        <v>2313960</v>
      </c>
      <c r="I31" s="196">
        <v>25756</v>
      </c>
      <c r="J31" s="196">
        <v>2288204</v>
      </c>
      <c r="K31" s="196">
        <v>0</v>
      </c>
    </row>
    <row r="32" spans="1:11">
      <c r="A32" s="195" t="s">
        <v>1317</v>
      </c>
      <c r="B32" s="195" t="s">
        <v>1318</v>
      </c>
      <c r="C32" s="194" t="s">
        <v>1319</v>
      </c>
      <c r="D32" s="196">
        <v>1108831.83</v>
      </c>
      <c r="E32" s="196">
        <v>9934</v>
      </c>
      <c r="F32" s="196">
        <v>1098897.83</v>
      </c>
      <c r="G32" s="196">
        <v>0</v>
      </c>
      <c r="H32" s="196">
        <v>1108832</v>
      </c>
      <c r="I32" s="196">
        <v>9934</v>
      </c>
      <c r="J32" s="196">
        <v>1098898</v>
      </c>
      <c r="K32" s="196">
        <v>0</v>
      </c>
    </row>
    <row r="33" spans="1:11">
      <c r="A33" s="195" t="s">
        <v>1320</v>
      </c>
      <c r="B33" s="195" t="s">
        <v>1321</v>
      </c>
      <c r="C33" s="194" t="s">
        <v>1322</v>
      </c>
      <c r="D33" s="196">
        <v>0</v>
      </c>
      <c r="E33" s="196">
        <v>0</v>
      </c>
      <c r="F33" s="196">
        <v>0</v>
      </c>
      <c r="G33" s="196">
        <v>0</v>
      </c>
      <c r="H33" s="196">
        <v>0</v>
      </c>
      <c r="I33" s="196">
        <v>0</v>
      </c>
      <c r="J33" s="196">
        <v>0</v>
      </c>
      <c r="K33" s="196">
        <v>0</v>
      </c>
    </row>
    <row r="34" spans="1:11">
      <c r="A34" s="195">
        <v>2</v>
      </c>
      <c r="B34" s="195" t="s">
        <v>1323</v>
      </c>
      <c r="C34" s="194" t="s">
        <v>1324</v>
      </c>
      <c r="D34" s="196">
        <v>0</v>
      </c>
      <c r="E34" s="196">
        <v>0</v>
      </c>
      <c r="F34" s="196">
        <v>0</v>
      </c>
      <c r="G34" s="196">
        <v>0</v>
      </c>
      <c r="H34" s="196">
        <v>0</v>
      </c>
      <c r="I34" s="196">
        <v>0</v>
      </c>
      <c r="J34" s="196">
        <v>0</v>
      </c>
      <c r="K34" s="196">
        <v>0</v>
      </c>
    </row>
    <row r="35" spans="1:11">
      <c r="A35" s="195">
        <v>3</v>
      </c>
      <c r="B35" s="195" t="s">
        <v>1325</v>
      </c>
      <c r="C35" s="194" t="s">
        <v>1326</v>
      </c>
      <c r="D35" s="196">
        <v>0</v>
      </c>
      <c r="E35" s="196">
        <v>0</v>
      </c>
      <c r="F35" s="196">
        <v>0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</row>
    <row r="36" spans="1:11">
      <c r="A36" s="195">
        <v>4</v>
      </c>
      <c r="B36" s="195" t="s">
        <v>1327</v>
      </c>
      <c r="C36" s="194" t="s">
        <v>1328</v>
      </c>
      <c r="D36" s="196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196">
        <v>0</v>
      </c>
      <c r="K36" s="196">
        <v>0</v>
      </c>
    </row>
    <row r="37" spans="1:11">
      <c r="A37" s="195">
        <v>5</v>
      </c>
      <c r="B37" s="195" t="s">
        <v>1329</v>
      </c>
      <c r="C37" s="194" t="s">
        <v>1330</v>
      </c>
      <c r="D37" s="196">
        <v>1108831.83</v>
      </c>
      <c r="E37" s="196">
        <v>9934</v>
      </c>
      <c r="F37" s="196">
        <v>1098897.83</v>
      </c>
      <c r="G37" s="196">
        <v>0</v>
      </c>
      <c r="H37" s="196">
        <v>1108832</v>
      </c>
      <c r="I37" s="196">
        <v>9934</v>
      </c>
      <c r="J37" s="196">
        <v>1098898</v>
      </c>
      <c r="K37" s="196">
        <v>0</v>
      </c>
    </row>
    <row r="38" spans="1:11">
      <c r="A38" s="195">
        <v>6</v>
      </c>
      <c r="B38" s="195" t="s">
        <v>1331</v>
      </c>
      <c r="C38" s="194" t="s">
        <v>1332</v>
      </c>
      <c r="D38" s="196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196">
        <v>0</v>
      </c>
      <c r="K38" s="196">
        <v>0</v>
      </c>
    </row>
    <row r="39" spans="1:11">
      <c r="A39" s="195" t="s">
        <v>1333</v>
      </c>
      <c r="B39" s="195" t="s">
        <v>1334</v>
      </c>
      <c r="C39" s="194" t="s">
        <v>1335</v>
      </c>
      <c r="D39" s="196">
        <v>140082.04</v>
      </c>
      <c r="E39" s="196">
        <v>0</v>
      </c>
      <c r="F39" s="196">
        <v>140082.04</v>
      </c>
      <c r="G39" s="196">
        <v>0</v>
      </c>
      <c r="H39" s="196">
        <v>140082</v>
      </c>
      <c r="I39" s="196">
        <v>0</v>
      </c>
      <c r="J39" s="196">
        <v>140082</v>
      </c>
      <c r="K39" s="196">
        <v>0</v>
      </c>
    </row>
    <row r="40" spans="1:11">
      <c r="A40" s="195" t="s">
        <v>1336</v>
      </c>
      <c r="B40" s="195" t="s">
        <v>1337</v>
      </c>
      <c r="C40" s="194" t="s">
        <v>1338</v>
      </c>
      <c r="D40" s="196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</row>
    <row r="41" spans="1:11">
      <c r="A41" s="195">
        <v>2</v>
      </c>
      <c r="B41" s="195" t="s">
        <v>1339</v>
      </c>
      <c r="C41" s="194" t="s">
        <v>1340</v>
      </c>
      <c r="D41" s="196">
        <v>0</v>
      </c>
      <c r="E41" s="196">
        <v>0</v>
      </c>
      <c r="F41" s="196">
        <v>0</v>
      </c>
      <c r="G41" s="196">
        <v>0</v>
      </c>
      <c r="H41" s="196">
        <v>0</v>
      </c>
      <c r="I41" s="196">
        <v>0</v>
      </c>
      <c r="J41" s="196">
        <v>0</v>
      </c>
      <c r="K41" s="196">
        <v>0</v>
      </c>
    </row>
    <row r="42" spans="1:11">
      <c r="A42" s="195">
        <v>3</v>
      </c>
      <c r="B42" s="195" t="s">
        <v>1341</v>
      </c>
      <c r="C42" s="194" t="s">
        <v>1000</v>
      </c>
      <c r="D42" s="196">
        <v>0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196">
        <v>0</v>
      </c>
      <c r="K42" s="196">
        <v>0</v>
      </c>
    </row>
    <row r="43" spans="1:11">
      <c r="A43" s="195">
        <v>4</v>
      </c>
      <c r="B43" s="195" t="s">
        <v>1342</v>
      </c>
      <c r="C43" s="194" t="s">
        <v>1001</v>
      </c>
      <c r="D43" s="196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196">
        <v>0</v>
      </c>
      <c r="K43" s="196">
        <v>0</v>
      </c>
    </row>
    <row r="44" spans="1:11">
      <c r="A44" s="195">
        <v>5</v>
      </c>
      <c r="B44" s="195" t="s">
        <v>1343</v>
      </c>
      <c r="C44" s="194" t="s">
        <v>1344</v>
      </c>
      <c r="D44" s="196">
        <v>0</v>
      </c>
      <c r="E44" s="196">
        <v>0</v>
      </c>
      <c r="F44" s="196">
        <v>0</v>
      </c>
      <c r="G44" s="196">
        <v>0</v>
      </c>
      <c r="H44" s="196">
        <v>0</v>
      </c>
      <c r="I44" s="196">
        <v>0</v>
      </c>
      <c r="J44" s="196">
        <v>0</v>
      </c>
      <c r="K44" s="196">
        <v>0</v>
      </c>
    </row>
    <row r="45" spans="1:11">
      <c r="A45" s="195">
        <v>6</v>
      </c>
      <c r="B45" s="195" t="s">
        <v>1345</v>
      </c>
      <c r="C45" s="194" t="s">
        <v>1346</v>
      </c>
      <c r="D45" s="196">
        <v>0</v>
      </c>
      <c r="E45" s="196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</row>
    <row r="46" spans="1:11">
      <c r="A46" s="195">
        <v>7</v>
      </c>
      <c r="B46" s="195" t="s">
        <v>1347</v>
      </c>
      <c r="C46" s="194" t="s">
        <v>1348</v>
      </c>
      <c r="D46" s="196">
        <v>140082.04</v>
      </c>
      <c r="E46" s="196">
        <v>0</v>
      </c>
      <c r="F46" s="196">
        <v>140082.04</v>
      </c>
      <c r="G46" s="196">
        <v>0</v>
      </c>
      <c r="H46" s="196">
        <v>140082</v>
      </c>
      <c r="I46" s="196">
        <v>0</v>
      </c>
      <c r="J46" s="196">
        <v>140082</v>
      </c>
      <c r="K46" s="196">
        <v>0</v>
      </c>
    </row>
    <row r="47" spans="1:11">
      <c r="A47" s="195" t="s">
        <v>1349</v>
      </c>
      <c r="B47" s="195" t="s">
        <v>1350</v>
      </c>
      <c r="C47" s="194" t="s">
        <v>1351</v>
      </c>
      <c r="D47" s="196">
        <v>1007864.67</v>
      </c>
      <c r="E47" s="196">
        <v>15822.08</v>
      </c>
      <c r="F47" s="196">
        <v>992042.59</v>
      </c>
      <c r="G47" s="196">
        <v>0</v>
      </c>
      <c r="H47" s="196">
        <v>1007865</v>
      </c>
      <c r="I47" s="196">
        <v>15822</v>
      </c>
      <c r="J47" s="196">
        <v>992043</v>
      </c>
      <c r="K47" s="196">
        <v>0</v>
      </c>
    </row>
    <row r="48" spans="1:11">
      <c r="A48" s="195" t="s">
        <v>1352</v>
      </c>
      <c r="B48" s="195" t="s">
        <v>1337</v>
      </c>
      <c r="C48" s="194" t="s">
        <v>1353</v>
      </c>
      <c r="D48" s="196">
        <v>959905.66</v>
      </c>
      <c r="E48" s="196">
        <v>15822.08</v>
      </c>
      <c r="F48" s="196">
        <v>944083.58</v>
      </c>
      <c r="G48" s="196">
        <v>0</v>
      </c>
      <c r="H48" s="196">
        <v>959906</v>
      </c>
      <c r="I48" s="196">
        <v>15822</v>
      </c>
      <c r="J48" s="196">
        <v>944084</v>
      </c>
      <c r="K48" s="196">
        <v>0</v>
      </c>
    </row>
    <row r="49" spans="1:11">
      <c r="A49" s="195">
        <v>2</v>
      </c>
      <c r="B49" s="195" t="s">
        <v>1339</v>
      </c>
      <c r="C49" s="194" t="s">
        <v>1354</v>
      </c>
      <c r="D49" s="196">
        <v>0</v>
      </c>
      <c r="E49" s="196">
        <v>0</v>
      </c>
      <c r="F49" s="196">
        <v>0</v>
      </c>
      <c r="G49" s="196">
        <v>0</v>
      </c>
      <c r="H49" s="196">
        <v>0</v>
      </c>
      <c r="I49" s="196">
        <v>0</v>
      </c>
      <c r="J49" s="196">
        <v>0</v>
      </c>
      <c r="K49" s="196">
        <v>0</v>
      </c>
    </row>
    <row r="50" spans="1:11">
      <c r="A50" s="195">
        <v>3</v>
      </c>
      <c r="B50" s="195" t="s">
        <v>1341</v>
      </c>
      <c r="C50" s="194" t="s">
        <v>1355</v>
      </c>
      <c r="D50" s="196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196">
        <v>0</v>
      </c>
      <c r="K50" s="196">
        <v>0</v>
      </c>
    </row>
    <row r="51" spans="1:11">
      <c r="A51" s="195">
        <v>4</v>
      </c>
      <c r="B51" s="195" t="s">
        <v>1342</v>
      </c>
      <c r="C51" s="194" t="s">
        <v>1356</v>
      </c>
      <c r="D51" s="196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196">
        <v>0</v>
      </c>
      <c r="K51" s="196">
        <v>0</v>
      </c>
    </row>
    <row r="52" spans="1:11">
      <c r="A52" s="195">
        <v>5</v>
      </c>
      <c r="B52" s="195" t="s">
        <v>1357</v>
      </c>
      <c r="C52" s="194" t="s">
        <v>1358</v>
      </c>
      <c r="D52" s="196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6">
        <v>0</v>
      </c>
    </row>
    <row r="53" spans="1:11">
      <c r="A53" s="195">
        <v>6</v>
      </c>
      <c r="B53" s="195" t="s">
        <v>1359</v>
      </c>
      <c r="C53" s="194" t="s">
        <v>1360</v>
      </c>
      <c r="D53" s="196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196">
        <v>0</v>
      </c>
      <c r="K53" s="196">
        <v>0</v>
      </c>
    </row>
    <row r="54" spans="1:11">
      <c r="A54" s="195">
        <v>7</v>
      </c>
      <c r="B54" s="195" t="s">
        <v>1361</v>
      </c>
      <c r="C54" s="194" t="s">
        <v>1362</v>
      </c>
      <c r="D54" s="196">
        <v>0.61</v>
      </c>
      <c r="E54" s="196">
        <v>0</v>
      </c>
      <c r="F54" s="196">
        <v>0.61</v>
      </c>
      <c r="G54" s="196">
        <v>0</v>
      </c>
      <c r="H54" s="196">
        <v>1</v>
      </c>
      <c r="I54" s="196">
        <v>0</v>
      </c>
      <c r="J54" s="196">
        <v>1</v>
      </c>
      <c r="K54" s="196">
        <v>0</v>
      </c>
    </row>
    <row r="55" spans="1:11">
      <c r="A55" s="195">
        <v>8</v>
      </c>
      <c r="B55" s="195" t="s">
        <v>1345</v>
      </c>
      <c r="C55" s="194" t="s">
        <v>1363</v>
      </c>
      <c r="D55" s="196">
        <v>47958.400000000001</v>
      </c>
      <c r="E55" s="196">
        <v>0</v>
      </c>
      <c r="F55" s="196">
        <v>47958.400000000001</v>
      </c>
      <c r="G55" s="196">
        <v>0</v>
      </c>
      <c r="H55" s="196">
        <v>47958</v>
      </c>
      <c r="I55" s="196">
        <v>0</v>
      </c>
      <c r="J55" s="196">
        <v>47958</v>
      </c>
      <c r="K55" s="196">
        <v>0</v>
      </c>
    </row>
    <row r="56" spans="1:11">
      <c r="A56" s="195" t="s">
        <v>1364</v>
      </c>
      <c r="B56" s="195" t="s">
        <v>1365</v>
      </c>
      <c r="C56" s="194" t="s">
        <v>1366</v>
      </c>
      <c r="D56" s="196">
        <v>57181.37</v>
      </c>
      <c r="E56" s="196">
        <v>0</v>
      </c>
      <c r="F56" s="196">
        <v>57181.37</v>
      </c>
      <c r="G56" s="196">
        <v>0</v>
      </c>
      <c r="H56" s="196">
        <v>57181</v>
      </c>
      <c r="I56" s="196">
        <v>0</v>
      </c>
      <c r="J56" s="196">
        <v>57181</v>
      </c>
      <c r="K56" s="196">
        <v>0</v>
      </c>
    </row>
    <row r="57" spans="1:11">
      <c r="A57" s="195" t="s">
        <v>1367</v>
      </c>
      <c r="B57" s="195" t="s">
        <v>1368</v>
      </c>
      <c r="C57" s="194" t="s">
        <v>1369</v>
      </c>
      <c r="D57" s="196">
        <v>11800.46</v>
      </c>
      <c r="E57" s="196">
        <v>0</v>
      </c>
      <c r="F57" s="196">
        <v>11800.46</v>
      </c>
      <c r="G57" s="196">
        <v>0</v>
      </c>
      <c r="H57" s="196">
        <v>11800</v>
      </c>
      <c r="I57" s="196">
        <v>0</v>
      </c>
      <c r="J57" s="196">
        <v>11800</v>
      </c>
      <c r="K57" s="196">
        <v>0</v>
      </c>
    </row>
    <row r="58" spans="1:11">
      <c r="A58" s="195">
        <v>2</v>
      </c>
      <c r="B58" s="195" t="s">
        <v>1370</v>
      </c>
      <c r="C58" s="194" t="s">
        <v>1371</v>
      </c>
      <c r="D58" s="196">
        <v>45380.91</v>
      </c>
      <c r="E58" s="196">
        <v>0</v>
      </c>
      <c r="F58" s="196">
        <v>45380.91</v>
      </c>
      <c r="G58" s="196">
        <v>0</v>
      </c>
      <c r="H58" s="196">
        <v>45381</v>
      </c>
      <c r="I58" s="196">
        <v>0</v>
      </c>
      <c r="J58" s="196">
        <v>45381</v>
      </c>
      <c r="K58" s="196">
        <v>0</v>
      </c>
    </row>
    <row r="59" spans="1:11">
      <c r="A59" s="195">
        <v>3</v>
      </c>
      <c r="B59" s="195" t="s">
        <v>1372</v>
      </c>
      <c r="C59" s="194" t="s">
        <v>1373</v>
      </c>
      <c r="D59" s="196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196">
        <v>0</v>
      </c>
      <c r="K59" s="196">
        <v>0</v>
      </c>
    </row>
    <row r="60" spans="1:11">
      <c r="A60" s="195">
        <v>4</v>
      </c>
      <c r="B60" s="195" t="s">
        <v>1374</v>
      </c>
      <c r="C60" s="194" t="s">
        <v>1375</v>
      </c>
      <c r="D60" s="196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196">
        <v>0</v>
      </c>
      <c r="K60" s="196">
        <v>0</v>
      </c>
    </row>
    <row r="61" spans="1:11">
      <c r="A61" s="195">
        <v>5</v>
      </c>
      <c r="B61" s="195" t="s">
        <v>1376</v>
      </c>
      <c r="C61" s="194" t="s">
        <v>1377</v>
      </c>
      <c r="D61" s="196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196">
        <v>0</v>
      </c>
      <c r="K61" s="196">
        <v>0</v>
      </c>
    </row>
    <row r="62" spans="1:11">
      <c r="A62" s="195" t="s">
        <v>1118</v>
      </c>
      <c r="B62" s="195" t="s">
        <v>1378</v>
      </c>
      <c r="C62" s="194" t="s">
        <v>1379</v>
      </c>
      <c r="D62" s="196">
        <v>17524.82</v>
      </c>
      <c r="E62" s="196">
        <v>0</v>
      </c>
      <c r="F62" s="196">
        <v>17524.82</v>
      </c>
      <c r="G62" s="196">
        <v>0</v>
      </c>
      <c r="H62" s="196">
        <v>17525</v>
      </c>
      <c r="I62" s="196">
        <v>0</v>
      </c>
      <c r="J62" s="196">
        <v>17525</v>
      </c>
      <c r="K62" s="196">
        <v>0</v>
      </c>
    </row>
    <row r="63" spans="1:11">
      <c r="A63" s="195" t="s">
        <v>1121</v>
      </c>
      <c r="B63" s="195" t="s">
        <v>1380</v>
      </c>
      <c r="C63" s="194" t="s">
        <v>1381</v>
      </c>
      <c r="D63" s="196">
        <v>17524.82</v>
      </c>
      <c r="E63" s="196">
        <v>0</v>
      </c>
      <c r="F63" s="196">
        <v>17524.82</v>
      </c>
      <c r="G63" s="196">
        <v>0</v>
      </c>
      <c r="H63" s="196">
        <v>17525</v>
      </c>
      <c r="I63" s="196">
        <v>0</v>
      </c>
      <c r="J63" s="196">
        <v>17525</v>
      </c>
      <c r="K63" s="196">
        <v>0</v>
      </c>
    </row>
    <row r="64" spans="1:11">
      <c r="A64" s="195">
        <v>2</v>
      </c>
      <c r="B64" s="195" t="s">
        <v>1382</v>
      </c>
      <c r="C64" s="194" t="s">
        <v>1383</v>
      </c>
      <c r="D64" s="196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196">
        <v>0</v>
      </c>
      <c r="K64" s="196">
        <v>0</v>
      </c>
    </row>
    <row r="65" spans="1:11">
      <c r="A65" s="195">
        <v>3</v>
      </c>
      <c r="B65" s="195" t="s">
        <v>1384</v>
      </c>
      <c r="C65" s="194" t="s">
        <v>1385</v>
      </c>
      <c r="D65" s="196">
        <v>0</v>
      </c>
      <c r="E65" s="196">
        <v>0</v>
      </c>
      <c r="F65" s="196">
        <v>0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</row>
    <row r="66" spans="1:11">
      <c r="A66" s="195">
        <v>4</v>
      </c>
      <c r="B66" s="195" t="s">
        <v>1386</v>
      </c>
      <c r="C66" s="194" t="s">
        <v>1387</v>
      </c>
      <c r="D66" s="196">
        <v>0</v>
      </c>
      <c r="E66" s="196">
        <v>0</v>
      </c>
      <c r="F66" s="196">
        <v>0</v>
      </c>
      <c r="G66" s="196">
        <v>0</v>
      </c>
      <c r="H66" s="196">
        <v>0</v>
      </c>
      <c r="I66" s="196">
        <v>0</v>
      </c>
      <c r="J66" s="196">
        <v>0</v>
      </c>
      <c r="K66" s="196">
        <v>0</v>
      </c>
    </row>
    <row r="67" spans="1:11">
      <c r="A67" s="195"/>
      <c r="B67" s="195" t="s">
        <v>1388</v>
      </c>
      <c r="C67" s="194" t="s">
        <v>1389</v>
      </c>
      <c r="D67" s="196">
        <v>11814195.42</v>
      </c>
      <c r="E67" s="196">
        <v>989160.36</v>
      </c>
      <c r="F67" s="196">
        <v>10825035.060000001</v>
      </c>
      <c r="G67" s="196">
        <v>0</v>
      </c>
      <c r="H67" s="196">
        <v>11814195</v>
      </c>
      <c r="I67" s="196">
        <v>989160</v>
      </c>
      <c r="J67" s="196">
        <v>10825035</v>
      </c>
      <c r="K67" s="196">
        <v>0</v>
      </c>
    </row>
    <row r="68" spans="1:11">
      <c r="A68" s="195"/>
      <c r="B68" s="195"/>
      <c r="C68" s="194"/>
      <c r="D68" s="196"/>
      <c r="E68" s="196"/>
      <c r="F68" s="196"/>
      <c r="G68" s="196"/>
      <c r="H68" s="196"/>
      <c r="I68" s="196"/>
      <c r="J68" s="196"/>
      <c r="K68" s="196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sheetPr>
    <tabColor rgb="FF0070C0"/>
  </sheetPr>
  <dimension ref="A1:G61"/>
  <sheetViews>
    <sheetView topLeftCell="A2" workbookViewId="0">
      <selection activeCell="C19" sqref="C19"/>
    </sheetView>
  </sheetViews>
  <sheetFormatPr defaultRowHeight="15"/>
  <cols>
    <col min="1" max="1" width="9.140625" style="198"/>
    <col min="2" max="2" width="79.42578125" style="198" bestFit="1" customWidth="1"/>
    <col min="3" max="3" width="4.42578125" style="197" bestFit="1" customWidth="1"/>
    <col min="4" max="7" width="15.28515625" style="199" bestFit="1" customWidth="1"/>
    <col min="8" max="16384" width="9.140625" style="193"/>
  </cols>
  <sheetData>
    <row r="1" spans="1:7" ht="22.5">
      <c r="A1" s="204" t="s">
        <v>503</v>
      </c>
      <c r="B1" s="204" t="s">
        <v>509</v>
      </c>
      <c r="C1" s="203" t="s">
        <v>526</v>
      </c>
      <c r="D1" s="205" t="s">
        <v>533</v>
      </c>
      <c r="E1" s="205" t="s">
        <v>534</v>
      </c>
      <c r="F1" s="205" t="s">
        <v>510</v>
      </c>
      <c r="G1" s="205" t="s">
        <v>508</v>
      </c>
    </row>
    <row r="2" spans="1:7">
      <c r="B2" s="198" t="s">
        <v>1390</v>
      </c>
      <c r="C2" s="197" t="s">
        <v>1391</v>
      </c>
      <c r="D2" s="199">
        <v>2710639.97</v>
      </c>
      <c r="E2" s="199">
        <v>0</v>
      </c>
      <c r="F2" s="199">
        <v>2710640</v>
      </c>
      <c r="G2" s="199">
        <v>0</v>
      </c>
    </row>
    <row r="3" spans="1:7">
      <c r="A3" s="198" t="s">
        <v>1092</v>
      </c>
      <c r="B3" s="198" t="s">
        <v>1392</v>
      </c>
      <c r="C3" s="197" t="s">
        <v>1393</v>
      </c>
      <c r="D3" s="196">
        <v>282066.49</v>
      </c>
      <c r="E3" s="196">
        <v>0</v>
      </c>
      <c r="F3" s="196">
        <v>282066</v>
      </c>
      <c r="G3" s="196">
        <v>0</v>
      </c>
    </row>
    <row r="4" spans="1:7">
      <c r="A4" s="198" t="s">
        <v>1258</v>
      </c>
      <c r="B4" s="198" t="s">
        <v>1394</v>
      </c>
      <c r="C4" s="197" t="s">
        <v>1395</v>
      </c>
      <c r="D4" s="199">
        <v>805000</v>
      </c>
      <c r="E4" s="199">
        <v>0</v>
      </c>
      <c r="F4" s="199">
        <v>805000</v>
      </c>
      <c r="G4" s="199">
        <v>0</v>
      </c>
    </row>
    <row r="5" spans="1:7">
      <c r="A5" s="198" t="s">
        <v>1396</v>
      </c>
      <c r="B5" s="198" t="s">
        <v>1397</v>
      </c>
      <c r="C5" s="197" t="s">
        <v>1398</v>
      </c>
      <c r="D5" s="199">
        <v>5000</v>
      </c>
      <c r="E5" s="199">
        <v>0</v>
      </c>
      <c r="F5" s="199">
        <v>5000</v>
      </c>
      <c r="G5" s="199">
        <v>0</v>
      </c>
    </row>
    <row r="6" spans="1:7">
      <c r="A6" s="198">
        <v>2</v>
      </c>
      <c r="B6" s="198" t="s">
        <v>1399</v>
      </c>
      <c r="C6" s="197" t="s">
        <v>1400</v>
      </c>
      <c r="D6" s="199">
        <v>0</v>
      </c>
      <c r="E6" s="199">
        <v>0</v>
      </c>
      <c r="F6" s="199">
        <v>0</v>
      </c>
      <c r="G6" s="199">
        <v>0</v>
      </c>
    </row>
    <row r="7" spans="1:7">
      <c r="A7" s="198">
        <v>3</v>
      </c>
      <c r="B7" s="198" t="s">
        <v>1401</v>
      </c>
      <c r="C7" s="197" t="s">
        <v>1402</v>
      </c>
      <c r="D7" s="199">
        <v>800000</v>
      </c>
      <c r="E7" s="199">
        <v>0</v>
      </c>
      <c r="F7" s="199">
        <v>800000</v>
      </c>
      <c r="G7" s="199">
        <v>0</v>
      </c>
    </row>
    <row r="8" spans="1:7">
      <c r="A8" s="198">
        <v>4</v>
      </c>
      <c r="B8" s="198" t="s">
        <v>1403</v>
      </c>
      <c r="C8" s="197" t="s">
        <v>1404</v>
      </c>
      <c r="D8" s="199">
        <v>0</v>
      </c>
      <c r="E8" s="199">
        <v>0</v>
      </c>
      <c r="F8" s="199">
        <v>0</v>
      </c>
      <c r="G8" s="199">
        <v>0</v>
      </c>
    </row>
    <row r="9" spans="1:7">
      <c r="A9" s="198" t="s">
        <v>1276</v>
      </c>
      <c r="B9" s="198" t="s">
        <v>1405</v>
      </c>
      <c r="C9" s="197" t="s">
        <v>1002</v>
      </c>
      <c r="D9" s="199">
        <v>0</v>
      </c>
      <c r="E9" s="199">
        <v>0</v>
      </c>
      <c r="F9" s="199">
        <v>0</v>
      </c>
      <c r="G9" s="199">
        <v>0</v>
      </c>
    </row>
    <row r="10" spans="1:7">
      <c r="A10" s="198" t="s">
        <v>1279</v>
      </c>
      <c r="B10" s="198" t="s">
        <v>1406</v>
      </c>
      <c r="C10" s="197" t="s">
        <v>1407</v>
      </c>
      <c r="D10" s="199">
        <v>0</v>
      </c>
      <c r="E10" s="199">
        <v>0</v>
      </c>
      <c r="F10" s="199">
        <v>0</v>
      </c>
      <c r="G10" s="199">
        <v>0</v>
      </c>
    </row>
    <row r="11" spans="1:7">
      <c r="A11" s="198">
        <v>2</v>
      </c>
      <c r="B11" s="198" t="s">
        <v>1408</v>
      </c>
      <c r="C11" s="197" t="s">
        <v>1003</v>
      </c>
      <c r="D11" s="199">
        <v>0</v>
      </c>
      <c r="E11" s="199">
        <v>0</v>
      </c>
      <c r="F11" s="199">
        <v>0</v>
      </c>
      <c r="G11" s="199">
        <v>0</v>
      </c>
    </row>
    <row r="12" spans="1:7">
      <c r="A12" s="198">
        <v>3</v>
      </c>
      <c r="B12" s="198" t="s">
        <v>1409</v>
      </c>
      <c r="C12" s="197" t="s">
        <v>1410</v>
      </c>
      <c r="D12" s="199">
        <v>0</v>
      </c>
      <c r="E12" s="199">
        <v>0</v>
      </c>
      <c r="F12" s="199">
        <v>0</v>
      </c>
      <c r="G12" s="199">
        <v>0</v>
      </c>
    </row>
    <row r="13" spans="1:7">
      <c r="A13" s="198">
        <v>4</v>
      </c>
      <c r="B13" s="198" t="s">
        <v>1411</v>
      </c>
      <c r="C13" s="197" t="s">
        <v>1412</v>
      </c>
      <c r="D13" s="199">
        <v>0</v>
      </c>
      <c r="E13" s="199">
        <v>0</v>
      </c>
      <c r="F13" s="199">
        <v>0</v>
      </c>
      <c r="G13" s="199">
        <v>0</v>
      </c>
    </row>
    <row r="14" spans="1:7">
      <c r="A14" s="198">
        <v>5</v>
      </c>
      <c r="B14" s="198" t="s">
        <v>1413</v>
      </c>
      <c r="C14" s="197" t="s">
        <v>1414</v>
      </c>
      <c r="D14" s="199">
        <v>0</v>
      </c>
      <c r="E14" s="199">
        <v>0</v>
      </c>
      <c r="F14" s="199">
        <v>0</v>
      </c>
      <c r="G14" s="199">
        <v>0</v>
      </c>
    </row>
    <row r="15" spans="1:7">
      <c r="A15" s="198">
        <v>6</v>
      </c>
      <c r="B15" s="198" t="s">
        <v>1415</v>
      </c>
      <c r="C15" s="197" t="s">
        <v>1416</v>
      </c>
      <c r="D15" s="199">
        <v>0</v>
      </c>
      <c r="E15" s="199">
        <v>0</v>
      </c>
      <c r="F15" s="199">
        <v>0</v>
      </c>
      <c r="G15" s="199">
        <v>0</v>
      </c>
    </row>
    <row r="16" spans="1:7">
      <c r="A16" s="198" t="s">
        <v>1296</v>
      </c>
      <c r="B16" s="198" t="s">
        <v>1417</v>
      </c>
      <c r="C16" s="197" t="s">
        <v>1418</v>
      </c>
      <c r="D16" s="199">
        <v>0</v>
      </c>
      <c r="E16" s="199">
        <v>0</v>
      </c>
      <c r="F16" s="199">
        <v>0</v>
      </c>
      <c r="G16" s="199">
        <v>0</v>
      </c>
    </row>
    <row r="17" spans="1:7">
      <c r="A17" s="198" t="s">
        <v>1299</v>
      </c>
      <c r="B17" s="198" t="s">
        <v>1419</v>
      </c>
      <c r="C17" s="197" t="s">
        <v>1420</v>
      </c>
      <c r="D17" s="199">
        <v>0</v>
      </c>
      <c r="E17" s="199">
        <v>0</v>
      </c>
      <c r="F17" s="199">
        <v>0</v>
      </c>
      <c r="G17" s="199">
        <v>0</v>
      </c>
    </row>
    <row r="18" spans="1:7">
      <c r="A18" s="198">
        <v>2</v>
      </c>
      <c r="B18" s="198" t="s">
        <v>1421</v>
      </c>
      <c r="C18" s="197" t="s">
        <v>1004</v>
      </c>
      <c r="D18" s="199">
        <v>0</v>
      </c>
      <c r="E18" s="199">
        <v>0</v>
      </c>
      <c r="F18" s="199">
        <v>0</v>
      </c>
      <c r="G18" s="199">
        <v>0</v>
      </c>
    </row>
    <row r="19" spans="1:7">
      <c r="A19" s="198">
        <v>3</v>
      </c>
      <c r="B19" s="198" t="s">
        <v>1422</v>
      </c>
      <c r="C19" s="197" t="s">
        <v>1423</v>
      </c>
      <c r="D19" s="199">
        <v>0</v>
      </c>
      <c r="E19" s="199">
        <v>0</v>
      </c>
      <c r="F19" s="199">
        <v>0</v>
      </c>
      <c r="G19" s="199">
        <v>0</v>
      </c>
    </row>
    <row r="20" spans="1:7">
      <c r="A20" s="198" t="s">
        <v>1424</v>
      </c>
      <c r="B20" s="198" t="s">
        <v>1425</v>
      </c>
      <c r="C20" s="197" t="s">
        <v>1426</v>
      </c>
      <c r="D20" s="199">
        <v>-247555.52</v>
      </c>
      <c r="E20" s="199">
        <v>0</v>
      </c>
      <c r="F20" s="199">
        <v>-247556</v>
      </c>
      <c r="G20" s="199">
        <v>0</v>
      </c>
    </row>
    <row r="21" spans="1:7">
      <c r="A21" s="198" t="s">
        <v>1427</v>
      </c>
      <c r="B21" s="198" t="s">
        <v>1428</v>
      </c>
      <c r="C21" s="197" t="s">
        <v>1429</v>
      </c>
      <c r="D21" s="199">
        <v>0</v>
      </c>
      <c r="E21" s="199">
        <v>0</v>
      </c>
      <c r="F21" s="199">
        <v>0</v>
      </c>
      <c r="G21" s="199">
        <v>0</v>
      </c>
    </row>
    <row r="22" spans="1:7">
      <c r="A22" s="198">
        <v>2</v>
      </c>
      <c r="B22" s="198" t="s">
        <v>1430</v>
      </c>
      <c r="C22" s="197" t="s">
        <v>1431</v>
      </c>
      <c r="D22" s="199">
        <v>247555.52</v>
      </c>
      <c r="E22" s="199">
        <v>0</v>
      </c>
      <c r="F22" s="199">
        <v>247556</v>
      </c>
      <c r="G22" s="199">
        <v>0</v>
      </c>
    </row>
    <row r="23" spans="1:7">
      <c r="A23" s="198" t="s">
        <v>1432</v>
      </c>
      <c r="B23" s="198" t="s">
        <v>1433</v>
      </c>
      <c r="C23" s="197" t="s">
        <v>1434</v>
      </c>
      <c r="D23" s="199">
        <v>-275377.99</v>
      </c>
      <c r="E23" s="199">
        <v>0</v>
      </c>
      <c r="F23" s="199">
        <v>-275378</v>
      </c>
      <c r="G23" s="199">
        <v>0</v>
      </c>
    </row>
    <row r="24" spans="1:7">
      <c r="A24" s="198" t="s">
        <v>1108</v>
      </c>
      <c r="B24" s="198" t="s">
        <v>1435</v>
      </c>
      <c r="C24" s="197" t="s">
        <v>1436</v>
      </c>
      <c r="D24" s="199">
        <v>2428573.48</v>
      </c>
      <c r="E24" s="199">
        <v>0</v>
      </c>
      <c r="F24" s="199">
        <v>2428574</v>
      </c>
      <c r="G24" s="199">
        <v>0</v>
      </c>
    </row>
    <row r="25" spans="1:7">
      <c r="A25" s="198" t="s">
        <v>1317</v>
      </c>
      <c r="B25" s="198" t="s">
        <v>1437</v>
      </c>
      <c r="C25" s="197" t="s">
        <v>1438</v>
      </c>
      <c r="D25" s="199">
        <v>33594.129999999997</v>
      </c>
      <c r="E25" s="199">
        <v>0</v>
      </c>
      <c r="F25" s="199">
        <v>33594</v>
      </c>
      <c r="G25" s="199">
        <v>0</v>
      </c>
    </row>
    <row r="26" spans="1:7">
      <c r="A26" s="198" t="s">
        <v>1320</v>
      </c>
      <c r="B26" s="198" t="s">
        <v>1439</v>
      </c>
      <c r="C26" s="197" t="s">
        <v>1440</v>
      </c>
      <c r="D26" s="199">
        <v>0</v>
      </c>
      <c r="E26" s="199">
        <v>0</v>
      </c>
      <c r="F26" s="199">
        <v>0</v>
      </c>
      <c r="G26" s="199">
        <v>0</v>
      </c>
    </row>
    <row r="27" spans="1:7">
      <c r="A27" s="198">
        <v>2</v>
      </c>
      <c r="B27" s="198" t="s">
        <v>1441</v>
      </c>
      <c r="C27" s="197" t="s">
        <v>1442</v>
      </c>
      <c r="D27" s="199">
        <v>33594.129999999997</v>
      </c>
      <c r="E27" s="199">
        <v>0</v>
      </c>
      <c r="F27" s="199">
        <v>33594</v>
      </c>
      <c r="G27" s="199">
        <v>0</v>
      </c>
    </row>
    <row r="28" spans="1:7">
      <c r="A28" s="198">
        <v>3</v>
      </c>
      <c r="B28" s="198" t="s">
        <v>1443</v>
      </c>
      <c r="C28" s="197" t="s">
        <v>1444</v>
      </c>
      <c r="D28" s="199">
        <v>0</v>
      </c>
      <c r="E28" s="199">
        <v>0</v>
      </c>
      <c r="F28" s="199">
        <v>0</v>
      </c>
      <c r="G28" s="199">
        <v>0</v>
      </c>
    </row>
    <row r="29" spans="1:7">
      <c r="A29" s="198">
        <v>4</v>
      </c>
      <c r="B29" s="198" t="s">
        <v>1445</v>
      </c>
      <c r="C29" s="197" t="s">
        <v>1446</v>
      </c>
      <c r="D29" s="199">
        <v>0</v>
      </c>
      <c r="E29" s="199">
        <v>0</v>
      </c>
      <c r="F29" s="199">
        <v>0</v>
      </c>
      <c r="G29" s="199">
        <v>0</v>
      </c>
    </row>
    <row r="30" spans="1:7">
      <c r="A30" s="198" t="s">
        <v>1333</v>
      </c>
      <c r="B30" s="198" t="s">
        <v>1447</v>
      </c>
      <c r="C30" s="197" t="s">
        <v>1448</v>
      </c>
      <c r="D30" s="199">
        <v>195.22</v>
      </c>
      <c r="E30" s="199">
        <v>0</v>
      </c>
      <c r="F30" s="199">
        <v>195</v>
      </c>
      <c r="G30" s="199">
        <v>0</v>
      </c>
    </row>
    <row r="31" spans="1:7">
      <c r="A31" s="198" t="s">
        <v>1336</v>
      </c>
      <c r="B31" s="198" t="s">
        <v>1449</v>
      </c>
      <c r="C31" s="197" t="s">
        <v>1450</v>
      </c>
      <c r="D31" s="199">
        <v>0</v>
      </c>
      <c r="E31" s="199">
        <v>0</v>
      </c>
      <c r="F31" s="199">
        <v>0</v>
      </c>
      <c r="G31" s="199">
        <v>0</v>
      </c>
    </row>
    <row r="32" spans="1:7">
      <c r="A32" s="198">
        <v>2</v>
      </c>
      <c r="B32" s="198" t="s">
        <v>1339</v>
      </c>
      <c r="C32" s="197" t="s">
        <v>1451</v>
      </c>
      <c r="D32" s="199">
        <v>0</v>
      </c>
      <c r="E32" s="199">
        <v>0</v>
      </c>
      <c r="F32" s="199">
        <v>0</v>
      </c>
      <c r="G32" s="199">
        <v>0</v>
      </c>
    </row>
    <row r="33" spans="1:7">
      <c r="A33" s="198">
        <v>3</v>
      </c>
      <c r="B33" s="198" t="s">
        <v>1452</v>
      </c>
      <c r="C33" s="197" t="s">
        <v>1453</v>
      </c>
      <c r="D33" s="199">
        <v>0</v>
      </c>
      <c r="E33" s="199">
        <v>0</v>
      </c>
      <c r="F33" s="199">
        <v>0</v>
      </c>
      <c r="G33" s="199">
        <v>0</v>
      </c>
    </row>
    <row r="34" spans="1:7">
      <c r="A34" s="198">
        <v>4</v>
      </c>
      <c r="B34" s="198" t="s">
        <v>1454</v>
      </c>
      <c r="C34" s="197" t="s">
        <v>1455</v>
      </c>
      <c r="D34" s="199">
        <v>0</v>
      </c>
      <c r="E34" s="199">
        <v>0</v>
      </c>
      <c r="F34" s="199">
        <v>0</v>
      </c>
      <c r="G34" s="199">
        <v>0</v>
      </c>
    </row>
    <row r="35" spans="1:7">
      <c r="A35" s="198">
        <v>5</v>
      </c>
      <c r="B35" s="198" t="s">
        <v>1456</v>
      </c>
      <c r="C35" s="197" t="s">
        <v>1457</v>
      </c>
      <c r="D35" s="199">
        <v>0</v>
      </c>
      <c r="E35" s="199">
        <v>0</v>
      </c>
      <c r="F35" s="199">
        <v>0</v>
      </c>
      <c r="G35" s="199">
        <v>0</v>
      </c>
    </row>
    <row r="36" spans="1:7">
      <c r="A36" s="198">
        <v>6</v>
      </c>
      <c r="B36" s="198" t="s">
        <v>1458</v>
      </c>
      <c r="C36" s="197" t="s">
        <v>1459</v>
      </c>
      <c r="D36" s="199">
        <v>0</v>
      </c>
      <c r="E36" s="199">
        <v>0</v>
      </c>
      <c r="F36" s="199">
        <v>0</v>
      </c>
      <c r="G36" s="199">
        <v>0</v>
      </c>
    </row>
    <row r="37" spans="1:7">
      <c r="A37" s="198">
        <v>7</v>
      </c>
      <c r="B37" s="198" t="s">
        <v>1460</v>
      </c>
      <c r="C37" s="197" t="s">
        <v>1461</v>
      </c>
      <c r="D37" s="199">
        <v>0</v>
      </c>
      <c r="E37" s="199">
        <v>0</v>
      </c>
      <c r="F37" s="199">
        <v>0</v>
      </c>
      <c r="G37" s="199">
        <v>0</v>
      </c>
    </row>
    <row r="38" spans="1:7">
      <c r="A38" s="198">
        <v>8</v>
      </c>
      <c r="B38" s="198" t="s">
        <v>1462</v>
      </c>
      <c r="C38" s="197" t="s">
        <v>1463</v>
      </c>
      <c r="D38" s="199">
        <v>0</v>
      </c>
      <c r="E38" s="199">
        <v>0</v>
      </c>
      <c r="F38" s="199">
        <v>0</v>
      </c>
      <c r="G38" s="199">
        <v>0</v>
      </c>
    </row>
    <row r="39" spans="1:7">
      <c r="A39" s="198">
        <v>9</v>
      </c>
      <c r="B39" s="198" t="s">
        <v>1464</v>
      </c>
      <c r="C39" s="197" t="s">
        <v>1465</v>
      </c>
      <c r="D39" s="199">
        <v>195.22</v>
      </c>
      <c r="E39" s="199">
        <v>0</v>
      </c>
      <c r="F39" s="199">
        <v>195</v>
      </c>
      <c r="G39" s="199">
        <v>0</v>
      </c>
    </row>
    <row r="40" spans="1:7">
      <c r="A40" s="198">
        <v>10</v>
      </c>
      <c r="B40" s="198" t="s">
        <v>1466</v>
      </c>
      <c r="C40" s="197" t="s">
        <v>1467</v>
      </c>
      <c r="D40" s="199">
        <v>0</v>
      </c>
      <c r="E40" s="199">
        <v>0</v>
      </c>
      <c r="F40" s="199">
        <v>0</v>
      </c>
      <c r="G40" s="199">
        <v>0</v>
      </c>
    </row>
    <row r="41" spans="1:7">
      <c r="A41" s="198">
        <v>11</v>
      </c>
      <c r="B41" s="198" t="s">
        <v>1468</v>
      </c>
      <c r="C41" s="197" t="s">
        <v>1469</v>
      </c>
      <c r="D41" s="199">
        <v>0</v>
      </c>
      <c r="E41" s="199">
        <v>0</v>
      </c>
      <c r="F41" s="199">
        <v>0</v>
      </c>
      <c r="G41" s="199">
        <v>0</v>
      </c>
    </row>
    <row r="42" spans="1:7">
      <c r="A42" s="198" t="s">
        <v>1349</v>
      </c>
      <c r="B42" s="198" t="s">
        <v>1470</v>
      </c>
      <c r="C42" s="197" t="s">
        <v>1471</v>
      </c>
      <c r="D42" s="199">
        <v>2394784.13</v>
      </c>
      <c r="E42" s="199">
        <v>0</v>
      </c>
      <c r="F42" s="199">
        <v>2394785</v>
      </c>
      <c r="G42" s="199">
        <v>0</v>
      </c>
    </row>
    <row r="43" spans="1:7">
      <c r="A43" s="198" t="s">
        <v>1472</v>
      </c>
      <c r="B43" s="198" t="s">
        <v>1473</v>
      </c>
      <c r="C43" s="197" t="s">
        <v>1474</v>
      </c>
      <c r="D43" s="199">
        <v>2326470.41</v>
      </c>
      <c r="E43" s="199">
        <v>0</v>
      </c>
      <c r="F43" s="199">
        <v>2326471</v>
      </c>
      <c r="G43" s="199">
        <v>0</v>
      </c>
    </row>
    <row r="44" spans="1:7">
      <c r="A44" s="198">
        <v>2</v>
      </c>
      <c r="B44" s="198" t="s">
        <v>1339</v>
      </c>
      <c r="C44" s="197" t="s">
        <v>1475</v>
      </c>
      <c r="D44" s="199">
        <v>0</v>
      </c>
      <c r="E44" s="199">
        <v>0</v>
      </c>
      <c r="F44" s="199">
        <v>0</v>
      </c>
      <c r="G44" s="199">
        <v>0</v>
      </c>
    </row>
    <row r="45" spans="1:7">
      <c r="A45" s="198">
        <v>3</v>
      </c>
      <c r="B45" s="198" t="s">
        <v>1476</v>
      </c>
      <c r="C45" s="197" t="s">
        <v>1477</v>
      </c>
      <c r="D45" s="199">
        <v>0</v>
      </c>
      <c r="E45" s="199">
        <v>0</v>
      </c>
      <c r="F45" s="199">
        <v>0</v>
      </c>
      <c r="G45" s="199">
        <v>0</v>
      </c>
    </row>
    <row r="46" spans="1:7">
      <c r="A46" s="198">
        <v>4</v>
      </c>
      <c r="B46" s="198" t="s">
        <v>1478</v>
      </c>
      <c r="C46" s="197" t="s">
        <v>1479</v>
      </c>
      <c r="D46" s="199">
        <v>0</v>
      </c>
      <c r="E46" s="199">
        <v>0</v>
      </c>
      <c r="F46" s="199">
        <v>0</v>
      </c>
      <c r="G46" s="199">
        <v>0</v>
      </c>
    </row>
    <row r="47" spans="1:7">
      <c r="A47" s="198">
        <v>5</v>
      </c>
      <c r="B47" s="198" t="s">
        <v>1480</v>
      </c>
      <c r="C47" s="197" t="s">
        <v>1481</v>
      </c>
      <c r="D47" s="199">
        <v>0</v>
      </c>
      <c r="E47" s="199">
        <v>0</v>
      </c>
      <c r="F47" s="199">
        <v>0</v>
      </c>
      <c r="G47" s="199">
        <v>0</v>
      </c>
    </row>
    <row r="48" spans="1:7">
      <c r="A48" s="198">
        <v>6</v>
      </c>
      <c r="B48" s="198" t="s">
        <v>1482</v>
      </c>
      <c r="C48" s="197" t="s">
        <v>1005</v>
      </c>
      <c r="D48" s="199">
        <v>0</v>
      </c>
      <c r="E48" s="199">
        <v>0</v>
      </c>
      <c r="F48" s="199">
        <v>0</v>
      </c>
      <c r="G48" s="199">
        <v>0</v>
      </c>
    </row>
    <row r="49" spans="1:7">
      <c r="A49" s="198">
        <v>7</v>
      </c>
      <c r="B49" s="198" t="s">
        <v>1483</v>
      </c>
      <c r="C49" s="197" t="s">
        <v>1484</v>
      </c>
      <c r="D49" s="199">
        <v>10420.77</v>
      </c>
      <c r="E49" s="199">
        <v>0</v>
      </c>
      <c r="F49" s="199">
        <v>10421</v>
      </c>
      <c r="G49" s="199">
        <v>0</v>
      </c>
    </row>
    <row r="50" spans="1:7">
      <c r="A50" s="198">
        <v>8</v>
      </c>
      <c r="B50" s="198" t="s">
        <v>1485</v>
      </c>
      <c r="C50" s="197" t="s">
        <v>1486</v>
      </c>
      <c r="D50" s="199">
        <v>10538.28</v>
      </c>
      <c r="E50" s="199">
        <v>0</v>
      </c>
      <c r="F50" s="199">
        <v>10538</v>
      </c>
      <c r="G50" s="199">
        <v>0</v>
      </c>
    </row>
    <row r="51" spans="1:7">
      <c r="A51" s="198">
        <v>9</v>
      </c>
      <c r="B51" s="198" t="s">
        <v>1487</v>
      </c>
      <c r="C51" s="197" t="s">
        <v>1488</v>
      </c>
      <c r="D51" s="199">
        <v>10357.67</v>
      </c>
      <c r="E51" s="199">
        <v>0</v>
      </c>
      <c r="F51" s="199">
        <v>10358</v>
      </c>
      <c r="G51" s="199">
        <v>0</v>
      </c>
    </row>
    <row r="52" spans="1:7">
      <c r="A52" s="198">
        <v>10</v>
      </c>
      <c r="B52" s="198" t="s">
        <v>1489</v>
      </c>
      <c r="C52" s="197" t="s">
        <v>1490</v>
      </c>
      <c r="D52" s="199">
        <v>36997</v>
      </c>
      <c r="E52" s="199">
        <v>0</v>
      </c>
      <c r="F52" s="199">
        <v>36997</v>
      </c>
      <c r="G52" s="199">
        <v>0</v>
      </c>
    </row>
    <row r="53" spans="1:7">
      <c r="A53" s="198" t="s">
        <v>1364</v>
      </c>
      <c r="B53" s="198" t="s">
        <v>1491</v>
      </c>
      <c r="C53" s="197" t="s">
        <v>1492</v>
      </c>
      <c r="D53" s="199">
        <v>0</v>
      </c>
      <c r="E53" s="199">
        <v>0</v>
      </c>
      <c r="F53" s="199">
        <v>0</v>
      </c>
      <c r="G53" s="199">
        <v>0</v>
      </c>
    </row>
    <row r="54" spans="1:7">
      <c r="A54" s="198" t="s">
        <v>1493</v>
      </c>
      <c r="B54" s="198" t="s">
        <v>1494</v>
      </c>
      <c r="C54" s="197" t="s">
        <v>1495</v>
      </c>
      <c r="D54" s="199">
        <v>0</v>
      </c>
      <c r="E54" s="199">
        <v>0</v>
      </c>
      <c r="F54" s="199">
        <v>0</v>
      </c>
      <c r="G54" s="199">
        <v>0</v>
      </c>
    </row>
    <row r="55" spans="1:7">
      <c r="A55" s="198" t="s">
        <v>1367</v>
      </c>
      <c r="B55" s="198" t="s">
        <v>1496</v>
      </c>
      <c r="C55" s="197" t="s">
        <v>1497</v>
      </c>
      <c r="D55" s="199">
        <v>0</v>
      </c>
      <c r="E55" s="199">
        <v>0</v>
      </c>
      <c r="F55" s="199">
        <v>0</v>
      </c>
      <c r="G55" s="199">
        <v>0</v>
      </c>
    </row>
    <row r="56" spans="1:7">
      <c r="A56" s="198">
        <v>2</v>
      </c>
      <c r="B56" s="198" t="s">
        <v>1498</v>
      </c>
      <c r="C56" s="197" t="s">
        <v>1499</v>
      </c>
      <c r="D56" s="199">
        <v>0</v>
      </c>
      <c r="E56" s="199">
        <v>0</v>
      </c>
      <c r="F56" s="199">
        <v>0</v>
      </c>
      <c r="G56" s="199">
        <v>0</v>
      </c>
    </row>
    <row r="57" spans="1:7">
      <c r="A57" s="198" t="s">
        <v>1118</v>
      </c>
      <c r="B57" s="198" t="s">
        <v>1500</v>
      </c>
      <c r="C57" s="197" t="s">
        <v>1501</v>
      </c>
      <c r="D57" s="199">
        <v>0</v>
      </c>
      <c r="E57" s="199">
        <v>0</v>
      </c>
      <c r="F57" s="199">
        <v>0</v>
      </c>
      <c r="G57" s="199">
        <v>0</v>
      </c>
    </row>
    <row r="58" spans="1:7">
      <c r="A58" s="198" t="s">
        <v>1121</v>
      </c>
      <c r="B58" s="198" t="s">
        <v>1502</v>
      </c>
      <c r="C58" s="197" t="s">
        <v>1503</v>
      </c>
      <c r="D58" s="199">
        <v>0</v>
      </c>
      <c r="E58" s="199">
        <v>0</v>
      </c>
      <c r="F58" s="199">
        <v>0</v>
      </c>
      <c r="G58" s="199">
        <v>0</v>
      </c>
    </row>
    <row r="59" spans="1:7">
      <c r="A59" s="198">
        <v>2</v>
      </c>
      <c r="B59" s="198" t="s">
        <v>1504</v>
      </c>
      <c r="C59" s="197" t="s">
        <v>1505</v>
      </c>
      <c r="D59" s="199">
        <v>0</v>
      </c>
      <c r="E59" s="199">
        <v>0</v>
      </c>
      <c r="F59" s="199">
        <v>0</v>
      </c>
      <c r="G59" s="199">
        <v>0</v>
      </c>
    </row>
    <row r="60" spans="1:7">
      <c r="A60" s="198">
        <v>3</v>
      </c>
      <c r="B60" s="198" t="s">
        <v>1506</v>
      </c>
      <c r="C60" s="197" t="s">
        <v>1507</v>
      </c>
      <c r="D60" s="199">
        <v>0</v>
      </c>
      <c r="E60" s="199">
        <v>0</v>
      </c>
      <c r="F60" s="199">
        <v>0</v>
      </c>
      <c r="G60" s="199">
        <v>0</v>
      </c>
    </row>
    <row r="61" spans="1:7">
      <c r="A61" s="198">
        <v>4</v>
      </c>
      <c r="B61" s="198" t="s">
        <v>1508</v>
      </c>
      <c r="C61" s="197" t="s">
        <v>1509</v>
      </c>
      <c r="D61" s="199">
        <v>0</v>
      </c>
      <c r="E61" s="199">
        <v>0</v>
      </c>
      <c r="F61" s="199">
        <v>0</v>
      </c>
      <c r="G61" s="199">
        <v>0</v>
      </c>
    </row>
  </sheetData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>
  <sheetPr>
    <tabColor rgb="FF0070C0"/>
  </sheetPr>
  <dimension ref="A1:K67"/>
  <sheetViews>
    <sheetView workbookViewId="0">
      <selection activeCell="G20" sqref="G20"/>
    </sheetView>
  </sheetViews>
  <sheetFormatPr defaultRowHeight="15"/>
  <cols>
    <col min="1" max="1" width="8.28515625" style="198" bestFit="1" customWidth="1"/>
    <col min="2" max="2" width="63.5703125" style="198" bestFit="1" customWidth="1"/>
    <col min="3" max="3" width="4.42578125" style="197" bestFit="1" customWidth="1"/>
    <col min="4" max="11" width="15.28515625" style="199" bestFit="1" customWidth="1"/>
    <col min="12" max="16384" width="9.140625" style="193"/>
  </cols>
  <sheetData>
    <row r="1" spans="1:11" ht="22.5">
      <c r="A1" s="204" t="s">
        <v>503</v>
      </c>
      <c r="B1" s="204" t="s">
        <v>504</v>
      </c>
      <c r="C1" s="203" t="s">
        <v>526</v>
      </c>
      <c r="D1" s="205" t="s">
        <v>529</v>
      </c>
      <c r="E1" s="205" t="s">
        <v>530</v>
      </c>
      <c r="F1" s="205" t="s">
        <v>531</v>
      </c>
      <c r="G1" s="205" t="s">
        <v>532</v>
      </c>
      <c r="H1" s="205" t="s">
        <v>505</v>
      </c>
      <c r="I1" s="205" t="s">
        <v>506</v>
      </c>
      <c r="J1" s="205" t="s">
        <v>507</v>
      </c>
      <c r="K1" s="205" t="s">
        <v>508</v>
      </c>
    </row>
    <row r="2" spans="1:11">
      <c r="B2" s="198" t="s">
        <v>1254</v>
      </c>
      <c r="C2" s="197" t="s">
        <v>1255</v>
      </c>
      <c r="D2" s="199">
        <v>2618586.36</v>
      </c>
      <c r="E2" s="199">
        <v>124697.31</v>
      </c>
      <c r="F2" s="199">
        <v>2493889.0499999998</v>
      </c>
      <c r="G2" s="199">
        <v>0</v>
      </c>
      <c r="H2" s="199">
        <v>2618587</v>
      </c>
      <c r="I2" s="199">
        <v>124697</v>
      </c>
      <c r="J2" s="199">
        <v>2493890</v>
      </c>
      <c r="K2" s="199">
        <v>0</v>
      </c>
    </row>
    <row r="3" spans="1:11">
      <c r="A3" s="198" t="s">
        <v>1092</v>
      </c>
      <c r="B3" s="198" t="s">
        <v>1256</v>
      </c>
      <c r="C3" s="197" t="s">
        <v>1257</v>
      </c>
      <c r="D3" s="196">
        <v>541706.5</v>
      </c>
      <c r="E3" s="196">
        <v>109084.27</v>
      </c>
      <c r="F3" s="196">
        <v>432622.23</v>
      </c>
      <c r="G3" s="196">
        <v>0</v>
      </c>
      <c r="H3" s="196">
        <v>541707</v>
      </c>
      <c r="I3" s="196">
        <v>109084</v>
      </c>
      <c r="J3" s="196">
        <v>432623</v>
      </c>
      <c r="K3" s="196">
        <v>0</v>
      </c>
    </row>
    <row r="4" spans="1:11">
      <c r="A4" s="198" t="s">
        <v>1258</v>
      </c>
      <c r="B4" s="198" t="s">
        <v>1259</v>
      </c>
      <c r="C4" s="197" t="s">
        <v>1260</v>
      </c>
      <c r="D4" s="199">
        <v>257386.65</v>
      </c>
      <c r="E4" s="199">
        <v>76023.27</v>
      </c>
      <c r="F4" s="199">
        <v>181363.38</v>
      </c>
      <c r="G4" s="199">
        <v>0</v>
      </c>
      <c r="H4" s="199">
        <v>257387</v>
      </c>
      <c r="I4" s="199">
        <v>76023</v>
      </c>
      <c r="J4" s="199">
        <v>181364</v>
      </c>
      <c r="K4" s="199">
        <v>0</v>
      </c>
    </row>
    <row r="5" spans="1:11">
      <c r="A5" s="198" t="s">
        <v>1261</v>
      </c>
      <c r="B5" s="198" t="s">
        <v>1262</v>
      </c>
      <c r="C5" s="197" t="s">
        <v>1263</v>
      </c>
      <c r="D5" s="199">
        <v>0</v>
      </c>
      <c r="E5" s="199">
        <v>0</v>
      </c>
      <c r="F5" s="199">
        <v>0</v>
      </c>
      <c r="G5" s="199">
        <v>0</v>
      </c>
      <c r="H5" s="199">
        <v>0</v>
      </c>
      <c r="I5" s="199">
        <v>0</v>
      </c>
      <c r="J5" s="199">
        <v>0</v>
      </c>
      <c r="K5" s="199">
        <v>0</v>
      </c>
    </row>
    <row r="6" spans="1:11">
      <c r="A6" s="198">
        <v>2</v>
      </c>
      <c r="B6" s="198" t="s">
        <v>1264</v>
      </c>
      <c r="C6" s="197" t="s">
        <v>1265</v>
      </c>
      <c r="D6" s="199">
        <v>9543.69</v>
      </c>
      <c r="E6" s="199">
        <v>1799</v>
      </c>
      <c r="F6" s="199">
        <v>7744.69</v>
      </c>
      <c r="G6" s="199">
        <v>0</v>
      </c>
      <c r="H6" s="199">
        <v>9544</v>
      </c>
      <c r="I6" s="199">
        <v>1799</v>
      </c>
      <c r="J6" s="199">
        <v>7745</v>
      </c>
      <c r="K6" s="199">
        <v>0</v>
      </c>
    </row>
    <row r="7" spans="1:11">
      <c r="A7" s="198">
        <v>3</v>
      </c>
      <c r="B7" s="198" t="s">
        <v>1266</v>
      </c>
      <c r="C7" s="197" t="s">
        <v>1267</v>
      </c>
      <c r="D7" s="199">
        <v>0</v>
      </c>
      <c r="E7" s="199">
        <v>0</v>
      </c>
      <c r="F7" s="199">
        <v>0</v>
      </c>
      <c r="G7" s="199">
        <v>0</v>
      </c>
      <c r="H7" s="199">
        <v>0</v>
      </c>
      <c r="I7" s="199">
        <v>0</v>
      </c>
      <c r="J7" s="199">
        <v>0</v>
      </c>
      <c r="K7" s="199">
        <v>0</v>
      </c>
    </row>
    <row r="8" spans="1:11">
      <c r="A8" s="198">
        <v>4</v>
      </c>
      <c r="B8" s="198" t="s">
        <v>1268</v>
      </c>
      <c r="C8" s="197" t="s">
        <v>1269</v>
      </c>
      <c r="D8" s="199">
        <v>247842.96</v>
      </c>
      <c r="E8" s="199">
        <v>74224.27</v>
      </c>
      <c r="F8" s="199">
        <v>173618.69</v>
      </c>
      <c r="G8" s="199">
        <v>0</v>
      </c>
      <c r="H8" s="199">
        <v>247843</v>
      </c>
      <c r="I8" s="199">
        <v>74224</v>
      </c>
      <c r="J8" s="199">
        <v>173619</v>
      </c>
      <c r="K8" s="199">
        <v>0</v>
      </c>
    </row>
    <row r="9" spans="1:11">
      <c r="A9" s="198">
        <v>5</v>
      </c>
      <c r="B9" s="198" t="s">
        <v>1270</v>
      </c>
      <c r="C9" s="197" t="s">
        <v>1271</v>
      </c>
      <c r="D9" s="199">
        <v>0</v>
      </c>
      <c r="E9" s="199">
        <v>0</v>
      </c>
      <c r="F9" s="199">
        <v>0</v>
      </c>
      <c r="G9" s="199">
        <v>0</v>
      </c>
      <c r="H9" s="199">
        <v>0</v>
      </c>
      <c r="I9" s="199">
        <v>0</v>
      </c>
      <c r="J9" s="199">
        <v>0</v>
      </c>
      <c r="K9" s="199">
        <v>0</v>
      </c>
    </row>
    <row r="10" spans="1:11">
      <c r="A10" s="198">
        <v>6</v>
      </c>
      <c r="B10" s="198" t="s">
        <v>1272</v>
      </c>
      <c r="C10" s="197" t="s">
        <v>1273</v>
      </c>
      <c r="D10" s="199">
        <v>0</v>
      </c>
      <c r="E10" s="199">
        <v>0</v>
      </c>
      <c r="F10" s="199">
        <v>0</v>
      </c>
      <c r="G10" s="199">
        <v>0</v>
      </c>
      <c r="H10" s="199">
        <v>0</v>
      </c>
      <c r="I10" s="199">
        <v>0</v>
      </c>
      <c r="J10" s="199">
        <v>0</v>
      </c>
      <c r="K10" s="199">
        <v>0</v>
      </c>
    </row>
    <row r="11" spans="1:11">
      <c r="A11" s="198">
        <v>7</v>
      </c>
      <c r="B11" s="198" t="s">
        <v>1274</v>
      </c>
      <c r="C11" s="197" t="s">
        <v>1275</v>
      </c>
      <c r="D11" s="199">
        <v>0</v>
      </c>
      <c r="E11" s="199">
        <v>0</v>
      </c>
      <c r="F11" s="199">
        <v>0</v>
      </c>
      <c r="G11" s="199">
        <v>0</v>
      </c>
      <c r="H11" s="199">
        <v>0</v>
      </c>
      <c r="I11" s="199">
        <v>0</v>
      </c>
      <c r="J11" s="199">
        <v>0</v>
      </c>
      <c r="K11" s="199">
        <v>0</v>
      </c>
    </row>
    <row r="12" spans="1:11">
      <c r="A12" s="198" t="s">
        <v>1276</v>
      </c>
      <c r="B12" s="198" t="s">
        <v>1277</v>
      </c>
      <c r="C12" s="197" t="s">
        <v>1278</v>
      </c>
      <c r="D12" s="199">
        <v>284319.84999999998</v>
      </c>
      <c r="E12" s="199">
        <v>33061</v>
      </c>
      <c r="F12" s="199">
        <v>251258.85</v>
      </c>
      <c r="G12" s="199">
        <v>0</v>
      </c>
      <c r="H12" s="199">
        <v>284320</v>
      </c>
      <c r="I12" s="199">
        <v>33061</v>
      </c>
      <c r="J12" s="199">
        <v>251259</v>
      </c>
      <c r="K12" s="199">
        <v>0</v>
      </c>
    </row>
    <row r="13" spans="1:11">
      <c r="A13" s="198" t="s">
        <v>1279</v>
      </c>
      <c r="B13" s="198" t="s">
        <v>1280</v>
      </c>
      <c r="C13" s="197" t="s">
        <v>1281</v>
      </c>
      <c r="D13" s="199">
        <v>0</v>
      </c>
      <c r="E13" s="199">
        <v>0</v>
      </c>
      <c r="F13" s="199">
        <v>0</v>
      </c>
      <c r="G13" s="199">
        <v>0</v>
      </c>
      <c r="H13" s="199">
        <v>0</v>
      </c>
      <c r="I13" s="199">
        <v>0</v>
      </c>
      <c r="J13" s="199">
        <v>0</v>
      </c>
      <c r="K13" s="199">
        <v>0</v>
      </c>
    </row>
    <row r="14" spans="1:11">
      <c r="A14" s="198">
        <v>2</v>
      </c>
      <c r="B14" s="198" t="s">
        <v>1282</v>
      </c>
      <c r="C14" s="197" t="s">
        <v>996</v>
      </c>
      <c r="D14" s="199">
        <v>0</v>
      </c>
      <c r="E14" s="199">
        <v>0</v>
      </c>
      <c r="F14" s="199">
        <v>0</v>
      </c>
      <c r="G14" s="199">
        <v>0</v>
      </c>
      <c r="H14" s="199">
        <v>0</v>
      </c>
      <c r="I14" s="199">
        <v>0</v>
      </c>
      <c r="J14" s="199">
        <v>0</v>
      </c>
      <c r="K14" s="199">
        <v>0</v>
      </c>
    </row>
    <row r="15" spans="1:11">
      <c r="A15" s="198">
        <v>3</v>
      </c>
      <c r="B15" s="198" t="s">
        <v>1283</v>
      </c>
      <c r="C15" s="197" t="s">
        <v>1284</v>
      </c>
      <c r="D15" s="199">
        <v>284319.84999999998</v>
      </c>
      <c r="E15" s="199">
        <v>33061</v>
      </c>
      <c r="F15" s="199">
        <v>251258.85</v>
      </c>
      <c r="G15" s="199">
        <v>0</v>
      </c>
      <c r="H15" s="199">
        <v>284320</v>
      </c>
      <c r="I15" s="199">
        <v>33061</v>
      </c>
      <c r="J15" s="199">
        <v>251259</v>
      </c>
      <c r="K15" s="199">
        <v>0</v>
      </c>
    </row>
    <row r="16" spans="1:11">
      <c r="A16" s="198">
        <v>4</v>
      </c>
      <c r="B16" s="198" t="s">
        <v>1285</v>
      </c>
      <c r="C16" s="197" t="s">
        <v>997</v>
      </c>
      <c r="D16" s="199">
        <v>0</v>
      </c>
      <c r="E16" s="199">
        <v>0</v>
      </c>
      <c r="F16" s="199">
        <v>0</v>
      </c>
      <c r="G16" s="199">
        <v>0</v>
      </c>
      <c r="H16" s="199">
        <v>0</v>
      </c>
      <c r="I16" s="199">
        <v>0</v>
      </c>
      <c r="J16" s="199">
        <v>0</v>
      </c>
      <c r="K16" s="199">
        <v>0</v>
      </c>
    </row>
    <row r="17" spans="1:11">
      <c r="A17" s="198">
        <v>5</v>
      </c>
      <c r="B17" s="198" t="s">
        <v>1286</v>
      </c>
      <c r="C17" s="197" t="s">
        <v>1287</v>
      </c>
      <c r="D17" s="199">
        <v>0</v>
      </c>
      <c r="E17" s="199">
        <v>0</v>
      </c>
      <c r="F17" s="199">
        <v>0</v>
      </c>
      <c r="G17" s="199">
        <v>0</v>
      </c>
      <c r="H17" s="199">
        <v>0</v>
      </c>
      <c r="I17" s="199">
        <v>0</v>
      </c>
      <c r="J17" s="199">
        <v>0</v>
      </c>
      <c r="K17" s="199">
        <v>0</v>
      </c>
    </row>
    <row r="18" spans="1:11">
      <c r="A18" s="198">
        <v>6</v>
      </c>
      <c r="B18" s="198" t="s">
        <v>1288</v>
      </c>
      <c r="C18" s="197" t="s">
        <v>1289</v>
      </c>
      <c r="D18" s="199">
        <v>0</v>
      </c>
      <c r="E18" s="199">
        <v>0</v>
      </c>
      <c r="F18" s="199">
        <v>0</v>
      </c>
      <c r="G18" s="199">
        <v>0</v>
      </c>
      <c r="H18" s="199">
        <v>0</v>
      </c>
      <c r="I18" s="199">
        <v>0</v>
      </c>
      <c r="J18" s="199">
        <v>0</v>
      </c>
      <c r="K18" s="199">
        <v>0</v>
      </c>
    </row>
    <row r="19" spans="1:11">
      <c r="A19" s="198">
        <v>7</v>
      </c>
      <c r="B19" s="198" t="s">
        <v>1290</v>
      </c>
      <c r="C19" s="197" t="s">
        <v>1291</v>
      </c>
      <c r="D19" s="199">
        <v>0</v>
      </c>
      <c r="E19" s="199">
        <v>0</v>
      </c>
      <c r="F19" s="199">
        <v>0</v>
      </c>
      <c r="G19" s="199">
        <v>0</v>
      </c>
      <c r="H19" s="199">
        <v>0</v>
      </c>
      <c r="I19" s="199">
        <v>0</v>
      </c>
      <c r="J19" s="199">
        <v>0</v>
      </c>
      <c r="K19" s="199">
        <v>0</v>
      </c>
    </row>
    <row r="20" spans="1:11">
      <c r="A20" s="198">
        <v>8</v>
      </c>
      <c r="B20" s="198" t="s">
        <v>1292</v>
      </c>
      <c r="C20" s="197" t="s">
        <v>1293</v>
      </c>
      <c r="D20" s="199">
        <v>0</v>
      </c>
      <c r="E20" s="199">
        <v>0</v>
      </c>
      <c r="F20" s="199">
        <v>0</v>
      </c>
      <c r="G20" s="199">
        <v>0</v>
      </c>
      <c r="H20" s="199">
        <v>0</v>
      </c>
      <c r="I20" s="199">
        <v>0</v>
      </c>
      <c r="J20" s="199">
        <v>0</v>
      </c>
      <c r="K20" s="199">
        <v>0</v>
      </c>
    </row>
    <row r="21" spans="1:11">
      <c r="A21" s="198">
        <v>9</v>
      </c>
      <c r="B21" s="198" t="s">
        <v>1294</v>
      </c>
      <c r="C21" s="197" t="s">
        <v>1295</v>
      </c>
      <c r="D21" s="199">
        <v>0</v>
      </c>
      <c r="E21" s="199">
        <v>0</v>
      </c>
      <c r="F21" s="199">
        <v>0</v>
      </c>
      <c r="G21" s="199">
        <v>0</v>
      </c>
      <c r="H21" s="199">
        <v>0</v>
      </c>
      <c r="I21" s="199">
        <v>0</v>
      </c>
      <c r="J21" s="199">
        <v>0</v>
      </c>
      <c r="K21" s="199">
        <v>0</v>
      </c>
    </row>
    <row r="22" spans="1:11">
      <c r="A22" s="198" t="s">
        <v>1296</v>
      </c>
      <c r="B22" s="198" t="s">
        <v>1297</v>
      </c>
      <c r="C22" s="197" t="s">
        <v>1298</v>
      </c>
      <c r="D22" s="199">
        <v>0</v>
      </c>
      <c r="E22" s="199">
        <v>0</v>
      </c>
      <c r="F22" s="199">
        <v>0</v>
      </c>
      <c r="G22" s="199">
        <v>0</v>
      </c>
      <c r="H22" s="199">
        <v>0</v>
      </c>
      <c r="I22" s="199">
        <v>0</v>
      </c>
      <c r="J22" s="199">
        <v>0</v>
      </c>
      <c r="K22" s="199">
        <v>0</v>
      </c>
    </row>
    <row r="23" spans="1:11">
      <c r="A23" s="198" t="s">
        <v>1299</v>
      </c>
      <c r="B23" s="198" t="s">
        <v>1300</v>
      </c>
      <c r="C23" s="197" t="s">
        <v>998</v>
      </c>
      <c r="D23" s="199">
        <v>0</v>
      </c>
      <c r="E23" s="199">
        <v>0</v>
      </c>
      <c r="F23" s="199">
        <v>0</v>
      </c>
      <c r="G23" s="199">
        <v>0</v>
      </c>
      <c r="H23" s="199">
        <v>0</v>
      </c>
      <c r="I23" s="199">
        <v>0</v>
      </c>
      <c r="J23" s="199">
        <v>0</v>
      </c>
      <c r="K23" s="199">
        <v>0</v>
      </c>
    </row>
    <row r="24" spans="1:11">
      <c r="A24" s="198">
        <v>2</v>
      </c>
      <c r="B24" s="198" t="s">
        <v>1301</v>
      </c>
      <c r="C24" s="197" t="s">
        <v>1302</v>
      </c>
      <c r="D24" s="199">
        <v>0</v>
      </c>
      <c r="E24" s="199">
        <v>0</v>
      </c>
      <c r="F24" s="199">
        <v>0</v>
      </c>
      <c r="G24" s="199">
        <v>0</v>
      </c>
      <c r="H24" s="199">
        <v>0</v>
      </c>
      <c r="I24" s="199">
        <v>0</v>
      </c>
      <c r="J24" s="199">
        <v>0</v>
      </c>
      <c r="K24" s="199">
        <v>0</v>
      </c>
    </row>
    <row r="25" spans="1:11">
      <c r="A25" s="198">
        <v>3</v>
      </c>
      <c r="B25" s="198" t="s">
        <v>1303</v>
      </c>
      <c r="C25" s="197" t="s">
        <v>1304</v>
      </c>
      <c r="D25" s="199">
        <v>0</v>
      </c>
      <c r="E25" s="199">
        <v>0</v>
      </c>
      <c r="F25" s="199">
        <v>0</v>
      </c>
      <c r="G25" s="199">
        <v>0</v>
      </c>
      <c r="H25" s="199">
        <v>0</v>
      </c>
      <c r="I25" s="199">
        <v>0</v>
      </c>
      <c r="J25" s="199">
        <v>0</v>
      </c>
      <c r="K25" s="199">
        <v>0</v>
      </c>
    </row>
    <row r="26" spans="1:11">
      <c r="A26" s="198">
        <v>4</v>
      </c>
      <c r="B26" s="198" t="s">
        <v>1305</v>
      </c>
      <c r="C26" s="197" t="s">
        <v>1306</v>
      </c>
      <c r="D26" s="199">
        <v>0</v>
      </c>
      <c r="E26" s="199">
        <v>0</v>
      </c>
      <c r="F26" s="199">
        <v>0</v>
      </c>
      <c r="G26" s="199">
        <v>0</v>
      </c>
      <c r="H26" s="199">
        <v>0</v>
      </c>
      <c r="I26" s="199">
        <v>0</v>
      </c>
      <c r="J26" s="199">
        <v>0</v>
      </c>
      <c r="K26" s="199">
        <v>0</v>
      </c>
    </row>
    <row r="27" spans="1:11">
      <c r="A27" s="198">
        <v>5</v>
      </c>
      <c r="B27" s="198" t="s">
        <v>1307</v>
      </c>
      <c r="C27" s="197" t="s">
        <v>1308</v>
      </c>
      <c r="D27" s="199">
        <v>0</v>
      </c>
      <c r="E27" s="199">
        <v>0</v>
      </c>
      <c r="F27" s="199">
        <v>0</v>
      </c>
      <c r="G27" s="199">
        <v>0</v>
      </c>
      <c r="H27" s="199">
        <v>0</v>
      </c>
      <c r="I27" s="199">
        <v>0</v>
      </c>
      <c r="J27" s="199">
        <v>0</v>
      </c>
      <c r="K27" s="199">
        <v>0</v>
      </c>
    </row>
    <row r="28" spans="1:11">
      <c r="A28" s="198">
        <v>6</v>
      </c>
      <c r="B28" s="198" t="s">
        <v>1309</v>
      </c>
      <c r="C28" s="197" t="s">
        <v>1310</v>
      </c>
      <c r="D28" s="199">
        <v>0</v>
      </c>
      <c r="E28" s="199">
        <v>0</v>
      </c>
      <c r="F28" s="199">
        <v>0</v>
      </c>
      <c r="G28" s="199">
        <v>0</v>
      </c>
      <c r="H28" s="199">
        <v>0</v>
      </c>
      <c r="I28" s="199">
        <v>0</v>
      </c>
      <c r="J28" s="199">
        <v>0</v>
      </c>
      <c r="K28" s="199">
        <v>0</v>
      </c>
    </row>
    <row r="29" spans="1:11">
      <c r="A29" s="198">
        <v>7</v>
      </c>
      <c r="B29" s="198" t="s">
        <v>1311</v>
      </c>
      <c r="C29" s="197" t="s">
        <v>1312</v>
      </c>
      <c r="D29" s="199">
        <v>0</v>
      </c>
      <c r="E29" s="199">
        <v>0</v>
      </c>
      <c r="F29" s="199">
        <v>0</v>
      </c>
      <c r="G29" s="199">
        <v>0</v>
      </c>
      <c r="H29" s="199">
        <v>0</v>
      </c>
      <c r="I29" s="199">
        <v>0</v>
      </c>
      <c r="J29" s="199">
        <v>0</v>
      </c>
      <c r="K29" s="199">
        <v>0</v>
      </c>
    </row>
    <row r="30" spans="1:11">
      <c r="A30" s="198">
        <v>8</v>
      </c>
      <c r="B30" s="198" t="s">
        <v>1313</v>
      </c>
      <c r="C30" s="197" t="s">
        <v>1314</v>
      </c>
      <c r="D30" s="199">
        <v>0</v>
      </c>
      <c r="E30" s="199">
        <v>0</v>
      </c>
      <c r="F30" s="199">
        <v>0</v>
      </c>
      <c r="G30" s="199">
        <v>0</v>
      </c>
      <c r="H30" s="199">
        <v>0</v>
      </c>
      <c r="I30" s="199">
        <v>0</v>
      </c>
      <c r="J30" s="199">
        <v>0</v>
      </c>
      <c r="K30" s="199">
        <v>0</v>
      </c>
    </row>
    <row r="31" spans="1:11">
      <c r="A31" s="198" t="s">
        <v>1108</v>
      </c>
      <c r="B31" s="198" t="s">
        <v>1315</v>
      </c>
      <c r="C31" s="197" t="s">
        <v>1316</v>
      </c>
      <c r="D31" s="199">
        <v>2060679.86</v>
      </c>
      <c r="E31" s="199">
        <v>15613.04</v>
      </c>
      <c r="F31" s="199">
        <v>2045066.82</v>
      </c>
      <c r="G31" s="199">
        <v>0</v>
      </c>
      <c r="H31" s="199">
        <v>2060680</v>
      </c>
      <c r="I31" s="199">
        <v>15613</v>
      </c>
      <c r="J31" s="199">
        <v>2045067</v>
      </c>
      <c r="K31" s="199">
        <v>0</v>
      </c>
    </row>
    <row r="32" spans="1:11">
      <c r="A32" s="198" t="s">
        <v>1317</v>
      </c>
      <c r="B32" s="198" t="s">
        <v>1318</v>
      </c>
      <c r="C32" s="197" t="s">
        <v>1319</v>
      </c>
      <c r="D32" s="199">
        <v>1095116</v>
      </c>
      <c r="E32" s="199">
        <v>10199</v>
      </c>
      <c r="F32" s="199">
        <v>1084917</v>
      </c>
      <c r="G32" s="199">
        <v>0</v>
      </c>
      <c r="H32" s="199">
        <v>1095116</v>
      </c>
      <c r="I32" s="199">
        <v>10199</v>
      </c>
      <c r="J32" s="199">
        <v>1084917</v>
      </c>
      <c r="K32" s="199">
        <v>0</v>
      </c>
    </row>
    <row r="33" spans="1:11">
      <c r="A33" s="198" t="s">
        <v>1320</v>
      </c>
      <c r="B33" s="198" t="s">
        <v>1321</v>
      </c>
      <c r="C33" s="197" t="s">
        <v>1322</v>
      </c>
      <c r="D33" s="199">
        <v>0</v>
      </c>
      <c r="E33" s="199">
        <v>0</v>
      </c>
      <c r="F33" s="199">
        <v>0</v>
      </c>
      <c r="G33" s="199">
        <v>0</v>
      </c>
      <c r="H33" s="199">
        <v>0</v>
      </c>
      <c r="I33" s="199">
        <v>0</v>
      </c>
      <c r="J33" s="199">
        <v>0</v>
      </c>
      <c r="K33" s="199">
        <v>0</v>
      </c>
    </row>
    <row r="34" spans="1:11">
      <c r="A34" s="198">
        <v>2</v>
      </c>
      <c r="B34" s="198" t="s">
        <v>1323</v>
      </c>
      <c r="C34" s="197" t="s">
        <v>1324</v>
      </c>
      <c r="D34" s="199">
        <v>0</v>
      </c>
      <c r="E34" s="199">
        <v>0</v>
      </c>
      <c r="F34" s="199">
        <v>0</v>
      </c>
      <c r="G34" s="199">
        <v>0</v>
      </c>
      <c r="H34" s="199">
        <v>0</v>
      </c>
      <c r="I34" s="199">
        <v>0</v>
      </c>
      <c r="J34" s="199">
        <v>0</v>
      </c>
      <c r="K34" s="199">
        <v>0</v>
      </c>
    </row>
    <row r="35" spans="1:11">
      <c r="A35" s="198">
        <v>3</v>
      </c>
      <c r="B35" s="198" t="s">
        <v>1325</v>
      </c>
      <c r="C35" s="197" t="s">
        <v>1326</v>
      </c>
      <c r="D35" s="199">
        <v>0</v>
      </c>
      <c r="E35" s="199">
        <v>0</v>
      </c>
      <c r="F35" s="199">
        <v>0</v>
      </c>
      <c r="G35" s="199">
        <v>0</v>
      </c>
      <c r="H35" s="199">
        <v>0</v>
      </c>
      <c r="I35" s="199">
        <v>0</v>
      </c>
      <c r="J35" s="199">
        <v>0</v>
      </c>
      <c r="K35" s="199">
        <v>0</v>
      </c>
    </row>
    <row r="36" spans="1:11">
      <c r="A36" s="198">
        <v>4</v>
      </c>
      <c r="B36" s="198" t="s">
        <v>1327</v>
      </c>
      <c r="C36" s="197" t="s">
        <v>1328</v>
      </c>
      <c r="D36" s="199">
        <v>0</v>
      </c>
      <c r="E36" s="199">
        <v>0</v>
      </c>
      <c r="F36" s="199">
        <v>0</v>
      </c>
      <c r="G36" s="199">
        <v>0</v>
      </c>
      <c r="H36" s="199">
        <v>0</v>
      </c>
      <c r="I36" s="199">
        <v>0</v>
      </c>
      <c r="J36" s="199">
        <v>0</v>
      </c>
      <c r="K36" s="199">
        <v>0</v>
      </c>
    </row>
    <row r="37" spans="1:11">
      <c r="A37" s="198">
        <v>5</v>
      </c>
      <c r="B37" s="198" t="s">
        <v>1329</v>
      </c>
      <c r="C37" s="197" t="s">
        <v>1330</v>
      </c>
      <c r="D37" s="199">
        <v>1095116</v>
      </c>
      <c r="E37" s="199">
        <v>10199</v>
      </c>
      <c r="F37" s="199">
        <v>1084917</v>
      </c>
      <c r="G37" s="199">
        <v>0</v>
      </c>
      <c r="H37" s="199">
        <v>1095116</v>
      </c>
      <c r="I37" s="199">
        <v>10199</v>
      </c>
      <c r="J37" s="199">
        <v>1084917</v>
      </c>
      <c r="K37" s="199">
        <v>0</v>
      </c>
    </row>
    <row r="38" spans="1:11">
      <c r="A38" s="198">
        <v>6</v>
      </c>
      <c r="B38" s="198" t="s">
        <v>1331</v>
      </c>
      <c r="C38" s="197" t="s">
        <v>1332</v>
      </c>
      <c r="D38" s="199">
        <v>0</v>
      </c>
      <c r="E38" s="199">
        <v>0</v>
      </c>
      <c r="F38" s="199">
        <v>0</v>
      </c>
      <c r="G38" s="199">
        <v>0</v>
      </c>
      <c r="H38" s="199">
        <v>0</v>
      </c>
      <c r="I38" s="199">
        <v>0</v>
      </c>
      <c r="J38" s="199">
        <v>0</v>
      </c>
      <c r="K38" s="199">
        <v>0</v>
      </c>
    </row>
    <row r="39" spans="1:11">
      <c r="A39" s="198" t="s">
        <v>1333</v>
      </c>
      <c r="B39" s="198" t="s">
        <v>1334</v>
      </c>
      <c r="C39" s="197" t="s">
        <v>1335</v>
      </c>
      <c r="D39" s="199">
        <v>61951.1</v>
      </c>
      <c r="E39" s="199">
        <v>0</v>
      </c>
      <c r="F39" s="199">
        <v>61951.1</v>
      </c>
      <c r="G39" s="199">
        <v>0</v>
      </c>
      <c r="H39" s="199">
        <v>61951</v>
      </c>
      <c r="I39" s="199">
        <v>0</v>
      </c>
      <c r="J39" s="199">
        <v>61951</v>
      </c>
      <c r="K39" s="199">
        <v>0</v>
      </c>
    </row>
    <row r="40" spans="1:11">
      <c r="A40" s="198" t="s">
        <v>1336</v>
      </c>
      <c r="B40" s="198" t="s">
        <v>1337</v>
      </c>
      <c r="C40" s="197" t="s">
        <v>1338</v>
      </c>
      <c r="D40" s="199">
        <v>0</v>
      </c>
      <c r="E40" s="199">
        <v>0</v>
      </c>
      <c r="F40" s="199">
        <v>0</v>
      </c>
      <c r="G40" s="199">
        <v>0</v>
      </c>
      <c r="H40" s="199">
        <v>0</v>
      </c>
      <c r="I40" s="199">
        <v>0</v>
      </c>
      <c r="J40" s="199">
        <v>0</v>
      </c>
      <c r="K40" s="199">
        <v>0</v>
      </c>
    </row>
    <row r="41" spans="1:11">
      <c r="A41" s="198">
        <v>2</v>
      </c>
      <c r="B41" s="198" t="s">
        <v>1339</v>
      </c>
      <c r="C41" s="197" t="s">
        <v>1340</v>
      </c>
      <c r="D41" s="199">
        <v>0</v>
      </c>
      <c r="E41" s="199">
        <v>0</v>
      </c>
      <c r="F41" s="199">
        <v>0</v>
      </c>
      <c r="G41" s="199">
        <v>0</v>
      </c>
      <c r="H41" s="199">
        <v>0</v>
      </c>
      <c r="I41" s="199">
        <v>0</v>
      </c>
      <c r="J41" s="199">
        <v>0</v>
      </c>
      <c r="K41" s="199">
        <v>0</v>
      </c>
    </row>
    <row r="42" spans="1:11">
      <c r="A42" s="198">
        <v>3</v>
      </c>
      <c r="B42" s="198" t="s">
        <v>1341</v>
      </c>
      <c r="C42" s="197" t="s">
        <v>1000</v>
      </c>
      <c r="D42" s="199">
        <v>0</v>
      </c>
      <c r="E42" s="199">
        <v>0</v>
      </c>
      <c r="F42" s="199">
        <v>0</v>
      </c>
      <c r="G42" s="199">
        <v>0</v>
      </c>
      <c r="H42" s="199">
        <v>0</v>
      </c>
      <c r="I42" s="199">
        <v>0</v>
      </c>
      <c r="J42" s="199">
        <v>0</v>
      </c>
      <c r="K42" s="199">
        <v>0</v>
      </c>
    </row>
    <row r="43" spans="1:11">
      <c r="A43" s="198">
        <v>4</v>
      </c>
      <c r="B43" s="198" t="s">
        <v>1342</v>
      </c>
      <c r="C43" s="197" t="s">
        <v>1001</v>
      </c>
      <c r="D43" s="199">
        <v>0</v>
      </c>
      <c r="E43" s="199">
        <v>0</v>
      </c>
      <c r="F43" s="199">
        <v>0</v>
      </c>
      <c r="G43" s="199">
        <v>0</v>
      </c>
      <c r="H43" s="199">
        <v>0</v>
      </c>
      <c r="I43" s="199">
        <v>0</v>
      </c>
      <c r="J43" s="199">
        <v>0</v>
      </c>
      <c r="K43" s="199">
        <v>0</v>
      </c>
    </row>
    <row r="44" spans="1:11">
      <c r="A44" s="198">
        <v>5</v>
      </c>
      <c r="B44" s="198" t="s">
        <v>1343</v>
      </c>
      <c r="C44" s="197" t="s">
        <v>1344</v>
      </c>
      <c r="D44" s="199">
        <v>0</v>
      </c>
      <c r="E44" s="199">
        <v>0</v>
      </c>
      <c r="F44" s="199">
        <v>0</v>
      </c>
      <c r="G44" s="199">
        <v>0</v>
      </c>
      <c r="H44" s="199">
        <v>0</v>
      </c>
      <c r="I44" s="199">
        <v>0</v>
      </c>
      <c r="J44" s="199">
        <v>0</v>
      </c>
      <c r="K44" s="199">
        <v>0</v>
      </c>
    </row>
    <row r="45" spans="1:11">
      <c r="A45" s="198">
        <v>6</v>
      </c>
      <c r="B45" s="198" t="s">
        <v>1345</v>
      </c>
      <c r="C45" s="197" t="s">
        <v>1346</v>
      </c>
      <c r="D45" s="199">
        <v>0</v>
      </c>
      <c r="E45" s="199">
        <v>0</v>
      </c>
      <c r="F45" s="199">
        <v>0</v>
      </c>
      <c r="G45" s="199">
        <v>0</v>
      </c>
      <c r="H45" s="199">
        <v>0</v>
      </c>
      <c r="I45" s="199">
        <v>0</v>
      </c>
      <c r="J45" s="199">
        <v>0</v>
      </c>
      <c r="K45" s="199">
        <v>0</v>
      </c>
    </row>
    <row r="46" spans="1:11">
      <c r="A46" s="198">
        <v>7</v>
      </c>
      <c r="B46" s="198" t="s">
        <v>1347</v>
      </c>
      <c r="C46" s="197" t="s">
        <v>1348</v>
      </c>
      <c r="D46" s="199">
        <v>61951.1</v>
      </c>
      <c r="E46" s="199">
        <v>0</v>
      </c>
      <c r="F46" s="199">
        <v>61951.1</v>
      </c>
      <c r="G46" s="199">
        <v>0</v>
      </c>
      <c r="H46" s="199">
        <v>61951</v>
      </c>
      <c r="I46" s="199">
        <v>0</v>
      </c>
      <c r="J46" s="199">
        <v>61951</v>
      </c>
      <c r="K46" s="199">
        <v>0</v>
      </c>
    </row>
    <row r="47" spans="1:11">
      <c r="A47" s="198" t="s">
        <v>1349</v>
      </c>
      <c r="B47" s="198" t="s">
        <v>1350</v>
      </c>
      <c r="C47" s="197" t="s">
        <v>1351</v>
      </c>
      <c r="D47" s="199">
        <v>797891.08</v>
      </c>
      <c r="E47" s="199">
        <v>5414.04</v>
      </c>
      <c r="F47" s="199">
        <v>792477.04</v>
      </c>
      <c r="G47" s="199">
        <v>0</v>
      </c>
      <c r="H47" s="199">
        <v>797891</v>
      </c>
      <c r="I47" s="199">
        <v>5414</v>
      </c>
      <c r="J47" s="199">
        <v>792477</v>
      </c>
      <c r="K47" s="199">
        <v>0</v>
      </c>
    </row>
    <row r="48" spans="1:11">
      <c r="A48" s="198" t="s">
        <v>1352</v>
      </c>
      <c r="B48" s="198" t="s">
        <v>1337</v>
      </c>
      <c r="C48" s="197" t="s">
        <v>1353</v>
      </c>
      <c r="D48" s="199">
        <v>788654.9</v>
      </c>
      <c r="E48" s="199">
        <v>5414.04</v>
      </c>
      <c r="F48" s="199">
        <v>783240.86</v>
      </c>
      <c r="G48" s="199">
        <v>0</v>
      </c>
      <c r="H48" s="199">
        <v>788655</v>
      </c>
      <c r="I48" s="199">
        <v>5414</v>
      </c>
      <c r="J48" s="199">
        <v>783241</v>
      </c>
      <c r="K48" s="199">
        <v>0</v>
      </c>
    </row>
    <row r="49" spans="1:11">
      <c r="A49" s="198">
        <v>2</v>
      </c>
      <c r="B49" s="198" t="s">
        <v>1339</v>
      </c>
      <c r="C49" s="197" t="s">
        <v>1354</v>
      </c>
      <c r="D49" s="199">
        <v>0</v>
      </c>
      <c r="E49" s="199">
        <v>0</v>
      </c>
      <c r="F49" s="199">
        <v>0</v>
      </c>
      <c r="G49" s="199">
        <v>0</v>
      </c>
      <c r="H49" s="199">
        <v>0</v>
      </c>
      <c r="I49" s="199">
        <v>0</v>
      </c>
      <c r="J49" s="199">
        <v>0</v>
      </c>
      <c r="K49" s="199">
        <v>0</v>
      </c>
    </row>
    <row r="50" spans="1:11">
      <c r="A50" s="198">
        <v>3</v>
      </c>
      <c r="B50" s="198" t="s">
        <v>1341</v>
      </c>
      <c r="C50" s="197" t="s">
        <v>1355</v>
      </c>
      <c r="D50" s="199">
        <v>0</v>
      </c>
      <c r="E50" s="199">
        <v>0</v>
      </c>
      <c r="F50" s="199">
        <v>0</v>
      </c>
      <c r="G50" s="199">
        <v>0</v>
      </c>
      <c r="H50" s="199">
        <v>0</v>
      </c>
      <c r="I50" s="199">
        <v>0</v>
      </c>
      <c r="J50" s="199">
        <v>0</v>
      </c>
      <c r="K50" s="199">
        <v>0</v>
      </c>
    </row>
    <row r="51" spans="1:11">
      <c r="A51" s="198">
        <v>4</v>
      </c>
      <c r="B51" s="198" t="s">
        <v>1342</v>
      </c>
      <c r="C51" s="197" t="s">
        <v>1356</v>
      </c>
      <c r="D51" s="199">
        <v>0</v>
      </c>
      <c r="E51" s="199">
        <v>0</v>
      </c>
      <c r="F51" s="199">
        <v>0</v>
      </c>
      <c r="G51" s="199">
        <v>0</v>
      </c>
      <c r="H51" s="199">
        <v>0</v>
      </c>
      <c r="I51" s="199">
        <v>0</v>
      </c>
      <c r="J51" s="199">
        <v>0</v>
      </c>
      <c r="K51" s="199">
        <v>0</v>
      </c>
    </row>
    <row r="52" spans="1:11">
      <c r="A52" s="198">
        <v>5</v>
      </c>
      <c r="B52" s="198" t="s">
        <v>1357</v>
      </c>
      <c r="C52" s="197" t="s">
        <v>1358</v>
      </c>
      <c r="D52" s="199">
        <v>0</v>
      </c>
      <c r="E52" s="199">
        <v>0</v>
      </c>
      <c r="F52" s="199">
        <v>0</v>
      </c>
      <c r="G52" s="199">
        <v>0</v>
      </c>
      <c r="H52" s="199">
        <v>0</v>
      </c>
      <c r="I52" s="199">
        <v>0</v>
      </c>
      <c r="J52" s="199">
        <v>0</v>
      </c>
      <c r="K52" s="199">
        <v>0</v>
      </c>
    </row>
    <row r="53" spans="1:11">
      <c r="A53" s="198">
        <v>6</v>
      </c>
      <c r="B53" s="198" t="s">
        <v>1359</v>
      </c>
      <c r="C53" s="197" t="s">
        <v>1360</v>
      </c>
      <c r="D53" s="199">
        <v>0</v>
      </c>
      <c r="E53" s="199">
        <v>0</v>
      </c>
      <c r="F53" s="199">
        <v>0</v>
      </c>
      <c r="G53" s="199">
        <v>0</v>
      </c>
      <c r="H53" s="199">
        <v>0</v>
      </c>
      <c r="I53" s="199">
        <v>0</v>
      </c>
      <c r="J53" s="199">
        <v>0</v>
      </c>
      <c r="K53" s="199">
        <v>0</v>
      </c>
    </row>
    <row r="54" spans="1:11">
      <c r="A54" s="198">
        <v>7</v>
      </c>
      <c r="B54" s="198" t="s">
        <v>1361</v>
      </c>
      <c r="C54" s="197" t="s">
        <v>1362</v>
      </c>
      <c r="D54" s="199">
        <v>0</v>
      </c>
      <c r="E54" s="199">
        <v>0</v>
      </c>
      <c r="F54" s="199">
        <v>0</v>
      </c>
      <c r="G54" s="199">
        <v>0</v>
      </c>
      <c r="H54" s="199">
        <v>0</v>
      </c>
      <c r="I54" s="199">
        <v>0</v>
      </c>
      <c r="J54" s="199">
        <v>0</v>
      </c>
      <c r="K54" s="199">
        <v>0</v>
      </c>
    </row>
    <row r="55" spans="1:11">
      <c r="A55" s="198">
        <v>8</v>
      </c>
      <c r="B55" s="198" t="s">
        <v>1345</v>
      </c>
      <c r="C55" s="197" t="s">
        <v>1363</v>
      </c>
      <c r="D55" s="199">
        <v>9236.18</v>
      </c>
      <c r="E55" s="199">
        <v>0</v>
      </c>
      <c r="F55" s="199">
        <v>9236.18</v>
      </c>
      <c r="G55" s="199">
        <v>0</v>
      </c>
      <c r="H55" s="199">
        <v>9236</v>
      </c>
      <c r="I55" s="199">
        <v>0</v>
      </c>
      <c r="J55" s="199">
        <v>9236</v>
      </c>
      <c r="K55" s="199">
        <v>0</v>
      </c>
    </row>
    <row r="56" spans="1:11">
      <c r="A56" s="198" t="s">
        <v>1364</v>
      </c>
      <c r="B56" s="198" t="s">
        <v>1365</v>
      </c>
      <c r="C56" s="197" t="s">
        <v>1366</v>
      </c>
      <c r="D56" s="199">
        <v>105721.68</v>
      </c>
      <c r="E56" s="199">
        <v>0</v>
      </c>
      <c r="F56" s="199">
        <v>105721.68</v>
      </c>
      <c r="G56" s="199">
        <v>0</v>
      </c>
      <c r="H56" s="199">
        <v>105722</v>
      </c>
      <c r="I56" s="199">
        <v>0</v>
      </c>
      <c r="J56" s="199">
        <v>105722</v>
      </c>
      <c r="K56" s="199">
        <v>0</v>
      </c>
    </row>
    <row r="57" spans="1:11">
      <c r="A57" s="198" t="s">
        <v>1367</v>
      </c>
      <c r="B57" s="198" t="s">
        <v>1368</v>
      </c>
      <c r="C57" s="197" t="s">
        <v>1369</v>
      </c>
      <c r="D57" s="199">
        <v>5205.0200000000004</v>
      </c>
      <c r="E57" s="199">
        <v>0</v>
      </c>
      <c r="F57" s="199">
        <v>5205.0200000000004</v>
      </c>
      <c r="G57" s="199">
        <v>0</v>
      </c>
      <c r="H57" s="199">
        <v>5205</v>
      </c>
      <c r="I57" s="199">
        <v>0</v>
      </c>
      <c r="J57" s="199">
        <v>5205</v>
      </c>
      <c r="K57" s="199">
        <v>0</v>
      </c>
    </row>
    <row r="58" spans="1:11">
      <c r="A58" s="198">
        <v>2</v>
      </c>
      <c r="B58" s="198" t="s">
        <v>1370</v>
      </c>
      <c r="C58" s="197" t="s">
        <v>1371</v>
      </c>
      <c r="D58" s="199">
        <v>100516.66</v>
      </c>
      <c r="E58" s="199">
        <v>0</v>
      </c>
      <c r="F58" s="199">
        <v>100516.66</v>
      </c>
      <c r="G58" s="199">
        <v>0</v>
      </c>
      <c r="H58" s="199">
        <v>100517</v>
      </c>
      <c r="I58" s="199">
        <v>0</v>
      </c>
      <c r="J58" s="199">
        <v>100517</v>
      </c>
      <c r="K58" s="199">
        <v>0</v>
      </c>
    </row>
    <row r="59" spans="1:11">
      <c r="A59" s="198">
        <v>3</v>
      </c>
      <c r="B59" s="198" t="s">
        <v>1372</v>
      </c>
      <c r="C59" s="197" t="s">
        <v>1373</v>
      </c>
      <c r="D59" s="199">
        <v>0</v>
      </c>
      <c r="E59" s="199">
        <v>0</v>
      </c>
      <c r="F59" s="199">
        <v>0</v>
      </c>
      <c r="G59" s="199">
        <v>0</v>
      </c>
      <c r="H59" s="199">
        <v>0</v>
      </c>
      <c r="I59" s="199">
        <v>0</v>
      </c>
      <c r="J59" s="199">
        <v>0</v>
      </c>
      <c r="K59" s="199">
        <v>0</v>
      </c>
    </row>
    <row r="60" spans="1:11">
      <c r="A60" s="198">
        <v>4</v>
      </c>
      <c r="B60" s="198" t="s">
        <v>1374</v>
      </c>
      <c r="C60" s="197" t="s">
        <v>1375</v>
      </c>
      <c r="D60" s="199">
        <v>0</v>
      </c>
      <c r="E60" s="199">
        <v>0</v>
      </c>
      <c r="F60" s="199">
        <v>0</v>
      </c>
      <c r="G60" s="199">
        <v>0</v>
      </c>
      <c r="H60" s="199">
        <v>0</v>
      </c>
      <c r="I60" s="199">
        <v>0</v>
      </c>
      <c r="J60" s="199">
        <v>0</v>
      </c>
      <c r="K60" s="199">
        <v>0</v>
      </c>
    </row>
    <row r="61" spans="1:11">
      <c r="A61" s="198">
        <v>5</v>
      </c>
      <c r="B61" s="198" t="s">
        <v>1376</v>
      </c>
      <c r="C61" s="197" t="s">
        <v>1377</v>
      </c>
      <c r="D61" s="199">
        <v>0</v>
      </c>
      <c r="E61" s="199">
        <v>0</v>
      </c>
      <c r="F61" s="199">
        <v>0</v>
      </c>
      <c r="G61" s="199">
        <v>0</v>
      </c>
      <c r="H61" s="199">
        <v>0</v>
      </c>
      <c r="I61" s="199">
        <v>0</v>
      </c>
      <c r="J61" s="199">
        <v>0</v>
      </c>
      <c r="K61" s="199">
        <v>0</v>
      </c>
    </row>
    <row r="62" spans="1:11">
      <c r="A62" s="198" t="s">
        <v>1118</v>
      </c>
      <c r="B62" s="198" t="s">
        <v>1378</v>
      </c>
      <c r="C62" s="197" t="s">
        <v>1379</v>
      </c>
      <c r="D62" s="199">
        <v>16200</v>
      </c>
      <c r="E62" s="199">
        <v>0</v>
      </c>
      <c r="F62" s="199">
        <v>16200</v>
      </c>
      <c r="G62" s="199">
        <v>0</v>
      </c>
      <c r="H62" s="199">
        <v>16200</v>
      </c>
      <c r="I62" s="199">
        <v>0</v>
      </c>
      <c r="J62" s="199">
        <v>16200</v>
      </c>
      <c r="K62" s="199">
        <v>0</v>
      </c>
    </row>
    <row r="63" spans="1:11">
      <c r="A63" s="198" t="s">
        <v>1121</v>
      </c>
      <c r="B63" s="198" t="s">
        <v>1380</v>
      </c>
      <c r="C63" s="197" t="s">
        <v>1381</v>
      </c>
      <c r="D63" s="199">
        <v>16200</v>
      </c>
      <c r="E63" s="199">
        <v>0</v>
      </c>
      <c r="F63" s="199">
        <v>16200</v>
      </c>
      <c r="G63" s="199">
        <v>0</v>
      </c>
      <c r="H63" s="199">
        <v>16200</v>
      </c>
      <c r="I63" s="199">
        <v>0</v>
      </c>
      <c r="J63" s="199">
        <v>16200</v>
      </c>
      <c r="K63" s="199">
        <v>0</v>
      </c>
    </row>
    <row r="64" spans="1:11">
      <c r="A64" s="198">
        <v>2</v>
      </c>
      <c r="B64" s="198" t="s">
        <v>1382</v>
      </c>
      <c r="C64" s="197" t="s">
        <v>1383</v>
      </c>
      <c r="D64" s="199">
        <v>0</v>
      </c>
      <c r="E64" s="199">
        <v>0</v>
      </c>
      <c r="F64" s="199">
        <v>0</v>
      </c>
      <c r="G64" s="199">
        <v>0</v>
      </c>
      <c r="H64" s="199">
        <v>0</v>
      </c>
      <c r="I64" s="199">
        <v>0</v>
      </c>
      <c r="J64" s="199">
        <v>0</v>
      </c>
      <c r="K64" s="199">
        <v>0</v>
      </c>
    </row>
    <row r="65" spans="1:11">
      <c r="A65" s="198">
        <v>3</v>
      </c>
      <c r="B65" s="198" t="s">
        <v>1384</v>
      </c>
      <c r="C65" s="197" t="s">
        <v>1385</v>
      </c>
      <c r="D65" s="199">
        <v>0</v>
      </c>
      <c r="E65" s="199">
        <v>0</v>
      </c>
      <c r="F65" s="199">
        <v>0</v>
      </c>
      <c r="G65" s="199">
        <v>0</v>
      </c>
      <c r="H65" s="199">
        <v>0</v>
      </c>
      <c r="I65" s="199">
        <v>0</v>
      </c>
      <c r="J65" s="199">
        <v>0</v>
      </c>
      <c r="K65" s="199">
        <v>0</v>
      </c>
    </row>
    <row r="66" spans="1:11">
      <c r="A66" s="198">
        <v>4</v>
      </c>
      <c r="B66" s="198" t="s">
        <v>1386</v>
      </c>
      <c r="C66" s="197" t="s">
        <v>1387</v>
      </c>
      <c r="D66" s="199">
        <v>0</v>
      </c>
      <c r="E66" s="199">
        <v>0</v>
      </c>
      <c r="F66" s="199">
        <v>0</v>
      </c>
      <c r="G66" s="199">
        <v>0</v>
      </c>
      <c r="H66" s="199">
        <v>0</v>
      </c>
      <c r="I66" s="199">
        <v>0</v>
      </c>
      <c r="J66" s="199">
        <v>0</v>
      </c>
      <c r="K66" s="199">
        <v>0</v>
      </c>
    </row>
    <row r="67" spans="1:11">
      <c r="B67" s="198" t="s">
        <v>1388</v>
      </c>
      <c r="C67" s="197" t="s">
        <v>1389</v>
      </c>
      <c r="D67" s="199">
        <v>10458145.439999999</v>
      </c>
      <c r="E67" s="199">
        <v>498789.24</v>
      </c>
      <c r="F67" s="199">
        <v>9959356.1999999993</v>
      </c>
      <c r="G67" s="199">
        <v>0</v>
      </c>
      <c r="H67" s="199">
        <v>10458148</v>
      </c>
      <c r="I67" s="199">
        <v>498788</v>
      </c>
      <c r="J67" s="199">
        <v>9959360</v>
      </c>
      <c r="K67" s="199">
        <v>0</v>
      </c>
    </row>
  </sheetData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>
  <sheetPr>
    <tabColor rgb="FF0070C0"/>
  </sheetPr>
  <dimension ref="A1:G61"/>
  <sheetViews>
    <sheetView workbookViewId="0">
      <selection activeCell="B14" sqref="B14"/>
    </sheetView>
  </sheetViews>
  <sheetFormatPr defaultRowHeight="15"/>
  <cols>
    <col min="1" max="1" width="8.28515625" style="198" bestFit="1" customWidth="1"/>
    <col min="2" max="2" width="79.42578125" style="198" bestFit="1" customWidth="1"/>
    <col min="3" max="3" width="4.42578125" style="197" bestFit="1" customWidth="1"/>
    <col min="4" max="7" width="15.28515625" style="199" bestFit="1" customWidth="1"/>
    <col min="8" max="16384" width="9.140625" style="193"/>
  </cols>
  <sheetData>
    <row r="1" spans="1:7" ht="22.5">
      <c r="A1" s="204" t="s">
        <v>503</v>
      </c>
      <c r="B1" s="204" t="s">
        <v>509</v>
      </c>
      <c r="C1" s="203" t="s">
        <v>526</v>
      </c>
      <c r="D1" s="205" t="s">
        <v>533</v>
      </c>
      <c r="E1" s="205" t="s">
        <v>534</v>
      </c>
      <c r="F1" s="205" t="s">
        <v>510</v>
      </c>
      <c r="G1" s="205" t="s">
        <v>508</v>
      </c>
    </row>
    <row r="2" spans="1:7">
      <c r="B2" s="198" t="s">
        <v>1390</v>
      </c>
      <c r="C2" s="197" t="s">
        <v>1391</v>
      </c>
      <c r="D2" s="199">
        <v>2493889.0499999998</v>
      </c>
      <c r="E2" s="199">
        <v>0</v>
      </c>
      <c r="F2" s="199">
        <v>2493890</v>
      </c>
      <c r="G2" s="199">
        <v>0</v>
      </c>
    </row>
    <row r="3" spans="1:7">
      <c r="A3" s="198" t="s">
        <v>1092</v>
      </c>
      <c r="B3" s="198" t="s">
        <v>1392</v>
      </c>
      <c r="C3" s="197" t="s">
        <v>1393</v>
      </c>
      <c r="D3" s="196">
        <v>-242555.51999999999</v>
      </c>
      <c r="E3" s="196">
        <v>0</v>
      </c>
      <c r="F3" s="196">
        <v>-242556</v>
      </c>
      <c r="G3" s="196">
        <v>0</v>
      </c>
    </row>
    <row r="4" spans="1:7">
      <c r="A4" s="198" t="s">
        <v>1258</v>
      </c>
      <c r="B4" s="198" t="s">
        <v>1394</v>
      </c>
      <c r="C4" s="197" t="s">
        <v>1395</v>
      </c>
      <c r="D4" s="199">
        <v>5000</v>
      </c>
      <c r="E4" s="199">
        <v>0</v>
      </c>
      <c r="F4" s="199">
        <v>5000</v>
      </c>
      <c r="G4" s="199">
        <v>0</v>
      </c>
    </row>
    <row r="5" spans="1:7">
      <c r="A5" s="198" t="s">
        <v>1396</v>
      </c>
      <c r="B5" s="198" t="s">
        <v>1397</v>
      </c>
      <c r="C5" s="197" t="s">
        <v>1398</v>
      </c>
      <c r="D5" s="199">
        <v>5000</v>
      </c>
      <c r="E5" s="199">
        <v>0</v>
      </c>
      <c r="F5" s="199">
        <v>5000</v>
      </c>
      <c r="G5" s="199">
        <v>0</v>
      </c>
    </row>
    <row r="6" spans="1:7">
      <c r="A6" s="198">
        <v>2</v>
      </c>
      <c r="B6" s="198" t="s">
        <v>1399</v>
      </c>
      <c r="C6" s="197" t="s">
        <v>1400</v>
      </c>
      <c r="D6" s="199">
        <v>0</v>
      </c>
      <c r="E6" s="199">
        <v>0</v>
      </c>
      <c r="F6" s="199">
        <v>0</v>
      </c>
      <c r="G6" s="199">
        <v>0</v>
      </c>
    </row>
    <row r="7" spans="1:7">
      <c r="A7" s="198">
        <v>3</v>
      </c>
      <c r="B7" s="198" t="s">
        <v>1401</v>
      </c>
      <c r="C7" s="197" t="s">
        <v>1402</v>
      </c>
      <c r="D7" s="199">
        <v>0</v>
      </c>
      <c r="E7" s="199">
        <v>0</v>
      </c>
      <c r="F7" s="199">
        <v>0</v>
      </c>
      <c r="G7" s="199">
        <v>0</v>
      </c>
    </row>
    <row r="8" spans="1:7">
      <c r="A8" s="198">
        <v>4</v>
      </c>
      <c r="B8" s="198" t="s">
        <v>1403</v>
      </c>
      <c r="C8" s="197" t="s">
        <v>1404</v>
      </c>
      <c r="D8" s="199">
        <v>0</v>
      </c>
      <c r="E8" s="199">
        <v>0</v>
      </c>
      <c r="F8" s="199">
        <v>0</v>
      </c>
      <c r="G8" s="199">
        <v>0</v>
      </c>
    </row>
    <row r="9" spans="1:7">
      <c r="A9" s="198" t="s">
        <v>1276</v>
      </c>
      <c r="B9" s="198" t="s">
        <v>1405</v>
      </c>
      <c r="C9" s="197" t="s">
        <v>1002</v>
      </c>
      <c r="D9" s="199">
        <v>0</v>
      </c>
      <c r="E9" s="199">
        <v>0</v>
      </c>
      <c r="F9" s="199">
        <v>0</v>
      </c>
      <c r="G9" s="199">
        <v>0</v>
      </c>
    </row>
    <row r="10" spans="1:7">
      <c r="A10" s="198" t="s">
        <v>1279</v>
      </c>
      <c r="B10" s="198" t="s">
        <v>1406</v>
      </c>
      <c r="C10" s="197" t="s">
        <v>1407</v>
      </c>
      <c r="D10" s="199">
        <v>0</v>
      </c>
      <c r="E10" s="199">
        <v>0</v>
      </c>
      <c r="F10" s="199">
        <v>0</v>
      </c>
      <c r="G10" s="199">
        <v>0</v>
      </c>
    </row>
    <row r="11" spans="1:7">
      <c r="A11" s="198">
        <v>2</v>
      </c>
      <c r="B11" s="198" t="s">
        <v>1408</v>
      </c>
      <c r="C11" s="197" t="s">
        <v>1003</v>
      </c>
      <c r="D11" s="199">
        <v>0</v>
      </c>
      <c r="E11" s="199">
        <v>0</v>
      </c>
      <c r="F11" s="199">
        <v>0</v>
      </c>
      <c r="G11" s="199">
        <v>0</v>
      </c>
    </row>
    <row r="12" spans="1:7">
      <c r="A12" s="198">
        <v>3</v>
      </c>
      <c r="B12" s="198" t="s">
        <v>1409</v>
      </c>
      <c r="C12" s="197" t="s">
        <v>1410</v>
      </c>
      <c r="D12" s="199">
        <v>0</v>
      </c>
      <c r="E12" s="199">
        <v>0</v>
      </c>
      <c r="F12" s="199">
        <v>0</v>
      </c>
      <c r="G12" s="199">
        <v>0</v>
      </c>
    </row>
    <row r="13" spans="1:7">
      <c r="A13" s="198">
        <v>4</v>
      </c>
      <c r="B13" s="198" t="s">
        <v>1411</v>
      </c>
      <c r="C13" s="197" t="s">
        <v>1412</v>
      </c>
      <c r="D13" s="199">
        <v>0</v>
      </c>
      <c r="E13" s="199">
        <v>0</v>
      </c>
      <c r="F13" s="199">
        <v>0</v>
      </c>
      <c r="G13" s="199">
        <v>0</v>
      </c>
    </row>
    <row r="14" spans="1:7">
      <c r="A14" s="198">
        <v>5</v>
      </c>
      <c r="B14" s="198" t="s">
        <v>1413</v>
      </c>
      <c r="C14" s="197" t="s">
        <v>1414</v>
      </c>
      <c r="D14" s="199">
        <v>0</v>
      </c>
      <c r="E14" s="199">
        <v>0</v>
      </c>
      <c r="F14" s="199">
        <v>0</v>
      </c>
      <c r="G14" s="199">
        <v>0</v>
      </c>
    </row>
    <row r="15" spans="1:7">
      <c r="A15" s="198">
        <v>6</v>
      </c>
      <c r="B15" s="198" t="s">
        <v>1415</v>
      </c>
      <c r="C15" s="197" t="s">
        <v>1416</v>
      </c>
      <c r="D15" s="199">
        <v>0</v>
      </c>
      <c r="E15" s="199">
        <v>0</v>
      </c>
      <c r="F15" s="199">
        <v>0</v>
      </c>
      <c r="G15" s="199">
        <v>0</v>
      </c>
    </row>
    <row r="16" spans="1:7">
      <c r="A16" s="198" t="s">
        <v>1296</v>
      </c>
      <c r="B16" s="198" t="s">
        <v>1417</v>
      </c>
      <c r="C16" s="197" t="s">
        <v>1418</v>
      </c>
      <c r="D16" s="199">
        <v>0</v>
      </c>
      <c r="E16" s="199">
        <v>0</v>
      </c>
      <c r="F16" s="199">
        <v>0</v>
      </c>
      <c r="G16" s="199">
        <v>0</v>
      </c>
    </row>
    <row r="17" spans="1:7">
      <c r="A17" s="198" t="s">
        <v>1299</v>
      </c>
      <c r="B17" s="198" t="s">
        <v>1419</v>
      </c>
      <c r="C17" s="197" t="s">
        <v>1420</v>
      </c>
      <c r="D17" s="199">
        <v>0</v>
      </c>
      <c r="E17" s="199">
        <v>0</v>
      </c>
      <c r="F17" s="199">
        <v>0</v>
      </c>
      <c r="G17" s="199">
        <v>0</v>
      </c>
    </row>
    <row r="18" spans="1:7">
      <c r="A18" s="198">
        <v>2</v>
      </c>
      <c r="B18" s="198" t="s">
        <v>1421</v>
      </c>
      <c r="C18" s="197" t="s">
        <v>1004</v>
      </c>
      <c r="D18" s="199">
        <v>0</v>
      </c>
      <c r="E18" s="199">
        <v>0</v>
      </c>
      <c r="F18" s="199">
        <v>0</v>
      </c>
      <c r="G18" s="199">
        <v>0</v>
      </c>
    </row>
    <row r="19" spans="1:7">
      <c r="A19" s="198">
        <v>3</v>
      </c>
      <c r="B19" s="198" t="s">
        <v>1422</v>
      </c>
      <c r="C19" s="197" t="s">
        <v>1423</v>
      </c>
      <c r="D19" s="199">
        <v>0</v>
      </c>
      <c r="E19" s="199">
        <v>0</v>
      </c>
      <c r="F19" s="199">
        <v>0</v>
      </c>
      <c r="G19" s="199">
        <v>0</v>
      </c>
    </row>
    <row r="20" spans="1:7">
      <c r="A20" s="198" t="s">
        <v>1424</v>
      </c>
      <c r="B20" s="198" t="s">
        <v>1425</v>
      </c>
      <c r="C20" s="197" t="s">
        <v>1426</v>
      </c>
      <c r="D20" s="199">
        <v>-36247.68</v>
      </c>
      <c r="E20" s="199">
        <v>0</v>
      </c>
      <c r="F20" s="199">
        <v>-36248</v>
      </c>
      <c r="G20" s="199">
        <v>0</v>
      </c>
    </row>
    <row r="21" spans="1:7">
      <c r="A21" s="198" t="s">
        <v>1427</v>
      </c>
      <c r="B21" s="198" t="s">
        <v>1428</v>
      </c>
      <c r="C21" s="197" t="s">
        <v>1429</v>
      </c>
      <c r="D21" s="199">
        <v>0</v>
      </c>
      <c r="E21" s="199">
        <v>0</v>
      </c>
      <c r="F21" s="199">
        <v>0</v>
      </c>
      <c r="G21" s="199">
        <v>0</v>
      </c>
    </row>
    <row r="22" spans="1:7">
      <c r="A22" s="198">
        <v>2</v>
      </c>
      <c r="B22" s="198" t="s">
        <v>1430</v>
      </c>
      <c r="C22" s="197" t="s">
        <v>1431</v>
      </c>
      <c r="D22" s="199">
        <v>36247.68</v>
      </c>
      <c r="E22" s="199">
        <v>0</v>
      </c>
      <c r="F22" s="199">
        <v>36248</v>
      </c>
      <c r="G22" s="199">
        <v>0</v>
      </c>
    </row>
    <row r="23" spans="1:7">
      <c r="A23" s="198" t="s">
        <v>1432</v>
      </c>
      <c r="B23" s="198" t="s">
        <v>1433</v>
      </c>
      <c r="C23" s="197" t="s">
        <v>1434</v>
      </c>
      <c r="D23" s="199">
        <v>-211307.84</v>
      </c>
      <c r="E23" s="199">
        <v>0</v>
      </c>
      <c r="F23" s="199">
        <v>-211308</v>
      </c>
      <c r="G23" s="199">
        <v>0</v>
      </c>
    </row>
    <row r="24" spans="1:7">
      <c r="A24" s="198" t="s">
        <v>1108</v>
      </c>
      <c r="B24" s="198" t="s">
        <v>1435</v>
      </c>
      <c r="C24" s="197" t="s">
        <v>1436</v>
      </c>
      <c r="D24" s="199">
        <v>2736444.57</v>
      </c>
      <c r="E24" s="199">
        <v>0</v>
      </c>
      <c r="F24" s="199">
        <v>2736446</v>
      </c>
      <c r="G24" s="199">
        <v>0</v>
      </c>
    </row>
    <row r="25" spans="1:7">
      <c r="A25" s="198" t="s">
        <v>1317</v>
      </c>
      <c r="B25" s="198" t="s">
        <v>1437</v>
      </c>
      <c r="C25" s="197" t="s">
        <v>1438</v>
      </c>
      <c r="D25" s="199">
        <v>21861.67</v>
      </c>
      <c r="E25" s="199">
        <v>0</v>
      </c>
      <c r="F25" s="199">
        <v>21862</v>
      </c>
      <c r="G25" s="199">
        <v>0</v>
      </c>
    </row>
    <row r="26" spans="1:7">
      <c r="A26" s="198" t="s">
        <v>1320</v>
      </c>
      <c r="B26" s="198" t="s">
        <v>1439</v>
      </c>
      <c r="C26" s="197" t="s">
        <v>1440</v>
      </c>
      <c r="D26" s="199">
        <v>0</v>
      </c>
      <c r="E26" s="199">
        <v>0</v>
      </c>
      <c r="F26" s="199">
        <v>0</v>
      </c>
      <c r="G26" s="199">
        <v>0</v>
      </c>
    </row>
    <row r="27" spans="1:7">
      <c r="A27" s="198">
        <v>2</v>
      </c>
      <c r="B27" s="198" t="s">
        <v>1441</v>
      </c>
      <c r="C27" s="197" t="s">
        <v>1442</v>
      </c>
      <c r="D27" s="199">
        <v>21861.67</v>
      </c>
      <c r="E27" s="199">
        <v>0</v>
      </c>
      <c r="F27" s="199">
        <v>21862</v>
      </c>
      <c r="G27" s="199">
        <v>0</v>
      </c>
    </row>
    <row r="28" spans="1:7">
      <c r="A28" s="198">
        <v>3</v>
      </c>
      <c r="B28" s="198" t="s">
        <v>1443</v>
      </c>
      <c r="C28" s="197" t="s">
        <v>1444</v>
      </c>
      <c r="D28" s="199">
        <v>0</v>
      </c>
      <c r="E28" s="199">
        <v>0</v>
      </c>
      <c r="F28" s="199">
        <v>0</v>
      </c>
      <c r="G28" s="199">
        <v>0</v>
      </c>
    </row>
    <row r="29" spans="1:7">
      <c r="A29" s="198">
        <v>4</v>
      </c>
      <c r="B29" s="198" t="s">
        <v>1445</v>
      </c>
      <c r="C29" s="197" t="s">
        <v>1446</v>
      </c>
      <c r="D29" s="199">
        <v>0</v>
      </c>
      <c r="E29" s="199">
        <v>0</v>
      </c>
      <c r="F29" s="199">
        <v>0</v>
      </c>
      <c r="G29" s="199">
        <v>0</v>
      </c>
    </row>
    <row r="30" spans="1:7">
      <c r="A30" s="198" t="s">
        <v>1333</v>
      </c>
      <c r="B30" s="198" t="s">
        <v>1447</v>
      </c>
      <c r="C30" s="197" t="s">
        <v>1448</v>
      </c>
      <c r="D30" s="199">
        <v>0</v>
      </c>
      <c r="E30" s="199">
        <v>0</v>
      </c>
      <c r="F30" s="199">
        <v>0</v>
      </c>
      <c r="G30" s="199">
        <v>0</v>
      </c>
    </row>
    <row r="31" spans="1:7">
      <c r="A31" s="198" t="s">
        <v>1336</v>
      </c>
      <c r="B31" s="198" t="s">
        <v>1449</v>
      </c>
      <c r="C31" s="197" t="s">
        <v>1450</v>
      </c>
      <c r="D31" s="199">
        <v>0</v>
      </c>
      <c r="E31" s="199">
        <v>0</v>
      </c>
      <c r="F31" s="199">
        <v>0</v>
      </c>
      <c r="G31" s="199">
        <v>0</v>
      </c>
    </row>
    <row r="32" spans="1:7">
      <c r="A32" s="198">
        <v>2</v>
      </c>
      <c r="B32" s="198" t="s">
        <v>1339</v>
      </c>
      <c r="C32" s="197" t="s">
        <v>1451</v>
      </c>
      <c r="D32" s="199">
        <v>0</v>
      </c>
      <c r="E32" s="199">
        <v>0</v>
      </c>
      <c r="F32" s="199">
        <v>0</v>
      </c>
      <c r="G32" s="199">
        <v>0</v>
      </c>
    </row>
    <row r="33" spans="1:7">
      <c r="A33" s="198">
        <v>3</v>
      </c>
      <c r="B33" s="198" t="s">
        <v>1452</v>
      </c>
      <c r="C33" s="197" t="s">
        <v>1453</v>
      </c>
      <c r="D33" s="199">
        <v>0</v>
      </c>
      <c r="E33" s="199">
        <v>0</v>
      </c>
      <c r="F33" s="199">
        <v>0</v>
      </c>
      <c r="G33" s="199">
        <v>0</v>
      </c>
    </row>
    <row r="34" spans="1:7">
      <c r="A34" s="198">
        <v>4</v>
      </c>
      <c r="B34" s="198" t="s">
        <v>1454</v>
      </c>
      <c r="C34" s="197" t="s">
        <v>1455</v>
      </c>
      <c r="D34" s="199">
        <v>0</v>
      </c>
      <c r="E34" s="199">
        <v>0</v>
      </c>
      <c r="F34" s="199">
        <v>0</v>
      </c>
      <c r="G34" s="199">
        <v>0</v>
      </c>
    </row>
    <row r="35" spans="1:7">
      <c r="A35" s="198">
        <v>5</v>
      </c>
      <c r="B35" s="198" t="s">
        <v>1456</v>
      </c>
      <c r="C35" s="197" t="s">
        <v>1457</v>
      </c>
      <c r="D35" s="199">
        <v>0</v>
      </c>
      <c r="E35" s="199">
        <v>0</v>
      </c>
      <c r="F35" s="199">
        <v>0</v>
      </c>
      <c r="G35" s="199">
        <v>0</v>
      </c>
    </row>
    <row r="36" spans="1:7">
      <c r="A36" s="198">
        <v>6</v>
      </c>
      <c r="B36" s="198" t="s">
        <v>1458</v>
      </c>
      <c r="C36" s="197" t="s">
        <v>1459</v>
      </c>
      <c r="D36" s="199">
        <v>0</v>
      </c>
      <c r="E36" s="199">
        <v>0</v>
      </c>
      <c r="F36" s="199">
        <v>0</v>
      </c>
      <c r="G36" s="199">
        <v>0</v>
      </c>
    </row>
    <row r="37" spans="1:7">
      <c r="A37" s="198">
        <v>7</v>
      </c>
      <c r="B37" s="198" t="s">
        <v>1460</v>
      </c>
      <c r="C37" s="197" t="s">
        <v>1461</v>
      </c>
      <c r="D37" s="199">
        <v>0</v>
      </c>
      <c r="E37" s="199">
        <v>0</v>
      </c>
      <c r="F37" s="199">
        <v>0</v>
      </c>
      <c r="G37" s="199">
        <v>0</v>
      </c>
    </row>
    <row r="38" spans="1:7">
      <c r="A38" s="198">
        <v>8</v>
      </c>
      <c r="B38" s="198" t="s">
        <v>1462</v>
      </c>
      <c r="C38" s="197" t="s">
        <v>1463</v>
      </c>
      <c r="D38" s="199">
        <v>0</v>
      </c>
      <c r="E38" s="199">
        <v>0</v>
      </c>
      <c r="F38" s="199">
        <v>0</v>
      </c>
      <c r="G38" s="199">
        <v>0</v>
      </c>
    </row>
    <row r="39" spans="1:7">
      <c r="A39" s="198">
        <v>9</v>
      </c>
      <c r="B39" s="198" t="s">
        <v>1464</v>
      </c>
      <c r="C39" s="197" t="s">
        <v>1465</v>
      </c>
      <c r="D39" s="199">
        <v>0</v>
      </c>
      <c r="E39" s="199">
        <v>0</v>
      </c>
      <c r="F39" s="199">
        <v>0</v>
      </c>
      <c r="G39" s="199">
        <v>0</v>
      </c>
    </row>
    <row r="40" spans="1:7">
      <c r="A40" s="198">
        <v>10</v>
      </c>
      <c r="B40" s="198" t="s">
        <v>1466</v>
      </c>
      <c r="C40" s="197" t="s">
        <v>1467</v>
      </c>
      <c r="D40" s="199">
        <v>0</v>
      </c>
      <c r="E40" s="199">
        <v>0</v>
      </c>
      <c r="F40" s="199">
        <v>0</v>
      </c>
      <c r="G40" s="199">
        <v>0</v>
      </c>
    </row>
    <row r="41" spans="1:7">
      <c r="A41" s="198">
        <v>11</v>
      </c>
      <c r="B41" s="198" t="s">
        <v>1468</v>
      </c>
      <c r="C41" s="197" t="s">
        <v>1469</v>
      </c>
      <c r="D41" s="199">
        <v>0</v>
      </c>
      <c r="E41" s="199">
        <v>0</v>
      </c>
      <c r="F41" s="199">
        <v>0</v>
      </c>
      <c r="G41" s="199">
        <v>0</v>
      </c>
    </row>
    <row r="42" spans="1:7">
      <c r="A42" s="198" t="s">
        <v>1349</v>
      </c>
      <c r="B42" s="198" t="s">
        <v>1470</v>
      </c>
      <c r="C42" s="197" t="s">
        <v>1471</v>
      </c>
      <c r="D42" s="199">
        <v>2714582.9</v>
      </c>
      <c r="E42" s="199">
        <v>0</v>
      </c>
      <c r="F42" s="199">
        <v>2714584</v>
      </c>
      <c r="G42" s="199">
        <v>0</v>
      </c>
    </row>
    <row r="43" spans="1:7">
      <c r="A43" s="198" t="s">
        <v>1472</v>
      </c>
      <c r="B43" s="198" t="s">
        <v>1473</v>
      </c>
      <c r="C43" s="197" t="s">
        <v>1474</v>
      </c>
      <c r="D43" s="199">
        <v>2296574.23</v>
      </c>
      <c r="E43" s="199">
        <v>0</v>
      </c>
      <c r="F43" s="199">
        <v>2296576</v>
      </c>
      <c r="G43" s="199">
        <v>0</v>
      </c>
    </row>
    <row r="44" spans="1:7">
      <c r="A44" s="198">
        <v>2</v>
      </c>
      <c r="B44" s="198" t="s">
        <v>1339</v>
      </c>
      <c r="C44" s="197" t="s">
        <v>1475</v>
      </c>
      <c r="D44" s="199">
        <v>0</v>
      </c>
      <c r="E44" s="199">
        <v>0</v>
      </c>
      <c r="F44" s="199">
        <v>0</v>
      </c>
      <c r="G44" s="199">
        <v>0</v>
      </c>
    </row>
    <row r="45" spans="1:7">
      <c r="A45" s="198">
        <v>3</v>
      </c>
      <c r="B45" s="198" t="s">
        <v>1476</v>
      </c>
      <c r="C45" s="197" t="s">
        <v>1477</v>
      </c>
      <c r="D45" s="199">
        <v>0</v>
      </c>
      <c r="E45" s="199">
        <v>0</v>
      </c>
      <c r="F45" s="199">
        <v>0</v>
      </c>
      <c r="G45" s="199">
        <v>0</v>
      </c>
    </row>
    <row r="46" spans="1:7">
      <c r="A46" s="198">
        <v>4</v>
      </c>
      <c r="B46" s="198" t="s">
        <v>1478</v>
      </c>
      <c r="C46" s="197" t="s">
        <v>1479</v>
      </c>
      <c r="D46" s="199">
        <v>0</v>
      </c>
      <c r="E46" s="199">
        <v>0</v>
      </c>
      <c r="F46" s="199">
        <v>0</v>
      </c>
      <c r="G46" s="199">
        <v>0</v>
      </c>
    </row>
    <row r="47" spans="1:7">
      <c r="A47" s="198">
        <v>5</v>
      </c>
      <c r="B47" s="198" t="s">
        <v>1480</v>
      </c>
      <c r="C47" s="197" t="s">
        <v>1481</v>
      </c>
      <c r="D47" s="199">
        <v>0</v>
      </c>
      <c r="E47" s="199">
        <v>0</v>
      </c>
      <c r="F47" s="199">
        <v>0</v>
      </c>
      <c r="G47" s="199">
        <v>0</v>
      </c>
    </row>
    <row r="48" spans="1:7">
      <c r="A48" s="198">
        <v>6</v>
      </c>
      <c r="B48" s="198" t="s">
        <v>1482</v>
      </c>
      <c r="C48" s="197" t="s">
        <v>1005</v>
      </c>
      <c r="D48" s="199">
        <v>0</v>
      </c>
      <c r="E48" s="199">
        <v>0</v>
      </c>
      <c r="F48" s="199">
        <v>0</v>
      </c>
      <c r="G48" s="199">
        <v>0</v>
      </c>
    </row>
    <row r="49" spans="1:7">
      <c r="A49" s="198">
        <v>7</v>
      </c>
      <c r="B49" s="198" t="s">
        <v>1483</v>
      </c>
      <c r="C49" s="197" t="s">
        <v>1484</v>
      </c>
      <c r="D49" s="199">
        <v>11221.98</v>
      </c>
      <c r="E49" s="199">
        <v>0</v>
      </c>
      <c r="F49" s="199">
        <v>11222</v>
      </c>
      <c r="G49" s="199">
        <v>0</v>
      </c>
    </row>
    <row r="50" spans="1:7">
      <c r="A50" s="198">
        <v>8</v>
      </c>
      <c r="B50" s="198" t="s">
        <v>1485</v>
      </c>
      <c r="C50" s="197" t="s">
        <v>1486</v>
      </c>
      <c r="D50" s="199">
        <v>9844.4</v>
      </c>
      <c r="E50" s="199">
        <v>0</v>
      </c>
      <c r="F50" s="199">
        <v>9844</v>
      </c>
      <c r="G50" s="199">
        <v>0</v>
      </c>
    </row>
    <row r="51" spans="1:7">
      <c r="A51" s="198">
        <v>9</v>
      </c>
      <c r="B51" s="198" t="s">
        <v>1487</v>
      </c>
      <c r="C51" s="197" t="s">
        <v>1488</v>
      </c>
      <c r="D51" s="199">
        <v>58941.440000000002</v>
      </c>
      <c r="E51" s="199">
        <v>0</v>
      </c>
      <c r="F51" s="199">
        <v>58941</v>
      </c>
      <c r="G51" s="199">
        <v>0</v>
      </c>
    </row>
    <row r="52" spans="1:7">
      <c r="A52" s="198">
        <v>10</v>
      </c>
      <c r="B52" s="198" t="s">
        <v>1489</v>
      </c>
      <c r="C52" s="197" t="s">
        <v>1490</v>
      </c>
      <c r="D52" s="199">
        <v>338000.85</v>
      </c>
      <c r="E52" s="199">
        <v>0</v>
      </c>
      <c r="F52" s="199">
        <v>338001</v>
      </c>
      <c r="G52" s="199">
        <v>0</v>
      </c>
    </row>
    <row r="53" spans="1:7">
      <c r="A53" s="198" t="s">
        <v>1364</v>
      </c>
      <c r="B53" s="198" t="s">
        <v>1491</v>
      </c>
      <c r="C53" s="197" t="s">
        <v>1492</v>
      </c>
      <c r="D53" s="199">
        <v>0</v>
      </c>
      <c r="E53" s="199">
        <v>0</v>
      </c>
      <c r="F53" s="199">
        <v>0</v>
      </c>
      <c r="G53" s="199">
        <v>0</v>
      </c>
    </row>
    <row r="54" spans="1:7">
      <c r="A54" s="198" t="s">
        <v>1493</v>
      </c>
      <c r="B54" s="198" t="s">
        <v>1494</v>
      </c>
      <c r="C54" s="197" t="s">
        <v>1495</v>
      </c>
      <c r="D54" s="199">
        <v>0</v>
      </c>
      <c r="E54" s="199">
        <v>0</v>
      </c>
      <c r="F54" s="199">
        <v>0</v>
      </c>
      <c r="G54" s="199">
        <v>0</v>
      </c>
    </row>
    <row r="55" spans="1:7">
      <c r="A55" s="198" t="s">
        <v>1367</v>
      </c>
      <c r="B55" s="198" t="s">
        <v>1496</v>
      </c>
      <c r="C55" s="197" t="s">
        <v>1497</v>
      </c>
      <c r="D55" s="199">
        <v>0</v>
      </c>
      <c r="E55" s="199">
        <v>0</v>
      </c>
      <c r="F55" s="199">
        <v>0</v>
      </c>
      <c r="G55" s="199">
        <v>0</v>
      </c>
    </row>
    <row r="56" spans="1:7">
      <c r="A56" s="198">
        <v>2</v>
      </c>
      <c r="B56" s="198" t="s">
        <v>1498</v>
      </c>
      <c r="C56" s="197" t="s">
        <v>1499</v>
      </c>
      <c r="D56" s="199">
        <v>0</v>
      </c>
      <c r="E56" s="199">
        <v>0</v>
      </c>
      <c r="F56" s="199">
        <v>0</v>
      </c>
      <c r="G56" s="199">
        <v>0</v>
      </c>
    </row>
    <row r="57" spans="1:7">
      <c r="A57" s="198" t="s">
        <v>1118</v>
      </c>
      <c r="B57" s="198" t="s">
        <v>1500</v>
      </c>
      <c r="C57" s="197" t="s">
        <v>1501</v>
      </c>
      <c r="D57" s="199">
        <v>0</v>
      </c>
      <c r="E57" s="199">
        <v>0</v>
      </c>
      <c r="F57" s="199">
        <v>0</v>
      </c>
      <c r="G57" s="199">
        <v>0</v>
      </c>
    </row>
    <row r="58" spans="1:7">
      <c r="A58" s="198" t="s">
        <v>1121</v>
      </c>
      <c r="B58" s="198" t="s">
        <v>1502</v>
      </c>
      <c r="C58" s="197" t="s">
        <v>1503</v>
      </c>
      <c r="D58" s="199">
        <v>0</v>
      </c>
      <c r="E58" s="199">
        <v>0</v>
      </c>
      <c r="F58" s="199">
        <v>0</v>
      </c>
      <c r="G58" s="199">
        <v>0</v>
      </c>
    </row>
    <row r="59" spans="1:7">
      <c r="A59" s="198">
        <v>2</v>
      </c>
      <c r="B59" s="198" t="s">
        <v>1504</v>
      </c>
      <c r="C59" s="197" t="s">
        <v>1505</v>
      </c>
      <c r="D59" s="199">
        <v>0</v>
      </c>
      <c r="E59" s="199">
        <v>0</v>
      </c>
      <c r="F59" s="199">
        <v>0</v>
      </c>
      <c r="G59" s="199">
        <v>0</v>
      </c>
    </row>
    <row r="60" spans="1:7">
      <c r="A60" s="198">
        <v>3</v>
      </c>
      <c r="B60" s="198" t="s">
        <v>1506</v>
      </c>
      <c r="C60" s="197" t="s">
        <v>1507</v>
      </c>
      <c r="D60" s="199">
        <v>0</v>
      </c>
      <c r="E60" s="199">
        <v>0</v>
      </c>
      <c r="F60" s="199">
        <v>0</v>
      </c>
      <c r="G60" s="199">
        <v>0</v>
      </c>
    </row>
    <row r="61" spans="1:7">
      <c r="A61" s="198">
        <v>4</v>
      </c>
      <c r="B61" s="198" t="s">
        <v>1508</v>
      </c>
      <c r="C61" s="197" t="s">
        <v>1509</v>
      </c>
      <c r="D61" s="199">
        <v>0</v>
      </c>
      <c r="E61" s="199">
        <v>0</v>
      </c>
      <c r="F61" s="199">
        <v>0</v>
      </c>
      <c r="G61" s="199">
        <v>0</v>
      </c>
    </row>
  </sheetData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>
  <sheetPr>
    <tabColor rgb="FF0070C0"/>
  </sheetPr>
  <dimension ref="A1:B18"/>
  <sheetViews>
    <sheetView workbookViewId="0">
      <selection activeCell="A2" sqref="A2"/>
    </sheetView>
  </sheetViews>
  <sheetFormatPr defaultRowHeight="15"/>
  <cols>
    <col min="1" max="1" width="63.140625" style="18" customWidth="1"/>
    <col min="2" max="2" width="24.85546875" style="18" customWidth="1"/>
  </cols>
  <sheetData>
    <row r="1" spans="1:2">
      <c r="A1" s="206" t="s">
        <v>535</v>
      </c>
      <c r="B1" s="206" t="s">
        <v>63</v>
      </c>
    </row>
    <row r="2" spans="1:2">
      <c r="A2" s="18" t="s">
        <v>1510</v>
      </c>
      <c r="B2" s="18" t="s">
        <v>1538</v>
      </c>
    </row>
    <row r="3" spans="1:2">
      <c r="A3" s="18" t="s">
        <v>1511</v>
      </c>
      <c r="B3" s="18" t="s">
        <v>1539</v>
      </c>
    </row>
    <row r="4" spans="1:2">
      <c r="A4" s="18" t="s">
        <v>1513</v>
      </c>
      <c r="B4" s="18" t="s">
        <v>1540</v>
      </c>
    </row>
    <row r="5" spans="1:2">
      <c r="A5" s="18" t="s">
        <v>1515</v>
      </c>
      <c r="B5" s="18" t="s">
        <v>1512</v>
      </c>
    </row>
    <row r="6" spans="1:2">
      <c r="A6" s="18" t="s">
        <v>1516</v>
      </c>
      <c r="B6" s="18" t="s">
        <v>1514</v>
      </c>
    </row>
    <row r="7" spans="1:2">
      <c r="A7" s="18" t="s">
        <v>1517</v>
      </c>
      <c r="B7" s="18">
        <v>46378979</v>
      </c>
    </row>
    <row r="8" spans="1:2">
      <c r="A8" s="18" t="s">
        <v>1518</v>
      </c>
      <c r="B8" s="18">
        <v>2023373264</v>
      </c>
    </row>
    <row r="9" spans="1:2">
      <c r="A9" s="18" t="s">
        <v>1519</v>
      </c>
    </row>
    <row r="10" spans="1:2">
      <c r="A10" s="18" t="s">
        <v>1520</v>
      </c>
      <c r="B10" s="18" t="s">
        <v>1521</v>
      </c>
    </row>
    <row r="11" spans="1:2">
      <c r="A11" s="18" t="s">
        <v>1522</v>
      </c>
    </row>
    <row r="12" spans="1:2">
      <c r="A12" s="18" t="s">
        <v>1523</v>
      </c>
      <c r="B12" s="18" t="s">
        <v>1524</v>
      </c>
    </row>
    <row r="13" spans="1:2">
      <c r="A13" s="18" t="s">
        <v>1525</v>
      </c>
      <c r="B13" s="18">
        <v>12</v>
      </c>
    </row>
    <row r="14" spans="1:2">
      <c r="A14" s="18" t="s">
        <v>1526</v>
      </c>
      <c r="B14" s="18" t="s">
        <v>1527</v>
      </c>
    </row>
    <row r="15" spans="1:2">
      <c r="A15" s="18" t="s">
        <v>1528</v>
      </c>
      <c r="B15" s="18" t="s">
        <v>1529</v>
      </c>
    </row>
    <row r="16" spans="1:2">
      <c r="A16" s="18" t="s">
        <v>1530</v>
      </c>
      <c r="B16" s="18" t="s">
        <v>1531</v>
      </c>
    </row>
    <row r="17" spans="1:2">
      <c r="A17" s="18" t="s">
        <v>1532</v>
      </c>
      <c r="B17" s="18" t="s">
        <v>1533</v>
      </c>
    </row>
    <row r="18" spans="1:2">
      <c r="A18" s="18" t="s">
        <v>1534</v>
      </c>
      <c r="B18" s="18" t="s">
        <v>1535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AG49"/>
  <sheetViews>
    <sheetView showGridLines="0" topLeftCell="A25" zoomScaleNormal="100" workbookViewId="0">
      <selection activeCell="J47" sqref="J47"/>
    </sheetView>
  </sheetViews>
  <sheetFormatPr defaultRowHeight="15"/>
  <cols>
    <col min="1" max="1" width="29.28515625" style="192" customWidth="1"/>
    <col min="2" max="4" width="11.28515625" style="192" customWidth="1"/>
    <col min="5" max="5" width="12.5703125" style="192" customWidth="1"/>
    <col min="6" max="10" width="11.28515625" style="192" customWidth="1"/>
    <col min="11" max="16384" width="9.140625" style="192"/>
  </cols>
  <sheetData>
    <row r="1" spans="1:33" ht="16.5">
      <c r="A1" s="229" t="s">
        <v>39</v>
      </c>
    </row>
    <row r="2" spans="1:33" ht="17.25" thickBot="1">
      <c r="A2" s="230" t="s">
        <v>8</v>
      </c>
    </row>
    <row r="3" spans="1:33" ht="16.5" customHeight="1" thickTop="1" thickBot="1">
      <c r="A3" s="330" t="s">
        <v>40</v>
      </c>
      <c r="B3" s="326" t="s">
        <v>2</v>
      </c>
      <c r="C3" s="327"/>
      <c r="D3" s="327"/>
      <c r="E3" s="327"/>
      <c r="F3" s="327"/>
      <c r="G3" s="327"/>
      <c r="H3" s="327"/>
      <c r="I3" s="327"/>
      <c r="J3" s="328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</row>
    <row r="4" spans="1:33" ht="62.25" customHeight="1" thickTop="1" thickBot="1">
      <c r="A4" s="331"/>
      <c r="B4" s="221" t="s">
        <v>41</v>
      </c>
      <c r="C4" s="221" t="s">
        <v>42</v>
      </c>
      <c r="D4" s="221" t="s">
        <v>43</v>
      </c>
      <c r="E4" s="221" t="s">
        <v>444</v>
      </c>
      <c r="F4" s="221" t="s">
        <v>44</v>
      </c>
      <c r="G4" s="221" t="s">
        <v>45</v>
      </c>
      <c r="H4" s="221" t="s">
        <v>445</v>
      </c>
      <c r="I4" s="221" t="s">
        <v>46</v>
      </c>
      <c r="J4" s="221" t="s">
        <v>14</v>
      </c>
    </row>
    <row r="5" spans="1:33" ht="15" customHeight="1" thickTop="1" thickBot="1">
      <c r="A5" s="232" t="s">
        <v>25</v>
      </c>
      <c r="B5" s="211"/>
      <c r="C5" s="211"/>
      <c r="D5" s="211"/>
      <c r="E5" s="211"/>
      <c r="F5" s="211"/>
      <c r="G5" s="211"/>
      <c r="H5" s="211"/>
      <c r="I5" s="211"/>
      <c r="J5" s="212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</row>
    <row r="6" spans="1:33" ht="24" thickTop="1" thickBot="1">
      <c r="A6" s="233" t="s">
        <v>26</v>
      </c>
      <c r="B6" s="223">
        <f>SUMIF(HK!A:A,"031*",HK!C:C)-SUMIF(HK!A:A,"031*",HK!D:D)</f>
        <v>0</v>
      </c>
      <c r="C6" s="223">
        <f>SUMIF(HK!A:A,"021*",HK!C:C)-SUMIF(HK!A:A,"021*",HK!D:D)</f>
        <v>0</v>
      </c>
      <c r="D6" s="223">
        <f>SUMIF(HK!A:A,"022*",HK!C:C)-SUMIF(HK!A:A,"022*",HK!D:D)</f>
        <v>0</v>
      </c>
      <c r="E6" s="223">
        <f>SUMIF(HK!A:A,"025*",HK!C:C)-SUMIF(HK!A:A,"025*",HK!D:D)</f>
        <v>0</v>
      </c>
      <c r="F6" s="223">
        <f>SUMIF(HK!A:A,"026*",HK!C:C)-SUMIF(HK!A:A,"026*",HK!D:D)</f>
        <v>0</v>
      </c>
      <c r="G6" s="223">
        <f>SUMIF(HK!A:A,"029*",HK!C:C)-SUMIF(HK!A:A,"029*",HK!D:D)</f>
        <v>0</v>
      </c>
      <c r="H6" s="223">
        <f>SUMIF(HK!A:A,"042*",HK!C:C)-SUMIF(HK!A:A,"042*",HK!D:D)</f>
        <v>0</v>
      </c>
      <c r="I6" s="223">
        <f>SUMIF(HK!A:A,"052*",HK!C:C)-SUMIF(HK!A:A,"052*",HK!D:D)</f>
        <v>0</v>
      </c>
      <c r="J6" s="208">
        <f>SUM(B6:I6)</f>
        <v>0</v>
      </c>
      <c r="L6" s="209"/>
    </row>
    <row r="7" spans="1:33" ht="15" customHeight="1" thickBot="1">
      <c r="A7" s="234" t="s">
        <v>27</v>
      </c>
      <c r="B7" s="186"/>
      <c r="C7" s="186"/>
      <c r="D7" s="186"/>
      <c r="E7" s="186"/>
      <c r="F7" s="187"/>
      <c r="G7" s="186"/>
      <c r="H7" s="186"/>
      <c r="I7" s="186"/>
      <c r="J7" s="208">
        <f t="shared" ref="J7:J9" si="0">SUM(B7:I7)</f>
        <v>0</v>
      </c>
    </row>
    <row r="8" spans="1:33" ht="15" customHeight="1" thickBot="1">
      <c r="A8" s="234" t="s">
        <v>28</v>
      </c>
      <c r="B8" s="186"/>
      <c r="C8" s="186"/>
      <c r="D8" s="186"/>
      <c r="E8" s="186"/>
      <c r="F8" s="187"/>
      <c r="G8" s="186"/>
      <c r="H8" s="186"/>
      <c r="I8" s="186"/>
      <c r="J8" s="208">
        <f t="shared" si="0"/>
        <v>0</v>
      </c>
    </row>
    <row r="9" spans="1:33" ht="15" customHeight="1" thickBot="1">
      <c r="A9" s="234" t="s">
        <v>29</v>
      </c>
      <c r="B9" s="186"/>
      <c r="C9" s="186"/>
      <c r="D9" s="186"/>
      <c r="E9" s="186"/>
      <c r="F9" s="187"/>
      <c r="G9" s="186"/>
      <c r="H9" s="186"/>
      <c r="I9" s="186"/>
      <c r="J9" s="208">
        <f t="shared" si="0"/>
        <v>0</v>
      </c>
    </row>
    <row r="10" spans="1:33" ht="15.75" thickBot="1">
      <c r="A10" s="235" t="s">
        <v>30</v>
      </c>
      <c r="B10" s="223">
        <f>SUMIF(HK!A:A,"031*",HK!K:K)-SUMIF(HK!A:A,"031*",HK!L:L)</f>
        <v>0</v>
      </c>
      <c r="C10" s="223">
        <f>SUMIF(HK!A:A,"021*",HK!K:K)-SUMIF(HK!A:A,"021*",HK!L:L)</f>
        <v>0</v>
      </c>
      <c r="D10" s="223">
        <f>SUMIF(HK!A:A,"022*",HK!K:K)-SUMIF(HK!A:A,"022*",HK!L:L)</f>
        <v>0</v>
      </c>
      <c r="E10" s="223">
        <f>SUMIF(HK!A:A,"025*",HK!K:K)-SUMIF(HK!A:A,"025*",HK!L:L)</f>
        <v>0</v>
      </c>
      <c r="F10" s="223">
        <f>SUMIF(HK!A:A,"026*",HK!K:K)-SUMIF(HK!A:A,"026*",HK!L:L)</f>
        <v>0</v>
      </c>
      <c r="G10" s="223">
        <f>SUMIF(HK!A:A,"029*",HK!K:K)-SUMIF(HK!A:A,"029*",HK!L:L)</f>
        <v>0</v>
      </c>
      <c r="H10" s="223">
        <f>SUMIF(HK!A:A,"042*",HK!K:K)-SUMIF(HK!A:A,"042*",HK!L:L)</f>
        <v>0</v>
      </c>
      <c r="I10" s="223">
        <f>SUMIF(HK!A:A,"052*",HK!K:K)-SUMIF(HK!A:A,"052*",HK!L:L)</f>
        <v>0</v>
      </c>
      <c r="J10" s="210">
        <f>J6+J7-J8+J9</f>
        <v>0</v>
      </c>
      <c r="L10" s="209"/>
    </row>
    <row r="11" spans="1:33" ht="15" customHeight="1" thickTop="1" thickBot="1">
      <c r="A11" s="232" t="s">
        <v>31</v>
      </c>
      <c r="B11" s="228"/>
      <c r="C11" s="228"/>
      <c r="D11" s="228"/>
      <c r="E11" s="228"/>
      <c r="F11" s="228"/>
      <c r="G11" s="228"/>
      <c r="H11" s="228"/>
      <c r="I11" s="228"/>
      <c r="J11" s="212"/>
    </row>
    <row r="12" spans="1:33" ht="24" thickTop="1" thickBot="1">
      <c r="A12" s="233" t="s">
        <v>32</v>
      </c>
      <c r="B12" s="186"/>
      <c r="C12" s="223">
        <f>SUMIF(HK!A:A,"081*",HK!D:D)-SUMIF(HK!A:A,"081*",HK!C:C)</f>
        <v>0</v>
      </c>
      <c r="D12" s="223">
        <f>SUMIF(HK!A:A,"082*",HK!D:D)-SUMIF(HK!A:A,"082*",HK!C:C)</f>
        <v>0</v>
      </c>
      <c r="E12" s="223">
        <f>SUMIF(HK!A:A,"085*",HK!D:D)-SUMIF(HK!A:A,"085*",HK!C:C)</f>
        <v>0</v>
      </c>
      <c r="F12" s="223">
        <f>SUMIF(HK!A:A,"086*",HK!D:D)-SUMIF(HK!A:A,"086*",HK!C:C)</f>
        <v>0</v>
      </c>
      <c r="G12" s="223">
        <f>SUMIF(HK!A:A,"089*",HK!D:D)-SUMIF(HK!A:A,"089*",HK!C:C)</f>
        <v>0</v>
      </c>
      <c r="H12" s="186"/>
      <c r="I12" s="186"/>
      <c r="J12" s="208">
        <f>SUM(B12:I12)</f>
        <v>0</v>
      </c>
      <c r="L12" s="209"/>
    </row>
    <row r="13" spans="1:33" ht="15" customHeight="1" thickBot="1">
      <c r="A13" s="234" t="s">
        <v>27</v>
      </c>
      <c r="B13" s="186"/>
      <c r="C13" s="186"/>
      <c r="D13" s="186"/>
      <c r="E13" s="186"/>
      <c r="F13" s="186"/>
      <c r="G13" s="186"/>
      <c r="H13" s="186"/>
      <c r="I13" s="186"/>
      <c r="J13" s="208">
        <f t="shared" ref="J13:J14" si="1">SUM(B13:I13)</f>
        <v>0</v>
      </c>
    </row>
    <row r="14" spans="1:33" ht="15" customHeight="1" thickBot="1">
      <c r="A14" s="234" t="s">
        <v>28</v>
      </c>
      <c r="B14" s="186"/>
      <c r="C14" s="186"/>
      <c r="D14" s="186"/>
      <c r="E14" s="186"/>
      <c r="F14" s="186"/>
      <c r="G14" s="186"/>
      <c r="H14" s="186"/>
      <c r="I14" s="186"/>
      <c r="J14" s="208">
        <f t="shared" si="1"/>
        <v>0</v>
      </c>
    </row>
    <row r="15" spans="1:33" ht="15.75" thickBot="1">
      <c r="A15" s="235" t="s">
        <v>30</v>
      </c>
      <c r="B15" s="189"/>
      <c r="C15" s="223">
        <f>SUMIF(HK!A:A,"081*",HK!L:L)-SUMIF(HK!A:A,"081*",HK!K:K)</f>
        <v>0</v>
      </c>
      <c r="D15" s="223">
        <f>SUMIF(HK!A:A,"082*",HK!L:L)-SUMIF(HK!A:A,"082*",HK!K:K)</f>
        <v>0</v>
      </c>
      <c r="E15" s="223">
        <f>SUMIF(HK!A:A,"085*",HK!L:L)-SUMIF(HK!A:A,"085*",HK!K:K)</f>
        <v>0</v>
      </c>
      <c r="F15" s="223">
        <f>SUMIF(HK!A:A,"086*",HK!L:L)-SUMIF(HK!A:A,"086*",HK!K:K)</f>
        <v>0</v>
      </c>
      <c r="G15" s="223">
        <f>SUMIF(HK!A:A,"089*",HK!L:L)-SUMIF(HK!A:A,"089*",HK!K:K)</f>
        <v>0</v>
      </c>
      <c r="H15" s="189"/>
      <c r="I15" s="189"/>
      <c r="J15" s="210">
        <f>J12+J13-J14</f>
        <v>0</v>
      </c>
      <c r="L15" s="209"/>
    </row>
    <row r="16" spans="1:33" ht="15" customHeight="1" thickTop="1" thickBot="1">
      <c r="A16" s="232" t="s">
        <v>33</v>
      </c>
      <c r="B16" s="228"/>
      <c r="C16" s="228"/>
      <c r="D16" s="228"/>
      <c r="E16" s="228"/>
      <c r="F16" s="228"/>
      <c r="G16" s="228"/>
      <c r="H16" s="228"/>
      <c r="I16" s="228"/>
      <c r="J16" s="212"/>
    </row>
    <row r="17" spans="1:33" ht="24" thickTop="1" thickBot="1">
      <c r="A17" s="233" t="s">
        <v>32</v>
      </c>
      <c r="B17" s="186"/>
      <c r="C17" s="223"/>
      <c r="D17" s="223"/>
      <c r="E17" s="223"/>
      <c r="F17" s="223"/>
      <c r="G17" s="223"/>
      <c r="H17" s="223">
        <f>SUMIF(HK!A:A,"094*",HK!D:D)-SUMIF(HK!A:A,"094*",HK!C:C)</f>
        <v>0</v>
      </c>
      <c r="I17" s="223">
        <f>SUMIF(SUAM!C:C,"019",SUAM!E:E)</f>
        <v>0</v>
      </c>
      <c r="J17" s="208">
        <f>SUM(B17:I17)</f>
        <v>0</v>
      </c>
      <c r="L17" s="209"/>
      <c r="M17" s="209"/>
      <c r="N17" s="216"/>
    </row>
    <row r="18" spans="1:33" ht="15" customHeight="1" thickBot="1">
      <c r="A18" s="234" t="s">
        <v>27</v>
      </c>
      <c r="B18" s="186"/>
      <c r="C18" s="186"/>
      <c r="D18" s="186"/>
      <c r="E18" s="186"/>
      <c r="F18" s="186"/>
      <c r="G18" s="186"/>
      <c r="H18" s="186"/>
      <c r="I18" s="186"/>
      <c r="J18" s="208">
        <f t="shared" ref="J18:J19" si="2">SUM(B18:I18)</f>
        <v>0</v>
      </c>
      <c r="N18" s="216"/>
    </row>
    <row r="19" spans="1:33" ht="15" customHeight="1" thickBot="1">
      <c r="A19" s="234" t="s">
        <v>28</v>
      </c>
      <c r="B19" s="186"/>
      <c r="C19" s="186"/>
      <c r="D19" s="186"/>
      <c r="E19" s="186"/>
      <c r="F19" s="186"/>
      <c r="G19" s="186"/>
      <c r="H19" s="186"/>
      <c r="I19" s="186"/>
      <c r="J19" s="208">
        <f t="shared" si="2"/>
        <v>0</v>
      </c>
      <c r="N19" s="216"/>
    </row>
    <row r="20" spans="1:33" ht="15.75" thickBot="1">
      <c r="A20" s="235" t="s">
        <v>30</v>
      </c>
      <c r="B20" s="189"/>
      <c r="C20" s="223"/>
      <c r="D20" s="223"/>
      <c r="E20" s="223"/>
      <c r="F20" s="223"/>
      <c r="G20" s="223"/>
      <c r="H20" s="223">
        <f>SUMIF(HK!A:A,"094*",HK!L:L)-SUMIF(HK!A:A,"094*",HK!K:K)</f>
        <v>0</v>
      </c>
      <c r="I20" s="223">
        <f>SUMIF(SUA!C:C,"019",SUA!E:E)</f>
        <v>0</v>
      </c>
      <c r="J20" s="210">
        <f>J17+J18-J19</f>
        <v>0</v>
      </c>
      <c r="L20" s="209"/>
      <c r="M20" s="209"/>
      <c r="N20" s="216"/>
    </row>
    <row r="21" spans="1:33" ht="15" customHeight="1" thickTop="1" thickBot="1">
      <c r="A21" s="232" t="s">
        <v>34</v>
      </c>
      <c r="B21" s="228"/>
      <c r="C21" s="228"/>
      <c r="D21" s="228"/>
      <c r="E21" s="228"/>
      <c r="F21" s="228"/>
      <c r="G21" s="228"/>
      <c r="H21" s="228"/>
      <c r="I21" s="228"/>
      <c r="J21" s="212"/>
    </row>
    <row r="22" spans="1:33" ht="15" customHeight="1" thickTop="1" thickBot="1">
      <c r="A22" s="233" t="s">
        <v>32</v>
      </c>
      <c r="B22" s="186"/>
      <c r="C22" s="186"/>
      <c r="D22" s="186"/>
      <c r="E22" s="186"/>
      <c r="F22" s="186"/>
      <c r="G22" s="186"/>
      <c r="H22" s="186"/>
      <c r="I22" s="186"/>
      <c r="J22" s="208">
        <f t="shared" ref="J22" si="3">J6-J12-J17</f>
        <v>0</v>
      </c>
    </row>
    <row r="23" spans="1:33" ht="15" customHeight="1" thickBot="1">
      <c r="A23" s="235" t="s">
        <v>30</v>
      </c>
      <c r="B23" s="189"/>
      <c r="C23" s="189"/>
      <c r="D23" s="189"/>
      <c r="E23" s="189"/>
      <c r="F23" s="189"/>
      <c r="G23" s="189"/>
      <c r="H23" s="189"/>
      <c r="I23" s="189"/>
      <c r="J23" s="210">
        <f t="shared" ref="J23" si="4">J10-J15-J20</f>
        <v>0</v>
      </c>
    </row>
    <row r="24" spans="1:33" ht="15.75" thickTop="1">
      <c r="A24" s="218"/>
      <c r="B24" s="218"/>
      <c r="C24" s="218"/>
      <c r="D24" s="218"/>
      <c r="E24" s="218"/>
      <c r="F24" s="218"/>
      <c r="G24" s="218"/>
      <c r="H24" s="218"/>
      <c r="I24" s="218"/>
      <c r="J24" s="218"/>
    </row>
    <row r="25" spans="1:33">
      <c r="A25" s="218"/>
      <c r="B25" s="218"/>
      <c r="C25" s="218"/>
      <c r="D25" s="218"/>
      <c r="E25" s="218"/>
      <c r="F25" s="218"/>
      <c r="G25" s="218"/>
      <c r="H25" s="218"/>
      <c r="I25" s="218"/>
      <c r="J25" s="218"/>
    </row>
    <row r="26" spans="1:33" ht="15.75" thickBot="1">
      <c r="A26" s="236" t="s">
        <v>15</v>
      </c>
      <c r="B26" s="236"/>
      <c r="C26" s="236"/>
      <c r="D26" s="236"/>
      <c r="E26" s="236"/>
      <c r="F26" s="236"/>
      <c r="G26" s="236"/>
      <c r="H26" s="236"/>
      <c r="I26" s="236"/>
      <c r="J26" s="236"/>
    </row>
    <row r="27" spans="1:33" ht="16.5" customHeight="1" thickTop="1" thickBot="1">
      <c r="A27" s="332" t="s">
        <v>40</v>
      </c>
      <c r="B27" s="334" t="s">
        <v>3</v>
      </c>
      <c r="C27" s="335"/>
      <c r="D27" s="335"/>
      <c r="E27" s="335"/>
      <c r="F27" s="335"/>
      <c r="G27" s="335"/>
      <c r="H27" s="335"/>
      <c r="I27" s="335"/>
      <c r="J27" s="336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</row>
    <row r="28" spans="1:33" ht="62.25" customHeight="1" thickTop="1" thickBot="1">
      <c r="A28" s="333"/>
      <c r="B28" s="237" t="s">
        <v>41</v>
      </c>
      <c r="C28" s="237" t="s">
        <v>42</v>
      </c>
      <c r="D28" s="237" t="s">
        <v>43</v>
      </c>
      <c r="E28" s="237" t="s">
        <v>444</v>
      </c>
      <c r="F28" s="237" t="s">
        <v>44</v>
      </c>
      <c r="G28" s="237" t="s">
        <v>45</v>
      </c>
      <c r="H28" s="237" t="s">
        <v>445</v>
      </c>
      <c r="I28" s="237" t="s">
        <v>46</v>
      </c>
      <c r="J28" s="237" t="s">
        <v>14</v>
      </c>
    </row>
    <row r="29" spans="1:33" ht="15" customHeight="1" thickTop="1" thickBot="1">
      <c r="A29" s="238" t="s">
        <v>25</v>
      </c>
      <c r="B29" s="188"/>
      <c r="C29" s="188"/>
      <c r="D29" s="188"/>
      <c r="E29" s="188"/>
      <c r="F29" s="188"/>
      <c r="G29" s="188"/>
      <c r="H29" s="188"/>
      <c r="I29" s="188"/>
      <c r="J29" s="239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</row>
    <row r="30" spans="1:33" ht="24" thickTop="1" thickBot="1">
      <c r="A30" s="240" t="s">
        <v>26</v>
      </c>
      <c r="B30" s="223">
        <f>SUMIF(HKM!A:A,"031*",HKM!C:C)-SUMIF(HKM!A:A,"031*",HKM!D:D)</f>
        <v>0</v>
      </c>
      <c r="C30" s="223">
        <f>SUMIF(HKM!A:A,"021*",HKM!C:C)-SUMIF(HKM!A:A,"021*",HKM!D:D)</f>
        <v>0</v>
      </c>
      <c r="D30" s="223">
        <f>SUMIF(HKM!A:A,"022*",HKM!C:C)-SUMIF(HKM!A:A,"022*",HKM!D:D)</f>
        <v>102108.08</v>
      </c>
      <c r="E30" s="223">
        <f>SUMIF(HKM!A:A,"025*",HKM!C:C)-SUMIF(HKM!A:A,"025*",HKM!D:D)</f>
        <v>0</v>
      </c>
      <c r="F30" s="223">
        <f>SUMIF(HKM!A:A,"026*",HKM!C:C)-SUMIF(HKM!A:A,"026*",HKM!D:D)</f>
        <v>0</v>
      </c>
      <c r="G30" s="223">
        <f>SUMIF(HKM!A:A,"029*",HKM!C:C)-SUMIF(HKM!A:A,"029*",HKM!D:D)</f>
        <v>0</v>
      </c>
      <c r="H30" s="223">
        <f>SUMIF(HKM!A:A,"042*",HKM!C:C)-SUMIF(HKM!A:A,"042*",HKM!D:D)</f>
        <v>0</v>
      </c>
      <c r="I30" s="223">
        <f>SUMIF(HKM!A:A,"052*",HKM!C:C)-SUMIF(HKM!A:A,"052*",HKM!D:D)</f>
        <v>0</v>
      </c>
      <c r="J30" s="241">
        <f>SUM(B30:I30)</f>
        <v>102108.08</v>
      </c>
      <c r="L30" s="209"/>
    </row>
    <row r="31" spans="1:33" ht="15" customHeight="1" thickBot="1">
      <c r="A31" s="242" t="s">
        <v>27</v>
      </c>
      <c r="B31" s="186"/>
      <c r="C31" s="186"/>
      <c r="D31" s="186"/>
      <c r="E31" s="186"/>
      <c r="F31" s="187"/>
      <c r="G31" s="186"/>
      <c r="H31" s="186"/>
      <c r="I31" s="186"/>
      <c r="J31" s="241">
        <f t="shared" ref="J31:J33" si="5">SUM(B31:I31)</f>
        <v>0</v>
      </c>
    </row>
    <row r="32" spans="1:33" ht="15" customHeight="1" thickBot="1">
      <c r="A32" s="242" t="s">
        <v>28</v>
      </c>
      <c r="B32" s="186"/>
      <c r="C32" s="186"/>
      <c r="D32" s="186"/>
      <c r="E32" s="186"/>
      <c r="F32" s="187"/>
      <c r="G32" s="186"/>
      <c r="H32" s="186"/>
      <c r="I32" s="186"/>
      <c r="J32" s="241">
        <f t="shared" si="5"/>
        <v>0</v>
      </c>
    </row>
    <row r="33" spans="1:14" ht="15" customHeight="1" thickBot="1">
      <c r="A33" s="242" t="s">
        <v>29</v>
      </c>
      <c r="B33" s="186"/>
      <c r="C33" s="186"/>
      <c r="D33" s="186"/>
      <c r="E33" s="186"/>
      <c r="F33" s="187"/>
      <c r="G33" s="186"/>
      <c r="H33" s="186"/>
      <c r="I33" s="186"/>
      <c r="J33" s="241">
        <f t="shared" si="5"/>
        <v>0</v>
      </c>
    </row>
    <row r="34" spans="1:14" ht="15.75" thickBot="1">
      <c r="A34" s="243" t="s">
        <v>30</v>
      </c>
      <c r="B34" s="223">
        <f>SUMIF(HKM!A:A,"031*",HKM!K:K)-SUMIF(HKM!A:A,"031*",HKM!L:L)</f>
        <v>0</v>
      </c>
      <c r="C34" s="223">
        <f>SUMIF(HKM!A:A,"021*",HKM!K:K)-SUMIF(HKM!A:A,"021*",HKM!L:L)</f>
        <v>0</v>
      </c>
      <c r="D34" s="223">
        <f>SUMIF(HKM!A:A,"022*",HKM!K:K)-SUMIF(HKM!A:A,"022*",HKM!L:L)</f>
        <v>284319.84999999998</v>
      </c>
      <c r="E34" s="223">
        <f>SUMIF(HKM!A:A,"025*",HKM!K:K)-SUMIF(HKM!A:A,"025*",HKM!L:L)</f>
        <v>0</v>
      </c>
      <c r="F34" s="223">
        <f>SUMIF(HKM!A:A,"026*",HKM!K:K)-SUMIF(HKM!A:A,"026*",HKM!L:L)</f>
        <v>0</v>
      </c>
      <c r="G34" s="223">
        <f>SUMIF(HKM!A:A,"029*",HKM!K:K)-SUMIF(HKM!A:A,"029*",HKM!L:L)</f>
        <v>0</v>
      </c>
      <c r="H34" s="223">
        <f>SUMIF(HKM!A:A,"042*",HKM!K:K)-SUMIF(HKM!A:A,"042*",HKM!L:L)</f>
        <v>0</v>
      </c>
      <c r="I34" s="223">
        <f>SUMIF(HKM!A:A,"052*",HKM!K:K)-SUMIF(HKM!A:A,"052*",HKM!L:L)</f>
        <v>0</v>
      </c>
      <c r="J34" s="244">
        <f>J30+J31-J32+J33</f>
        <v>102108.08</v>
      </c>
      <c r="L34" s="209"/>
    </row>
    <row r="35" spans="1:14" ht="15" customHeight="1" thickTop="1" thickBot="1">
      <c r="A35" s="238" t="s">
        <v>31</v>
      </c>
      <c r="B35" s="228"/>
      <c r="C35" s="228"/>
      <c r="D35" s="228"/>
      <c r="E35" s="228"/>
      <c r="F35" s="228"/>
      <c r="G35" s="228"/>
      <c r="H35" s="228"/>
      <c r="I35" s="228"/>
      <c r="J35" s="239"/>
    </row>
    <row r="36" spans="1:14" ht="24" thickTop="1" thickBot="1">
      <c r="A36" s="240" t="s">
        <v>32</v>
      </c>
      <c r="B36" s="186"/>
      <c r="C36" s="223">
        <f>SUMIF(HKM!A:A,"081*",HKM!D:D)-SUMIF(HKM!A:A,"081*",HKM!C:C)</f>
        <v>0</v>
      </c>
      <c r="D36" s="223">
        <f>SUMIF(HKM!A:A,"082*",HKM!D:D)-SUMIF(HKM!A:A,"082*",HKM!C:C)</f>
        <v>2404</v>
      </c>
      <c r="E36" s="223">
        <f>SUMIF(HKM!A:A,"085*",HKM!D:D)-SUMIF(HKM!A:A,"085*",HKM!C:C)</f>
        <v>0</v>
      </c>
      <c r="F36" s="223">
        <f>SUMIF(HKM!A:A,"086*",HKM!D:D)-SUMIF(HKM!A:A,"086*",HKM!C:C)</f>
        <v>0</v>
      </c>
      <c r="G36" s="223">
        <f>SUMIF(HKM!A:A,"089*",HKM!D:D)-SUMIF(HKM!A:A,"089*",HKM!C:C)</f>
        <v>0</v>
      </c>
      <c r="H36" s="186"/>
      <c r="I36" s="186"/>
      <c r="J36" s="241">
        <f>SUM(B36:I36)</f>
        <v>2404</v>
      </c>
      <c r="L36" s="209"/>
    </row>
    <row r="37" spans="1:14" ht="15" customHeight="1" thickBot="1">
      <c r="A37" s="242" t="s">
        <v>27</v>
      </c>
      <c r="B37" s="186"/>
      <c r="C37" s="186"/>
      <c r="D37" s="186"/>
      <c r="E37" s="186"/>
      <c r="F37" s="186"/>
      <c r="G37" s="186"/>
      <c r="H37" s="186"/>
      <c r="I37" s="186"/>
      <c r="J37" s="241">
        <f t="shared" ref="J37:J38" si="6">SUM(B37:I37)</f>
        <v>0</v>
      </c>
    </row>
    <row r="38" spans="1:14" ht="15" customHeight="1" thickBot="1">
      <c r="A38" s="242" t="s">
        <v>28</v>
      </c>
      <c r="B38" s="186"/>
      <c r="C38" s="186"/>
      <c r="D38" s="186"/>
      <c r="E38" s="186"/>
      <c r="F38" s="186"/>
      <c r="G38" s="186"/>
      <c r="H38" s="186"/>
      <c r="I38" s="186"/>
      <c r="J38" s="241">
        <f t="shared" si="6"/>
        <v>0</v>
      </c>
    </row>
    <row r="39" spans="1:14" ht="15.75" thickBot="1">
      <c r="A39" s="243" t="s">
        <v>30</v>
      </c>
      <c r="B39" s="189"/>
      <c r="C39" s="223">
        <f>SUMIF(HKM!A:A,"081*",HKM!L:L)-SUMIF(HKM!A:A,"081*",HKM!K:K)</f>
        <v>0</v>
      </c>
      <c r="D39" s="223">
        <f>SUMIF(HKM!A:A,"082*",HKM!L:L)-SUMIF(HKM!A:A,"082*",HKM!K:K)</f>
        <v>33061</v>
      </c>
      <c r="E39" s="223">
        <f>SUMIF(HKM!A:A,"085*",HKM!L:L)-SUMIF(HKM!A:A,"085*",HKM!K:K)</f>
        <v>0</v>
      </c>
      <c r="F39" s="223">
        <f>SUMIF(HKM!A:A,"086*",HKM!L:L)-SUMIF(HKM!A:A,"086*",HKM!K:K)</f>
        <v>0</v>
      </c>
      <c r="G39" s="223">
        <f>SUMIF(HKM!A:A,"089*",HKM!L:L)-SUMIF(HKM!A:A,"089*",HKM!K:K)</f>
        <v>0</v>
      </c>
      <c r="H39" s="189"/>
      <c r="I39" s="189"/>
      <c r="J39" s="244">
        <f>J36+J37-J38</f>
        <v>2404</v>
      </c>
      <c r="L39" s="209"/>
    </row>
    <row r="40" spans="1:14" ht="15" customHeight="1" thickTop="1" thickBot="1">
      <c r="A40" s="238" t="s">
        <v>33</v>
      </c>
      <c r="B40" s="228"/>
      <c r="C40" s="228"/>
      <c r="D40" s="228"/>
      <c r="E40" s="228"/>
      <c r="F40" s="228"/>
      <c r="G40" s="228"/>
      <c r="H40" s="228"/>
      <c r="I40" s="228"/>
      <c r="J40" s="239"/>
    </row>
    <row r="41" spans="1:14" ht="24" thickTop="1" thickBot="1">
      <c r="A41" s="240" t="s">
        <v>32</v>
      </c>
      <c r="B41" s="186"/>
      <c r="C41" s="223"/>
      <c r="D41" s="223"/>
      <c r="E41" s="223"/>
      <c r="F41" s="223"/>
      <c r="G41" s="223"/>
      <c r="H41" s="223">
        <f>SUMIF(HKM!A:A,"094*",HKM!D:D)-SUMIF(HKM!A:A,"094*",HKM!C:C)</f>
        <v>0</v>
      </c>
      <c r="I41" s="223"/>
      <c r="J41" s="241">
        <f>SUM(B41:I41)</f>
        <v>0</v>
      </c>
      <c r="L41" s="209"/>
      <c r="M41" s="222"/>
      <c r="N41" s="216"/>
    </row>
    <row r="42" spans="1:14" ht="15" customHeight="1" thickBot="1">
      <c r="A42" s="242" t="s">
        <v>27</v>
      </c>
      <c r="B42" s="186"/>
      <c r="C42" s="186"/>
      <c r="D42" s="186"/>
      <c r="E42" s="186"/>
      <c r="F42" s="186"/>
      <c r="G42" s="186"/>
      <c r="H42" s="186"/>
      <c r="I42" s="186"/>
      <c r="J42" s="241">
        <f t="shared" ref="J42:J43" si="7">SUM(B42:I42)</f>
        <v>0</v>
      </c>
      <c r="N42" s="216"/>
    </row>
    <row r="43" spans="1:14" ht="15" customHeight="1" thickBot="1">
      <c r="A43" s="242" t="s">
        <v>28</v>
      </c>
      <c r="B43" s="186"/>
      <c r="C43" s="186"/>
      <c r="D43" s="186"/>
      <c r="E43" s="186"/>
      <c r="F43" s="186"/>
      <c r="G43" s="186"/>
      <c r="H43" s="186"/>
      <c r="I43" s="186"/>
      <c r="J43" s="241">
        <f t="shared" si="7"/>
        <v>0</v>
      </c>
      <c r="N43" s="216"/>
    </row>
    <row r="44" spans="1:14" ht="15.75" thickBot="1">
      <c r="A44" s="243" t="s">
        <v>30</v>
      </c>
      <c r="B44" s="189"/>
      <c r="C44" s="223"/>
      <c r="D44" s="223"/>
      <c r="E44" s="223"/>
      <c r="F44" s="223"/>
      <c r="G44" s="223"/>
      <c r="H44" s="223">
        <f>SUMIF(HKM!A:A,"094*",HKM!L:L)-SUMIF(HKM!A:A,"094*",HKM!K:K)</f>
        <v>0</v>
      </c>
      <c r="I44" s="223">
        <f>SUMIF(SUAM!C:C,"019",SUAM!E:E)</f>
        <v>0</v>
      </c>
      <c r="J44" s="244">
        <f>J41+J42-J43</f>
        <v>0</v>
      </c>
      <c r="L44" s="209"/>
      <c r="N44" s="216"/>
    </row>
    <row r="45" spans="1:14" ht="15" customHeight="1" thickTop="1" thickBot="1">
      <c r="A45" s="238" t="s">
        <v>34</v>
      </c>
      <c r="B45" s="228"/>
      <c r="C45" s="228"/>
      <c r="D45" s="228"/>
      <c r="E45" s="228"/>
      <c r="F45" s="228"/>
      <c r="G45" s="228"/>
      <c r="H45" s="228"/>
      <c r="I45" s="228"/>
      <c r="J45" s="239"/>
    </row>
    <row r="46" spans="1:14" ht="15" customHeight="1" thickTop="1" thickBot="1">
      <c r="A46" s="240" t="s">
        <v>32</v>
      </c>
      <c r="B46" s="186">
        <f>B30-B36-B41</f>
        <v>0</v>
      </c>
      <c r="C46" s="186">
        <f t="shared" ref="C46:J46" si="8">C30-C36-C41</f>
        <v>0</v>
      </c>
      <c r="D46" s="186">
        <f t="shared" si="8"/>
        <v>99704.08</v>
      </c>
      <c r="E46" s="186">
        <f t="shared" si="8"/>
        <v>0</v>
      </c>
      <c r="F46" s="186">
        <f t="shared" si="8"/>
        <v>0</v>
      </c>
      <c r="G46" s="186">
        <f t="shared" si="8"/>
        <v>0</v>
      </c>
      <c r="H46" s="186">
        <f t="shared" si="8"/>
        <v>0</v>
      </c>
      <c r="I46" s="186">
        <f t="shared" si="8"/>
        <v>0</v>
      </c>
      <c r="J46" s="241">
        <f t="shared" si="8"/>
        <v>99704.08</v>
      </c>
    </row>
    <row r="47" spans="1:14" ht="15" customHeight="1" thickBot="1">
      <c r="A47" s="243" t="s">
        <v>30</v>
      </c>
      <c r="B47" s="189">
        <f>B34-B39-B44</f>
        <v>0</v>
      </c>
      <c r="C47" s="189">
        <f t="shared" ref="C47:J47" si="9">C34-C39-C44</f>
        <v>0</v>
      </c>
      <c r="D47" s="189">
        <f t="shared" si="9"/>
        <v>251258.84999999998</v>
      </c>
      <c r="E47" s="189">
        <f t="shared" si="9"/>
        <v>0</v>
      </c>
      <c r="F47" s="189">
        <f t="shared" si="9"/>
        <v>0</v>
      </c>
      <c r="G47" s="189">
        <f t="shared" si="9"/>
        <v>0</v>
      </c>
      <c r="H47" s="189">
        <f t="shared" si="9"/>
        <v>0</v>
      </c>
      <c r="I47" s="189">
        <f t="shared" si="9"/>
        <v>0</v>
      </c>
      <c r="J47" s="244">
        <f t="shared" si="9"/>
        <v>99704.08</v>
      </c>
    </row>
    <row r="48" spans="1:14" ht="15.75" thickTop="1">
      <c r="A48" s="218"/>
      <c r="B48" s="218"/>
      <c r="C48" s="218"/>
      <c r="D48" s="218"/>
      <c r="E48" s="218"/>
      <c r="F48" s="218"/>
      <c r="G48" s="218"/>
      <c r="H48" s="218"/>
      <c r="I48" s="218"/>
      <c r="J48" s="218"/>
    </row>
    <row r="49" spans="1:10">
      <c r="A49" s="218"/>
      <c r="B49" s="218"/>
      <c r="C49" s="218"/>
      <c r="D49" s="218"/>
      <c r="E49" s="218"/>
      <c r="F49" s="218"/>
      <c r="G49" s="218"/>
      <c r="H49" s="218"/>
      <c r="I49" s="218"/>
      <c r="J49" s="218"/>
    </row>
  </sheetData>
  <mergeCells count="4">
    <mergeCell ref="A3:A4"/>
    <mergeCell ref="A27:A28"/>
    <mergeCell ref="B27:J27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B5"/>
  <sheetViews>
    <sheetView showGridLines="0" zoomScaleNormal="100" workbookViewId="0">
      <selection activeCell="C12" sqref="C12"/>
    </sheetView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1" t="s">
        <v>47</v>
      </c>
    </row>
    <row r="2" spans="1:2" ht="21" customHeight="1" thickTop="1" thickBot="1">
      <c r="A2" s="10" t="s">
        <v>40</v>
      </c>
      <c r="B2" s="11" t="s">
        <v>36</v>
      </c>
    </row>
    <row r="3" spans="1:2" ht="23.25" customHeight="1" thickTop="1" thickBot="1">
      <c r="A3" s="12" t="s">
        <v>48</v>
      </c>
      <c r="B3" s="13"/>
    </row>
    <row r="4" spans="1:2" ht="23.25" customHeight="1" thickBot="1">
      <c r="A4" s="16" t="s">
        <v>49</v>
      </c>
      <c r="B4" s="17"/>
    </row>
    <row r="5" spans="1:2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AG50"/>
  <sheetViews>
    <sheetView showGridLines="0" topLeftCell="A25" zoomScaleNormal="100" workbookViewId="0">
      <selection activeCell="M41" sqref="M41"/>
    </sheetView>
  </sheetViews>
  <sheetFormatPr defaultRowHeight="15"/>
  <cols>
    <col min="1" max="1" width="29.140625" customWidth="1"/>
    <col min="2" max="10" width="11.28515625" customWidth="1"/>
  </cols>
  <sheetData>
    <row r="1" spans="1:33" ht="16.5">
      <c r="A1" s="1" t="s">
        <v>50</v>
      </c>
    </row>
    <row r="2" spans="1:33" ht="17.25" thickBot="1">
      <c r="A2" s="2" t="s">
        <v>8</v>
      </c>
    </row>
    <row r="3" spans="1:33" ht="16.5" customHeight="1" thickTop="1" thickBot="1">
      <c r="A3" s="321" t="s">
        <v>55</v>
      </c>
      <c r="B3" s="323" t="s">
        <v>2</v>
      </c>
      <c r="C3" s="329"/>
      <c r="D3" s="329"/>
      <c r="E3" s="329"/>
      <c r="F3" s="329"/>
      <c r="G3" s="329"/>
      <c r="H3" s="329"/>
      <c r="I3" s="329"/>
      <c r="J3" s="32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ht="66.75" customHeight="1" thickTop="1" thickBot="1">
      <c r="A4" s="325"/>
      <c r="B4" s="190" t="s">
        <v>51</v>
      </c>
      <c r="C4" s="191" t="s">
        <v>495</v>
      </c>
      <c r="D4" s="190" t="s">
        <v>52</v>
      </c>
      <c r="E4" s="191" t="s">
        <v>494</v>
      </c>
      <c r="F4" s="190" t="s">
        <v>53</v>
      </c>
      <c r="G4" s="190" t="s">
        <v>54</v>
      </c>
      <c r="H4" s="191" t="s">
        <v>446</v>
      </c>
      <c r="I4" s="190" t="s">
        <v>447</v>
      </c>
      <c r="J4" s="190" t="s">
        <v>14</v>
      </c>
    </row>
    <row r="5" spans="1:33" ht="15" customHeight="1" thickTop="1" thickBot="1">
      <c r="A5" s="41" t="s">
        <v>25</v>
      </c>
      <c r="B5" s="42"/>
      <c r="C5" s="42"/>
      <c r="D5" s="42"/>
      <c r="E5" s="42"/>
      <c r="F5" s="42"/>
      <c r="G5" s="42"/>
      <c r="H5" s="42"/>
      <c r="I5" s="42"/>
      <c r="J5" s="43"/>
      <c r="K5" s="231"/>
      <c r="L5" s="231"/>
      <c r="M5" s="231"/>
      <c r="N5" s="231"/>
      <c r="O5" s="231"/>
      <c r="P5" s="231"/>
      <c r="Q5" s="231"/>
      <c r="R5" s="231"/>
      <c r="S5" s="4"/>
      <c r="T5" s="4"/>
      <c r="U5" s="4"/>
      <c r="V5" s="4"/>
      <c r="W5" s="4"/>
      <c r="X5" s="4"/>
      <c r="Y5" s="4"/>
    </row>
    <row r="6" spans="1:33" ht="24" thickTop="1" thickBot="1">
      <c r="A6" s="44" t="s">
        <v>26</v>
      </c>
      <c r="B6" s="223">
        <f>SUMIF(HK!A:A,"061*",HK!C:C)-SUMIF(HK!A:A,"061*",HK!D:D)</f>
        <v>0</v>
      </c>
      <c r="C6" s="223">
        <f>SUMIF(HK!A:A,"062*",HK!C:C)-SUMIF(HK!A:A,"062*",HK!D:D)</f>
        <v>0</v>
      </c>
      <c r="D6" s="223">
        <f>SUMIF(HK!A:A,"063*",HK!C:C)-SUMIF(HK!A:A,"063*",HK!D:D)</f>
        <v>0</v>
      </c>
      <c r="E6" s="223">
        <f>SUMIF(HK!A:A,"066*",HK!C:C)-SUMIF(HK!A:A,"066*",HK!D:D)</f>
        <v>0</v>
      </c>
      <c r="F6" s="223">
        <f>SUMIF(HK!A:A,"067*",HK!C:C)-SUMIF(HK!A:A,"067*",HK!D:D)</f>
        <v>0</v>
      </c>
      <c r="G6" s="186"/>
      <c r="H6" s="223">
        <f>SUMIF(HK!A:A,"043*",HK!C:C)-SUMIF(HK!A:A,"043*",HK!D:D)</f>
        <v>0</v>
      </c>
      <c r="I6" s="223">
        <f>SUMIF(HK!A:A,"053*",HK!C:C)-SUMIF(HK!A:A,"053*",HK!D:D)</f>
        <v>0</v>
      </c>
      <c r="J6" s="15">
        <f>SUM(B6:I6)</f>
        <v>0</v>
      </c>
      <c r="K6" s="192"/>
      <c r="L6" s="209"/>
      <c r="M6" s="192"/>
      <c r="N6" s="192"/>
      <c r="O6" s="192"/>
      <c r="P6" s="192"/>
      <c r="Q6" s="192"/>
      <c r="R6" s="192"/>
    </row>
    <row r="7" spans="1:33" ht="15" customHeight="1" thickBot="1">
      <c r="A7" s="14" t="s">
        <v>27</v>
      </c>
      <c r="B7" s="186"/>
      <c r="C7" s="186"/>
      <c r="D7" s="186"/>
      <c r="E7" s="186"/>
      <c r="F7" s="187"/>
      <c r="G7" s="186"/>
      <c r="H7" s="186"/>
      <c r="I7" s="186"/>
      <c r="J7" s="15">
        <f t="shared" ref="J7:J9" si="0">SUM(B7:I7)</f>
        <v>0</v>
      </c>
      <c r="K7" s="192"/>
      <c r="L7" s="192"/>
      <c r="M7" s="192"/>
      <c r="N7" s="192"/>
      <c r="O7" s="192"/>
      <c r="P7" s="192"/>
      <c r="Q7" s="192"/>
      <c r="R7" s="192"/>
    </row>
    <row r="8" spans="1:33" ht="15" customHeight="1" thickBot="1">
      <c r="A8" s="14" t="s">
        <v>28</v>
      </c>
      <c r="B8" s="186"/>
      <c r="C8" s="186"/>
      <c r="D8" s="186"/>
      <c r="E8" s="186"/>
      <c r="F8" s="187"/>
      <c r="G8" s="186"/>
      <c r="H8" s="186"/>
      <c r="I8" s="186"/>
      <c r="J8" s="15">
        <f t="shared" si="0"/>
        <v>0</v>
      </c>
      <c r="K8" s="192"/>
      <c r="L8" s="192"/>
      <c r="M8" s="192"/>
      <c r="N8" s="192"/>
      <c r="O8" s="192"/>
      <c r="P8" s="192"/>
      <c r="Q8" s="192"/>
      <c r="R8" s="192"/>
    </row>
    <row r="9" spans="1:33" ht="15" customHeight="1" thickBot="1">
      <c r="A9" s="14" t="s">
        <v>29</v>
      </c>
      <c r="B9" s="186"/>
      <c r="C9" s="186"/>
      <c r="D9" s="186"/>
      <c r="E9" s="186"/>
      <c r="F9" s="187"/>
      <c r="G9" s="186"/>
      <c r="H9" s="186"/>
      <c r="I9" s="186"/>
      <c r="J9" s="15">
        <f t="shared" si="0"/>
        <v>0</v>
      </c>
      <c r="K9" s="192"/>
      <c r="L9" s="192"/>
      <c r="M9" s="192"/>
      <c r="N9" s="192"/>
      <c r="O9" s="192"/>
      <c r="P9" s="192"/>
      <c r="Q9" s="192"/>
      <c r="R9" s="192"/>
    </row>
    <row r="10" spans="1:33" ht="15.75" thickBot="1">
      <c r="A10" s="25" t="s">
        <v>30</v>
      </c>
      <c r="B10" s="223">
        <f>SUMIF(HK!A:A,"061*",HK!K:K)-SUMIF(HK!A:A,"061*",HK!L:L)</f>
        <v>0</v>
      </c>
      <c r="C10" s="223">
        <f>SUMIF(HK!A:A,"062*",HK!K:K)-SUMIF(HK!A:A,"062*",HK!L:L)</f>
        <v>0</v>
      </c>
      <c r="D10" s="223">
        <f>SUMIF(HK!A:A,"063*",HK!K:K)-SUMIF(HK!A:A,"063*",HK!L:L)</f>
        <v>0</v>
      </c>
      <c r="E10" s="223">
        <f>SUMIF(HK!A:A,"066*",HK!K:K)-SUMIF(HK!A:A,"066*",HK!L:L)</f>
        <v>0</v>
      </c>
      <c r="F10" s="223">
        <f>SUMIF(HK!A:A,"067*",HK!K:K)-SUMIF(HK!A:A,"067*",HK!L:L)</f>
        <v>0</v>
      </c>
      <c r="G10" s="186"/>
      <c r="H10" s="223">
        <f>SUMIF(HK!A:A,"043*",HK!K:K)-SUMIF(HK!A:A,"043*",HK!L:L)</f>
        <v>0</v>
      </c>
      <c r="I10" s="223">
        <f>SUMIF(HK!A:A,"053*",HK!K:K)-SUMIF(HK!A:A,"053*",HK!L:L)</f>
        <v>0</v>
      </c>
      <c r="J10" s="17">
        <f>J6+J7-J8+J9</f>
        <v>0</v>
      </c>
      <c r="K10" s="192"/>
      <c r="L10" s="209"/>
      <c r="M10" s="192"/>
      <c r="N10" s="192"/>
      <c r="O10" s="192"/>
      <c r="P10" s="192"/>
      <c r="Q10" s="192"/>
      <c r="R10" s="192"/>
    </row>
    <row r="11" spans="1:33" ht="15" customHeight="1" thickTop="1" thickBot="1">
      <c r="A11" s="41" t="s">
        <v>31</v>
      </c>
      <c r="B11" s="228"/>
      <c r="C11" s="228"/>
      <c r="D11" s="228"/>
      <c r="E11" s="228"/>
      <c r="F11" s="228"/>
      <c r="G11" s="228"/>
      <c r="H11" s="228"/>
      <c r="I11" s="228"/>
      <c r="J11" s="43"/>
      <c r="K11" s="192"/>
      <c r="L11" s="192"/>
      <c r="M11" s="192"/>
      <c r="N11" s="192"/>
      <c r="O11" s="192"/>
      <c r="P11" s="192"/>
      <c r="Q11" s="192"/>
      <c r="R11" s="192"/>
    </row>
    <row r="12" spans="1:33" ht="15" customHeight="1" thickTop="1" thickBot="1">
      <c r="A12" s="44" t="s">
        <v>32</v>
      </c>
      <c r="B12" s="186"/>
      <c r="C12" s="186"/>
      <c r="D12" s="186"/>
      <c r="E12" s="186"/>
      <c r="F12" s="186"/>
      <c r="G12" s="186"/>
      <c r="H12" s="186"/>
      <c r="I12" s="186"/>
      <c r="J12" s="15">
        <f>SUM(B12:I12)</f>
        <v>0</v>
      </c>
      <c r="K12" s="192"/>
      <c r="L12" s="192"/>
      <c r="M12" s="192"/>
      <c r="N12" s="192"/>
      <c r="O12" s="192"/>
      <c r="P12" s="192"/>
      <c r="Q12" s="192"/>
      <c r="R12" s="192"/>
    </row>
    <row r="13" spans="1:33" ht="15" customHeight="1" thickBot="1">
      <c r="A13" s="14" t="s">
        <v>27</v>
      </c>
      <c r="B13" s="186"/>
      <c r="C13" s="186"/>
      <c r="D13" s="186"/>
      <c r="E13" s="186"/>
      <c r="F13" s="186"/>
      <c r="G13" s="186"/>
      <c r="H13" s="186"/>
      <c r="I13" s="186"/>
      <c r="J13" s="15">
        <f t="shared" ref="J13:J14" si="1">SUM(B13:I13)</f>
        <v>0</v>
      </c>
      <c r="K13" s="192"/>
      <c r="L13" s="192"/>
      <c r="M13" s="192"/>
      <c r="N13" s="192"/>
      <c r="O13" s="192"/>
      <c r="P13" s="192"/>
      <c r="Q13" s="192"/>
      <c r="R13" s="192"/>
    </row>
    <row r="14" spans="1:33" ht="15" customHeight="1" thickBot="1">
      <c r="A14" s="14" t="s">
        <v>28</v>
      </c>
      <c r="B14" s="186"/>
      <c r="C14" s="186"/>
      <c r="D14" s="186"/>
      <c r="E14" s="186"/>
      <c r="F14" s="186"/>
      <c r="G14" s="186"/>
      <c r="H14" s="186"/>
      <c r="I14" s="186"/>
      <c r="J14" s="15">
        <f t="shared" si="1"/>
        <v>0</v>
      </c>
      <c r="K14" s="192"/>
      <c r="L14" s="192"/>
      <c r="M14" s="192"/>
      <c r="N14" s="192"/>
      <c r="O14" s="192"/>
      <c r="P14" s="192"/>
      <c r="Q14" s="192"/>
      <c r="R14" s="192"/>
    </row>
    <row r="15" spans="1:33" ht="15" customHeight="1" thickBot="1">
      <c r="A15" s="25" t="s">
        <v>30</v>
      </c>
      <c r="B15" s="189"/>
      <c r="C15" s="189"/>
      <c r="D15" s="189"/>
      <c r="E15" s="189"/>
      <c r="F15" s="189"/>
      <c r="G15" s="189"/>
      <c r="H15" s="189"/>
      <c r="I15" s="189"/>
      <c r="J15" s="17">
        <f>J12+J13-J14</f>
        <v>0</v>
      </c>
      <c r="K15" s="192"/>
      <c r="L15" s="192"/>
      <c r="M15" s="192"/>
      <c r="N15" s="192"/>
      <c r="O15" s="192"/>
      <c r="P15" s="192"/>
      <c r="Q15" s="192"/>
      <c r="R15" s="192"/>
    </row>
    <row r="16" spans="1:33" ht="15" customHeight="1" thickTop="1" thickBot="1">
      <c r="A16" s="41" t="s">
        <v>33</v>
      </c>
      <c r="B16" s="228"/>
      <c r="C16" s="228"/>
      <c r="D16" s="228"/>
      <c r="E16" s="228"/>
      <c r="F16" s="228"/>
      <c r="G16" s="228"/>
      <c r="H16" s="228"/>
      <c r="I16" s="228"/>
      <c r="J16" s="43"/>
      <c r="K16" s="192"/>
      <c r="L16" s="192"/>
      <c r="M16" s="192"/>
      <c r="N16" s="192"/>
      <c r="O16" s="192"/>
      <c r="P16" s="192"/>
      <c r="Q16" s="192"/>
      <c r="R16" s="192"/>
    </row>
    <row r="17" spans="1:33" ht="24" thickTop="1" thickBot="1">
      <c r="A17" s="44" t="s">
        <v>32</v>
      </c>
      <c r="B17" s="223"/>
      <c r="C17" s="223"/>
      <c r="D17" s="223"/>
      <c r="E17" s="223"/>
      <c r="F17" s="223"/>
      <c r="G17" s="223"/>
      <c r="H17" s="223"/>
      <c r="I17" s="223">
        <f>SUMIF(SUAM!C:C,"029",SUAM!E:E)</f>
        <v>0</v>
      </c>
      <c r="J17" s="15">
        <f>SUM(B17:I17)</f>
        <v>0</v>
      </c>
      <c r="K17" s="192"/>
      <c r="L17" s="209"/>
      <c r="M17" s="192"/>
      <c r="N17" s="216"/>
      <c r="O17" s="192"/>
      <c r="P17" s="192"/>
      <c r="Q17" s="192"/>
      <c r="R17" s="192"/>
    </row>
    <row r="18" spans="1:33" ht="15" customHeight="1" thickBot="1">
      <c r="A18" s="14" t="s">
        <v>27</v>
      </c>
      <c r="B18" s="186"/>
      <c r="C18" s="186"/>
      <c r="D18" s="186"/>
      <c r="E18" s="186"/>
      <c r="F18" s="186"/>
      <c r="G18" s="186"/>
      <c r="H18" s="186"/>
      <c r="I18" s="186"/>
      <c r="J18" s="15">
        <f>SUM(B18:I18)</f>
        <v>0</v>
      </c>
      <c r="K18" s="192"/>
      <c r="L18" s="192"/>
      <c r="M18" s="192"/>
      <c r="N18" s="192"/>
      <c r="O18" s="192"/>
      <c r="P18" s="192"/>
      <c r="Q18" s="192"/>
      <c r="R18" s="192"/>
    </row>
    <row r="19" spans="1:33" ht="15" customHeight="1" thickBot="1">
      <c r="A19" s="14" t="s">
        <v>28</v>
      </c>
      <c r="B19" s="186"/>
      <c r="C19" s="186"/>
      <c r="D19" s="186"/>
      <c r="E19" s="186"/>
      <c r="F19" s="186"/>
      <c r="G19" s="186"/>
      <c r="H19" s="186"/>
      <c r="I19" s="186"/>
      <c r="J19" s="15">
        <f>SUM(B19:I19)</f>
        <v>0</v>
      </c>
      <c r="K19" s="192"/>
      <c r="L19" s="192"/>
      <c r="M19" s="192"/>
      <c r="N19" s="192"/>
      <c r="O19" s="192"/>
      <c r="P19" s="192"/>
      <c r="Q19" s="192"/>
      <c r="R19" s="192"/>
    </row>
    <row r="20" spans="1:33" ht="15.75" thickBot="1">
      <c r="A20" s="25" t="s">
        <v>30</v>
      </c>
      <c r="B20" s="223"/>
      <c r="C20" s="223"/>
      <c r="D20" s="223"/>
      <c r="E20" s="223"/>
      <c r="F20" s="223"/>
      <c r="G20" s="223"/>
      <c r="H20" s="223"/>
      <c r="I20" s="223">
        <f>SUMIF(SUA!C:C,"029",SUA!E:E)</f>
        <v>0</v>
      </c>
      <c r="J20" s="17">
        <f>J17+J18-J19</f>
        <v>0</v>
      </c>
      <c r="K20" s="192"/>
      <c r="L20" s="209"/>
      <c r="M20" s="192"/>
      <c r="N20" s="216"/>
      <c r="O20" s="192"/>
      <c r="P20" s="192"/>
      <c r="Q20" s="192"/>
      <c r="R20" s="192"/>
    </row>
    <row r="21" spans="1:33" ht="15" customHeight="1" thickTop="1" thickBot="1">
      <c r="A21" s="41" t="s">
        <v>34</v>
      </c>
      <c r="B21" s="228"/>
      <c r="C21" s="228"/>
      <c r="D21" s="228"/>
      <c r="E21" s="228"/>
      <c r="F21" s="228"/>
      <c r="G21" s="228"/>
      <c r="H21" s="228"/>
      <c r="I21" s="228"/>
      <c r="J21" s="43"/>
      <c r="K21" s="192"/>
      <c r="L21" s="192"/>
      <c r="M21" s="192"/>
      <c r="N21" s="192"/>
      <c r="O21" s="192"/>
      <c r="P21" s="192"/>
      <c r="Q21" s="192"/>
      <c r="R21" s="192"/>
    </row>
    <row r="22" spans="1:33" ht="15" customHeight="1" thickTop="1" thickBot="1">
      <c r="A22" s="44" t="s">
        <v>32</v>
      </c>
      <c r="B22" s="186"/>
      <c r="C22" s="186"/>
      <c r="D22" s="186"/>
      <c r="E22" s="186"/>
      <c r="F22" s="186"/>
      <c r="G22" s="186"/>
      <c r="H22" s="186"/>
      <c r="I22" s="186"/>
      <c r="J22" s="15">
        <f t="shared" ref="J22" si="2">J6-J12-J17</f>
        <v>0</v>
      </c>
    </row>
    <row r="23" spans="1:33" ht="15" customHeight="1" thickBot="1">
      <c r="A23" s="25" t="s">
        <v>30</v>
      </c>
      <c r="B23" s="189"/>
      <c r="C23" s="189"/>
      <c r="D23" s="189"/>
      <c r="E23" s="189"/>
      <c r="F23" s="189"/>
      <c r="G23" s="189"/>
      <c r="H23" s="189"/>
      <c r="I23" s="189"/>
      <c r="J23" s="17">
        <f t="shared" ref="J23" si="3">J10-J15-J20</f>
        <v>0</v>
      </c>
    </row>
    <row r="24" spans="1:33" ht="15.75" thickTop="1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33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33" ht="15.75" thickBot="1">
      <c r="A26" s="218" t="s">
        <v>15</v>
      </c>
      <c r="B26" s="218"/>
      <c r="C26" s="218"/>
      <c r="D26" s="218"/>
      <c r="E26" s="218"/>
      <c r="F26" s="218"/>
      <c r="G26" s="218"/>
      <c r="H26" s="218"/>
      <c r="I26" s="218"/>
      <c r="J26" s="218"/>
    </row>
    <row r="27" spans="1:33" ht="16.5" customHeight="1" thickTop="1" thickBot="1">
      <c r="A27" s="330" t="s">
        <v>55</v>
      </c>
      <c r="B27" s="326" t="s">
        <v>3</v>
      </c>
      <c r="C27" s="327"/>
      <c r="D27" s="327"/>
      <c r="E27" s="327"/>
      <c r="F27" s="327"/>
      <c r="G27" s="327"/>
      <c r="H27" s="327"/>
      <c r="I27" s="327"/>
      <c r="J27" s="328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ht="66.75" customHeight="1" thickTop="1" thickBot="1">
      <c r="A28" s="331"/>
      <c r="B28" s="221" t="s">
        <v>51</v>
      </c>
      <c r="C28" s="220" t="s">
        <v>495</v>
      </c>
      <c r="D28" s="221" t="s">
        <v>52</v>
      </c>
      <c r="E28" s="220" t="s">
        <v>494</v>
      </c>
      <c r="F28" s="221" t="s">
        <v>53</v>
      </c>
      <c r="G28" s="221" t="s">
        <v>54</v>
      </c>
      <c r="H28" s="220" t="s">
        <v>446</v>
      </c>
      <c r="I28" s="221" t="s">
        <v>447</v>
      </c>
      <c r="J28" s="221" t="s">
        <v>14</v>
      </c>
    </row>
    <row r="29" spans="1:33" ht="15" customHeight="1" thickTop="1" thickBot="1">
      <c r="A29" s="232" t="s">
        <v>25</v>
      </c>
      <c r="B29" s="211"/>
      <c r="C29" s="211"/>
      <c r="D29" s="211"/>
      <c r="E29" s="211"/>
      <c r="F29" s="211"/>
      <c r="G29" s="211"/>
      <c r="H29" s="211"/>
      <c r="I29" s="211"/>
      <c r="J29" s="212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33" ht="24" thickTop="1" thickBot="1">
      <c r="A30" s="233" t="s">
        <v>26</v>
      </c>
      <c r="B30" s="223">
        <f>SUMIF(HKM!A:A,"061*",HKM!C:C)-SUMIF(HKM!A:A,"061*",HKM!D:D)</f>
        <v>0</v>
      </c>
      <c r="C30" s="223">
        <f>SUMIF(HKM!A:A,"062*",HKM!C:C)-SUMIF(HKM!A:A,"062*",HKM!D:D)</f>
        <v>0</v>
      </c>
      <c r="D30" s="223">
        <f>SUMIF(HKM!A:A,"063*",HKM!C:C)-SUMIF(HKM!A:A,"063*",HKM!D:D)</f>
        <v>0</v>
      </c>
      <c r="E30" s="223">
        <f>SUMIF(HKM!A:A,"066*",HKM!C:C)-SUMIF(HKM!A:A,"066*",HKM!D:D)</f>
        <v>0</v>
      </c>
      <c r="F30" s="223">
        <f>SUMIF(HKM!A:A,"067*",HKM!C:C)-SUMIF(HKM!A:A,"067*",HKM!D:D)</f>
        <v>0</v>
      </c>
      <c r="G30" s="186"/>
      <c r="H30" s="223">
        <f>SUMIF(HKM!A:A,"043*",HKM!C:C)-SUMIF(HKM!A:A,"043*",HKM!D:D)</f>
        <v>0</v>
      </c>
      <c r="I30" s="223">
        <f>SUMIF(HKM!A:A,"053*",HKM!C:C)-SUMIF(HKM!A:A,"053*",HKM!D:D)</f>
        <v>0</v>
      </c>
      <c r="J30" s="208">
        <f>SUM(B30:I30)</f>
        <v>0</v>
      </c>
      <c r="K30" s="192"/>
      <c r="L30" s="209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</row>
    <row r="31" spans="1:33" ht="15" customHeight="1" thickBot="1">
      <c r="A31" s="234" t="s">
        <v>27</v>
      </c>
      <c r="B31" s="186"/>
      <c r="C31" s="186"/>
      <c r="D31" s="186"/>
      <c r="E31" s="186"/>
      <c r="F31" s="187"/>
      <c r="G31" s="186"/>
      <c r="H31" s="186"/>
      <c r="I31" s="186"/>
      <c r="J31" s="208">
        <f t="shared" ref="J31:J33" si="4">SUM(B31:I31)</f>
        <v>0</v>
      </c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</row>
    <row r="32" spans="1:33" ht="15" customHeight="1" thickBot="1">
      <c r="A32" s="234" t="s">
        <v>28</v>
      </c>
      <c r="B32" s="246"/>
      <c r="C32" s="186"/>
      <c r="D32" s="186"/>
      <c r="E32" s="186"/>
      <c r="F32" s="187"/>
      <c r="G32" s="186"/>
      <c r="H32" s="186"/>
      <c r="I32" s="186"/>
      <c r="J32" s="208">
        <f t="shared" si="4"/>
        <v>0</v>
      </c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</row>
    <row r="33" spans="1:23" ht="15" customHeight="1" thickBot="1">
      <c r="A33" s="234" t="s">
        <v>29</v>
      </c>
      <c r="B33" s="186"/>
      <c r="C33" s="186"/>
      <c r="D33" s="186"/>
      <c r="E33" s="186"/>
      <c r="F33" s="187"/>
      <c r="G33" s="186"/>
      <c r="H33" s="186"/>
      <c r="I33" s="186"/>
      <c r="J33" s="208">
        <f t="shared" si="4"/>
        <v>0</v>
      </c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</row>
    <row r="34" spans="1:23" ht="15.75" thickBot="1">
      <c r="A34" s="235" t="s">
        <v>30</v>
      </c>
      <c r="B34" s="223">
        <f>SUMIF(HKM!A:A,"061*",HKM!K:K)-SUMIF(HKM!A:A,"061*",HKM!L:L)</f>
        <v>0</v>
      </c>
      <c r="C34" s="223">
        <f>SUMIF(HKM!A:A,"062*",HKM!K:K)-SUMIF(HKM!A:A,"062*",HKM!L:L)</f>
        <v>0</v>
      </c>
      <c r="D34" s="223">
        <f>SUMIF(HKM!A:A,"063*",HKM!K:K)-SUMIF(HKM!A:A,"063*",HKM!L:L)</f>
        <v>0</v>
      </c>
      <c r="E34" s="223">
        <f>SUMIF(HKM!A:A,"066*",HKM!K:K)-SUMIF(HKM!A:A,"066*",HKM!L:L)</f>
        <v>0</v>
      </c>
      <c r="F34" s="223">
        <f>SUMIF(HKM!A:A,"067*",HKM!K:K)-SUMIF(HKM!A:A,"067*",HKM!L:L)</f>
        <v>0</v>
      </c>
      <c r="G34" s="186"/>
      <c r="H34" s="223">
        <f>SUMIF(HKM!A:A,"043*",HKM!K:K)-SUMIF(HKM!A:A,"043*",HKM!L:L)</f>
        <v>0</v>
      </c>
      <c r="I34" s="223">
        <f>SUMIF(HKM!A:A,"053*",HKM!K:K)-SUMIF(HKM!A:A,"053*",HKM!L:L)</f>
        <v>0</v>
      </c>
      <c r="J34" s="210">
        <f>J30+J31-J32+J33</f>
        <v>0</v>
      </c>
      <c r="K34" s="192"/>
      <c r="L34" s="209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</row>
    <row r="35" spans="1:23" ht="15" customHeight="1" thickTop="1" thickBot="1">
      <c r="A35" s="232" t="s">
        <v>31</v>
      </c>
      <c r="B35" s="224"/>
      <c r="C35" s="224"/>
      <c r="D35" s="224"/>
      <c r="E35" s="224"/>
      <c r="F35" s="224"/>
      <c r="G35" s="224"/>
      <c r="H35" s="224"/>
      <c r="I35" s="224"/>
      <c r="J35" s="21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</row>
    <row r="36" spans="1:23" ht="15" customHeight="1" thickTop="1" thickBot="1">
      <c r="A36" s="233" t="s">
        <v>32</v>
      </c>
      <c r="B36" s="213"/>
      <c r="C36" s="213"/>
      <c r="D36" s="213"/>
      <c r="E36" s="213"/>
      <c r="F36" s="213"/>
      <c r="G36" s="213"/>
      <c r="H36" s="213"/>
      <c r="I36" s="213"/>
      <c r="J36" s="208">
        <f>SUM(B36:I36)</f>
        <v>0</v>
      </c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</row>
    <row r="37" spans="1:23" ht="15" customHeight="1" thickBot="1">
      <c r="A37" s="234" t="s">
        <v>27</v>
      </c>
      <c r="B37" s="213"/>
      <c r="C37" s="213"/>
      <c r="D37" s="213"/>
      <c r="E37" s="213"/>
      <c r="F37" s="213"/>
      <c r="G37" s="213"/>
      <c r="H37" s="213"/>
      <c r="I37" s="213"/>
      <c r="J37" s="208">
        <f t="shared" ref="J37:J38" si="5">SUM(B37:I37)</f>
        <v>0</v>
      </c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</row>
    <row r="38" spans="1:23" ht="15" customHeight="1" thickBot="1">
      <c r="A38" s="234" t="s">
        <v>28</v>
      </c>
      <c r="B38" s="213"/>
      <c r="C38" s="213"/>
      <c r="D38" s="213"/>
      <c r="E38" s="213"/>
      <c r="F38" s="213"/>
      <c r="G38" s="213"/>
      <c r="H38" s="213"/>
      <c r="I38" s="213"/>
      <c r="J38" s="208">
        <f t="shared" si="5"/>
        <v>0</v>
      </c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</row>
    <row r="39" spans="1:23" ht="15" customHeight="1" thickBot="1">
      <c r="A39" s="235" t="s">
        <v>30</v>
      </c>
      <c r="B39" s="214"/>
      <c r="C39" s="214"/>
      <c r="D39" s="214"/>
      <c r="E39" s="214"/>
      <c r="F39" s="214"/>
      <c r="G39" s="214"/>
      <c r="H39" s="214"/>
      <c r="I39" s="214"/>
      <c r="J39" s="210">
        <f>J36+J37-J38</f>
        <v>0</v>
      </c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</row>
    <row r="40" spans="1:23" ht="15" customHeight="1" thickTop="1" thickBot="1">
      <c r="A40" s="232" t="s">
        <v>33</v>
      </c>
      <c r="B40" s="224"/>
      <c r="C40" s="224"/>
      <c r="D40" s="224"/>
      <c r="E40" s="224"/>
      <c r="F40" s="224"/>
      <c r="G40" s="224"/>
      <c r="H40" s="224"/>
      <c r="I40" s="224"/>
      <c r="J40" s="21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</row>
    <row r="41" spans="1:23" ht="24" thickTop="1" thickBot="1">
      <c r="A41" s="233" t="s">
        <v>32</v>
      </c>
      <c r="B41" s="223"/>
      <c r="C41" s="223"/>
      <c r="D41" s="223"/>
      <c r="E41" s="223"/>
      <c r="F41" s="223"/>
      <c r="G41" s="223"/>
      <c r="H41" s="223"/>
      <c r="I41" s="227"/>
      <c r="J41" s="208">
        <f>SUM(B41:I41)</f>
        <v>0</v>
      </c>
      <c r="K41" s="192"/>
      <c r="L41" s="209"/>
      <c r="M41" s="222"/>
      <c r="N41" s="216"/>
      <c r="O41" s="192"/>
      <c r="P41" s="192"/>
      <c r="Q41" s="192"/>
      <c r="R41" s="192"/>
      <c r="S41" s="192"/>
      <c r="T41" s="192"/>
      <c r="U41" s="192"/>
      <c r="V41" s="192"/>
      <c r="W41" s="192"/>
    </row>
    <row r="42" spans="1:23" ht="15" customHeight="1" thickBot="1">
      <c r="A42" s="234" t="s">
        <v>27</v>
      </c>
      <c r="B42" s="186"/>
      <c r="C42" s="186"/>
      <c r="D42" s="186"/>
      <c r="E42" s="186"/>
      <c r="F42" s="186"/>
      <c r="G42" s="186"/>
      <c r="H42" s="186"/>
      <c r="I42" s="213"/>
      <c r="J42" s="208">
        <f t="shared" ref="J42:J43" si="6">SUM(B42:I42)</f>
        <v>0</v>
      </c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</row>
    <row r="43" spans="1:23" ht="15" customHeight="1" thickBot="1">
      <c r="A43" s="234" t="s">
        <v>28</v>
      </c>
      <c r="B43" s="186"/>
      <c r="C43" s="186"/>
      <c r="D43" s="186"/>
      <c r="E43" s="186"/>
      <c r="F43" s="186"/>
      <c r="G43" s="186"/>
      <c r="H43" s="186"/>
      <c r="I43" s="213"/>
      <c r="J43" s="208">
        <f t="shared" si="6"/>
        <v>0</v>
      </c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</row>
    <row r="44" spans="1:23" ht="15.75" thickBot="1">
      <c r="A44" s="235" t="s">
        <v>30</v>
      </c>
      <c r="B44" s="223"/>
      <c r="C44" s="223"/>
      <c r="D44" s="223"/>
      <c r="E44" s="223"/>
      <c r="F44" s="223"/>
      <c r="G44" s="223"/>
      <c r="H44" s="223"/>
      <c r="I44" s="223">
        <f>SUMIF(SUAM!C:C,"029",SUAM!E:E)</f>
        <v>0</v>
      </c>
      <c r="J44" s="210">
        <f>J41+J42-J43</f>
        <v>0</v>
      </c>
      <c r="K44" s="192"/>
      <c r="L44" s="209"/>
      <c r="M44" s="192"/>
      <c r="N44" s="216"/>
      <c r="O44" s="192"/>
      <c r="P44" s="192"/>
      <c r="Q44" s="192"/>
      <c r="R44" s="192"/>
      <c r="S44" s="192"/>
      <c r="T44" s="192"/>
      <c r="U44" s="192"/>
      <c r="V44" s="192"/>
      <c r="W44" s="192"/>
    </row>
    <row r="45" spans="1:23" ht="15" customHeight="1" thickTop="1" thickBot="1">
      <c r="A45" s="232" t="s">
        <v>34</v>
      </c>
      <c r="B45" s="211"/>
      <c r="C45" s="211"/>
      <c r="D45" s="211"/>
      <c r="E45" s="211"/>
      <c r="F45" s="211"/>
      <c r="G45" s="211"/>
      <c r="H45" s="211"/>
      <c r="I45" s="211"/>
      <c r="J45" s="21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</row>
    <row r="46" spans="1:23" ht="15" customHeight="1" thickTop="1" thickBot="1">
      <c r="A46" s="233" t="s">
        <v>32</v>
      </c>
      <c r="B46" s="213"/>
      <c r="C46" s="213"/>
      <c r="D46" s="213"/>
      <c r="E46" s="213"/>
      <c r="F46" s="213"/>
      <c r="G46" s="213"/>
      <c r="H46" s="213"/>
      <c r="I46" s="213"/>
      <c r="J46" s="208">
        <f t="shared" ref="J46" si="7">J30-J36-J41</f>
        <v>0</v>
      </c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</row>
    <row r="47" spans="1:23" ht="15" customHeight="1" thickBot="1">
      <c r="A47" s="235" t="s">
        <v>30</v>
      </c>
      <c r="B47" s="214"/>
      <c r="C47" s="214"/>
      <c r="D47" s="214"/>
      <c r="E47" s="214"/>
      <c r="F47" s="214"/>
      <c r="G47" s="214"/>
      <c r="H47" s="214"/>
      <c r="I47" s="214"/>
      <c r="J47" s="210">
        <f t="shared" ref="J47" si="8">J34-J39-J44</f>
        <v>0</v>
      </c>
    </row>
    <row r="48" spans="1:23" ht="15.75" thickTop="1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>
      <c r="A50" s="18"/>
      <c r="B50" s="18"/>
      <c r="C50" s="18"/>
      <c r="D50" s="18"/>
      <c r="E50" s="18"/>
      <c r="F50" s="18"/>
      <c r="G50" s="18"/>
      <c r="H50" s="18"/>
      <c r="I50" s="18"/>
      <c r="J50" s="18"/>
    </row>
  </sheetData>
  <mergeCells count="4">
    <mergeCell ref="A27:A28"/>
    <mergeCell ref="B27:J27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66</vt:i4>
      </vt:variant>
    </vt:vector>
  </HeadingPairs>
  <TitlesOfParts>
    <vt:vector size="66" baseType="lpstr">
      <vt:lpstr>VYSVETLIVKY</vt:lpstr>
      <vt:lpstr>1</vt:lpstr>
      <vt:lpstr>2</vt:lpstr>
      <vt:lpstr>2_tabulka c.2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2014-08-12T04:22:02Z</dcterms:modified>
</cp:coreProperties>
</file>